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72.16.40.66\Contabilidad\3.Vida\Año 2025\Estados Financieros AVida\07 Agosto\"/>
    </mc:Choice>
  </mc:AlternateContent>
  <xr:revisionPtr revIDLastSave="0" documentId="13_ncr:1_{566BA756-7DAC-4B24-9569-AA9E6CD3B2BF}" xr6:coauthVersionLast="47" xr6:coauthVersionMax="47" xr10:uidLastSave="{00000000-0000-0000-0000-000000000000}"/>
  <bookViews>
    <workbookView xWindow="-110" yWindow="-110" windowWidth="19420" windowHeight="11500" activeTab="3" xr2:uid="{00000000-000D-0000-FFFF-FFFF00000000}"/>
  </bookViews>
  <sheets>
    <sheet name="Balanza" sheetId="1" r:id="rId1"/>
    <sheet name="Hoja1" sheetId="17" state="hidden" r:id="rId2"/>
    <sheet name="BG1" sheetId="5" state="hidden" r:id="rId3"/>
    <sheet name="BG" sheetId="10" r:id="rId4"/>
    <sheet name="BGv3" sheetId="8" state="hidden" r:id="rId5"/>
    <sheet name="BGvM" sheetId="13" state="hidden" r:id="rId6"/>
    <sheet name="BGvM2" sheetId="11" state="hidden" r:id="rId7"/>
    <sheet name="ER1" sheetId="6" state="hidden" r:id="rId8"/>
    <sheet name="ER" sheetId="9" r:id="rId9"/>
    <sheet name="Indices2025" sheetId="20" state="hidden" r:id="rId10"/>
    <sheet name="pda" sheetId="18" state="hidden" r:id="rId11"/>
    <sheet name="BG GF" sheetId="15" state="hidden" r:id="rId12"/>
    <sheet name="ER GF" sheetId="16" state="hidden" r:id="rId13"/>
    <sheet name="ERv3" sheetId="7" state="hidden" r:id="rId14"/>
    <sheet name="ERvM" sheetId="14" state="hidden" r:id="rId15"/>
    <sheet name="ERvM2" sheetId="12" state="hidden" r:id="rId16"/>
  </sheets>
  <definedNames>
    <definedName name="_xlnm._FilterDatabase" localSheetId="0" hidden="1">Balanza!$A$4:$G$1272</definedName>
    <definedName name="_xlnm.Print_Area" localSheetId="0">Balanza!#REF!</definedName>
    <definedName name="_xlnm.Print_Area" localSheetId="3">BG!$A$1:$E$61</definedName>
    <definedName name="_xlnm.Print_Area" localSheetId="11">'BG GF'!$A$1:$E$63</definedName>
    <definedName name="_xlnm.Print_Area" localSheetId="2">'BG1'!$A$1:$G$48</definedName>
    <definedName name="_xlnm.Print_Area" localSheetId="4">'BGv3'!$A$1:$D$70</definedName>
    <definedName name="_xlnm.Print_Area" localSheetId="5">BGvM!$A$1:$E$60</definedName>
    <definedName name="_xlnm.Print_Area" localSheetId="6">BGvM2!$A$1:$E$69</definedName>
    <definedName name="_xlnm.Print_Area" localSheetId="8">ER!$A$1:$E$50</definedName>
    <definedName name="_xlnm.Print_Area" localSheetId="12">'ER GF'!$A$1:$D$50</definedName>
    <definedName name="_xlnm.Print_Area" localSheetId="14">ERvM!$A$1:$D$51</definedName>
    <definedName name="_xlnm.Print_Area" localSheetId="15">ERvM2!$A$1:$D$55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0" l="1"/>
  <c r="D21" i="20"/>
  <c r="D19" i="20"/>
  <c r="D18" i="20"/>
  <c r="D16" i="20"/>
  <c r="D15" i="20"/>
  <c r="D13" i="20"/>
  <c r="D10" i="20"/>
  <c r="B3" i="20" l="1"/>
  <c r="B1" i="20"/>
  <c r="H47" i="18" l="1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0" i="18"/>
  <c r="H31" i="18"/>
  <c r="H29" i="18"/>
  <c r="H28" i="18"/>
  <c r="H27" i="18"/>
  <c r="H26" i="18"/>
  <c r="H25" i="18"/>
  <c r="H24" i="18"/>
  <c r="H23" i="18"/>
  <c r="H22" i="18"/>
  <c r="H21" i="18"/>
  <c r="H11" i="18" l="1"/>
  <c r="H10" i="18"/>
  <c r="H20" i="18"/>
  <c r="H19" i="18"/>
  <c r="H18" i="18"/>
  <c r="H17" i="18"/>
  <c r="H16" i="18"/>
  <c r="H15" i="18"/>
  <c r="H14" i="18"/>
  <c r="H13" i="18"/>
  <c r="H12" i="18"/>
  <c r="H9" i="18"/>
  <c r="H8" i="18"/>
  <c r="H7" i="18"/>
  <c r="H6" i="18"/>
  <c r="H5" i="18"/>
  <c r="C39" i="10" l="1"/>
  <c r="E38" i="9"/>
  <c r="D38" i="16" s="1"/>
  <c r="E29" i="9" l="1"/>
  <c r="D29" i="16" s="1"/>
  <c r="E34" i="9"/>
  <c r="D34" i="16" s="1"/>
  <c r="E28" i="9"/>
  <c r="D28" i="16" s="1"/>
  <c r="E23" i="9"/>
  <c r="D23" i="16" s="1"/>
  <c r="E20" i="9"/>
  <c r="D20" i="16" s="1"/>
  <c r="E19" i="9"/>
  <c r="D19" i="16" s="1"/>
  <c r="E18" i="9"/>
  <c r="D18" i="16" s="1"/>
  <c r="E17" i="9"/>
  <c r="D17" i="16" s="1"/>
  <c r="E13" i="9"/>
  <c r="D13" i="16" s="1"/>
  <c r="E12" i="9"/>
  <c r="D12" i="16" s="1"/>
  <c r="E11" i="9"/>
  <c r="D11" i="16" s="1"/>
  <c r="E10" i="9"/>
  <c r="D10" i="16" s="1"/>
  <c r="E9" i="9"/>
  <c r="D9" i="16" s="1"/>
  <c r="C40" i="15"/>
  <c r="C38" i="10"/>
  <c r="C17" i="10"/>
  <c r="C18" i="15" s="1"/>
  <c r="C15" i="10"/>
  <c r="C7" i="10"/>
  <c r="C30" i="10"/>
  <c r="C31" i="15" s="1"/>
  <c r="C16" i="10"/>
  <c r="C17" i="15" s="1"/>
  <c r="C8" i="10"/>
  <c r="C9" i="15" s="1"/>
  <c r="C52" i="10"/>
  <c r="C53" i="15" s="1"/>
  <c r="C50" i="10"/>
  <c r="C51" i="15" s="1"/>
  <c r="C49" i="10"/>
  <c r="C50" i="15" s="1"/>
  <c r="C48" i="10"/>
  <c r="C43" i="10"/>
  <c r="C44" i="15" s="1"/>
  <c r="C42" i="10"/>
  <c r="C35" i="10"/>
  <c r="C36" i="15" s="1"/>
  <c r="C34" i="10"/>
  <c r="C35" i="15" s="1"/>
  <c r="C33" i="10"/>
  <c r="C29" i="10"/>
  <c r="C30" i="15" s="1"/>
  <c r="C28" i="10"/>
  <c r="C29" i="15" s="1"/>
  <c r="C27" i="10"/>
  <c r="C28" i="15" s="1"/>
  <c r="C26" i="10"/>
  <c r="C20" i="10"/>
  <c r="C12" i="10"/>
  <c r="C13" i="15" s="1"/>
  <c r="C11" i="10"/>
  <c r="C12" i="15" s="1"/>
  <c r="C10" i="10"/>
  <c r="C11" i="15" s="1"/>
  <c r="C9" i="10"/>
  <c r="C10" i="15" s="1"/>
  <c r="D44" i="10" l="1"/>
  <c r="D31" i="10"/>
  <c r="D36" i="10"/>
  <c r="D40" i="10"/>
  <c r="C21" i="15"/>
  <c r="D21" i="10"/>
  <c r="C27" i="15"/>
  <c r="C43" i="15"/>
  <c r="C34" i="15"/>
  <c r="D13" i="10"/>
  <c r="C8" i="15"/>
  <c r="D18" i="10"/>
  <c r="C16" i="15"/>
  <c r="C39" i="15"/>
  <c r="C49" i="15"/>
  <c r="B2" i="15"/>
  <c r="C3" i="16"/>
  <c r="D22" i="10" l="1"/>
  <c r="D45" i="10"/>
  <c r="D14" i="16"/>
  <c r="D30" i="16"/>
  <c r="D21" i="16"/>
  <c r="D25" i="16" l="1"/>
  <c r="D32" i="16" s="1"/>
  <c r="D36" i="16" s="1"/>
  <c r="D40" i="16" s="1"/>
  <c r="E40" i="16" l="1"/>
  <c r="D41" i="15"/>
  <c r="D22" i="15"/>
  <c r="D19" i="15"/>
  <c r="D45" i="15" l="1"/>
  <c r="D14" i="15"/>
  <c r="D23" i="15" s="1"/>
  <c r="D32" i="15"/>
  <c r="D37" i="15"/>
  <c r="D46" i="15" l="1"/>
  <c r="N40" i="16"/>
  <c r="E14" i="9"/>
  <c r="E30" i="9" l="1"/>
  <c r="E21" i="9"/>
  <c r="E25" i="9" s="1"/>
  <c r="E32" i="9" l="1"/>
  <c r="E36" i="9" s="1"/>
  <c r="E40" i="9" l="1"/>
  <c r="D35" i="14" l="1"/>
  <c r="D30" i="14"/>
  <c r="D29" i="14"/>
  <c r="D24" i="14"/>
  <c r="D21" i="14"/>
  <c r="D20" i="14"/>
  <c r="D19" i="14"/>
  <c r="D18" i="14"/>
  <c r="D14" i="14"/>
  <c r="D13" i="14"/>
  <c r="D12" i="14"/>
  <c r="D11" i="14"/>
  <c r="D10" i="14"/>
  <c r="C51" i="10" l="1"/>
  <c r="D53" i="10" s="1"/>
  <c r="C50" i="13"/>
  <c r="C49" i="13"/>
  <c r="C44" i="13"/>
  <c r="C43" i="13"/>
  <c r="C40" i="13"/>
  <c r="C39" i="13"/>
  <c r="C36" i="13"/>
  <c r="C35" i="13"/>
  <c r="C34" i="13"/>
  <c r="C31" i="13"/>
  <c r="C30" i="13"/>
  <c r="C29" i="13"/>
  <c r="C28" i="13"/>
  <c r="C27" i="13"/>
  <c r="C21" i="13"/>
  <c r="C18" i="13"/>
  <c r="C17" i="13"/>
  <c r="C16" i="13"/>
  <c r="C13" i="13"/>
  <c r="C12" i="13"/>
  <c r="C11" i="13"/>
  <c r="C10" i="13"/>
  <c r="C9" i="13"/>
  <c r="C8" i="13"/>
  <c r="C52" i="15" l="1"/>
  <c r="D54" i="15" s="1"/>
  <c r="D56" i="15" s="1"/>
  <c r="D32" i="13"/>
  <c r="D55" i="10" l="1"/>
  <c r="G39" i="5"/>
  <c r="C40" i="5"/>
  <c r="C41" i="5"/>
  <c r="C39" i="5"/>
  <c r="D14" i="13"/>
  <c r="G9" i="6"/>
  <c r="G10" i="6"/>
  <c r="G11" i="6"/>
  <c r="G12" i="6"/>
  <c r="G13" i="6"/>
  <c r="G14" i="6"/>
  <c r="G15" i="6"/>
  <c r="G8" i="6"/>
  <c r="C9" i="6"/>
  <c r="C10" i="6"/>
  <c r="C11" i="6"/>
  <c r="C12" i="6"/>
  <c r="C13" i="6"/>
  <c r="C14" i="6"/>
  <c r="C15" i="6"/>
  <c r="C16" i="6"/>
  <c r="C17" i="6"/>
  <c r="C18" i="6"/>
  <c r="C19" i="6"/>
  <c r="C20" i="6"/>
  <c r="C8" i="6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6" i="5"/>
  <c r="F66" i="10" l="1"/>
  <c r="D19" i="13"/>
  <c r="D22" i="13" l="1"/>
  <c r="D45" i="13"/>
  <c r="C59" i="11"/>
  <c r="D31" i="14" l="1"/>
  <c r="D22" i="14"/>
  <c r="D37" i="13"/>
  <c r="D15" i="14"/>
  <c r="D51" i="13"/>
  <c r="D41" i="13"/>
  <c r="D23" i="13"/>
  <c r="D26" i="14" l="1"/>
  <c r="D33" i="14" s="1"/>
  <c r="D46" i="13"/>
  <c r="D53" i="13" s="1"/>
  <c r="G53" i="13" s="1"/>
  <c r="D37" i="14" l="1"/>
  <c r="D41" i="14" s="1"/>
  <c r="G41" i="14" s="1"/>
  <c r="D24" i="12" l="1"/>
  <c r="D23" i="12" s="1"/>
  <c r="D39" i="12"/>
  <c r="D38" i="12"/>
  <c r="D42" i="12"/>
  <c r="D27" i="12"/>
  <c r="D28" i="12"/>
  <c r="D29" i="12"/>
  <c r="D30" i="12"/>
  <c r="D31" i="12"/>
  <c r="D26" i="12"/>
  <c r="D22" i="12"/>
  <c r="D21" i="12"/>
  <c r="D12" i="12"/>
  <c r="D11" i="12"/>
  <c r="C58" i="11"/>
  <c r="C41" i="11"/>
  <c r="C40" i="11"/>
  <c r="C33" i="11"/>
  <c r="C23" i="11"/>
  <c r="C19" i="11"/>
  <c r="C11" i="11"/>
  <c r="C10" i="11"/>
  <c r="D13" i="12" l="1"/>
  <c r="D20" i="12" l="1"/>
  <c r="D37" i="11"/>
  <c r="C42" i="11"/>
  <c r="D43" i="11" l="1"/>
  <c r="D60" i="11"/>
  <c r="D41" i="12" l="1"/>
  <c r="D53" i="11"/>
  <c r="D48" i="11"/>
  <c r="D24" i="11"/>
  <c r="D20" i="11"/>
  <c r="D15" i="11"/>
  <c r="D55" i="11" l="1"/>
  <c r="D62" i="11" s="1"/>
  <c r="D26" i="11"/>
  <c r="D10" i="12"/>
  <c r="D15" i="12" s="1"/>
  <c r="D17" i="12" s="1"/>
  <c r="D37" i="12"/>
  <c r="D25" i="12"/>
  <c r="D33" i="12" s="1"/>
  <c r="D39" i="7"/>
  <c r="D35" i="7"/>
  <c r="D34" i="7"/>
  <c r="D22" i="7"/>
  <c r="D23" i="7"/>
  <c r="D24" i="7"/>
  <c r="D25" i="7"/>
  <c r="D26" i="7"/>
  <c r="D21" i="7"/>
  <c r="D19" i="7"/>
  <c r="C58" i="8"/>
  <c r="C41" i="8"/>
  <c r="C40" i="8"/>
  <c r="C23" i="8"/>
  <c r="C19" i="8"/>
  <c r="C11" i="8"/>
  <c r="C10" i="8"/>
  <c r="C59" i="8"/>
  <c r="G62" i="11" l="1"/>
  <c r="D35" i="12"/>
  <c r="D45" i="12" s="1"/>
  <c r="D9" i="7"/>
  <c r="D10" i="7"/>
  <c r="D11" i="7"/>
  <c r="D8" i="7" l="1"/>
  <c r="D20" i="7" l="1"/>
  <c r="D38" i="7" l="1"/>
  <c r="D37" i="7" s="1"/>
  <c r="C42" i="8"/>
  <c r="D33" i="7" l="1"/>
  <c r="G28" i="6"/>
  <c r="G33" i="5" s="1"/>
  <c r="G32" i="5" l="1"/>
  <c r="G26" i="5" s="1"/>
  <c r="C36" i="5" l="1"/>
  <c r="C24" i="8" l="1"/>
  <c r="C20" i="8"/>
  <c r="C53" i="8"/>
  <c r="C48" i="8"/>
  <c r="C37" i="8"/>
  <c r="C60" i="8" l="1"/>
  <c r="C43" i="8"/>
  <c r="C55" i="8" s="1"/>
  <c r="C15" i="8"/>
  <c r="C26" i="8" s="1"/>
  <c r="C62" i="8" l="1"/>
  <c r="F62" i="8" s="1"/>
  <c r="D32" i="7" l="1"/>
  <c r="D18" i="7" l="1"/>
  <c r="D28" i="7" l="1"/>
  <c r="D13" i="7"/>
  <c r="D15" i="7" s="1"/>
  <c r="D30" i="7" l="1"/>
  <c r="D41" i="7" s="1"/>
  <c r="G36" i="5" l="1"/>
</calcChain>
</file>

<file path=xl/sharedStrings.xml><?xml version="1.0" encoding="utf-8"?>
<sst xmlns="http://schemas.openxmlformats.org/spreadsheetml/2006/main" count="1991" uniqueCount="777">
  <si>
    <t>ACTIVO</t>
  </si>
  <si>
    <t>DISPONIBLE</t>
  </si>
  <si>
    <t>BANCOS LOCALES</t>
  </si>
  <si>
    <t>INVERSIONES FINANCIERAS</t>
  </si>
  <si>
    <t>VALORES</t>
  </si>
  <si>
    <t>DIVERSOS INSTRUMENTOS  FINANCIEROS</t>
  </si>
  <si>
    <t>RENDIMIENTOS POR INVERSIONES</t>
  </si>
  <si>
    <t>OTROS ACTIVOS</t>
  </si>
  <si>
    <t>IMPUESTO SOBRE LA RENTA POR LIQUIDAR</t>
  </si>
  <si>
    <t>GASTOS</t>
  </si>
  <si>
    <t>GASTOS FINANCIEROS Y DE INVERSION</t>
  </si>
  <si>
    <t>POR OBLIGACIONES FINANCIERAS Y OTROS PASIVOS</t>
  </si>
  <si>
    <t>GASTOS DE ADMINISTRACION</t>
  </si>
  <si>
    <t>POR SERVICIOS RECIBIDOS DE TERCEROS</t>
  </si>
  <si>
    <t>IMPUESTOS Y CONTRIBUCIONES</t>
  </si>
  <si>
    <t>GASTOS DIVERSOS</t>
  </si>
  <si>
    <t>GASTOS EXTRAORDINARIOS Y DE EJERCICIOS ANTERIORES</t>
  </si>
  <si>
    <t>GASTOS DE EJERCICIOS ANTERIORES</t>
  </si>
  <si>
    <t>PASIVO</t>
  </si>
  <si>
    <t>CUENTAS POR PAGAR</t>
  </si>
  <si>
    <t>IMPUESTOS, CONTRIBUCIONES Y RETENCIONES</t>
  </si>
  <si>
    <t>OTRAS CUENTAS POR PAGAR</t>
  </si>
  <si>
    <t>OTROS PASIVOS</t>
  </si>
  <si>
    <t>PATRIMONIO</t>
  </si>
  <si>
    <t>CAPITAL SOCIAL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</si>
  <si>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</si>
  <si>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</si>
  <si>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</si>
  <si>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</si>
  <si>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</si>
  <si>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</si>
  <si>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INGRESOS</t>
  </si>
  <si>
    <t>INGRESOS FINANCIEROS Y DE INVERSION</t>
  </si>
  <si>
    <t>DEPOSITOS</t>
  </si>
  <si>
    <t>POR INVERSIONES EN VALORES</t>
  </si>
  <si>
    <t>INGRESOS EXTRAORDINARIOS Y DE EJERCICIOS ANTERIORES</t>
  </si>
  <si>
    <t>EXTRAORDINARIOS</t>
  </si>
  <si>
    <t>DE EJERCICIOS ANTERIORES</t>
  </si>
  <si>
    <t>CUENTAS DE CONTROL</t>
  </si>
  <si>
    <t>CUENTAS DE CONTROL DEUDORAS</t>
  </si>
  <si>
    <t>VALORES Y BIENES DADOS EN CUSTODIA</t>
  </si>
  <si>
    <t>CUENTAS DE CONTROL POR CONTRA</t>
  </si>
  <si>
    <t>PAGOS ANTICIPADOS Y CARGOS DIFERIDOS</t>
  </si>
  <si>
    <t>PRIMAS POR COBRAR</t>
  </si>
  <si>
    <t>PRIMAS DE SEGUROS DE VIDA</t>
  </si>
  <si>
    <t>INMUEBLES, MOBILIARIO Y EQUIPO</t>
  </si>
  <si>
    <t>MOBILIARIO Y EQUIPO</t>
  </si>
  <si>
    <t>CUENTAS POR COBRAR DIVERSAS</t>
  </si>
  <si>
    <t>RESERVAS TECNICAS DE SEGUROS DE VIDA</t>
  </si>
  <si>
    <t>RESERVAS POR RIESGOS EN CURSO DE ACCIDENTES Y ENFERMEDADES</t>
  </si>
  <si>
    <t>RESERVAS POR SINIESTROS</t>
  </si>
  <si>
    <t>SOCIEDADES ACREEDORAS DE SEGUROS Y FIANZAS</t>
  </si>
  <si>
    <t>OBLIGACIONES FINANCIERAS</t>
  </si>
  <si>
    <t>OBLIGACIONES CON INSTITUCIONES FINANCIERAS</t>
  </si>
  <si>
    <t>INTERESES POR PAGAR</t>
  </si>
  <si>
    <t>OBLIGACIONES CON INTERMEDIARIOS Y AGENTES</t>
  </si>
  <si>
    <t>OBLIGACIONES CON INTERMEDIARIOS DE SEGUROS</t>
  </si>
  <si>
    <t>OBLIGACIONES CON AGENTES</t>
  </si>
  <si>
    <t>REMUNERACIONES POR PAGAR</t>
  </si>
  <si>
    <t>PROVISIONES</t>
  </si>
  <si>
    <t>PROVISION POR OBLIGACIONES LABORALES</t>
  </si>
  <si>
    <t>OTROS PASIVOS CON FILIALES</t>
  </si>
  <si>
    <t>DIVERSOS</t>
  </si>
  <si>
    <t>RESULTADOS DEL EJERCICIO</t>
  </si>
  <si>
    <t>SINIESTROS</t>
  </si>
  <si>
    <t>PRIMAS CEDIDAS POR REASEGUROS Y REAFIANZAMIENTOS</t>
  </si>
  <si>
    <t>DE PERSONAL</t>
  </si>
  <si>
    <t>POR SEGUROS</t>
  </si>
  <si>
    <t>DEPRECIACION</t>
  </si>
  <si>
    <t>AMORTIZACION DE GASTOS</t>
  </si>
  <si>
    <t>PRIMAS DE SEGUROS DE ACCIDENTES Y ENFERMEDADES</t>
  </si>
  <si>
    <t>RESERVAS TECNICAS Y CONTINGENCIAL DE FIANZAS</t>
  </si>
  <si>
    <t>OBLIGACIONES EN CUENTA CORRIENTE CON SOCIEDADES DE REASEGURO Y REAFIANZAMIENTO</t>
  </si>
  <si>
    <t>IMPUESTO SOBRE LA RENTA</t>
  </si>
  <si>
    <t>CAPACITACION</t>
  </si>
  <si>
    <t>OTRAS PRESTACIONES AL PERSONAL</t>
  </si>
  <si>
    <t>SINIESTROS Y GASTOS RECUPERADOS POR REASEGUROS Y REAFIANZAMIENTOS CEDIDOS</t>
  </si>
  <si>
    <t>OTROS INGRESOS</t>
  </si>
  <si>
    <t>Atlántida Vida, S.A., Seguros de Personas</t>
  </si>
  <si>
    <t>Valores expresados en dólares de los Estados Unidos de América</t>
  </si>
  <si>
    <t>TOTAL ACTIVOS</t>
  </si>
  <si>
    <t>TOTAL PASIVO Y PATRIMONIO</t>
  </si>
  <si>
    <t>Carlos Marcelo Olano</t>
  </si>
  <si>
    <t>Carlos Armando Hernández</t>
  </si>
  <si>
    <t>Gerente General</t>
  </si>
  <si>
    <t xml:space="preserve">Contador </t>
  </si>
  <si>
    <t>DEPRECIACION ACUMULADA DE INMUEBLES MOBILIARIO</t>
  </si>
  <si>
    <t>SUPERAVIT (PÉRDIDA) DEL EJERCICIO</t>
  </si>
  <si>
    <t>INGRESOS DE OPERACIÓN</t>
  </si>
  <si>
    <t>GASTOS DE OPERACIÓN</t>
  </si>
  <si>
    <t>TOTAL INGRESOS DE OPERACIÓN</t>
  </si>
  <si>
    <t>TOTAL GASTOS DE OPERACIÓN</t>
  </si>
  <si>
    <t>UTILIDAD DE OPERACIÓN</t>
  </si>
  <si>
    <t>PÉRDIDA DEL EJERCICIO</t>
  </si>
  <si>
    <t>UTILIDAD BRUTA</t>
  </si>
  <si>
    <t>OTROS GASTOS</t>
  </si>
  <si>
    <t xml:space="preserve">ACTIVOS </t>
  </si>
  <si>
    <t xml:space="preserve">ACTIVOS DEL GIRO </t>
  </si>
  <si>
    <t>Caja y Bancos</t>
  </si>
  <si>
    <t>Deudores por Seguros y Fianzas</t>
  </si>
  <si>
    <t xml:space="preserve">Total Activos del Giro </t>
  </si>
  <si>
    <t>Inversiones Permanentes</t>
  </si>
  <si>
    <t xml:space="preserve">Total Otros Activos </t>
  </si>
  <si>
    <t>ACTIVO FIJO</t>
  </si>
  <si>
    <t xml:space="preserve">Total Activos Fijos </t>
  </si>
  <si>
    <t xml:space="preserve"> </t>
  </si>
  <si>
    <t>TOTAL DE ACTIVOS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</si>
  <si>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</si>
  <si>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</si>
  <si>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</si>
  <si>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</si>
  <si>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</si>
  <si>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</si>
  <si>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</si>
  <si>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</si>
  <si>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</si>
  <si>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</si>
  <si>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</si>
  <si>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</si>
  <si>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</si>
  <si>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</si>
  <si>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</si>
  <si>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</si>
  <si>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</si>
  <si>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</si>
  <si>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</si>
  <si>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</si>
  <si>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</si>
  <si>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</si>
  <si>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TOTAL DEL PATRIMONIO</t>
  </si>
  <si>
    <t>TOTAL DE PASIVOS Y PATRIMONIO</t>
  </si>
  <si>
    <t>Reservas de Capital, Patrimonio Restringido y Resultados Acumulados</t>
  </si>
  <si>
    <t>PASIVOS</t>
  </si>
  <si>
    <t>Inversiones Financieras</t>
  </si>
  <si>
    <t>Cartera de Préstamos</t>
  </si>
  <si>
    <t>Primas por Cobrar</t>
  </si>
  <si>
    <t xml:space="preserve">Bienes Inmuebles, Muebles y Otros </t>
  </si>
  <si>
    <t>INGRESOS DE EJERCICIOS ANTERIORES</t>
  </si>
  <si>
    <t>INGRESOS EJERCICIOS ANTERIORES</t>
  </si>
  <si>
    <t>PERDIDA DE OPERACIÓN</t>
  </si>
  <si>
    <t xml:space="preserve">  Carlos Marcelo Olano</t>
  </si>
  <si>
    <t xml:space="preserve">   Gerente General</t>
  </si>
  <si>
    <t>Contador Corporativo</t>
  </si>
  <si>
    <t>Balance General al 30 de Septiembre de 2019</t>
  </si>
  <si>
    <t>Estado de Resultados del 1 de Enero al 30 de Septiembre de 2019</t>
  </si>
  <si>
    <t>Julio Cesar Alvarenga</t>
  </si>
  <si>
    <t>Contador General</t>
  </si>
  <si>
    <t>Estado de Resultados del 1 al 31 de Enero de 2020</t>
  </si>
  <si>
    <t>Balance General del 1 al 31 de Enero de 2020</t>
  </si>
  <si>
    <t>Estado de Resultados del 1 de Enero al 31 de Marzo de 2020</t>
  </si>
  <si>
    <t>PRIMAS NETAS DE DEVOLUCIONES Y CANCELACIONES</t>
  </si>
  <si>
    <t>INGRESO POR DECREMENTO DE RESERVAS TÉCNICAS</t>
  </si>
  <si>
    <t xml:space="preserve">REEMBOLSOS DE GASTOS POR CESIONES </t>
  </si>
  <si>
    <t>INGRESOS FINANCIEROS Y DE INVERSIONES</t>
  </si>
  <si>
    <t>COSTOS DE OPERACIONES</t>
  </si>
  <si>
    <t>GASTO POR INCREMENTO DE RESERVAS TÉCNICAS</t>
  </si>
  <si>
    <t>GASTOS DE ADQUISICIÓN Y CONSERVACIÓN</t>
  </si>
  <si>
    <t>TOTAL COSTOS DE OPERACIONES</t>
  </si>
  <si>
    <t>TOTAL INGRESOS POR OPERACIONES DE SEGUROS</t>
  </si>
  <si>
    <t>INGRESOS POR OPERACIONES DE SEGUROS</t>
  </si>
  <si>
    <t>RESERVAS DE SANEAMIENTO</t>
  </si>
  <si>
    <t>UTILIDAD (PÉRDIDA) ANTES DE GASTOS</t>
  </si>
  <si>
    <t>GASTOS FINANCIEROS Y DE INVERSIÓN</t>
  </si>
  <si>
    <t>GASTOS DE ADMINISTRACIÓN</t>
  </si>
  <si>
    <t>UTILIDAD (PERDIDA) DE OPERACIÓN</t>
  </si>
  <si>
    <t>OTROS INGRESOS Y GASTOS -NETO</t>
  </si>
  <si>
    <t>Balance General al 30 de Abril de 2020</t>
  </si>
  <si>
    <t>Efectos de cobro inmediato</t>
  </si>
  <si>
    <t>Bienes recibidos en pago</t>
  </si>
  <si>
    <t>UTILIDAD ANTES DE IMPUESTOS</t>
  </si>
  <si>
    <t>UTILIDAD DEL EJERCICIO</t>
  </si>
  <si>
    <t>Balance General Del 1 al 31 de Mayo de 2021</t>
  </si>
  <si>
    <t>Patrimonio Restringido</t>
  </si>
  <si>
    <t>Reserva Legal</t>
  </si>
  <si>
    <t>Resultado del Ejercicio Actual</t>
  </si>
  <si>
    <t>Resultado de Ejercicios Anteriores</t>
  </si>
  <si>
    <t>Estado de Resultados del 1 de Junio al 30 de Junio de 2022</t>
  </si>
  <si>
    <t>PRESTAMOS</t>
  </si>
  <si>
    <t>SOCIEDADES DEUDORAS DE SEGUROS Y FIANZAS</t>
  </si>
  <si>
    <t>GASTOS DE ADQUISICION Y CONSERVACION</t>
  </si>
  <si>
    <t>DEVOLUCIONES Y CANCELACIONES DE PRIMAS</t>
  </si>
  <si>
    <t>CONTINGENTES Y COMPROMISOS DEUDORAS</t>
  </si>
  <si>
    <t>OBLIGACIONES CON ASEGURADOS</t>
  </si>
  <si>
    <t>PRIMAS PRODUCTOS</t>
  </si>
  <si>
    <t>INGRESOS POR RECUPERACION DE ACTIVOS Y PROVISIONES</t>
  </si>
  <si>
    <t>CAJA</t>
  </si>
  <si>
    <t>EFECTOS DE COBRO INMEDIATO</t>
  </si>
  <si>
    <t>INVERSIONES TRANSFERIDAS</t>
  </si>
  <si>
    <t>HASTA UN AÑO PLAZO</t>
  </si>
  <si>
    <t>RENDIMIENTOS POR PRESTAMOS</t>
  </si>
  <si>
    <t>PRIMAS VENCIDAS</t>
  </si>
  <si>
    <t>DE SEGUROS DE VIDA</t>
  </si>
  <si>
    <t>ACCIDENTES Y ENFERMEDAD</t>
  </si>
  <si>
    <t>PROVISION POR PRIMAS POR COBRAR (CR)</t>
  </si>
  <si>
    <t>CUENTA CORRIENTE POR REASEGUROS Y REAFIANZAMIENTOS</t>
  </si>
  <si>
    <t>EQUIPOS DE TRANSPORTE</t>
  </si>
  <si>
    <t>OBLIGACIONES POR SINIESTROS</t>
  </si>
  <si>
    <t>MONEDA NACIONAL</t>
  </si>
  <si>
    <t>DE SEGUROS DE INCENDIOS Y LINEAS ALIADAS</t>
  </si>
  <si>
    <t>DEPOSITOS POR OPERACIONES DE SEGURO</t>
  </si>
  <si>
    <t>RESERVAS POR SINIESTROS REPORTADOS</t>
  </si>
  <si>
    <t>RESERVA POR SINIESTROS NO REPORTADOS</t>
  </si>
  <si>
    <t>CAPITAL PAGADO</t>
  </si>
  <si>
    <t>DE RIESGOS EN CURSO DE ACCIDENTES Y ENFERMEDADES</t>
  </si>
  <si>
    <t>RECLAMOS EN TRAMITE</t>
  </si>
  <si>
    <t>COMISIONES Y PARTICIPACIONES DE SEGUROS DE VIDA</t>
  </si>
  <si>
    <t>OTROS</t>
  </si>
  <si>
    <t>OTROS GASTOS DE ADQUISICION Y CONSERVACION</t>
  </si>
  <si>
    <t>POR COBRAR DIVERSAS</t>
  </si>
  <si>
    <t>DE DIRECTORES</t>
  </si>
  <si>
    <t>GASTOS EXTRAORDINARIOS</t>
  </si>
  <si>
    <t>PARA RIESGOS EN CURSO DE ACCIDENTES Y ENFERMEDADES</t>
  </si>
  <si>
    <t>POR PRESTAMOS</t>
  </si>
  <si>
    <t>DISMINUCION DE PROVISIONES</t>
  </si>
  <si>
    <t>PROVISIONES VARIAS</t>
  </si>
  <si>
    <t>OTROS INGRESOS EXTRAORDINARIOS</t>
  </si>
  <si>
    <t>CONTINGENTES Y COMPROMISOS</t>
  </si>
  <si>
    <t>CONTINGENTES Y COMPROMISOS POR CONTRA</t>
  </si>
  <si>
    <t>A MAS DE UN AÑO PLAZO</t>
  </si>
  <si>
    <t>CUENTA CORRIENTE POR SEGUROS Y FIANZAS</t>
  </si>
  <si>
    <t>TITULOS VALORES DADOS EN CUSTODIA</t>
  </si>
  <si>
    <t>Irvin Esau Calderon</t>
  </si>
  <si>
    <t xml:space="preserve">   Gerente Financiero</t>
  </si>
  <si>
    <t>Carlos Fidel Torres</t>
  </si>
  <si>
    <t>Gerente Financiero</t>
  </si>
  <si>
    <t xml:space="preserve">     Carlos Fidel Torres</t>
  </si>
  <si>
    <t>BANCO CUSCATLAN</t>
  </si>
  <si>
    <t>BANCO DE AMERICA CENTRAL</t>
  </si>
  <si>
    <t>BANCO PROMERICA</t>
  </si>
  <si>
    <t>Saneamiento de Primas por Cobrar</t>
  </si>
  <si>
    <t>VALORES EXPRESADOS EN DÓLARES DE LOS ESTADOS UNIDOS DE AMÉRICA</t>
  </si>
  <si>
    <t>CUENTA</t>
  </si>
  <si>
    <t>NOMBRE CUENTA</t>
  </si>
  <si>
    <t>SALDO ANTERIOR</t>
  </si>
  <si>
    <t>DEBE</t>
  </si>
  <si>
    <t>HABER</t>
  </si>
  <si>
    <t>SALDO</t>
  </si>
  <si>
    <t xml:space="preserve"> ATLÁNTIDA VIDA, S.A., SEGUROS DE PERSONAS</t>
  </si>
  <si>
    <t>OFICINA PRINCIPAL</t>
  </si>
  <si>
    <t>OFICINA PRINCIPAL-MN</t>
  </si>
  <si>
    <t>FONDOS FIJOS</t>
  </si>
  <si>
    <t>FONDOS FIJOS-MN</t>
  </si>
  <si>
    <t>CHEQUES LOCALES</t>
  </si>
  <si>
    <t>CHEQUES LOCALES-MN</t>
  </si>
  <si>
    <t>CUENTA CORRIENTE</t>
  </si>
  <si>
    <t>CUENTA CORRIENTE-MN</t>
  </si>
  <si>
    <t>BANCO DAVIVIENDA SALVADOREÑO 002-51-00374-80</t>
  </si>
  <si>
    <t>BANCO ATLANTIDA EL SALVADOR 3103013123390</t>
  </si>
  <si>
    <t>BANCO AGRICOLA 005110008481</t>
  </si>
  <si>
    <t>BANCO DE AMERICA CENTRAL 201269537</t>
  </si>
  <si>
    <t>BANCO CUSCATLAN 008301000012201</t>
  </si>
  <si>
    <t>BANCO AZUL 100-0000-1104-002</t>
  </si>
  <si>
    <t>BANCO ATLANTIDA CTA PLANILLERA</t>
  </si>
  <si>
    <t>CUENTA DE AHORRO</t>
  </si>
  <si>
    <t>CUENTA DE AHORRO-MN</t>
  </si>
  <si>
    <t>BANCO DAVIVIENDA SALVADOREÑO 002-54-00754-36</t>
  </si>
  <si>
    <t>BANCO AGRICOLA S.A.</t>
  </si>
  <si>
    <t>EMITIDOS POR EL ESTADO A TRAVES DE LA DIRECCION GENERAL DE TESORERIA</t>
  </si>
  <si>
    <t>EMITIDOS POR EL ESTADO A TRAVES DE LA DIRECCION GENERAL DE TESORERIA-MN</t>
  </si>
  <si>
    <t>LETES</t>
  </si>
  <si>
    <t>BONOS DEL TESORO</t>
  </si>
  <si>
    <t>CETES</t>
  </si>
  <si>
    <t>EMITIDOS CON GARANTIA REAL PARA FINANCIAR LA ADQUISICION DE VIVIENDA</t>
  </si>
  <si>
    <t>EMITIDOS CON GARANTIA REAL PARA FINANCIAR LA ADQUISICION DE VIVIENDA-MN</t>
  </si>
  <si>
    <t>OTRAS INSTITUCIONES</t>
  </si>
  <si>
    <t>LA HIPOTECARIA</t>
  </si>
  <si>
    <t>INSTRUMENTOS EMITIDOS O GARANTIZADOS POR ENTIDADES EXTRANJERAS</t>
  </si>
  <si>
    <t>DEPOSITOS Y VALORES DE BANCOS DE PRIMER ORDEN</t>
  </si>
  <si>
    <t>DEPOSITOS Y VALORES DE BANCOS DE PRIMER ORDEN-MN</t>
  </si>
  <si>
    <t xml:space="preserve">PACIFIC BANK, S.A. </t>
  </si>
  <si>
    <t>DIVERSOS INSTRUMENTOS FINANCIEROS</t>
  </si>
  <si>
    <t>OBLIGACIONES NEGOCIABLES EMITIDAS POR SOCIEDADES SALVADOREÑAS A MAS DE UN AÑO</t>
  </si>
  <si>
    <t>OBLIGACIONES NEGOCIABLES EMITIDAS POR SOC. SALVADOREÑAS A MAS DE UN AÑO-MN</t>
  </si>
  <si>
    <t>CREDICOMER</t>
  </si>
  <si>
    <t>PAPEL BURSATIL</t>
  </si>
  <si>
    <t>INMOB.MESOAMERICANA</t>
  </si>
  <si>
    <t>OPTIMA SERVICIOS FINANCIEROS</t>
  </si>
  <si>
    <t>CREDI-Q</t>
  </si>
  <si>
    <t>CERTIFICADOS DE PARTICIPACION EN FONDOS DE INVERSION SALVADOREÑOS</t>
  </si>
  <si>
    <t>CERTIFICADOS DE PARTICIPACION EN FONDOS DE INVERSION SALVADOREÑOS-MN</t>
  </si>
  <si>
    <t>FONDOS DE INVERSION ATLANTIDA</t>
  </si>
  <si>
    <t>FONDO DE INVERSION ABIERTO DE LIQUIDEZ</t>
  </si>
  <si>
    <t>FONDO DE INVERSION ABIERTO DE CRECIMIENTO</t>
  </si>
  <si>
    <t>FONDO DE INVERSION CERRADO INMOBILIARIO</t>
  </si>
  <si>
    <t>FONDO DE INVERSION CERRADO DE CAPITAL DE RIESGO EMPRESARIAL</t>
  </si>
  <si>
    <t>FONDO DE INVERSION CERRADO DE CAPITAL DE RIESGO ATLANTIDA</t>
  </si>
  <si>
    <t>FONDOS DE INVERSION SGB</t>
  </si>
  <si>
    <t>FONDO DE INVERSION ABIERTO SGB CORTO PLAZO</t>
  </si>
  <si>
    <t>FONDO DE INVERSION ABIERTO SGB PLAZO 180</t>
  </si>
  <si>
    <t>FONDO DE INVERSION BANAGRICOLA</t>
  </si>
  <si>
    <t>FONDO DE INVERSION ABIERTO RENTA LIQUIDEZ</t>
  </si>
  <si>
    <t>FONDOS DE TITULARIZACION</t>
  </si>
  <si>
    <t>ATLANTIDA TITULARIZADORA, S.A.</t>
  </si>
  <si>
    <t>DEPOSITOS Y VALORES EMITIDOS O GARANTIZADOS POR BANCOS SALVADOREÑOS</t>
  </si>
  <si>
    <t>DEPOSITOS Y VALORES EMITIDOS O GARANTIZADOS POR BANCOS SALVADOREÑOS-MN</t>
  </si>
  <si>
    <t>SAC INTEGRAL</t>
  </si>
  <si>
    <t>DEPOSITOS PLAZO FIJO</t>
  </si>
  <si>
    <t>DEPOSITO PLAZO FIJO</t>
  </si>
  <si>
    <t>CERTIFICADOS DE INVERSION</t>
  </si>
  <si>
    <t>SAC CREDICOMER</t>
  </si>
  <si>
    <t>ABANK</t>
  </si>
  <si>
    <t>BANCO ATLANTIDA EL SALVADOR</t>
  </si>
  <si>
    <t>BANCO AZUL</t>
  </si>
  <si>
    <t>SAC MULTIMONEY</t>
  </si>
  <si>
    <t>VALORES-MN</t>
  </si>
  <si>
    <t>REPORTOS</t>
  </si>
  <si>
    <t>INSTRUMENTOS EMITIDOS O GARANTIZADOS POR ENTIDADES EXTRANJERAS-MN</t>
  </si>
  <si>
    <t>DIVERSOS INSTRUMENTOS FINANCIEROS-MN</t>
  </si>
  <si>
    <t>DEPOSITOS A PLAZO</t>
  </si>
  <si>
    <t>FONDOS DE INVERSION ATLÁNTIDA</t>
  </si>
  <si>
    <t>A EMPRESAS PRIVADAS</t>
  </si>
  <si>
    <t>A EMPRESAS PRIVADAS-MN</t>
  </si>
  <si>
    <t>OTORGAMIENTOS ORIGINALES</t>
  </si>
  <si>
    <t>TELEFONICA MOVILES EL SALVADOR, S.A. DE C.V.</t>
  </si>
  <si>
    <t>TELEFONICA MULTISERVICIOS, S.A. DE C.V.</t>
  </si>
  <si>
    <t>LEGACY INVESTMENTS CAPITAL, S.A. DE C.V.</t>
  </si>
  <si>
    <t>CORTEN, S.A. DE C.V.</t>
  </si>
  <si>
    <t>CONAMESV, S.A. DE C.V.</t>
  </si>
  <si>
    <t>RENDIMIENTOS POR OTORG.ORIGINALES</t>
  </si>
  <si>
    <t>DE VIDA INDIVIDUAL DE LARGO PLAZO</t>
  </si>
  <si>
    <t>DE VIDA INDIVIDUAL DE LARGO PLAZO-MN</t>
  </si>
  <si>
    <t>SEGUROS DIRECTOS</t>
  </si>
  <si>
    <t>VIDA INDIV.TEMPORAL LP</t>
  </si>
  <si>
    <t>DE VIDA INDIVIDUAL DE CORTO PLAZO-MN</t>
  </si>
  <si>
    <t>VIDA INDIVIDUAL CORTO PLAZO</t>
  </si>
  <si>
    <t>COLECTIVO</t>
  </si>
  <si>
    <t>COLECTIVO-MN</t>
  </si>
  <si>
    <t>COLECTIVO VIDA</t>
  </si>
  <si>
    <t>COLECTIVO DEUDA</t>
  </si>
  <si>
    <t>PRIMAS DE SEGUROS PREVISIONALES RENTAS Y PENSIONES</t>
  </si>
  <si>
    <t>RENTAS DE INVALIDEZ Y SOBREVIVENCIA</t>
  </si>
  <si>
    <t>RENTAS DE INVALIDEZ Y SOBREVIVENCIA-MN</t>
  </si>
  <si>
    <t>SALUD Y HOSPITALIZACION</t>
  </si>
  <si>
    <t>SALUD Y HOSPITALIZACION-MN</t>
  </si>
  <si>
    <t>INDIVIDUAL SALUD Y HOSPIT.</t>
  </si>
  <si>
    <t>COLECTIVO SALUD Y HOSPIT.</t>
  </si>
  <si>
    <t>ACCIDENTES PERSONALES</t>
  </si>
  <si>
    <t>ACCIDENTES PERSONALES-MN</t>
  </si>
  <si>
    <t>AP INDIVIDUAL</t>
  </si>
  <si>
    <t>AP COLECTIVO</t>
  </si>
  <si>
    <t>DE SEGUROS DE VIDA-MN</t>
  </si>
  <si>
    <t>VIDA INDIVIDUAL</t>
  </si>
  <si>
    <t>VIDA INDIVIDUAL LARGO PLAZO</t>
  </si>
  <si>
    <t>INDIVIDUAL-CORTO PLAZO</t>
  </si>
  <si>
    <t>VIDA DEUDA</t>
  </si>
  <si>
    <t>PREVISIONALES RENTAS Y PENSIONES</t>
  </si>
  <si>
    <t>PREVISIONALES RENTAS Y PENSIONES-MN</t>
  </si>
  <si>
    <t>ACCIDENTES Y ENFERMEDAD -MN</t>
  </si>
  <si>
    <t>ACCIDENTES PERSONALES INDIVIDUAL</t>
  </si>
  <si>
    <t>ACCIDENTES PERSONALES COLECTIVO</t>
  </si>
  <si>
    <t>VIDA COLECTIVO</t>
  </si>
  <si>
    <t>CON REASEGURADAS</t>
  </si>
  <si>
    <t>CON REASEGURADAS-MN</t>
  </si>
  <si>
    <t>SISA VIDA, S.A.,SEGUROS DE PERSONAS</t>
  </si>
  <si>
    <t>SEGUROS AZUL VIDA, S.A., SEGUROS DE PERSONAS</t>
  </si>
  <si>
    <t>FEDECREDITO VIDA, S.A., SEGUROS DE PERSONAS</t>
  </si>
  <si>
    <t>CON REASEGURADORAS</t>
  </si>
  <si>
    <t>CON REASEGURADORAS-MN</t>
  </si>
  <si>
    <t>HANNOVER RÜCK SE</t>
  </si>
  <si>
    <t>REASEGURADORA PATRIA, S.A.</t>
  </si>
  <si>
    <t>SISA VIDA, S.A., SEGUROS DE PERSONAS</t>
  </si>
  <si>
    <t>MOBILIARIO DE OFICINA</t>
  </si>
  <si>
    <t>EQUIPOS DE OFICINA</t>
  </si>
  <si>
    <t>EQUIPOS DE COMPUTACION</t>
  </si>
  <si>
    <t>OTROS MOBILIARIOS Y EQUIPOS</t>
  </si>
  <si>
    <t>VEHICULOS</t>
  </si>
  <si>
    <t>DEPRECIACION ACUMULADA DE INMUEBLES MOBILIARIO Y EQUIPO (CR)</t>
  </si>
  <si>
    <t>DE MOBILIARIO Y EQUIPO</t>
  </si>
  <si>
    <t>EQUIPO DE OFICINA</t>
  </si>
  <si>
    <t>EQUIPO DE COMPUTACION</t>
  </si>
  <si>
    <t>DE EQUIPOS DE TRANSPORTE</t>
  </si>
  <si>
    <t>PRIMAS DE SEGUROS PAGADAS POR ANTICIPADO</t>
  </si>
  <si>
    <t>SEGUROS AL PERSONAL</t>
  </si>
  <si>
    <t>SEGUROS DE EQUIPOS</t>
  </si>
  <si>
    <t>PRIMAS DE REASEGUROS CEDIDOS PAGADAS POR ANTICIPADO</t>
  </si>
  <si>
    <t>GASTOS DE ORGANIZACION E INSTALACION</t>
  </si>
  <si>
    <t>CUSCA COMISIONES BANCARIAS (PAGO CON TARJETA)</t>
  </si>
  <si>
    <t>ISR DIFERIDO</t>
  </si>
  <si>
    <t>ANTICIPO A PROVEEDORES DIVERSOS</t>
  </si>
  <si>
    <t>DEPOSITOS EN GARANTIA</t>
  </si>
  <si>
    <t>ADELANTOS POR CUENTA DE ASEGURADOS</t>
  </si>
  <si>
    <t>SALDOS A CARGO DE ASEGURADOS - POR COBRAR</t>
  </si>
  <si>
    <t>OTRAS</t>
  </si>
  <si>
    <t>OTRAS CXC DIVERSAS</t>
  </si>
  <si>
    <t>PAGO A CUENTA</t>
  </si>
  <si>
    <t>IMPUESTO RETENIDO</t>
  </si>
  <si>
    <t>OTRAS RETENCIONES DE BANCOS</t>
  </si>
  <si>
    <t>OTRAS ENTIDADES FINANCIERAS</t>
  </si>
  <si>
    <t>REMANENTE DE IMPUESTO</t>
  </si>
  <si>
    <t>REMANENTE DE IMPUESTO S/RENTA</t>
  </si>
  <si>
    <t>PROVISIONES DE OTROS ACTIVOS (CR)</t>
  </si>
  <si>
    <t>DE SEGUROS PREVISIONALES RENTAS Y PENSIONES</t>
  </si>
  <si>
    <t>RENTA INV. Y SOBREVIVENCIA</t>
  </si>
  <si>
    <t>INV. Y SOBREVIVENCIA</t>
  </si>
  <si>
    <t>DE SEGUROS DE ACCIDENTES Y ENFERMEDADES</t>
  </si>
  <si>
    <t>DEPOSITOS PARA PRIMAS DE SEGUROS</t>
  </si>
  <si>
    <t>OTROS DEPOSITOS</t>
  </si>
  <si>
    <t>CUENTA PUENTE DE CAJA INGRESOS</t>
  </si>
  <si>
    <t>CUENTA PUENTE IMPUTACION</t>
  </si>
  <si>
    <t>MATEMATICA DE VIDA INDIVIDUAL DE LARGO PLAZO</t>
  </si>
  <si>
    <t>VIDA IND.TEMPORAL LP</t>
  </si>
  <si>
    <t>DE RIESGO EN CURSO DE VIDA INDIVIDUAL DE CORTO PLAZO</t>
  </si>
  <si>
    <t>REASEGUROS TOMADOS</t>
  </si>
  <si>
    <t>VIDA INDIVIDUAL CORTO PLAZO RT</t>
  </si>
  <si>
    <t>DE RIESGO EN CURSO DE VIDA COLECTIVO</t>
  </si>
  <si>
    <t>RESERVAS MATEMATICAS DE SEGUROS PREVISIONALES RENTAS Y PENSIONES</t>
  </si>
  <si>
    <t>INVIDUAL SALUD Y HOSPIT.</t>
  </si>
  <si>
    <t>AP INDIVIDUAL - RT</t>
  </si>
  <si>
    <t>SEGURO DIRECTO</t>
  </si>
  <si>
    <t>VIDA INDIVIDUAL - SD</t>
  </si>
  <si>
    <t>VIDA INDIVIDUAL CORTO PLAZO - SD</t>
  </si>
  <si>
    <t>REASEGURO TOMADO</t>
  </si>
  <si>
    <t>VIDA INDIVIDUAL - RT</t>
  </si>
  <si>
    <t>RENTA E INV. Y SOBREVIVENCIA</t>
  </si>
  <si>
    <t>OBLIGACIONES EN CUENTA CORRIENTE CON SOCIEDADES POR SEGUROS Y FIANZAS</t>
  </si>
  <si>
    <t>SISA, VIDA, S.A., SEGUROS DE PERSONAS</t>
  </si>
  <si>
    <t>COMISIONES POR PAGAR A INTERMEDIARIOS</t>
  </si>
  <si>
    <t xml:space="preserve">INTERMEDIARIOS DE SEGUROS </t>
  </si>
  <si>
    <t>COMISIONES POR PAGAR A AGENTES INDEPENDIENTES</t>
  </si>
  <si>
    <t>AGENTES INDEPENDIENTES</t>
  </si>
  <si>
    <t>COMISIONES DEVENGADAS</t>
  </si>
  <si>
    <t>COMISIONES POR PAGAR A AGENTES DEPENDIENTES</t>
  </si>
  <si>
    <t>AGENTES CAUTIVOS</t>
  </si>
  <si>
    <t>RETENCIONES</t>
  </si>
  <si>
    <t>IMPUESTO SOBRE LA RENTA - CON DEPENDENCIA LABORAL</t>
  </si>
  <si>
    <t>IMPUESTO SOBRE LA RENTA - SIN DEPENDENCIA LABORAL</t>
  </si>
  <si>
    <t>IMPUESTO SOBRE LA RENTA - NO DOMICILIADOS</t>
  </si>
  <si>
    <t>SEGURO SOCIAL</t>
  </si>
  <si>
    <t>ADMINISTRADORAS DE FONDOS DE PENSION</t>
  </si>
  <si>
    <t>AFP CONFIA</t>
  </si>
  <si>
    <t>AFP CRECER</t>
  </si>
  <si>
    <t>IMPUESTO DE VIALIDAD</t>
  </si>
  <si>
    <t>CUOTAS DE PRESTAMOS</t>
  </si>
  <si>
    <t>OTRAS RETENCIONES</t>
  </si>
  <si>
    <t>IMPUESTOS MUNICIPALES</t>
  </si>
  <si>
    <t>FONDOS DE PENSIONES</t>
  </si>
  <si>
    <t>OTROS IMPUESTOS Y CONTRIBUCIONES</t>
  </si>
  <si>
    <t>IMPUESTO AD VALOREM LCBES</t>
  </si>
  <si>
    <t>RETENCION IVA NO DOMICILIADO</t>
  </si>
  <si>
    <t>VACACIONES POR PAGAR</t>
  </si>
  <si>
    <t>REMUNERACIONES POR PAGAR AL PERSONAL</t>
  </si>
  <si>
    <t>AGUINALDOS Y BONIFICACIONES</t>
  </si>
  <si>
    <t xml:space="preserve">AGUINALDOS </t>
  </si>
  <si>
    <t>BONIFICACIONES</t>
  </si>
  <si>
    <t>PROVEEDORES</t>
  </si>
  <si>
    <t>PROVEEDORES VARIOS</t>
  </si>
  <si>
    <t>GASTOS POR LIQUIDAR</t>
  </si>
  <si>
    <t>COMISIONES POR PAGAR</t>
  </si>
  <si>
    <t>DIVERSAS</t>
  </si>
  <si>
    <t>IMPUESTO IVA</t>
  </si>
  <si>
    <t>CUENTA POR PAGAR VARIOS</t>
  </si>
  <si>
    <t>INGRESOS POR LIQUIDAR</t>
  </si>
  <si>
    <t>CAPITAL SUSCRITO</t>
  </si>
  <si>
    <t>INVERSIONES FINANCIERAS ATLANTIDA</t>
  </si>
  <si>
    <t>GUILLERMO BUESO ANDURAY</t>
  </si>
  <si>
    <t>RESERVA LEGAL</t>
  </si>
  <si>
    <t>PRODUCTOS PERCIBIDOS NO DEVENGADOS</t>
  </si>
  <si>
    <t>PERDIDAS (CR.)</t>
  </si>
  <si>
    <t>UTILIDADES</t>
  </si>
  <si>
    <t>PERDIDAS (CR)</t>
  </si>
  <si>
    <t xml:space="preserve">COLECTIVO VIDA </t>
  </si>
  <si>
    <t>INDIVIDUAL DE LARGO PLAZO</t>
  </si>
  <si>
    <t>REASEGUROS CEDIDOS</t>
  </si>
  <si>
    <t>VIDA INDIVIDUAL DE CORTO PLAZO</t>
  </si>
  <si>
    <t>RENTAS DE INVALIDEZ Y SOBREVIVENCIA RT</t>
  </si>
  <si>
    <t>RETROCESION DE SEGUROS</t>
  </si>
  <si>
    <t>RENTA E INV.Y SOBREVIVENCIA - RT</t>
  </si>
  <si>
    <t>SALUD Y HOSPIT.INDIVIDUAL</t>
  </si>
  <si>
    <t>SALUD Y HOSPIT.COLECTIVO</t>
  </si>
  <si>
    <t>GASTO POR INCREMENTO DE RESERVAS TECNICAS Y CONTINGENCIAL DE FIANZAS</t>
  </si>
  <si>
    <t>MATEMATICAS DE VIDA INDIVIDUAL DE LARGO PLAZO</t>
  </si>
  <si>
    <t>RESERVA DE RIESGO EN CURSO DE VIDA INDIVIDUAL DE CORTO PLAZO</t>
  </si>
  <si>
    <t>RESERVA DE RIESGOS EN CURSO DE VIDA COLECTIVO</t>
  </si>
  <si>
    <t xml:space="preserve">COLECTIVO SALUD Y HOSPIT. </t>
  </si>
  <si>
    <t>COLECTIVO VIDA - SD</t>
  </si>
  <si>
    <t>COLECTIVO DEUDA - SD</t>
  </si>
  <si>
    <t>DE SEGUROS DE VIDA INDIVIDUAL DE LARGO PLAZO</t>
  </si>
  <si>
    <t>INICIALES</t>
  </si>
  <si>
    <t>DE VIDA INDIVIDUAL DE CORTO PLAZO</t>
  </si>
  <si>
    <t>DE VIDA COLECTIVO</t>
  </si>
  <si>
    <t>RENOVACIONES</t>
  </si>
  <si>
    <t>COMISIONES Y PARTICIPACIONES DE SEGUROS PREVISIONALES, RENTAS Y PENSIONES</t>
  </si>
  <si>
    <t>COMISIONES Y PARTICIPACIONES DE SEGUROS DE ACCIDENTES Y ENFERMEDADES</t>
  </si>
  <si>
    <t>CAPAC.INTERMEDIARIOS</t>
  </si>
  <si>
    <t>GASTOS DE REPRESENTACION</t>
  </si>
  <si>
    <t>EXAMENES-MEDICOS A LOS ASEGURADOS</t>
  </si>
  <si>
    <t>OTROS HONORARIOS</t>
  </si>
  <si>
    <t>HONORARIOS POR CONFERENCIAS</t>
  </si>
  <si>
    <t>MANTENIMIENTO DE MOBILIARIO Y EQUIPO</t>
  </si>
  <si>
    <t>CONVENCIONES DE AGENTES</t>
  </si>
  <si>
    <t>COMISION POR COBRO</t>
  </si>
  <si>
    <t>DEVOLUCIONES Y CANCELACIONES DE VIDA INDIVIDUAL DE LARGO PLAZO</t>
  </si>
  <si>
    <t>DE ACCIDENTES Y ENFERMEDADES</t>
  </si>
  <si>
    <t>COLECTIVO DE VIDA INICIALES</t>
  </si>
  <si>
    <t>COLECTIVO DE VIDA RENOVACION</t>
  </si>
  <si>
    <t>INDIV. MEDICO HOSPITALARIO INICIAL</t>
  </si>
  <si>
    <t>INDIVIDUAL MEDICO HOSPITALARIO RENOVACION</t>
  </si>
  <si>
    <t>COLECTIVO MEDICO HOSPITALARIO RENOVACIONES</t>
  </si>
  <si>
    <t>GASTOS POR OBLIGACIONES CON INSTITUCIONES FINANCIERAS</t>
  </si>
  <si>
    <t>COMISIONES</t>
  </si>
  <si>
    <t>PROVISIONES POR SALDOS A CARGO DE REASEGURADORES Y REAFIANZADORES Y OTRAS CXC</t>
  </si>
  <si>
    <t>RESERVA DE PRIMAS VENCIDAS</t>
  </si>
  <si>
    <t>SUELDOS</t>
  </si>
  <si>
    <t>AGUINALDOS</t>
  </si>
  <si>
    <t>VACACIONES</t>
  </si>
  <si>
    <t>INDEMNIZACIONES</t>
  </si>
  <si>
    <t>RECREACION DEL PERSONAL</t>
  </si>
  <si>
    <t>CUOTA PATRONALES DE PREVISION SOCIAL</t>
  </si>
  <si>
    <t>CUOTA PATRONAL - I.S.S.S</t>
  </si>
  <si>
    <t>ADMINISTRADORA DE FONDOS DE PENSIONES</t>
  </si>
  <si>
    <t>DIETAS</t>
  </si>
  <si>
    <t>OTROS GASTOS DEL DIRECTORIO</t>
  </si>
  <si>
    <t>COMUNICACION</t>
  </si>
  <si>
    <t>SERVICIO TELEFONICO</t>
  </si>
  <si>
    <t>SERVICIO DE INTERNET</t>
  </si>
  <si>
    <t>INFORMATICA</t>
  </si>
  <si>
    <t>SOFTWARE</t>
  </si>
  <si>
    <t>HONORARIOS PROFESIONALES</t>
  </si>
  <si>
    <t>SERVICIOS PROFESIONALES</t>
  </si>
  <si>
    <t>HONORARIOS P/SERVICIO DE RED MEDICA</t>
  </si>
  <si>
    <t>HONORARIOS P/SERVICIO DE RED MEDICA-TELEFONICA</t>
  </si>
  <si>
    <t>AUDITORIA EXTERNA</t>
  </si>
  <si>
    <t>AUDITORIA FINANCIERA</t>
  </si>
  <si>
    <t>AUDITORIA FISCAL</t>
  </si>
  <si>
    <t>PUBLICIDAD</t>
  </si>
  <si>
    <t>PUBLICIDAD PERIODICOS</t>
  </si>
  <si>
    <t>PUBLICIDAD VARIOS</t>
  </si>
  <si>
    <t>SUSCRIPCIONES</t>
  </si>
  <si>
    <t>SEGUROS PARA BIENES</t>
  </si>
  <si>
    <t>EQUIPO ELECTRONICO</t>
  </si>
  <si>
    <t>CUOTAS POR FISCALIZACION A LA SUPERINTENDENCIA</t>
  </si>
  <si>
    <t>IMPUESTOS AD-VALOREM - LEY DEL CUERPO DE BOMBEROS DE EL SALVADOR</t>
  </si>
  <si>
    <t>IVA CREDITO FISCAL</t>
  </si>
  <si>
    <t xml:space="preserve">OTRAS CONTRIBUCIONES </t>
  </si>
  <si>
    <t>DONACIONES</t>
  </si>
  <si>
    <t>DE GASTOS DE ORGANIZACION E INSTALACION</t>
  </si>
  <si>
    <t>AMORTIZACION DE LICENCIAS Y PROGRAMAS</t>
  </si>
  <si>
    <t>AMORTIZACION GASTOS DE ORGANIZACION E INSTALACION</t>
  </si>
  <si>
    <t>ALQUILER DE BIENES</t>
  </si>
  <si>
    <t>ALQUILER DE INMUEBLES</t>
  </si>
  <si>
    <t>PAPELERIA Y UTILES</t>
  </si>
  <si>
    <t>OTROS GASTOS DIVERSOS</t>
  </si>
  <si>
    <t>OTROS GASTOS EXTRAORDINARIOS</t>
  </si>
  <si>
    <t>FALTANTE DE CAJA Y VALORES</t>
  </si>
  <si>
    <t>SANEAMIENTO DE OTROS ACTIVOS</t>
  </si>
  <si>
    <t>GASTOS NO DEDUCIBLES</t>
  </si>
  <si>
    <t>OTROS GASTOS DE EJERCICIOS ANTERIORES</t>
  </si>
  <si>
    <t>RENTA E INV. Y SOBREVIVENCIA - RT</t>
  </si>
  <si>
    <t>SEGUROS DE ACCIDENTES Y ENFERMEDADES</t>
  </si>
  <si>
    <t>INCENDIOS</t>
  </si>
  <si>
    <t>SEGUROS DE VIDA</t>
  </si>
  <si>
    <t>INDIVIDUAL</t>
  </si>
  <si>
    <t>COLECTIVO AP INICIALES</t>
  </si>
  <si>
    <t>COLECTIVO AP RENOVACIONES</t>
  </si>
  <si>
    <t>INGRESO POR DECREMENTO DE RESERVAS TECNICAS Y CONTINGENCIAL DE FIANZAS</t>
  </si>
  <si>
    <t>DE RIESGOS EN CURSO DE VIDA INDIVIDUAL DE CORTO PLAZO</t>
  </si>
  <si>
    <t>DE RIESGOS EN CURSO DE VIDA COLECTIVO</t>
  </si>
  <si>
    <t xml:space="preserve">COLECTIVO DE VIDA </t>
  </si>
  <si>
    <t>INDIVIDUAL SALUD.Y HOSPIT.</t>
  </si>
  <si>
    <t>COLETIVO VIDA</t>
  </si>
  <si>
    <t>REASEGURO CEDIDO</t>
  </si>
  <si>
    <t>SINIESTROS RECUPERADOS</t>
  </si>
  <si>
    <t>RETROCESIONES DE SEGUROS</t>
  </si>
  <si>
    <t>RENTA E INV.Y SOBREVIVENCIA SIN.RETROC.</t>
  </si>
  <si>
    <t>REEMBOLSOS DE GASTOS POR CESIONES DE SEGUROS Y FIANZAS</t>
  </si>
  <si>
    <t>INGRESOS POR COMISIONES Y PARTICIPACIONES DE VIDA INDIVIDUAL DE LARGO PLAZO</t>
  </si>
  <si>
    <t>INGRES.P/COMIS.Y PARTIC.DE VIDA IND.DE LARGO PLAZO</t>
  </si>
  <si>
    <t>INGRES.P/COMIS.Y PARTIC.DE COLECTIVO</t>
  </si>
  <si>
    <t>INGRES.P/COMIS.Y PARTIC.DE RENTA INVAL.Y SOBREV.</t>
  </si>
  <si>
    <t>RENTA E INV.Y SOBREVIVENCIA - RETROC</t>
  </si>
  <si>
    <t>INGRES.P/COMIS.Y PARTIC.DE SALUD Y HOSPIT.</t>
  </si>
  <si>
    <t>INGRES.P/COMIS.Y PARTIC.DE ACC.PERSONALES</t>
  </si>
  <si>
    <t>INGRESOS POR DEPOSITOS EN BANCOS</t>
  </si>
  <si>
    <t>INTERESES</t>
  </si>
  <si>
    <t>CUENTAS DE AHORRO</t>
  </si>
  <si>
    <t>DEPOSITOS A PLAZOS</t>
  </si>
  <si>
    <t>RENDIMIENTOS SOBRE REPORTOS EN TITULOS GRAVADOS CON IMPUESTO SOBRE LA RENTA</t>
  </si>
  <si>
    <t>INGRESOS POR VALORES EMITIDOS POR EL GOBIERNO CENTRAL Y ENTIDADES DEL ESTADO</t>
  </si>
  <si>
    <t>INTERESES-MN</t>
  </si>
  <si>
    <t>INGRESOS POR VALORES EMITIDOS POR INSTITUCIONES FINANCIERAS</t>
  </si>
  <si>
    <t>INTERESES GRAVABLES</t>
  </si>
  <si>
    <t>INGRESOS POR VALORES EMITIDOS POR GOBIERNOS Y ENTIDADES EXTRANJERAS</t>
  </si>
  <si>
    <t>INGRESOS POR PARTICIPACIONES EN SOCIEDADES Y FONDOS DE INVERSION</t>
  </si>
  <si>
    <t>DIVIDENDOS-MN</t>
  </si>
  <si>
    <t>INGRESOS POR PRESTAMOS VIGENTES</t>
  </si>
  <si>
    <t>INGRESOS POR COMISIONES</t>
  </si>
  <si>
    <t>INGRESOS POR SERVICIOS VARIOS</t>
  </si>
  <si>
    <t>SERVICIOS VARIOS</t>
  </si>
  <si>
    <t>SOBRANTES DE CAJA Y VALORES</t>
  </si>
  <si>
    <t>LIBERACION RESERVA PRIMAS VENCIDAS</t>
  </si>
  <si>
    <t>OTROS INGRESOS DE EJERCICIOS ANTERIORES</t>
  </si>
  <si>
    <t>RESPONSABILIDAD POR POLIZAS DE SEGURO EN VIGOR</t>
  </si>
  <si>
    <t>INDIVIDUAL LARGO PLAZO</t>
  </si>
  <si>
    <t>DE ACCIDENTES Y ENFERMEDAD</t>
  </si>
  <si>
    <t>DE ACCIDENTES Y ENFERMEDAD-MN</t>
  </si>
  <si>
    <t>RESPONSABILIDADES CEDIDAS A SOCIEDADES DE PRIMER ORDEN DEL EXTERIOR</t>
  </si>
  <si>
    <t>SALUD Y HOSPITALIZACION -</t>
  </si>
  <si>
    <t>CEDEVAL</t>
  </si>
  <si>
    <t>Diversos.</t>
  </si>
  <si>
    <t>Inmuebles recibidos en pago</t>
  </si>
  <si>
    <t>CON COASEGURADORAS</t>
  </si>
  <si>
    <t>DEBITO FISCAL - IVA</t>
  </si>
  <si>
    <t>VIDA INDIV. TEMPORAL LP</t>
  </si>
  <si>
    <t>INDIVIDUAL SALUD Y HOSPT.</t>
  </si>
  <si>
    <t>INDIVIDUAL LARGO PLAZO - SD</t>
  </si>
  <si>
    <t>INDIVIDUAL LARGO PLAZO - RT</t>
  </si>
  <si>
    <t>COLECTIVO-SALUD Y HOSPITALIZACION</t>
  </si>
  <si>
    <t>POR SOCIEDADES DEUDORAS DE SEGUROS Y FIANZAS</t>
  </si>
  <si>
    <t>INGRESOS POR PRIMAS RETENIDAS POR SOCIEDADES ASEGURADAS Y AFIANZADAS</t>
  </si>
  <si>
    <t>VIDA INDIVIDUAL-CORTO PLAZO</t>
  </si>
  <si>
    <t>APLICACIONES PENDIENTES TARJETAS DE CREDITO</t>
  </si>
  <si>
    <t>GASTOS POR OBLIGACIONES CON REASEGURADAS Y REAFIANZADAS</t>
  </si>
  <si>
    <t>GASTOS POR OBLIGACIONES EN CUENTA CORRIENTE CON REASEGURADAS</t>
  </si>
  <si>
    <t>PRIMAS EN DEPOSITO</t>
  </si>
  <si>
    <t>TRANSPORTE</t>
  </si>
  <si>
    <t>GASOLINA Y LUBRICANTES</t>
  </si>
  <si>
    <t>CLASIFICADORA DE RIESGOS</t>
  </si>
  <si>
    <t>OTROS SEGUROS</t>
  </si>
  <si>
    <t>VIDA INDIV. CORTO PLAZO RT</t>
  </si>
  <si>
    <t>RENTA E INV. Y SOBREVIVENCIA - RETROC</t>
  </si>
  <si>
    <t>MAPFRE SEGUROS EL SALVADOR, S.A.</t>
  </si>
  <si>
    <t>COLECTIVO DE VIDA RT</t>
  </si>
  <si>
    <t>COLECTIVO SALUD Y HOSPIT. RT</t>
  </si>
  <si>
    <t>RENTA INV.Y SOBREVIVENCIA</t>
  </si>
  <si>
    <t>NOTAS DE ABONO POR LIQUIDAR</t>
  </si>
  <si>
    <t>COLECTIVO VIDA RT</t>
  </si>
  <si>
    <t>INV. Y SOBREV. REA TOM</t>
  </si>
  <si>
    <t>COLECTIVO MEDICO HOSPITALARIO RT</t>
  </si>
  <si>
    <t>RETROCESIONES VIDA INDIVIDUAL C.P.</t>
  </si>
  <si>
    <t>COLECTIVO VIDA - RT</t>
  </si>
  <si>
    <t>OBSEQUIOS PARA INTERMEDIARIOS Y AGENTES</t>
  </si>
  <si>
    <t>BONIFICACION POR BUENA EXPERIENCIA</t>
  </si>
  <si>
    <t>VIDA INDIVIDUAL CORTO PLAZO INICIAL</t>
  </si>
  <si>
    <t>COLECTIVO MEDICO HOSPITALARIO INICIALES</t>
  </si>
  <si>
    <t>INDIVIDUAL MEDICO HOSPITALARIO</t>
  </si>
  <si>
    <t>COLECTIVO MEDICO HOSPITALARIO</t>
  </si>
  <si>
    <t>CONVIVIOS CON PERSONAL</t>
  </si>
  <si>
    <t>SERVICIOS LEGALES</t>
  </si>
  <si>
    <t>VIDA INDIVIDUAL ANUAL RENOVABLE RT</t>
  </si>
  <si>
    <t>COLECTIVO DEUDA - RT</t>
  </si>
  <si>
    <t>RENTA E INV. Y SOBREVIVENCIA RT</t>
  </si>
  <si>
    <t>MEDICO HOSPITALARIO COLECTIVO RT</t>
  </si>
  <si>
    <t>INGRESOS POR VALORES EMITIDOS POR SOCIEDADES FILIALES</t>
  </si>
  <si>
    <t>INTERESES-ME</t>
  </si>
  <si>
    <t>RESPONSABILIDADES POR REASEGURO TOMADO</t>
  </si>
  <si>
    <t>RESPONSABILIDADES POR RETROCESIONES A SOCIEDADES LOCALES</t>
  </si>
  <si>
    <t>digitos</t>
  </si>
  <si>
    <t>CODIGO SUCURSAL</t>
  </si>
  <si>
    <t>Punto de venta</t>
  </si>
  <si>
    <t>Empresa contable</t>
  </si>
  <si>
    <t>Codigo Destino</t>
  </si>
  <si>
    <t>Tipo de movimiento contable</t>
  </si>
  <si>
    <t>Fecha de operación</t>
  </si>
  <si>
    <t>Codigo de Moneda</t>
  </si>
  <si>
    <t>30/06/2025</t>
  </si>
  <si>
    <t>Nro. Fila</t>
  </si>
  <si>
    <t>Nro. Cuenta Contable</t>
  </si>
  <si>
    <t>Naturaleza Contable</t>
  </si>
  <si>
    <t xml:space="preserve">Importe </t>
  </si>
  <si>
    <t>Moneda</t>
  </si>
  <si>
    <t>Tasa Cambio</t>
  </si>
  <si>
    <t>Importe Local</t>
  </si>
  <si>
    <t>Documento de identificacion</t>
  </si>
  <si>
    <t>Descripcion del movimiento</t>
  </si>
  <si>
    <t>Conciliacion Bancaria</t>
  </si>
  <si>
    <t>Numero de Comprobante</t>
  </si>
  <si>
    <t>Fecha Comprobante</t>
  </si>
  <si>
    <t>Codigo centro de costo</t>
  </si>
  <si>
    <t>Porcentage</t>
  </si>
  <si>
    <t>Codigo analisis</t>
  </si>
  <si>
    <t>Codigo Concepto analisis</t>
  </si>
  <si>
    <t>Clave analisis</t>
  </si>
  <si>
    <t>Descripcion analisis</t>
  </si>
  <si>
    <t>Codigo postfechado</t>
  </si>
  <si>
    <t>Codigo Moneda postfechado</t>
  </si>
  <si>
    <t>Nro. Documento Postfechado</t>
  </si>
  <si>
    <t>Importe Emision Postfechado</t>
  </si>
  <si>
    <t>C</t>
  </si>
  <si>
    <t>D</t>
  </si>
  <si>
    <t>TRASLADO SALDO A CUENTA DE DETALLE</t>
  </si>
  <si>
    <t xml:space="preserve">2701011010000000     </t>
  </si>
  <si>
    <t>REG. ISR POR RET. A EMPLEADO  - OMAR CONTRERAS</t>
  </si>
  <si>
    <t>REGISTRO ISR SOBRE BONIFICACION MES DE JUNIO 2025</t>
  </si>
  <si>
    <t>5199010010101010</t>
  </si>
  <si>
    <t>5199010010101020</t>
  </si>
  <si>
    <t>5199010010201010</t>
  </si>
  <si>
    <t>5199010010201020</t>
  </si>
  <si>
    <t>5199010010301010</t>
  </si>
  <si>
    <t>5199010010301020</t>
  </si>
  <si>
    <t>5199010030101010</t>
  </si>
  <si>
    <t>5199010030101020</t>
  </si>
  <si>
    <t>5199010030201010</t>
  </si>
  <si>
    <t>5199010030201020</t>
  </si>
  <si>
    <t>1499011010101000</t>
  </si>
  <si>
    <t>1499011020101000</t>
  </si>
  <si>
    <t>1499031020102000</t>
  </si>
  <si>
    <t>1499031020200000</t>
  </si>
  <si>
    <t>2101031010000000</t>
  </si>
  <si>
    <t>2101031010100000</t>
  </si>
  <si>
    <t>2101031010200000</t>
  </si>
  <si>
    <t>2601011000000000</t>
  </si>
  <si>
    <t>2601011010000000</t>
  </si>
  <si>
    <t>2701011010100000</t>
  </si>
  <si>
    <t>4502010020000000</t>
  </si>
  <si>
    <t>4502010020100000</t>
  </si>
  <si>
    <t>5101010010100000</t>
  </si>
  <si>
    <t>5101010010101000</t>
  </si>
  <si>
    <t>5101020010100000</t>
  </si>
  <si>
    <t>5101020010101000</t>
  </si>
  <si>
    <t>5102010020100000</t>
  </si>
  <si>
    <t>5102010020101000</t>
  </si>
  <si>
    <t>5102010020200000</t>
  </si>
  <si>
    <t>5102010020201000</t>
  </si>
  <si>
    <t>5103010010100000</t>
  </si>
  <si>
    <t>5103010010101000</t>
  </si>
  <si>
    <t>5103010010102000</t>
  </si>
  <si>
    <t>5103020010100000</t>
  </si>
  <si>
    <t>5103020010101000</t>
  </si>
  <si>
    <t>5103020010102000</t>
  </si>
  <si>
    <t>5199010010101000</t>
  </si>
  <si>
    <t>5199010010201000</t>
  </si>
  <si>
    <t>5199010030101000</t>
  </si>
  <si>
    <t>5199010030201000</t>
  </si>
  <si>
    <t>PROVISIONES POR PRESTAMOS ( CR )</t>
  </si>
  <si>
    <t>PROVISIONES PARA CREDITOS</t>
  </si>
  <si>
    <t>CONSTITUCION DE PROVISIONES PARA PRESTAMOS VENCIDOS</t>
  </si>
  <si>
    <t>VIDA COLECTIVO INICIALES</t>
  </si>
  <si>
    <t>VIDA COLECTIVO RENOVACIONES</t>
  </si>
  <si>
    <t>COLECTIVO DEUDA INICIALES</t>
  </si>
  <si>
    <t>COLECTIVO DEUDA RENOVACION</t>
  </si>
  <si>
    <t>INGRESOS POR VALORES EMITIDOS POR FILIALES</t>
  </si>
  <si>
    <t>Indicadores financieros de Sociedades de Seguros</t>
  </si>
  <si>
    <t>Indicador</t>
  </si>
  <si>
    <t>/0</t>
  </si>
  <si>
    <t>Suficiencia ó Deficiencia de Patrimonio Neto</t>
  </si>
  <si>
    <t>Resultados acumulados</t>
  </si>
  <si>
    <t>Pérdidas Acumuladas a Patrimonio Neto</t>
  </si>
  <si>
    <t>Excedente ó Deficiencia de Inversión</t>
  </si>
  <si>
    <t>Deuda Total</t>
  </si>
  <si>
    <t>Endeudamiento Patrimonial (veces)</t>
  </si>
  <si>
    <t>Liquidez</t>
  </si>
  <si>
    <t>Liquidez (veces)</t>
  </si>
  <si>
    <t>Cesión</t>
  </si>
  <si>
    <t>Índice reaseguro cedido</t>
  </si>
  <si>
    <t>Siniestralidad</t>
  </si>
  <si>
    <t>Roe</t>
  </si>
  <si>
    <t>Roe anualizado</t>
  </si>
  <si>
    <t>Indice Combinado</t>
  </si>
  <si>
    <t>Índice Combinado</t>
  </si>
  <si>
    <t>Gastos Admon/Primas Netas</t>
  </si>
  <si>
    <t>Gastos Administrativos a Primas Netas</t>
  </si>
  <si>
    <t>Rotación Primas por Cobrar (días)</t>
  </si>
  <si>
    <t>Recuperados</t>
  </si>
  <si>
    <t>Índice de siniestros recuperados</t>
  </si>
  <si>
    <t>Respaldo Pasivos Técnicos</t>
  </si>
  <si>
    <t>Variación Primas Netas</t>
  </si>
  <si>
    <t>Variación Primas Netas (Interanual)</t>
  </si>
  <si>
    <t>Variación Siniestros</t>
  </si>
  <si>
    <t>Variación Siniestros (Interanual)</t>
  </si>
  <si>
    <t>BALANCE DE COMPROBACIÓN CORRESPONDIENTE AL MES DE JULIO 2025</t>
  </si>
  <si>
    <t>RENTA E INV.Y SOBREVIVENCIA</t>
  </si>
  <si>
    <t>PROPAGANDA</t>
  </si>
  <si>
    <t>RENTA E INV.SOBREVIVENCIA - RT</t>
  </si>
  <si>
    <t>INDIVIDUAL-SALUD Y HOSPITALIZACION</t>
  </si>
  <si>
    <t>PROVISIONES PARA PRESTAMOS</t>
  </si>
  <si>
    <t xml:space="preserve">VIDA INDIVIDUAL </t>
  </si>
  <si>
    <t>VIDA INDIVIDUAL L.P.</t>
  </si>
  <si>
    <t>IMPUESTO SOBRE RENTA</t>
  </si>
  <si>
    <t>SINIESTROS NO DEDUCIBLES</t>
  </si>
  <si>
    <t>VIDA INDIV.TEMP.LP RENOV</t>
  </si>
  <si>
    <t>INDIVIDUAL LP - INICIALES</t>
  </si>
  <si>
    <t>INDIVIDUAL LP - RENOVACIONES</t>
  </si>
  <si>
    <t>SIN.RECUP.RENTA INVALIDEZ Y SOBREV.</t>
  </si>
  <si>
    <t>COM.REASEG.RENTA INV.Y SOBREVIVENCIA</t>
  </si>
  <si>
    <t>Balance General al 31 de agosto 2025</t>
  </si>
  <si>
    <t>Estado de Resultados del 1 de enero al 31 de agosto 2025</t>
  </si>
  <si>
    <t>Zuleyma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</si>
</sst>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  <numFmt numFmtId="169" formatCode="#,##0.00\ &quot;€&quot;;\-#,##0.00\ &quot;€&quot;"/>
    <numFmt numFmtId="170" formatCode="_-[$$-440A]* #,##0.00_-;\-[$$-440A]* #,##0.00_-;_-[$$-440A]* &quot;-&quot;??_-;_-@_-"/>
    <numFmt numFmtId="171" formatCode="0.000%"/>
    <numFmt numFmtId="172" formatCode="#,##0.00_ ;[Red]\-#,##0.00\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MS Sans Serif"/>
    </font>
    <font>
      <sz val="10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7.5"/>
      <name val="Arial"/>
      <family val="2"/>
    </font>
    <font>
      <b/>
      <sz val="7.5"/>
      <name val="Arial"/>
      <family val="2"/>
    </font>
    <font>
      <sz val="7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Trebuchet MS"/>
      <family val="2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0" fontId="16" fillId="0" borderId="0"/>
    <xf numFmtId="44" fontId="15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>
      <alignment wrapText="1"/>
    </xf>
    <xf numFmtId="169" fontId="21" fillId="0" borderId="0" applyFont="0" applyFill="0" applyBorder="0" applyAlignment="0" applyProtection="0"/>
    <xf numFmtId="0" fontId="1" fillId="0" borderId="0"/>
    <xf numFmtId="0" fontId="22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/>
    <xf numFmtId="0" fontId="34" fillId="4" borderId="4" applyNumberFormat="0" applyProtection="0">
      <alignment horizontal="center" vertical="top" wrapText="1"/>
    </xf>
  </cellStyleXfs>
  <cellXfs count="198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4" fontId="0" fillId="0" borderId="0" xfId="1" applyFont="1" applyFill="1"/>
    <xf numFmtId="164" fontId="0" fillId="0" borderId="0" xfId="0" applyNumberFormat="1"/>
    <xf numFmtId="49" fontId="5" fillId="0" borderId="0" xfId="0" applyNumberFormat="1" applyFont="1"/>
    <xf numFmtId="0" fontId="5" fillId="0" borderId="0" xfId="0" applyFont="1"/>
    <xf numFmtId="164" fontId="5" fillId="0" borderId="0" xfId="1" applyFont="1" applyFill="1"/>
    <xf numFmtId="165" fontId="5" fillId="0" borderId="0" xfId="1" applyNumberFormat="1" applyFont="1" applyFill="1"/>
    <xf numFmtId="4" fontId="5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0" fontId="6" fillId="0" borderId="0" xfId="0" applyFont="1"/>
    <xf numFmtId="164" fontId="6" fillId="0" borderId="0" xfId="1" applyFont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5" fillId="0" borderId="0" xfId="1" applyFont="1"/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5" fillId="0" borderId="0" xfId="0" applyNumberFormat="1" applyFont="1"/>
    <xf numFmtId="168" fontId="0" fillId="0" borderId="0" xfId="3" applyNumberFormat="1" applyFont="1" applyBorder="1"/>
    <xf numFmtId="168" fontId="6" fillId="0" borderId="0" xfId="3" applyNumberFormat="1" applyFont="1" applyBorder="1"/>
    <xf numFmtId="164" fontId="6" fillId="0" borderId="1" xfId="1" applyFont="1" applyBorder="1"/>
    <xf numFmtId="1" fontId="2" fillId="0" borderId="0" xfId="0" applyNumberFormat="1" applyFont="1" applyAlignment="1">
      <alignment horizontal="left"/>
    </xf>
    <xf numFmtId="49" fontId="6" fillId="0" borderId="0" xfId="0" applyNumberFormat="1" applyFont="1"/>
    <xf numFmtId="44" fontId="5" fillId="0" borderId="0" xfId="2" applyFont="1" applyFill="1"/>
    <xf numFmtId="44" fontId="5" fillId="0" borderId="0" xfId="2" applyFont="1"/>
    <xf numFmtId="44" fontId="6" fillId="0" borderId="0" xfId="2" applyFont="1"/>
    <xf numFmtId="49" fontId="12" fillId="0" borderId="0" xfId="0" applyNumberFormat="1" applyFont="1"/>
    <xf numFmtId="0" fontId="12" fillId="0" borderId="0" xfId="0" applyFont="1"/>
    <xf numFmtId="0" fontId="6" fillId="0" borderId="0" xfId="3" applyNumberFormat="1" applyFont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164" fontId="5" fillId="0" borderId="2" xfId="1" applyFont="1" applyFill="1" applyBorder="1"/>
    <xf numFmtId="0" fontId="6" fillId="0" borderId="0" xfId="0" applyFont="1" applyAlignment="1">
      <alignment horizontal="left"/>
    </xf>
    <xf numFmtId="44" fontId="6" fillId="0" borderId="0" xfId="2" applyFont="1" applyFill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5" fillId="0" borderId="0" xfId="0" applyNumberFormat="1" applyFont="1"/>
    <xf numFmtId="164" fontId="6" fillId="0" borderId="0" xfId="1" applyFont="1"/>
    <xf numFmtId="164" fontId="7" fillId="0" borderId="0" xfId="1" applyFont="1" applyAlignment="1">
      <alignment horizontal="center" vertical="center"/>
    </xf>
    <xf numFmtId="164" fontId="12" fillId="0" borderId="0" xfId="1" applyFont="1" applyFill="1"/>
    <xf numFmtId="164" fontId="6" fillId="0" borderId="2" xfId="1" applyFont="1" applyBorder="1"/>
    <xf numFmtId="0" fontId="5" fillId="2" borderId="0" xfId="0" applyFont="1" applyFill="1" applyAlignment="1">
      <alignment horizontal="left"/>
    </xf>
    <xf numFmtId="0" fontId="12" fillId="2" borderId="0" xfId="0" applyFont="1" applyFill="1" applyAlignment="1">
      <alignment horizontal="left" indent="1"/>
    </xf>
    <xf numFmtId="164" fontId="5" fillId="0" borderId="2" xfId="1" applyFont="1" applyBorder="1"/>
    <xf numFmtId="164" fontId="6" fillId="0" borderId="2" xfId="1" applyFont="1" applyFill="1" applyBorder="1"/>
    <xf numFmtId="164" fontId="6" fillId="0" borderId="1" xfId="1" applyFont="1" applyFill="1" applyBorder="1"/>
    <xf numFmtId="0" fontId="13" fillId="0" borderId="0" xfId="0" applyFont="1"/>
    <xf numFmtId="164" fontId="6" fillId="0" borderId="0" xfId="1" applyFont="1" applyBorder="1"/>
    <xf numFmtId="0" fontId="11" fillId="0" borderId="0" xfId="0" applyFont="1" applyAlignment="1">
      <alignment horizontal="left"/>
    </xf>
    <xf numFmtId="164" fontId="5" fillId="0" borderId="0" xfId="1" applyFont="1" applyFill="1" applyBorder="1"/>
    <xf numFmtId="164" fontId="5" fillId="0" borderId="3" xfId="1" applyFont="1" applyBorder="1"/>
    <xf numFmtId="164" fontId="5" fillId="0" borderId="0" xfId="1" applyFont="1" applyBorder="1"/>
    <xf numFmtId="164" fontId="12" fillId="0" borderId="0" xfId="1" applyFont="1" applyFill="1" applyBorder="1"/>
    <xf numFmtId="164" fontId="6" fillId="0" borderId="3" xfId="1" applyFont="1" applyBorder="1"/>
    <xf numFmtId="164" fontId="6" fillId="0" borderId="3" xfId="0" applyNumberFormat="1" applyFont="1" applyBorder="1"/>
    <xf numFmtId="164" fontId="5" fillId="0" borderId="3" xfId="0" applyNumberFormat="1" applyFont="1" applyBorder="1"/>
    <xf numFmtId="164" fontId="5" fillId="0" borderId="3" xfId="1" applyFont="1" applyFill="1" applyBorder="1"/>
    <xf numFmtId="0" fontId="18" fillId="2" borderId="0" xfId="0" applyFont="1" applyFill="1" applyAlignment="1">
      <alignment horizontal="left" indent="2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indent="1"/>
    </xf>
    <xf numFmtId="164" fontId="19" fillId="0" borderId="0" xfId="1" applyFont="1" applyFill="1"/>
    <xf numFmtId="164" fontId="5" fillId="0" borderId="2" xfId="0" applyNumberFormat="1" applyFont="1" applyBorder="1"/>
    <xf numFmtId="43" fontId="5" fillId="0" borderId="0" xfId="0" applyNumberFormat="1" applyFont="1"/>
    <xf numFmtId="0" fontId="5" fillId="0" borderId="0" xfId="7" applyFont="1" applyAlignment="1">
      <alignment horizontal="left"/>
    </xf>
    <xf numFmtId="0" fontId="15" fillId="0" borderId="0" xfId="7"/>
    <xf numFmtId="3" fontId="5" fillId="0" borderId="0" xfId="0" applyNumberFormat="1" applyFont="1"/>
    <xf numFmtId="43" fontId="5" fillId="0" borderId="0" xfId="10" applyFont="1" applyFill="1"/>
    <xf numFmtId="43" fontId="6" fillId="0" borderId="0" xfId="10" applyFont="1" applyFill="1"/>
    <xf numFmtId="43" fontId="5" fillId="0" borderId="0" xfId="10" applyFont="1"/>
    <xf numFmtId="44" fontId="5" fillId="0" borderId="0" xfId="16" applyFont="1" applyFill="1"/>
    <xf numFmtId="43" fontId="6" fillId="0" borderId="0" xfId="10" applyFont="1"/>
    <xf numFmtId="43" fontId="6" fillId="0" borderId="2" xfId="10" applyFont="1" applyBorder="1"/>
    <xf numFmtId="43" fontId="6" fillId="0" borderId="2" xfId="10" applyFont="1" applyFill="1" applyBorder="1"/>
    <xf numFmtId="43" fontId="6" fillId="0" borderId="1" xfId="10" applyFont="1" applyFill="1" applyBorder="1"/>
    <xf numFmtId="43" fontId="6" fillId="0" borderId="0" xfId="10" applyFont="1" applyBorder="1"/>
    <xf numFmtId="0" fontId="0" fillId="0" borderId="0" xfId="0" applyAlignment="1">
      <alignment horizontal="left"/>
    </xf>
    <xf numFmtId="44" fontId="0" fillId="0" borderId="0" xfId="2" applyFont="1"/>
    <xf numFmtId="43" fontId="6" fillId="0" borderId="1" xfId="10" applyFont="1" applyBorder="1"/>
    <xf numFmtId="44" fontId="5" fillId="0" borderId="0" xfId="26" applyFont="1"/>
    <xf numFmtId="0" fontId="6" fillId="0" borderId="0" xfId="17" applyNumberFormat="1" applyFont="1" applyBorder="1"/>
    <xf numFmtId="43" fontId="12" fillId="0" borderId="0" xfId="10" applyFont="1" applyFill="1"/>
    <xf numFmtId="43" fontId="12" fillId="0" borderId="0" xfId="10" applyFont="1" applyFill="1" applyBorder="1"/>
    <xf numFmtId="43" fontId="6" fillId="0" borderId="3" xfId="10" applyFont="1" applyBorder="1"/>
    <xf numFmtId="43" fontId="6" fillId="0" borderId="3" xfId="0" applyNumberFormat="1" applyFont="1" applyBorder="1"/>
    <xf numFmtId="43" fontId="5" fillId="0" borderId="3" xfId="10" applyFont="1" applyFill="1" applyBorder="1"/>
    <xf numFmtId="170" fontId="5" fillId="0" borderId="0" xfId="0" applyNumberFormat="1" applyFont="1"/>
    <xf numFmtId="170" fontId="15" fillId="0" borderId="0" xfId="7" applyNumberFormat="1"/>
    <xf numFmtId="170" fontId="18" fillId="2" borderId="0" xfId="0" applyNumberFormat="1" applyFont="1" applyFill="1"/>
    <xf numFmtId="43" fontId="5" fillId="0" borderId="0" xfId="7" applyNumberFormat="1" applyFont="1" applyAlignment="1">
      <alignment horizontal="left"/>
    </xf>
    <xf numFmtId="0" fontId="13" fillId="0" borderId="0" xfId="7" applyFont="1" applyAlignment="1">
      <alignment horizontal="left"/>
    </xf>
    <xf numFmtId="43" fontId="23" fillId="0" borderId="0" xfId="7" applyNumberFormat="1" applyFont="1"/>
    <xf numFmtId="4" fontId="13" fillId="0" borderId="0" xfId="0" applyNumberFormat="1" applyFont="1"/>
    <xf numFmtId="43" fontId="13" fillId="0" borderId="0" xfId="0" applyNumberFormat="1" applyFont="1"/>
    <xf numFmtId="9" fontId="5" fillId="0" borderId="0" xfId="28" applyFont="1"/>
    <xf numFmtId="10" fontId="5" fillId="0" borderId="0" xfId="28" applyNumberFormat="1" applyFont="1"/>
    <xf numFmtId="43" fontId="5" fillId="0" borderId="0" xfId="28" applyNumberFormat="1" applyFont="1"/>
    <xf numFmtId="171" fontId="5" fillId="0" borderId="0" xfId="28" applyNumberFormat="1" applyFont="1"/>
    <xf numFmtId="0" fontId="21" fillId="0" borderId="0" xfId="0" applyFont="1"/>
    <xf numFmtId="0" fontId="24" fillId="2" borderId="0" xfId="0" applyFont="1" applyFill="1" applyAlignment="1">
      <alignment horizontal="left" indent="2"/>
    </xf>
    <xf numFmtId="0" fontId="25" fillId="2" borderId="0" xfId="0" applyFont="1" applyFill="1"/>
    <xf numFmtId="0" fontId="25" fillId="2" borderId="0" xfId="0" applyFont="1" applyFill="1" applyAlignment="1">
      <alignment horizontal="left" indent="2"/>
    </xf>
    <xf numFmtId="170" fontId="24" fillId="2" borderId="0" xfId="0" applyNumberFormat="1" applyFont="1" applyFill="1"/>
    <xf numFmtId="0" fontId="25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indent="1"/>
    </xf>
    <xf numFmtId="164" fontId="5" fillId="0" borderId="0" xfId="1" applyFont="1" applyAlignment="1">
      <alignment horizontal="left"/>
    </xf>
    <xf numFmtId="0" fontId="26" fillId="0" borderId="0" xfId="0" applyFont="1"/>
    <xf numFmtId="0" fontId="20" fillId="0" borderId="0" xfId="0" applyFont="1"/>
    <xf numFmtId="170" fontId="5" fillId="0" borderId="0" xfId="7" applyNumberFormat="1" applyFont="1"/>
    <xf numFmtId="0" fontId="5" fillId="0" borderId="0" xfId="7" applyFont="1"/>
    <xf numFmtId="43" fontId="5" fillId="0" borderId="0" xfId="7" applyNumberFormat="1" applyFont="1"/>
    <xf numFmtId="43" fontId="27" fillId="0" borderId="0" xfId="10" applyFont="1" applyFill="1"/>
    <xf numFmtId="43" fontId="27" fillId="0" borderId="0" xfId="10" applyFont="1" applyFill="1" applyBorder="1"/>
    <xf numFmtId="43" fontId="27" fillId="0" borderId="3" xfId="10" applyFont="1" applyBorder="1"/>
    <xf numFmtId="43" fontId="27" fillId="0" borderId="0" xfId="10" applyFont="1"/>
    <xf numFmtId="43" fontId="27" fillId="0" borderId="2" xfId="10" applyFont="1" applyFill="1" applyBorder="1"/>
    <xf numFmtId="43" fontId="27" fillId="0" borderId="0" xfId="10" applyFont="1" applyBorder="1"/>
    <xf numFmtId="0" fontId="28" fillId="0" borderId="0" xfId="0" applyFont="1" applyAlignment="1">
      <alignment horizontal="centerContinuous"/>
    </xf>
    <xf numFmtId="0" fontId="27" fillId="0" borderId="0" xfId="0" applyFont="1"/>
    <xf numFmtId="0" fontId="29" fillId="0" borderId="0" xfId="0" applyFont="1"/>
    <xf numFmtId="0" fontId="31" fillId="0" borderId="0" xfId="0" applyFont="1"/>
    <xf numFmtId="44" fontId="31" fillId="0" borderId="0" xfId="0" applyNumberFormat="1" applyFont="1"/>
    <xf numFmtId="44" fontId="2" fillId="0" borderId="0" xfId="1" applyNumberFormat="1" applyFont="1"/>
    <xf numFmtId="43" fontId="0" fillId="0" borderId="0" xfId="0" applyNumberFormat="1"/>
    <xf numFmtId="0" fontId="10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43" fontId="27" fillId="0" borderId="3" xfId="10" applyFont="1" applyFill="1" applyBorder="1"/>
    <xf numFmtId="172" fontId="3" fillId="0" borderId="0" xfId="2" applyNumberFormat="1" applyFont="1" applyAlignment="1"/>
    <xf numFmtId="172" fontId="4" fillId="0" borderId="0" xfId="2" applyNumberFormat="1" applyFont="1" applyAlignment="1"/>
    <xf numFmtId="172" fontId="0" fillId="0" borderId="0" xfId="2" applyNumberFormat="1" applyFont="1" applyAlignment="1">
      <alignment horizontal="centerContinuous"/>
    </xf>
    <xf numFmtId="172" fontId="6" fillId="0" borderId="0" xfId="2" applyNumberFormat="1" applyFont="1"/>
    <xf numFmtId="172" fontId="12" fillId="0" borderId="0" xfId="2" applyNumberFormat="1" applyFont="1" applyFill="1"/>
    <xf numFmtId="172" fontId="6" fillId="0" borderId="3" xfId="2" applyNumberFormat="1" applyFont="1" applyBorder="1"/>
    <xf numFmtId="172" fontId="5" fillId="0" borderId="0" xfId="2" applyNumberFormat="1" applyFont="1"/>
    <xf numFmtId="172" fontId="5" fillId="0" borderId="0" xfId="2" applyNumberFormat="1" applyFont="1" applyFill="1"/>
    <xf numFmtId="172" fontId="12" fillId="0" borderId="0" xfId="2" applyNumberFormat="1" applyFont="1" applyFill="1" applyBorder="1"/>
    <xf numFmtId="172" fontId="6" fillId="0" borderId="0" xfId="2" applyNumberFormat="1" applyFont="1" applyFill="1"/>
    <xf numFmtId="172" fontId="5" fillId="0" borderId="3" xfId="2" applyNumberFormat="1" applyFont="1" applyFill="1" applyBorder="1"/>
    <xf numFmtId="172" fontId="6" fillId="0" borderId="0" xfId="2" applyNumberFormat="1" applyFont="1" applyBorder="1"/>
    <xf numFmtId="172" fontId="5" fillId="0" borderId="2" xfId="2" applyNumberFormat="1" applyFont="1" applyBorder="1"/>
    <xf numFmtId="172" fontId="6" fillId="0" borderId="1" xfId="2" applyNumberFormat="1" applyFont="1" applyBorder="1"/>
    <xf numFmtId="172" fontId="8" fillId="0" borderId="0" xfId="2" applyNumberFormat="1" applyFont="1" applyAlignment="1">
      <alignment horizontal="center" vertical="center"/>
    </xf>
    <xf numFmtId="172" fontId="0" fillId="0" borderId="0" xfId="2" applyNumberFormat="1" applyFont="1"/>
    <xf numFmtId="172" fontId="27" fillId="0" borderId="0" xfId="10" applyNumberFormat="1" applyFont="1" applyFill="1" applyBorder="1"/>
    <xf numFmtId="172" fontId="27" fillId="0" borderId="2" xfId="10" applyNumberFormat="1" applyFont="1" applyFill="1" applyBorder="1"/>
    <xf numFmtId="0" fontId="32" fillId="0" borderId="0" xfId="0" applyFont="1"/>
    <xf numFmtId="49" fontId="32" fillId="0" borderId="0" xfId="0" applyNumberFormat="1" applyFont="1"/>
    <xf numFmtId="49" fontId="0" fillId="0" borderId="0" xfId="0" applyNumberFormat="1"/>
    <xf numFmtId="14" fontId="0" fillId="0" borderId="0" xfId="0" quotePrefix="1" applyNumberFormat="1"/>
    <xf numFmtId="0" fontId="33" fillId="0" borderId="0" xfId="0" applyFont="1"/>
    <xf numFmtId="49" fontId="0" fillId="0" borderId="0" xfId="0" quotePrefix="1" applyNumberFormat="1"/>
    <xf numFmtId="0" fontId="30" fillId="0" borderId="0" xfId="0" applyFont="1" applyAlignment="1">
      <alignment horizontal="center"/>
    </xf>
    <xf numFmtId="44" fontId="30" fillId="0" borderId="0" xfId="0" applyNumberFormat="1" applyFont="1" applyAlignment="1">
      <alignment horizontal="center"/>
    </xf>
    <xf numFmtId="44" fontId="30" fillId="0" borderId="0" xfId="1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164" fontId="2" fillId="0" borderId="0" xfId="1" applyFont="1" applyFill="1"/>
    <xf numFmtId="44" fontId="2" fillId="0" borderId="0" xfId="0" applyNumberFormat="1" applyFont="1"/>
    <xf numFmtId="8" fontId="2" fillId="0" borderId="0" xfId="0" applyNumberFormat="1" applyFont="1"/>
    <xf numFmtId="0" fontId="36" fillId="0" borderId="0" xfId="29" applyFont="1"/>
    <xf numFmtId="0" fontId="37" fillId="0" borderId="0" xfId="0" applyFont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36" fillId="0" borderId="0" xfId="0" applyFont="1" applyProtection="1">
      <protection locked="0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0" fillId="5" borderId="0" xfId="0" applyFill="1"/>
    <xf numFmtId="0" fontId="0" fillId="0" borderId="5" xfId="0" applyBorder="1" applyAlignment="1">
      <alignment vertical="center"/>
    </xf>
    <xf numFmtId="0" fontId="21" fillId="0" borderId="5" xfId="30" applyFont="1" applyFill="1" applyBorder="1" applyAlignment="1">
      <alignment horizontal="left" vertical="center" wrapText="1"/>
    </xf>
    <xf numFmtId="10" fontId="41" fillId="0" borderId="5" xfId="28" applyNumberFormat="1" applyFont="1" applyBorder="1" applyAlignment="1">
      <alignment horizontal="center" vertical="center"/>
    </xf>
    <xf numFmtId="2" fontId="41" fillId="0" borderId="5" xfId="1" applyNumberFormat="1" applyFont="1" applyFill="1" applyBorder="1" applyAlignment="1">
      <alignment horizontal="center" vertical="center"/>
    </xf>
    <xf numFmtId="2" fontId="41" fillId="0" borderId="5" xfId="28" applyNumberFormat="1" applyFont="1" applyFill="1" applyBorder="1" applyAlignment="1">
      <alignment horizontal="center" vertical="center"/>
    </xf>
    <xf numFmtId="10" fontId="41" fillId="0" borderId="5" xfId="28" applyNumberFormat="1" applyFont="1" applyFill="1" applyBorder="1" applyAlignment="1">
      <alignment horizontal="center" vertical="center"/>
    </xf>
    <xf numFmtId="1" fontId="41" fillId="0" borderId="5" xfId="28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14" fontId="36" fillId="0" borderId="0" xfId="29" applyNumberFormat="1" applyFont="1"/>
    <xf numFmtId="0" fontId="2" fillId="3" borderId="0" xfId="0" applyFont="1" applyFill="1"/>
    <xf numFmtId="172" fontId="0" fillId="0" borderId="0" xfId="0" applyNumberFormat="1"/>
    <xf numFmtId="164" fontId="0" fillId="0" borderId="0" xfId="1" applyFont="1"/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34" fillId="4" borderId="5" xfId="3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31">
    <cellStyle name="Cuadros SSF" xfId="30" xr:uid="{6D3567E2-7D81-4C7B-8C17-2A91C4DD0191}"/>
    <cellStyle name="Currency 2" xfId="6" xr:uid="{00000000-0005-0000-0000-000003000000}"/>
    <cellStyle name="Currency 2 2" xfId="19" xr:uid="{78E49539-3EC4-40C7-A460-B34219EBD7D8}"/>
    <cellStyle name="Millares" xfId="1" builtinId="3"/>
    <cellStyle name="Millares 2" xfId="10" xr:uid="{B54A54B7-83AE-43E5-A0EA-655B1F0DBBDE}"/>
    <cellStyle name="Millares 2 2" xfId="15" xr:uid="{F26FA6A9-1449-4406-B371-803B52FC0F5E}"/>
    <cellStyle name="Millares 2 2 2" xfId="25" xr:uid="{09462BA4-7B31-43FE-B25C-E37C3E770F3E}"/>
    <cellStyle name="Millares 2 3" xfId="22" xr:uid="{778C7565-8B48-4F22-98C7-00FFB6B570AC}"/>
    <cellStyle name="Millares 3" xfId="8" xr:uid="{4579E091-015F-4D0B-8162-7251CDD9FEA9}"/>
    <cellStyle name="Millares 3 2" xfId="20" xr:uid="{6AB7E595-9C0E-4178-BC73-09FEF45A86BB}"/>
    <cellStyle name="Moneda" xfId="2" builtinId="4"/>
    <cellStyle name="Moneda [0]" xfId="3" builtinId="7"/>
    <cellStyle name="Moneda [0] 2" xfId="17" xr:uid="{9E2E6E6E-1ADB-45E9-A7F5-5A8C3BE869EB}"/>
    <cellStyle name="Moneda 2" xfId="12" xr:uid="{40103316-6DFA-4D37-BF24-6586889E821A}"/>
    <cellStyle name="Moneda 3" xfId="9" xr:uid="{B8846ACE-845F-488E-B574-CC699932D23F}"/>
    <cellStyle name="Moneda 3 2" xfId="21" xr:uid="{B5924AE1-FC02-42BB-9999-95C9D90022C0}"/>
    <cellStyle name="Moneda 4" xfId="16" xr:uid="{DAFF4EC8-304F-43F9-9088-EC86161C9645}"/>
    <cellStyle name="Moneda 5" xfId="24" xr:uid="{DAE20C1F-A392-4761-A40B-E6FCF6F0265A}"/>
    <cellStyle name="Moneda 6" xfId="27" xr:uid="{CDF5B326-0556-4F49-AF3B-78485666ABAE}"/>
    <cellStyle name="Moneda 7" xfId="23" xr:uid="{6D1E31EC-135C-4A03-A4E7-810DA07E0C5E}"/>
    <cellStyle name="Moneda 8" xfId="26" xr:uid="{2ED63DC8-DC75-46C9-9ABA-A48066321BCF}"/>
    <cellStyle name="Normal" xfId="0" builtinId="0"/>
    <cellStyle name="Normal 2" xfId="4" xr:uid="{00000000-0005-0000-0000-000005000000}"/>
    <cellStyle name="Normal 2 2" xfId="11" xr:uid="{E4F7D23D-7B14-430A-8421-ECF47B09AD88}"/>
    <cellStyle name="Normal 2 2 2" xfId="29" xr:uid="{3753BF20-751D-49C8-94BA-A2432426F0CC}"/>
    <cellStyle name="Normal 3" xfId="5" xr:uid="{00000000-0005-0000-0000-000006000000}"/>
    <cellStyle name="Normal 3 2" xfId="14" xr:uid="{B68B2715-C81E-4685-9B33-CCBA94FC799E}"/>
    <cellStyle name="Normal 3 2 3" xfId="13" xr:uid="{1E5799F9-98C2-452B-B409-569D3E811F0A}"/>
    <cellStyle name="Normal 3 3" xfId="18" xr:uid="{9981D581-6E4F-4A9A-8534-AA0C9F745C5A}"/>
    <cellStyle name="Normal 5" xfId="7" xr:uid="{6B000EB9-825B-4F49-812A-31E2D2DA5A6B}"/>
    <cellStyle name="Porcentaje" xfId="28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182596</xdr:colOff>
      <xdr:row>44</xdr:row>
      <xdr:rowOff>163118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AE1ECD-4294-09F4-E873-4565179F6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12596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17</xdr:col>
      <xdr:colOff>116124</xdr:colOff>
      <xdr:row>90</xdr:row>
      <xdr:rowOff>105960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9D2A4D-CD31-4B95-65DC-456A06B14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63000"/>
          <a:ext cx="13070124" cy="8487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19</xdr:col>
      <xdr:colOff>125863</xdr:colOff>
      <xdr:row>137</xdr:row>
      <xdr:rowOff>48828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44751D-6E3B-CC8F-14C3-9DBADEB1C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526000"/>
          <a:ext cx="14603863" cy="8621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16</xdr:col>
      <xdr:colOff>468492</xdr:colOff>
      <xdr:row>183</xdr:row>
      <xdr:rowOff>144065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914039-241C-0CFB-2E83-396A797AC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79500"/>
          <a:ext cx="12660492" cy="8526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I1594"/>
  <sheetViews>
    <sheetView showGridLines="0" zoomScale="90" zoomScaleNormal="90" zoomScaleSheetLayoutView="100" workbookViewId="0">
      <pane xSplit="1" ySplit="4" topLeftCell="B256" activePane="bottomRight" state="frozen"/>
      <selection pane="topRight" activeCell="C1" sqref="C1"/>
      <selection pane="bottomLeft" activeCell="A2" sqref="A2"/>
      <selection pane="bottomRight" activeCell="D1280" sqref="D1279:D1280"/>
    </sheetView>
  </sheetViews>
  <sheetFormatPr baseColWidth="10" defaultColWidth="9.1796875" defaultRowHeight="15" customHeight="1" x14ac:dyDescent="0.35"/>
  <cols>
    <col min="1" max="1" width="19.1796875" style="86" customWidth="1"/>
    <col min="2" max="2" width="49.81640625" style="87" customWidth="1"/>
    <col min="3" max="5" width="18" style="87" bestFit="1" customWidth="1"/>
    <col min="6" max="6" width="18" style="132" bestFit="1" customWidth="1"/>
    <col min="7" max="28" width="15.7265625" style="1" customWidth="1"/>
    <col min="29" max="16384" width="9.1796875" style="1"/>
  </cols>
  <sheetData>
    <row r="1" spans="1:8" ht="15" customHeight="1" x14ac:dyDescent="0.3">
      <c r="A1" s="135" t="s">
        <v>237</v>
      </c>
      <c r="B1" s="134"/>
      <c r="C1" s="134"/>
      <c r="D1" s="134"/>
      <c r="E1" s="134"/>
      <c r="F1" s="134"/>
    </row>
    <row r="2" spans="1:8" ht="15" customHeight="1" x14ac:dyDescent="0.3">
      <c r="A2" s="135" t="s">
        <v>759</v>
      </c>
      <c r="B2" s="135"/>
      <c r="C2" s="135"/>
      <c r="D2" s="135"/>
      <c r="E2" s="135"/>
      <c r="F2" s="135"/>
    </row>
    <row r="3" spans="1:8" ht="15" customHeight="1" thickBot="1" x14ac:dyDescent="0.35">
      <c r="A3" s="136" t="s">
        <v>230</v>
      </c>
      <c r="B3" s="136"/>
      <c r="C3" s="136"/>
      <c r="D3" s="136"/>
      <c r="E3" s="136"/>
      <c r="F3" s="136"/>
    </row>
    <row r="4" spans="1:8" s="165" customFormat="1" ht="16" customHeight="1" thickTop="1" x14ac:dyDescent="0.35">
      <c r="A4" s="162" t="s">
        <v>231</v>
      </c>
      <c r="B4" s="162" t="s">
        <v>232</v>
      </c>
      <c r="C4" s="163" t="s">
        <v>233</v>
      </c>
      <c r="D4" s="163" t="s">
        <v>234</v>
      </c>
      <c r="E4" s="163" t="s">
        <v>235</v>
      </c>
      <c r="F4" s="164" t="s">
        <v>236</v>
      </c>
      <c r="G4" s="165" t="s">
        <v>646</v>
      </c>
    </row>
    <row r="5" spans="1:8" s="166" customFormat="1" ht="15" customHeight="1" x14ac:dyDescent="0.35">
      <c r="A5">
        <v>1</v>
      </c>
      <c r="B5" t="s">
        <v>0</v>
      </c>
      <c r="C5" s="190">
        <v>23079383.940000001</v>
      </c>
      <c r="D5" s="190">
        <v>95112965.519999996</v>
      </c>
      <c r="E5" s="190">
        <v>99092450.659999996</v>
      </c>
      <c r="F5" s="190">
        <v>19099898.800000001</v>
      </c>
      <c r="G5"/>
      <c r="H5"/>
    </row>
    <row r="6" spans="1:8" s="166" customFormat="1" ht="15" customHeight="1" x14ac:dyDescent="0.35">
      <c r="A6">
        <v>11</v>
      </c>
      <c r="B6" t="s">
        <v>1</v>
      </c>
      <c r="C6" s="190">
        <v>1547168.98</v>
      </c>
      <c r="D6" s="190">
        <v>26462674.91</v>
      </c>
      <c r="E6" s="190">
        <v>26212501.039999999</v>
      </c>
      <c r="F6" s="190">
        <v>1797342.85</v>
      </c>
      <c r="G6"/>
      <c r="H6"/>
    </row>
    <row r="7" spans="1:8" s="166" customFormat="1" ht="15" customHeight="1" x14ac:dyDescent="0.35">
      <c r="A7">
        <v>1101</v>
      </c>
      <c r="B7" t="s">
        <v>185</v>
      </c>
      <c r="C7" s="190">
        <v>500</v>
      </c>
      <c r="D7" s="190">
        <v>13758.42</v>
      </c>
      <c r="E7" s="190">
        <v>13758.42</v>
      </c>
      <c r="F7" s="190">
        <v>500</v>
      </c>
      <c r="G7"/>
      <c r="H7"/>
    </row>
    <row r="8" spans="1:8" s="166" customFormat="1" ht="15" customHeight="1" x14ac:dyDescent="0.35">
      <c r="A8">
        <v>110101</v>
      </c>
      <c r="B8" t="s">
        <v>238</v>
      </c>
      <c r="C8" s="190">
        <v>0</v>
      </c>
      <c r="D8" s="190">
        <v>13758.42</v>
      </c>
      <c r="E8" s="190">
        <v>13758.42</v>
      </c>
      <c r="F8" s="190">
        <v>0</v>
      </c>
      <c r="G8"/>
      <c r="H8"/>
    </row>
    <row r="9" spans="1:8" s="166" customFormat="1" ht="15" customHeight="1" x14ac:dyDescent="0.35">
      <c r="A9">
        <v>1101011</v>
      </c>
      <c r="B9" t="s">
        <v>239</v>
      </c>
      <c r="C9" s="190">
        <v>0</v>
      </c>
      <c r="D9" s="190">
        <v>13758.42</v>
      </c>
      <c r="E9" s="190">
        <v>13758.42</v>
      </c>
      <c r="F9" s="190">
        <v>0</v>
      </c>
      <c r="G9"/>
      <c r="H9"/>
    </row>
    <row r="10" spans="1:8" s="166" customFormat="1" ht="15" customHeight="1" x14ac:dyDescent="0.35">
      <c r="A10">
        <v>110104</v>
      </c>
      <c r="B10" t="s">
        <v>240</v>
      </c>
      <c r="C10" s="190">
        <v>500</v>
      </c>
      <c r="D10" s="190">
        <v>0</v>
      </c>
      <c r="E10" s="190">
        <v>0</v>
      </c>
      <c r="F10" s="190">
        <v>500</v>
      </c>
      <c r="G10"/>
      <c r="H10"/>
    </row>
    <row r="11" spans="1:8" s="166" customFormat="1" ht="15" customHeight="1" x14ac:dyDescent="0.35">
      <c r="A11">
        <v>1101041</v>
      </c>
      <c r="B11" t="s">
        <v>241</v>
      </c>
      <c r="C11" s="190">
        <v>500</v>
      </c>
      <c r="D11" s="190">
        <v>0</v>
      </c>
      <c r="E11" s="190">
        <v>0</v>
      </c>
      <c r="F11" s="190">
        <v>500</v>
      </c>
      <c r="G11"/>
      <c r="H11"/>
    </row>
    <row r="12" spans="1:8" s="166" customFormat="1" ht="15" customHeight="1" x14ac:dyDescent="0.35">
      <c r="A12">
        <v>1102</v>
      </c>
      <c r="B12" t="s">
        <v>186</v>
      </c>
      <c r="C12" s="190">
        <v>0</v>
      </c>
      <c r="D12" s="190">
        <v>248900.28</v>
      </c>
      <c r="E12" s="190">
        <v>243602.56</v>
      </c>
      <c r="F12" s="190">
        <v>5297.72</v>
      </c>
      <c r="G12"/>
      <c r="H12"/>
    </row>
    <row r="13" spans="1:8" s="166" customFormat="1" ht="15" customHeight="1" x14ac:dyDescent="0.35">
      <c r="A13">
        <v>110201</v>
      </c>
      <c r="B13" t="s">
        <v>242</v>
      </c>
      <c r="C13" s="190">
        <v>0</v>
      </c>
      <c r="D13" s="190">
        <v>248900.28</v>
      </c>
      <c r="E13" s="190">
        <v>243602.56</v>
      </c>
      <c r="F13" s="190">
        <v>5297.72</v>
      </c>
      <c r="G13"/>
      <c r="H13"/>
    </row>
    <row r="14" spans="1:8" s="166" customFormat="1" ht="15" customHeight="1" x14ac:dyDescent="0.35">
      <c r="A14">
        <v>1102011</v>
      </c>
      <c r="B14" t="s">
        <v>243</v>
      </c>
      <c r="C14" s="190">
        <v>0</v>
      </c>
      <c r="D14" s="190">
        <v>248900.28</v>
      </c>
      <c r="E14" s="190">
        <v>243602.56</v>
      </c>
      <c r="F14" s="190">
        <v>5297.72</v>
      </c>
      <c r="G14"/>
      <c r="H14"/>
    </row>
    <row r="15" spans="1:8" s="166" customFormat="1" ht="15" customHeight="1" x14ac:dyDescent="0.35">
      <c r="A15">
        <v>1103</v>
      </c>
      <c r="B15" t="s">
        <v>2</v>
      </c>
      <c r="C15" s="190">
        <v>1546668.98</v>
      </c>
      <c r="D15" s="190">
        <v>26200016.210000001</v>
      </c>
      <c r="E15" s="190">
        <v>25955140.059999999</v>
      </c>
      <c r="F15" s="190">
        <v>1791545.13</v>
      </c>
      <c r="G15"/>
      <c r="H15"/>
    </row>
    <row r="16" spans="1:8" s="166" customFormat="1" ht="15" customHeight="1" x14ac:dyDescent="0.35">
      <c r="A16">
        <v>110301</v>
      </c>
      <c r="B16" t="s">
        <v>244</v>
      </c>
      <c r="C16" s="190">
        <v>1546668.98</v>
      </c>
      <c r="D16" s="190">
        <v>26175800.469999999</v>
      </c>
      <c r="E16" s="190">
        <v>25930924.32</v>
      </c>
      <c r="F16" s="190">
        <v>1791545.13</v>
      </c>
      <c r="G16"/>
      <c r="H16"/>
    </row>
    <row r="17" spans="1:8" s="166" customFormat="1" ht="15" customHeight="1" x14ac:dyDescent="0.35">
      <c r="A17">
        <v>1103011</v>
      </c>
      <c r="B17" t="s">
        <v>245</v>
      </c>
      <c r="C17" s="190">
        <v>1546668.98</v>
      </c>
      <c r="D17" s="190">
        <v>26175800.469999999</v>
      </c>
      <c r="E17" s="190">
        <v>25930924.32</v>
      </c>
      <c r="F17" s="190">
        <v>1791545.13</v>
      </c>
      <c r="G17"/>
      <c r="H17"/>
    </row>
    <row r="18" spans="1:8" s="166" customFormat="1" ht="15" customHeight="1" x14ac:dyDescent="0.35">
      <c r="A18">
        <v>110301101</v>
      </c>
      <c r="B18" t="s">
        <v>246</v>
      </c>
      <c r="C18" s="190">
        <v>24497.3</v>
      </c>
      <c r="D18" s="190">
        <v>147075.15</v>
      </c>
      <c r="E18" s="190">
        <v>152994.6</v>
      </c>
      <c r="F18" s="190">
        <v>18577.849999999999</v>
      </c>
      <c r="G18"/>
      <c r="H18"/>
    </row>
    <row r="19" spans="1:8" s="166" customFormat="1" ht="15" customHeight="1" x14ac:dyDescent="0.35">
      <c r="A19">
        <v>110301102</v>
      </c>
      <c r="B19" t="s">
        <v>247</v>
      </c>
      <c r="C19" s="190">
        <v>1226072.8</v>
      </c>
      <c r="D19" s="190">
        <v>20406857.100000001</v>
      </c>
      <c r="E19" s="190">
        <v>20946345.960000001</v>
      </c>
      <c r="F19" s="190">
        <v>686583.94</v>
      </c>
      <c r="G19"/>
      <c r="H19"/>
    </row>
    <row r="20" spans="1:8" s="166" customFormat="1" ht="15" customHeight="1" x14ac:dyDescent="0.35">
      <c r="A20">
        <v>110301103</v>
      </c>
      <c r="B20" t="s">
        <v>248</v>
      </c>
      <c r="C20" s="190">
        <v>96847.48</v>
      </c>
      <c r="D20" s="190">
        <v>1160185.01</v>
      </c>
      <c r="E20" s="190">
        <v>566566.79</v>
      </c>
      <c r="F20" s="190">
        <v>690465.7</v>
      </c>
      <c r="G20"/>
      <c r="H20"/>
    </row>
    <row r="21" spans="1:8" s="166" customFormat="1" ht="15" customHeight="1" x14ac:dyDescent="0.35">
      <c r="A21">
        <v>110301104</v>
      </c>
      <c r="B21" t="s">
        <v>249</v>
      </c>
      <c r="C21" s="190">
        <v>4493.97</v>
      </c>
      <c r="D21" s="190">
        <v>1313812.1599999999</v>
      </c>
      <c r="E21" s="190">
        <v>1172172.6299999999</v>
      </c>
      <c r="F21" s="190">
        <v>146133.5</v>
      </c>
      <c r="G21"/>
      <c r="H21"/>
    </row>
    <row r="22" spans="1:8" s="166" customFormat="1" ht="15" customHeight="1" x14ac:dyDescent="0.35">
      <c r="A22">
        <v>110301105</v>
      </c>
      <c r="B22" t="s">
        <v>250</v>
      </c>
      <c r="C22" s="190">
        <v>105401.68</v>
      </c>
      <c r="D22" s="190">
        <v>273584.82</v>
      </c>
      <c r="E22" s="190">
        <v>313408.03999999998</v>
      </c>
      <c r="F22" s="190">
        <v>65578.460000000006</v>
      </c>
      <c r="G22"/>
      <c r="H22"/>
    </row>
    <row r="23" spans="1:8" s="166" customFormat="1" ht="15" customHeight="1" x14ac:dyDescent="0.35">
      <c r="A23">
        <v>110301106</v>
      </c>
      <c r="B23" t="s">
        <v>251</v>
      </c>
      <c r="C23" s="190">
        <v>6346.82</v>
      </c>
      <c r="D23" s="190">
        <v>17102</v>
      </c>
      <c r="E23" s="190">
        <v>15437.26</v>
      </c>
      <c r="F23" s="190">
        <v>8011.56</v>
      </c>
      <c r="G23"/>
      <c r="H23"/>
    </row>
    <row r="24" spans="1:8" s="166" customFormat="1" ht="15" customHeight="1" x14ac:dyDescent="0.35">
      <c r="A24">
        <v>110301107</v>
      </c>
      <c r="B24" t="s">
        <v>252</v>
      </c>
      <c r="C24" s="190">
        <v>83008.929999999993</v>
      </c>
      <c r="D24" s="190">
        <v>2826983.88</v>
      </c>
      <c r="E24" s="190">
        <v>2733798.69</v>
      </c>
      <c r="F24" s="190">
        <v>176194.12</v>
      </c>
      <c r="G24"/>
      <c r="H24"/>
    </row>
    <row r="25" spans="1:8" s="166" customFormat="1" ht="15" customHeight="1" x14ac:dyDescent="0.35">
      <c r="A25">
        <v>110301110</v>
      </c>
      <c r="B25" t="s">
        <v>226</v>
      </c>
      <c r="C25" s="190">
        <v>0</v>
      </c>
      <c r="D25" s="190">
        <v>30200.35</v>
      </c>
      <c r="E25" s="190">
        <v>30200.35</v>
      </c>
      <c r="F25" s="190">
        <v>0</v>
      </c>
      <c r="G25"/>
      <c r="H25"/>
    </row>
    <row r="26" spans="1:8" s="166" customFormat="1" ht="15" customHeight="1" x14ac:dyDescent="0.35">
      <c r="A26">
        <v>110302</v>
      </c>
      <c r="B26" t="s">
        <v>253</v>
      </c>
      <c r="C26" s="190">
        <v>0</v>
      </c>
      <c r="D26" s="190">
        <v>24215.74</v>
      </c>
      <c r="E26" s="190">
        <v>24215.74</v>
      </c>
      <c r="F26" s="190">
        <v>0</v>
      </c>
      <c r="G26"/>
      <c r="H26"/>
    </row>
    <row r="27" spans="1:8" s="166" customFormat="1" ht="15" customHeight="1" x14ac:dyDescent="0.35">
      <c r="A27">
        <v>1103021</v>
      </c>
      <c r="B27" t="s">
        <v>254</v>
      </c>
      <c r="C27" s="190">
        <v>0</v>
      </c>
      <c r="D27" s="190">
        <v>24215.74</v>
      </c>
      <c r="E27" s="190">
        <v>24215.74</v>
      </c>
      <c r="F27" s="190">
        <v>0</v>
      </c>
      <c r="G27"/>
      <c r="H27"/>
    </row>
    <row r="28" spans="1:8" s="166" customFormat="1" ht="15" customHeight="1" x14ac:dyDescent="0.35">
      <c r="A28">
        <v>110302101</v>
      </c>
      <c r="B28" t="s">
        <v>255</v>
      </c>
      <c r="C28" s="190">
        <v>0</v>
      </c>
      <c r="D28" s="190">
        <v>1269.9000000000001</v>
      </c>
      <c r="E28" s="190">
        <v>1269.9000000000001</v>
      </c>
      <c r="F28" s="190">
        <v>0</v>
      </c>
      <c r="G28"/>
      <c r="H28"/>
    </row>
    <row r="29" spans="1:8" s="166" customFormat="1" ht="15" customHeight="1" x14ac:dyDescent="0.35">
      <c r="A29">
        <v>110302102</v>
      </c>
      <c r="B29" t="s">
        <v>256</v>
      </c>
      <c r="C29" s="190">
        <v>0</v>
      </c>
      <c r="D29" s="190">
        <v>20076.59</v>
      </c>
      <c r="E29" s="190">
        <v>20076.59</v>
      </c>
      <c r="F29" s="190">
        <v>0</v>
      </c>
      <c r="G29"/>
      <c r="H29"/>
    </row>
    <row r="30" spans="1:8" s="166" customFormat="1" ht="15" customHeight="1" x14ac:dyDescent="0.35">
      <c r="A30">
        <v>110302103</v>
      </c>
      <c r="B30" t="s">
        <v>227</v>
      </c>
      <c r="C30" s="190">
        <v>0</v>
      </c>
      <c r="D30" s="190">
        <v>2637.67</v>
      </c>
      <c r="E30" s="190">
        <v>2637.67</v>
      </c>
      <c r="F30" s="190">
        <v>0</v>
      </c>
      <c r="G30"/>
      <c r="H30"/>
    </row>
    <row r="31" spans="1:8" s="166" customFormat="1" ht="15" customHeight="1" x14ac:dyDescent="0.35">
      <c r="A31">
        <v>110302106</v>
      </c>
      <c r="B31" t="s">
        <v>228</v>
      </c>
      <c r="C31" s="190">
        <v>0</v>
      </c>
      <c r="D31" s="190">
        <v>231.58</v>
      </c>
      <c r="E31" s="190">
        <v>231.58</v>
      </c>
      <c r="F31" s="190">
        <v>0</v>
      </c>
      <c r="G31"/>
      <c r="H31"/>
    </row>
    <row r="32" spans="1:8" s="166" customFormat="1" ht="15" customHeight="1" x14ac:dyDescent="0.35">
      <c r="A32">
        <v>12</v>
      </c>
      <c r="B32" t="s">
        <v>3</v>
      </c>
      <c r="C32" s="190">
        <v>15347850.619999999</v>
      </c>
      <c r="D32" s="190">
        <v>8840469.3900000006</v>
      </c>
      <c r="E32" s="190">
        <v>13783124.84</v>
      </c>
      <c r="F32" s="190">
        <v>10405195.17</v>
      </c>
      <c r="G32"/>
      <c r="H32"/>
    </row>
    <row r="33" spans="1:8" s="166" customFormat="1" ht="15" customHeight="1" x14ac:dyDescent="0.35">
      <c r="A33">
        <v>1201</v>
      </c>
      <c r="B33" t="s">
        <v>4</v>
      </c>
      <c r="C33" s="190">
        <v>1811070.56</v>
      </c>
      <c r="D33" s="190">
        <v>2473185.84</v>
      </c>
      <c r="E33" s="190">
        <v>2310403.54</v>
      </c>
      <c r="F33" s="190">
        <v>1973852.86</v>
      </c>
      <c r="G33"/>
      <c r="H33"/>
    </row>
    <row r="34" spans="1:8" s="166" customFormat="1" ht="15" customHeight="1" x14ac:dyDescent="0.35">
      <c r="A34">
        <v>120101</v>
      </c>
      <c r="B34" t="s">
        <v>257</v>
      </c>
      <c r="C34" s="190">
        <v>1011070.56</v>
      </c>
      <c r="D34" s="190">
        <v>1473185.84</v>
      </c>
      <c r="E34" s="190">
        <v>1010403.54</v>
      </c>
      <c r="F34" s="190">
        <v>1473852.86</v>
      </c>
      <c r="G34"/>
      <c r="H34"/>
    </row>
    <row r="35" spans="1:8" s="166" customFormat="1" ht="15" customHeight="1" x14ac:dyDescent="0.35">
      <c r="A35">
        <v>1201011</v>
      </c>
      <c r="B35" t="s">
        <v>258</v>
      </c>
      <c r="C35" s="190">
        <v>1011070.56</v>
      </c>
      <c r="D35" s="190">
        <v>1473185.84</v>
      </c>
      <c r="E35" s="190">
        <v>1010403.54</v>
      </c>
      <c r="F35" s="190">
        <v>1473852.86</v>
      </c>
      <c r="G35"/>
      <c r="H35"/>
    </row>
    <row r="36" spans="1:8" s="166" customFormat="1" ht="15" customHeight="1" x14ac:dyDescent="0.35">
      <c r="A36">
        <v>120101101</v>
      </c>
      <c r="B36" t="s">
        <v>259</v>
      </c>
      <c r="C36" s="190">
        <v>0</v>
      </c>
      <c r="D36" s="190">
        <v>953499.52</v>
      </c>
      <c r="E36" s="190">
        <v>480403.54</v>
      </c>
      <c r="F36" s="190">
        <v>473095.98</v>
      </c>
      <c r="G36"/>
      <c r="H36"/>
    </row>
    <row r="37" spans="1:8" s="166" customFormat="1" ht="15" customHeight="1" x14ac:dyDescent="0.35">
      <c r="A37">
        <v>120101103</v>
      </c>
      <c r="B37" t="s">
        <v>260</v>
      </c>
      <c r="C37" s="190">
        <v>511070.56</v>
      </c>
      <c r="D37" s="190">
        <v>19686.32</v>
      </c>
      <c r="E37" s="190">
        <v>530000</v>
      </c>
      <c r="F37" s="190">
        <v>756.88</v>
      </c>
      <c r="G37"/>
      <c r="H37"/>
    </row>
    <row r="38" spans="1:8" s="166" customFormat="1" ht="15" customHeight="1" x14ac:dyDescent="0.35">
      <c r="A38">
        <v>120101105</v>
      </c>
      <c r="B38" t="s">
        <v>261</v>
      </c>
      <c r="C38" s="190">
        <v>500000</v>
      </c>
      <c r="D38" s="190">
        <v>500000</v>
      </c>
      <c r="E38" s="190">
        <v>0</v>
      </c>
      <c r="F38" s="190">
        <v>1000000</v>
      </c>
      <c r="G38"/>
      <c r="H38"/>
    </row>
    <row r="39" spans="1:8" s="166" customFormat="1" ht="15" customHeight="1" x14ac:dyDescent="0.35">
      <c r="A39">
        <v>120105</v>
      </c>
      <c r="B39" t="s">
        <v>262</v>
      </c>
      <c r="C39" s="190">
        <v>800000</v>
      </c>
      <c r="D39" s="190">
        <v>1000000</v>
      </c>
      <c r="E39" s="190">
        <v>1300000</v>
      </c>
      <c r="F39" s="190">
        <v>500000</v>
      </c>
      <c r="G39"/>
      <c r="H39"/>
    </row>
    <row r="40" spans="1:8" s="166" customFormat="1" ht="15" customHeight="1" x14ac:dyDescent="0.35">
      <c r="A40">
        <v>1201051</v>
      </c>
      <c r="B40" t="s">
        <v>263</v>
      </c>
      <c r="C40" s="190">
        <v>800000</v>
      </c>
      <c r="D40" s="190">
        <v>1000000</v>
      </c>
      <c r="E40" s="190">
        <v>1300000</v>
      </c>
      <c r="F40" s="190">
        <v>500000</v>
      </c>
      <c r="G40"/>
      <c r="H40"/>
    </row>
    <row r="41" spans="1:8" ht="15" customHeight="1" x14ac:dyDescent="0.35">
      <c r="A41">
        <v>120105102</v>
      </c>
      <c r="B41" t="s">
        <v>264</v>
      </c>
      <c r="C41" s="190">
        <v>800000</v>
      </c>
      <c r="D41" s="190">
        <v>1000000</v>
      </c>
      <c r="E41" s="190">
        <v>1300000</v>
      </c>
      <c r="F41" s="190">
        <v>500000</v>
      </c>
      <c r="G41"/>
      <c r="H41"/>
    </row>
    <row r="42" spans="1:8" ht="15" customHeight="1" x14ac:dyDescent="0.35">
      <c r="A42">
        <v>12010510201</v>
      </c>
      <c r="B42" t="s">
        <v>265</v>
      </c>
      <c r="C42" s="190">
        <v>800000</v>
      </c>
      <c r="D42" s="190">
        <v>1000000</v>
      </c>
      <c r="E42" s="190">
        <v>1300000</v>
      </c>
      <c r="F42" s="190">
        <v>500000</v>
      </c>
      <c r="G42"/>
      <c r="H42"/>
    </row>
    <row r="43" spans="1:8" ht="15" customHeight="1" x14ac:dyDescent="0.35">
      <c r="A43">
        <v>1201051020102</v>
      </c>
      <c r="B43" t="s">
        <v>274</v>
      </c>
      <c r="C43" s="190">
        <v>800000</v>
      </c>
      <c r="D43" s="190">
        <v>500000</v>
      </c>
      <c r="E43" s="190">
        <v>800000</v>
      </c>
      <c r="F43" s="190">
        <v>500000</v>
      </c>
      <c r="G43"/>
      <c r="H43"/>
    </row>
    <row r="44" spans="1:8" ht="15" customHeight="1" x14ac:dyDescent="0.35">
      <c r="A44">
        <v>1202</v>
      </c>
      <c r="B44" t="s">
        <v>266</v>
      </c>
      <c r="C44" s="190">
        <v>0</v>
      </c>
      <c r="D44" s="190">
        <v>100000</v>
      </c>
      <c r="E44" s="190">
        <v>0</v>
      </c>
      <c r="F44" s="190">
        <v>100000</v>
      </c>
      <c r="G44"/>
      <c r="H44"/>
    </row>
    <row r="45" spans="1:8" ht="15" customHeight="1" x14ac:dyDescent="0.35">
      <c r="A45">
        <v>120203</v>
      </c>
      <c r="B45" t="s">
        <v>267</v>
      </c>
      <c r="C45" s="190">
        <v>0</v>
      </c>
      <c r="D45" s="190">
        <v>100000</v>
      </c>
      <c r="E45" s="190">
        <v>0</v>
      </c>
      <c r="F45" s="190">
        <v>100000</v>
      </c>
      <c r="G45"/>
      <c r="H45"/>
    </row>
    <row r="46" spans="1:8" ht="15" customHeight="1" x14ac:dyDescent="0.35">
      <c r="A46">
        <v>1202031</v>
      </c>
      <c r="B46" t="s">
        <v>268</v>
      </c>
      <c r="C46" s="190">
        <v>0</v>
      </c>
      <c r="D46" s="190">
        <v>100000</v>
      </c>
      <c r="E46" s="190">
        <v>0</v>
      </c>
      <c r="F46" s="190">
        <v>100000</v>
      </c>
      <c r="G46"/>
      <c r="H46"/>
    </row>
    <row r="47" spans="1:8" ht="15" customHeight="1" x14ac:dyDescent="0.35">
      <c r="A47">
        <v>120203100</v>
      </c>
      <c r="B47" t="s">
        <v>268</v>
      </c>
      <c r="C47" s="190">
        <v>0</v>
      </c>
      <c r="D47" s="190">
        <v>100000</v>
      </c>
      <c r="E47" s="190">
        <v>0</v>
      </c>
      <c r="F47" s="190">
        <v>100000</v>
      </c>
      <c r="G47"/>
      <c r="H47"/>
    </row>
    <row r="48" spans="1:8" ht="15" customHeight="1" x14ac:dyDescent="0.35">
      <c r="A48">
        <v>12020310010</v>
      </c>
      <c r="B48" t="s">
        <v>269</v>
      </c>
      <c r="C48" s="190">
        <v>0</v>
      </c>
      <c r="D48" s="190">
        <v>100000</v>
      </c>
      <c r="E48" s="190">
        <v>0</v>
      </c>
      <c r="F48" s="190">
        <v>100000</v>
      </c>
      <c r="G48"/>
      <c r="H48"/>
    </row>
    <row r="49" spans="1:8" ht="15" customHeight="1" x14ac:dyDescent="0.35">
      <c r="A49">
        <v>1203</v>
      </c>
      <c r="B49" t="s">
        <v>270</v>
      </c>
      <c r="C49" s="190">
        <v>12575034.800000001</v>
      </c>
      <c r="D49" s="190">
        <v>4720541.5999999996</v>
      </c>
      <c r="E49" s="190">
        <v>9124180.6899999995</v>
      </c>
      <c r="F49" s="190">
        <v>8171395.71</v>
      </c>
      <c r="G49"/>
      <c r="H49"/>
    </row>
    <row r="50" spans="1:8" ht="15" customHeight="1" x14ac:dyDescent="0.35">
      <c r="A50">
        <v>120301</v>
      </c>
      <c r="B50" t="s">
        <v>271</v>
      </c>
      <c r="C50" s="190">
        <v>1250000</v>
      </c>
      <c r="D50" s="190">
        <v>600000</v>
      </c>
      <c r="E50" s="190">
        <v>865000</v>
      </c>
      <c r="F50" s="190">
        <v>985000</v>
      </c>
      <c r="G50"/>
      <c r="H50"/>
    </row>
    <row r="51" spans="1:8" ht="15" customHeight="1" x14ac:dyDescent="0.35">
      <c r="A51">
        <v>1203011</v>
      </c>
      <c r="B51" t="s">
        <v>272</v>
      </c>
      <c r="C51" s="190">
        <v>1250000</v>
      </c>
      <c r="D51" s="190">
        <v>600000</v>
      </c>
      <c r="E51" s="190">
        <v>865000</v>
      </c>
      <c r="F51" s="190">
        <v>985000</v>
      </c>
      <c r="G51"/>
      <c r="H51"/>
    </row>
    <row r="52" spans="1:8" ht="15" customHeight="1" x14ac:dyDescent="0.35">
      <c r="A52">
        <v>120301101</v>
      </c>
      <c r="B52" t="s">
        <v>273</v>
      </c>
      <c r="C52" s="190">
        <v>200000</v>
      </c>
      <c r="D52" s="190">
        <v>0</v>
      </c>
      <c r="E52" s="190">
        <v>200000</v>
      </c>
      <c r="F52" s="190">
        <v>0</v>
      </c>
      <c r="G52"/>
      <c r="H52"/>
    </row>
    <row r="53" spans="1:8" ht="15" customHeight="1" x14ac:dyDescent="0.35">
      <c r="A53">
        <v>12030110102</v>
      </c>
      <c r="B53" t="s">
        <v>274</v>
      </c>
      <c r="C53" s="190">
        <v>200000</v>
      </c>
      <c r="D53" s="190">
        <v>0</v>
      </c>
      <c r="E53" s="190">
        <v>200000</v>
      </c>
      <c r="F53" s="190">
        <v>0</v>
      </c>
      <c r="G53"/>
      <c r="H53"/>
    </row>
    <row r="54" spans="1:8" ht="15" customHeight="1" x14ac:dyDescent="0.35">
      <c r="A54">
        <v>120301102</v>
      </c>
      <c r="B54" t="s">
        <v>275</v>
      </c>
      <c r="C54" s="190">
        <v>365000</v>
      </c>
      <c r="D54" s="190">
        <v>0</v>
      </c>
      <c r="E54" s="190">
        <v>65000</v>
      </c>
      <c r="F54" s="190">
        <v>300000</v>
      </c>
      <c r="G54"/>
      <c r="H54"/>
    </row>
    <row r="55" spans="1:8" ht="15" customHeight="1" x14ac:dyDescent="0.35">
      <c r="A55">
        <v>120301104</v>
      </c>
      <c r="B55" t="s">
        <v>276</v>
      </c>
      <c r="C55" s="190">
        <v>500000</v>
      </c>
      <c r="D55" s="190">
        <v>600000</v>
      </c>
      <c r="E55" s="190">
        <v>600000</v>
      </c>
      <c r="F55" s="190">
        <v>500000</v>
      </c>
      <c r="G55"/>
      <c r="H55"/>
    </row>
    <row r="56" spans="1:8" ht="15" customHeight="1" x14ac:dyDescent="0.35">
      <c r="A56">
        <v>120301105</v>
      </c>
      <c r="B56" t="s">
        <v>277</v>
      </c>
      <c r="C56" s="190">
        <v>185000</v>
      </c>
      <c r="D56" s="190">
        <v>0</v>
      </c>
      <c r="E56" s="190">
        <v>0</v>
      </c>
      <c r="F56" s="190">
        <v>185000</v>
      </c>
      <c r="G56"/>
      <c r="H56"/>
    </row>
    <row r="57" spans="1:8" ht="15" customHeight="1" x14ac:dyDescent="0.35">
      <c r="A57">
        <v>120303</v>
      </c>
      <c r="B57" t="s">
        <v>278</v>
      </c>
      <c r="C57" s="190">
        <v>4425034.8</v>
      </c>
      <c r="D57" s="190">
        <v>970507.28</v>
      </c>
      <c r="E57" s="190">
        <v>1509146.37</v>
      </c>
      <c r="F57" s="190">
        <v>3886395.71</v>
      </c>
      <c r="G57"/>
      <c r="H57"/>
    </row>
    <row r="58" spans="1:8" ht="15" customHeight="1" x14ac:dyDescent="0.35">
      <c r="A58">
        <v>1203031</v>
      </c>
      <c r="B58" t="s">
        <v>279</v>
      </c>
      <c r="C58" s="190">
        <v>4425034.8</v>
      </c>
      <c r="D58" s="190">
        <v>970507.28</v>
      </c>
      <c r="E58" s="190">
        <v>1509146.37</v>
      </c>
      <c r="F58" s="190">
        <v>3886395.71</v>
      </c>
      <c r="G58"/>
      <c r="H58"/>
    </row>
    <row r="59" spans="1:8" ht="15" customHeight="1" x14ac:dyDescent="0.35">
      <c r="A59">
        <v>120303101</v>
      </c>
      <c r="B59" t="s">
        <v>280</v>
      </c>
      <c r="C59" s="190">
        <v>3995508.84</v>
      </c>
      <c r="D59" s="190">
        <v>135695.4</v>
      </c>
      <c r="E59" s="190">
        <v>476595.79</v>
      </c>
      <c r="F59" s="190">
        <v>3654608.45</v>
      </c>
      <c r="G59"/>
      <c r="H59"/>
    </row>
    <row r="60" spans="1:8" ht="15" customHeight="1" x14ac:dyDescent="0.35">
      <c r="A60">
        <v>12030310101</v>
      </c>
      <c r="B60" t="s">
        <v>281</v>
      </c>
      <c r="C60" s="190">
        <v>12446.89</v>
      </c>
      <c r="D60" s="190">
        <v>13099.68</v>
      </c>
      <c r="E60" s="190">
        <v>0</v>
      </c>
      <c r="F60" s="190">
        <v>25546.57</v>
      </c>
      <c r="G60"/>
      <c r="H60"/>
    </row>
    <row r="61" spans="1:8" ht="15" customHeight="1" x14ac:dyDescent="0.35">
      <c r="A61">
        <v>12030310102</v>
      </c>
      <c r="B61" t="s">
        <v>282</v>
      </c>
      <c r="C61" s="190">
        <v>478354.1</v>
      </c>
      <c r="D61" s="190">
        <v>136.84</v>
      </c>
      <c r="E61" s="190">
        <v>476595.79</v>
      </c>
      <c r="F61" s="190">
        <v>1895.15</v>
      </c>
      <c r="G61"/>
      <c r="H61"/>
    </row>
    <row r="62" spans="1:8" ht="15" customHeight="1" x14ac:dyDescent="0.35">
      <c r="A62">
        <v>12030310103</v>
      </c>
      <c r="B62" t="s">
        <v>283</v>
      </c>
      <c r="C62" s="190">
        <v>1485013.19</v>
      </c>
      <c r="D62" s="190">
        <v>24184.02</v>
      </c>
      <c r="E62" s="190">
        <v>0</v>
      </c>
      <c r="F62" s="190">
        <v>1509197.21</v>
      </c>
      <c r="G62"/>
      <c r="H62"/>
    </row>
    <row r="63" spans="1:8" ht="15" customHeight="1" x14ac:dyDescent="0.35">
      <c r="A63">
        <v>12030310104</v>
      </c>
      <c r="B63" t="s">
        <v>284</v>
      </c>
      <c r="C63" s="190">
        <v>886615.54</v>
      </c>
      <c r="D63" s="190">
        <v>46132.29</v>
      </c>
      <c r="E63" s="190">
        <v>0</v>
      </c>
      <c r="F63" s="190">
        <v>932747.83</v>
      </c>
      <c r="G63"/>
      <c r="H63"/>
    </row>
    <row r="64" spans="1:8" ht="15" customHeight="1" x14ac:dyDescent="0.35">
      <c r="A64">
        <v>12030310105</v>
      </c>
      <c r="B64" t="s">
        <v>285</v>
      </c>
      <c r="C64" s="190">
        <v>1133079.1200000001</v>
      </c>
      <c r="D64" s="190">
        <v>52142.57</v>
      </c>
      <c r="E64" s="190">
        <v>0</v>
      </c>
      <c r="F64" s="190">
        <v>1185221.69</v>
      </c>
      <c r="G64"/>
      <c r="H64"/>
    </row>
    <row r="65" spans="1:8" ht="15" customHeight="1" x14ac:dyDescent="0.35">
      <c r="A65">
        <v>120303102</v>
      </c>
      <c r="B65" t="s">
        <v>286</v>
      </c>
      <c r="C65" s="190">
        <v>267701.76000000001</v>
      </c>
      <c r="D65" s="190">
        <v>834457.81</v>
      </c>
      <c r="E65" s="190">
        <v>1032550.58</v>
      </c>
      <c r="F65" s="190">
        <v>69608.990000000005</v>
      </c>
      <c r="G65"/>
      <c r="H65"/>
    </row>
    <row r="66" spans="1:8" ht="15" customHeight="1" x14ac:dyDescent="0.35">
      <c r="A66">
        <v>12030310201</v>
      </c>
      <c r="B66" t="s">
        <v>287</v>
      </c>
      <c r="C66" s="190">
        <v>11807.05</v>
      </c>
      <c r="D66" s="190">
        <v>524455.54</v>
      </c>
      <c r="E66" s="190">
        <v>516824.52</v>
      </c>
      <c r="F66" s="190">
        <v>19438.07</v>
      </c>
      <c r="G66"/>
      <c r="H66"/>
    </row>
    <row r="67" spans="1:8" ht="15" customHeight="1" x14ac:dyDescent="0.35">
      <c r="A67">
        <v>12030310202</v>
      </c>
      <c r="B67" t="s">
        <v>288</v>
      </c>
      <c r="C67" s="190">
        <v>255894.71</v>
      </c>
      <c r="D67" s="190">
        <v>310002.27</v>
      </c>
      <c r="E67" s="190">
        <v>515726.06</v>
      </c>
      <c r="F67" s="190">
        <v>50170.92</v>
      </c>
      <c r="G67"/>
      <c r="H67"/>
    </row>
    <row r="68" spans="1:8" ht="15" customHeight="1" x14ac:dyDescent="0.35">
      <c r="A68">
        <v>120303103</v>
      </c>
      <c r="B68" t="s">
        <v>289</v>
      </c>
      <c r="C68" s="190">
        <v>11824.2</v>
      </c>
      <c r="D68" s="190">
        <v>354.07</v>
      </c>
      <c r="E68" s="190">
        <v>0</v>
      </c>
      <c r="F68" s="190">
        <v>12178.27</v>
      </c>
      <c r="G68"/>
      <c r="H68"/>
    </row>
    <row r="69" spans="1:8" ht="15" customHeight="1" x14ac:dyDescent="0.35">
      <c r="A69">
        <v>12030310301</v>
      </c>
      <c r="B69" t="s">
        <v>290</v>
      </c>
      <c r="C69" s="190">
        <v>11824.2</v>
      </c>
      <c r="D69" s="190">
        <v>354.07</v>
      </c>
      <c r="E69" s="190">
        <v>0</v>
      </c>
      <c r="F69" s="190">
        <v>12178.27</v>
      </c>
      <c r="G69"/>
      <c r="H69"/>
    </row>
    <row r="70" spans="1:8" ht="15" customHeight="1" x14ac:dyDescent="0.35">
      <c r="A70">
        <v>120303104</v>
      </c>
      <c r="B70" t="s">
        <v>291</v>
      </c>
      <c r="C70" s="190">
        <v>150000</v>
      </c>
      <c r="D70" s="190">
        <v>0</v>
      </c>
      <c r="E70" s="190">
        <v>0</v>
      </c>
      <c r="F70" s="190">
        <v>150000</v>
      </c>
      <c r="G70"/>
      <c r="H70"/>
    </row>
    <row r="71" spans="1:8" ht="15" customHeight="1" x14ac:dyDescent="0.35">
      <c r="A71">
        <v>12030310401</v>
      </c>
      <c r="B71" t="s">
        <v>292</v>
      </c>
      <c r="C71" s="190">
        <v>150000</v>
      </c>
      <c r="D71" s="190">
        <v>0</v>
      </c>
      <c r="E71" s="190">
        <v>0</v>
      </c>
      <c r="F71" s="190">
        <v>150000</v>
      </c>
      <c r="G71"/>
      <c r="H71"/>
    </row>
    <row r="72" spans="1:8" ht="15" customHeight="1" x14ac:dyDescent="0.35">
      <c r="A72">
        <v>120304</v>
      </c>
      <c r="B72" t="s">
        <v>293</v>
      </c>
      <c r="C72" s="190">
        <v>6900000</v>
      </c>
      <c r="D72" s="190">
        <v>3150034.32</v>
      </c>
      <c r="E72" s="190">
        <v>6750034.3200000003</v>
      </c>
      <c r="F72" s="190">
        <v>3300000</v>
      </c>
      <c r="G72"/>
      <c r="H72"/>
    </row>
    <row r="73" spans="1:8" ht="15" customHeight="1" x14ac:dyDescent="0.35">
      <c r="A73">
        <v>1203041</v>
      </c>
      <c r="B73" t="s">
        <v>294</v>
      </c>
      <c r="C73" s="190">
        <v>6900000</v>
      </c>
      <c r="D73" s="190">
        <v>3150034.32</v>
      </c>
      <c r="E73" s="190">
        <v>6750034.3200000003</v>
      </c>
      <c r="F73" s="190">
        <v>3300000</v>
      </c>
      <c r="G73"/>
      <c r="H73"/>
    </row>
    <row r="74" spans="1:8" ht="15" customHeight="1" x14ac:dyDescent="0.35">
      <c r="A74">
        <v>120304102</v>
      </c>
      <c r="B74" t="s">
        <v>295</v>
      </c>
      <c r="C74" s="190">
        <v>1000000</v>
      </c>
      <c r="D74" s="190">
        <v>1100034.32</v>
      </c>
      <c r="E74" s="190">
        <v>1500034.32</v>
      </c>
      <c r="F74" s="190">
        <v>600000</v>
      </c>
      <c r="G74"/>
      <c r="H74"/>
    </row>
    <row r="75" spans="1:8" ht="15" customHeight="1" x14ac:dyDescent="0.35">
      <c r="A75">
        <v>12030410201</v>
      </c>
      <c r="B75" t="s">
        <v>296</v>
      </c>
      <c r="C75" s="190">
        <v>1000000</v>
      </c>
      <c r="D75" s="190">
        <v>300000</v>
      </c>
      <c r="E75" s="190">
        <v>700000</v>
      </c>
      <c r="F75" s="190">
        <v>600000</v>
      </c>
      <c r="G75"/>
      <c r="H75"/>
    </row>
    <row r="76" spans="1:8" ht="15" customHeight="1" x14ac:dyDescent="0.35">
      <c r="A76">
        <v>120304103</v>
      </c>
      <c r="B76" t="s">
        <v>227</v>
      </c>
      <c r="C76" s="190">
        <v>2150000</v>
      </c>
      <c r="D76" s="190">
        <v>700000</v>
      </c>
      <c r="E76" s="190">
        <v>1500000</v>
      </c>
      <c r="F76" s="190">
        <v>1350000</v>
      </c>
      <c r="G76"/>
      <c r="H76"/>
    </row>
    <row r="77" spans="1:8" ht="15" customHeight="1" x14ac:dyDescent="0.35">
      <c r="A77">
        <v>12030410301</v>
      </c>
      <c r="B77" t="s">
        <v>297</v>
      </c>
      <c r="C77" s="190">
        <v>850000</v>
      </c>
      <c r="D77" s="190">
        <v>350000</v>
      </c>
      <c r="E77" s="190">
        <v>850000</v>
      </c>
      <c r="F77" s="190">
        <v>350000</v>
      </c>
      <c r="G77"/>
      <c r="H77"/>
    </row>
    <row r="78" spans="1:8" ht="15" customHeight="1" x14ac:dyDescent="0.35">
      <c r="A78">
        <v>12030410302</v>
      </c>
      <c r="B78" t="s">
        <v>298</v>
      </c>
      <c r="C78" s="190">
        <v>1300000</v>
      </c>
      <c r="D78" s="190">
        <v>0</v>
      </c>
      <c r="E78" s="190">
        <v>300000</v>
      </c>
      <c r="F78" s="190">
        <v>1000000</v>
      </c>
      <c r="G78"/>
      <c r="H78"/>
    </row>
    <row r="79" spans="1:8" ht="15" customHeight="1" x14ac:dyDescent="0.35">
      <c r="A79">
        <v>120304106</v>
      </c>
      <c r="B79" t="s">
        <v>299</v>
      </c>
      <c r="C79" s="190">
        <v>500000</v>
      </c>
      <c r="D79" s="190">
        <v>500000</v>
      </c>
      <c r="E79" s="190">
        <v>500000</v>
      </c>
      <c r="F79" s="190">
        <v>500000</v>
      </c>
      <c r="G79"/>
      <c r="H79"/>
    </row>
    <row r="80" spans="1:8" ht="15" customHeight="1" x14ac:dyDescent="0.35">
      <c r="A80">
        <v>12030410601</v>
      </c>
      <c r="B80" t="s">
        <v>296</v>
      </c>
      <c r="C80" s="190">
        <v>500000</v>
      </c>
      <c r="D80" s="190">
        <v>500000</v>
      </c>
      <c r="E80" s="190">
        <v>500000</v>
      </c>
      <c r="F80" s="190">
        <v>500000</v>
      </c>
      <c r="G80"/>
      <c r="H80"/>
    </row>
    <row r="81" spans="1:8" ht="15" customHeight="1" x14ac:dyDescent="0.35">
      <c r="A81">
        <v>120304107</v>
      </c>
      <c r="B81" t="s">
        <v>300</v>
      </c>
      <c r="C81" s="190">
        <v>500000</v>
      </c>
      <c r="D81" s="190">
        <v>300000</v>
      </c>
      <c r="E81" s="190">
        <v>500000</v>
      </c>
      <c r="F81" s="190">
        <v>300000</v>
      </c>
      <c r="G81"/>
      <c r="H81"/>
    </row>
    <row r="82" spans="1:8" ht="15" customHeight="1" x14ac:dyDescent="0.35">
      <c r="A82">
        <v>12030410701</v>
      </c>
      <c r="B82" t="s">
        <v>297</v>
      </c>
      <c r="C82" s="190">
        <v>300000</v>
      </c>
      <c r="D82" s="190">
        <v>0</v>
      </c>
      <c r="E82" s="190">
        <v>0</v>
      </c>
      <c r="F82" s="190">
        <v>300000</v>
      </c>
      <c r="G82"/>
      <c r="H82"/>
    </row>
    <row r="83" spans="1:8" ht="15" customHeight="1" x14ac:dyDescent="0.35">
      <c r="A83">
        <v>12030410703</v>
      </c>
      <c r="B83" t="s">
        <v>274</v>
      </c>
      <c r="C83" s="190">
        <v>200000</v>
      </c>
      <c r="D83" s="190">
        <v>0</v>
      </c>
      <c r="E83" s="190">
        <v>200000</v>
      </c>
      <c r="F83" s="190">
        <v>0</v>
      </c>
      <c r="G83"/>
      <c r="H83"/>
    </row>
    <row r="84" spans="1:8" ht="15" customHeight="1" x14ac:dyDescent="0.35">
      <c r="A84">
        <v>120304111</v>
      </c>
      <c r="B84" t="s">
        <v>301</v>
      </c>
      <c r="C84" s="190">
        <v>2000000</v>
      </c>
      <c r="D84" s="190">
        <v>300000</v>
      </c>
      <c r="E84" s="190">
        <v>2000000</v>
      </c>
      <c r="F84" s="190">
        <v>300000</v>
      </c>
      <c r="G84"/>
      <c r="H84"/>
    </row>
    <row r="85" spans="1:8" ht="15" customHeight="1" x14ac:dyDescent="0.35">
      <c r="A85">
        <v>12030411101</v>
      </c>
      <c r="B85" t="s">
        <v>297</v>
      </c>
      <c r="C85" s="190">
        <v>1000000</v>
      </c>
      <c r="D85" s="190">
        <v>300000</v>
      </c>
      <c r="E85" s="190">
        <v>1000000</v>
      </c>
      <c r="F85" s="190">
        <v>300000</v>
      </c>
      <c r="G85"/>
      <c r="H85"/>
    </row>
    <row r="86" spans="1:8" ht="15" customHeight="1" x14ac:dyDescent="0.35">
      <c r="A86">
        <v>12030411103</v>
      </c>
      <c r="B86" t="s">
        <v>274</v>
      </c>
      <c r="C86" s="190">
        <v>1000000</v>
      </c>
      <c r="D86" s="190">
        <v>0</v>
      </c>
      <c r="E86" s="190">
        <v>1000000</v>
      </c>
      <c r="F86" s="190">
        <v>0</v>
      </c>
      <c r="G86"/>
      <c r="H86"/>
    </row>
    <row r="87" spans="1:8" ht="15" customHeight="1" x14ac:dyDescent="0.35">
      <c r="A87">
        <v>120304112</v>
      </c>
      <c r="B87" t="s">
        <v>302</v>
      </c>
      <c r="C87" s="190">
        <v>450000</v>
      </c>
      <c r="D87" s="190">
        <v>250000</v>
      </c>
      <c r="E87" s="190">
        <v>450000</v>
      </c>
      <c r="F87" s="190">
        <v>250000</v>
      </c>
      <c r="G87"/>
      <c r="H87"/>
    </row>
    <row r="88" spans="1:8" ht="15" customHeight="1" x14ac:dyDescent="0.35">
      <c r="A88">
        <v>12030411201</v>
      </c>
      <c r="B88" t="s">
        <v>297</v>
      </c>
      <c r="C88" s="190">
        <v>450000</v>
      </c>
      <c r="D88" s="190">
        <v>250000</v>
      </c>
      <c r="E88" s="190">
        <v>450000</v>
      </c>
      <c r="F88" s="190">
        <v>250000</v>
      </c>
      <c r="G88"/>
      <c r="H88"/>
    </row>
    <row r="89" spans="1:8" ht="15" customHeight="1" x14ac:dyDescent="0.35">
      <c r="A89">
        <v>120304113</v>
      </c>
      <c r="B89" t="s">
        <v>303</v>
      </c>
      <c r="C89" s="190">
        <v>300000</v>
      </c>
      <c r="D89" s="190">
        <v>0</v>
      </c>
      <c r="E89" s="190">
        <v>300000</v>
      </c>
      <c r="F89" s="190">
        <v>0</v>
      </c>
      <c r="G89"/>
      <c r="H89"/>
    </row>
    <row r="90" spans="1:8" ht="15" customHeight="1" x14ac:dyDescent="0.35">
      <c r="A90">
        <v>12030411301</v>
      </c>
      <c r="B90" t="s">
        <v>297</v>
      </c>
      <c r="C90" s="190">
        <v>300000</v>
      </c>
      <c r="D90" s="190">
        <v>0</v>
      </c>
      <c r="E90" s="190">
        <v>300000</v>
      </c>
      <c r="F90" s="190">
        <v>0</v>
      </c>
      <c r="G90"/>
      <c r="H90"/>
    </row>
    <row r="91" spans="1:8" ht="15" customHeight="1" x14ac:dyDescent="0.35">
      <c r="A91">
        <v>1205</v>
      </c>
      <c r="B91" t="s">
        <v>187</v>
      </c>
      <c r="C91" s="190">
        <v>795309.93</v>
      </c>
      <c r="D91" s="190">
        <v>831550.85</v>
      </c>
      <c r="E91" s="190">
        <v>1626860.78</v>
      </c>
      <c r="F91" s="190">
        <v>0</v>
      </c>
      <c r="G91"/>
      <c r="H91"/>
    </row>
    <row r="92" spans="1:8" ht="15" customHeight="1" x14ac:dyDescent="0.35">
      <c r="A92">
        <v>120501</v>
      </c>
      <c r="B92" t="s">
        <v>4</v>
      </c>
      <c r="C92" s="190">
        <v>795309.93</v>
      </c>
      <c r="D92" s="190">
        <v>831550.85</v>
      </c>
      <c r="E92" s="190">
        <v>1626860.78</v>
      </c>
      <c r="F92" s="190">
        <v>0</v>
      </c>
      <c r="G92"/>
      <c r="H92"/>
    </row>
    <row r="93" spans="1:8" ht="15" customHeight="1" x14ac:dyDescent="0.35">
      <c r="A93">
        <v>1205011</v>
      </c>
      <c r="B93" t="s">
        <v>304</v>
      </c>
      <c r="C93" s="190">
        <v>795309.93</v>
      </c>
      <c r="D93" s="190">
        <v>831550.85</v>
      </c>
      <c r="E93" s="190">
        <v>1626860.78</v>
      </c>
      <c r="F93" s="190">
        <v>0</v>
      </c>
      <c r="G93"/>
      <c r="H93"/>
    </row>
    <row r="94" spans="1:8" ht="15" customHeight="1" x14ac:dyDescent="0.35">
      <c r="A94">
        <v>120501101</v>
      </c>
      <c r="B94" t="s">
        <v>305</v>
      </c>
      <c r="C94" s="190">
        <v>795309.93</v>
      </c>
      <c r="D94" s="190">
        <v>831550.85</v>
      </c>
      <c r="E94" s="190">
        <v>1626860.78</v>
      </c>
      <c r="F94" s="190">
        <v>0</v>
      </c>
      <c r="G94"/>
      <c r="H94"/>
    </row>
    <row r="95" spans="1:8" ht="15" customHeight="1" x14ac:dyDescent="0.35">
      <c r="A95">
        <v>1298</v>
      </c>
      <c r="B95" t="s">
        <v>6</v>
      </c>
      <c r="C95" s="190">
        <v>166435.32999999999</v>
      </c>
      <c r="D95" s="190">
        <v>715191.1</v>
      </c>
      <c r="E95" s="190">
        <v>721679.83</v>
      </c>
      <c r="F95" s="190">
        <v>159946.6</v>
      </c>
      <c r="G95"/>
      <c r="H95"/>
    </row>
    <row r="96" spans="1:8" ht="15" customHeight="1" x14ac:dyDescent="0.35">
      <c r="A96">
        <v>129801</v>
      </c>
      <c r="B96" t="s">
        <v>4</v>
      </c>
      <c r="C96" s="190">
        <v>28131.4</v>
      </c>
      <c r="D96" s="190">
        <v>138180.22</v>
      </c>
      <c r="E96" s="190">
        <v>157123.24</v>
      </c>
      <c r="F96" s="190">
        <v>9188.3799999999992</v>
      </c>
      <c r="G96"/>
      <c r="H96"/>
    </row>
    <row r="97" spans="1:8" ht="15" customHeight="1" x14ac:dyDescent="0.35">
      <c r="A97">
        <v>1298011</v>
      </c>
      <c r="B97" t="s">
        <v>304</v>
      </c>
      <c r="C97" s="190">
        <v>28131.4</v>
      </c>
      <c r="D97" s="190">
        <v>138180.22</v>
      </c>
      <c r="E97" s="190">
        <v>157123.24</v>
      </c>
      <c r="F97" s="190">
        <v>9188.3799999999992</v>
      </c>
      <c r="G97"/>
      <c r="H97"/>
    </row>
    <row r="98" spans="1:8" ht="15" customHeight="1" x14ac:dyDescent="0.35">
      <c r="A98">
        <v>129801102</v>
      </c>
      <c r="B98" t="s">
        <v>258</v>
      </c>
      <c r="C98" s="190">
        <v>20328.14</v>
      </c>
      <c r="D98" s="190">
        <v>99341.72</v>
      </c>
      <c r="E98" s="190">
        <v>110481.88</v>
      </c>
      <c r="F98" s="190">
        <v>9187.98</v>
      </c>
      <c r="G98"/>
      <c r="H98"/>
    </row>
    <row r="99" spans="1:8" ht="15" customHeight="1" x14ac:dyDescent="0.35">
      <c r="A99">
        <v>12980110201</v>
      </c>
      <c r="B99" t="s">
        <v>259</v>
      </c>
      <c r="C99" s="190">
        <v>0</v>
      </c>
      <c r="D99" s="190">
        <v>14234.37</v>
      </c>
      <c r="E99" s="190">
        <v>19596.46</v>
      </c>
      <c r="F99" s="190">
        <v>-5362.09</v>
      </c>
      <c r="G99"/>
      <c r="H99"/>
    </row>
    <row r="100" spans="1:8" ht="15" customHeight="1" x14ac:dyDescent="0.35">
      <c r="A100">
        <v>12980110203</v>
      </c>
      <c r="B100" t="s">
        <v>260</v>
      </c>
      <c r="C100" s="190">
        <v>12421.89</v>
      </c>
      <c r="D100" s="190">
        <v>23463.57</v>
      </c>
      <c r="E100" s="190">
        <v>35885.42</v>
      </c>
      <c r="F100" s="190">
        <v>0.04</v>
      </c>
      <c r="G100"/>
      <c r="H100"/>
    </row>
    <row r="101" spans="1:8" ht="15" customHeight="1" x14ac:dyDescent="0.35">
      <c r="A101">
        <v>12980110205</v>
      </c>
      <c r="B101" t="s">
        <v>261</v>
      </c>
      <c r="C101" s="190">
        <v>7906.25</v>
      </c>
      <c r="D101" s="190">
        <v>61643.78</v>
      </c>
      <c r="E101" s="190">
        <v>55000</v>
      </c>
      <c r="F101" s="190">
        <v>14550.03</v>
      </c>
      <c r="G101"/>
      <c r="H101"/>
    </row>
    <row r="102" spans="1:8" ht="15" customHeight="1" x14ac:dyDescent="0.35">
      <c r="A102">
        <v>129801105</v>
      </c>
      <c r="B102" t="s">
        <v>263</v>
      </c>
      <c r="C102" s="190">
        <v>7803.26</v>
      </c>
      <c r="D102" s="190">
        <v>38838.5</v>
      </c>
      <c r="E102" s="190">
        <v>46641.36</v>
      </c>
      <c r="F102" s="190">
        <v>0.4</v>
      </c>
      <c r="G102"/>
      <c r="H102"/>
    </row>
    <row r="103" spans="1:8" ht="15" customHeight="1" x14ac:dyDescent="0.35">
      <c r="A103">
        <v>12980110502</v>
      </c>
      <c r="B103" t="s">
        <v>265</v>
      </c>
      <c r="C103" s="190">
        <v>7803.26</v>
      </c>
      <c r="D103" s="190">
        <v>38838.5</v>
      </c>
      <c r="E103" s="190">
        <v>46641.36</v>
      </c>
      <c r="F103" s="190">
        <v>0.4</v>
      </c>
      <c r="G103"/>
      <c r="H103"/>
    </row>
    <row r="104" spans="1:8" ht="15" customHeight="1" x14ac:dyDescent="0.35">
      <c r="A104">
        <v>1298011050202</v>
      </c>
      <c r="B104" t="s">
        <v>274</v>
      </c>
      <c r="C104" s="190">
        <v>7803.26</v>
      </c>
      <c r="D104" s="190">
        <v>38838.5</v>
      </c>
      <c r="E104" s="190">
        <v>46641.36</v>
      </c>
      <c r="F104" s="190">
        <v>0.4</v>
      </c>
      <c r="G104"/>
      <c r="H104"/>
    </row>
    <row r="105" spans="1:8" ht="15" customHeight="1" x14ac:dyDescent="0.35">
      <c r="A105">
        <v>129802</v>
      </c>
      <c r="B105" t="s">
        <v>266</v>
      </c>
      <c r="C105" s="190">
        <v>0</v>
      </c>
      <c r="D105" s="190">
        <v>5233.88</v>
      </c>
      <c r="E105" s="190">
        <v>2656.25</v>
      </c>
      <c r="F105" s="190">
        <v>2577.63</v>
      </c>
      <c r="G105"/>
      <c r="H105"/>
    </row>
    <row r="106" spans="1:8" ht="15" customHeight="1" x14ac:dyDescent="0.35">
      <c r="A106">
        <v>1298021</v>
      </c>
      <c r="B106" t="s">
        <v>306</v>
      </c>
      <c r="C106" s="190">
        <v>0</v>
      </c>
      <c r="D106" s="190">
        <v>5233.88</v>
      </c>
      <c r="E106" s="190">
        <v>2656.25</v>
      </c>
      <c r="F106" s="190">
        <v>2577.63</v>
      </c>
      <c r="G106"/>
      <c r="H106"/>
    </row>
    <row r="107" spans="1:8" ht="15" customHeight="1" x14ac:dyDescent="0.35">
      <c r="A107">
        <v>129802100</v>
      </c>
      <c r="B107" t="s">
        <v>306</v>
      </c>
      <c r="C107" s="190">
        <v>0</v>
      </c>
      <c r="D107" s="190">
        <v>5233.88</v>
      </c>
      <c r="E107" s="190">
        <v>2656.25</v>
      </c>
      <c r="F107" s="190">
        <v>2577.63</v>
      </c>
      <c r="G107"/>
      <c r="H107"/>
    </row>
    <row r="108" spans="1:8" ht="15" customHeight="1" x14ac:dyDescent="0.35">
      <c r="A108">
        <v>12980210010</v>
      </c>
      <c r="B108" t="s">
        <v>269</v>
      </c>
      <c r="C108" s="190">
        <v>0</v>
      </c>
      <c r="D108" s="190">
        <v>5233.88</v>
      </c>
      <c r="E108" s="190">
        <v>2656.25</v>
      </c>
      <c r="F108" s="190">
        <v>2577.63</v>
      </c>
      <c r="G108"/>
      <c r="H108"/>
    </row>
    <row r="109" spans="1:8" ht="15" customHeight="1" x14ac:dyDescent="0.35">
      <c r="A109">
        <v>129803</v>
      </c>
      <c r="B109" t="s">
        <v>270</v>
      </c>
      <c r="C109" s="190">
        <v>138303.93</v>
      </c>
      <c r="D109" s="190">
        <v>571777</v>
      </c>
      <c r="E109" s="190">
        <v>561900.34</v>
      </c>
      <c r="F109" s="190">
        <v>148180.59</v>
      </c>
      <c r="G109"/>
      <c r="H109"/>
    </row>
    <row r="110" spans="1:8" ht="15" customHeight="1" x14ac:dyDescent="0.35">
      <c r="A110">
        <v>1298031</v>
      </c>
      <c r="B110" t="s">
        <v>307</v>
      </c>
      <c r="C110" s="190">
        <v>138303.93</v>
      </c>
      <c r="D110" s="190">
        <v>571777</v>
      </c>
      <c r="E110" s="190">
        <v>561900.34</v>
      </c>
      <c r="F110" s="190">
        <v>148180.59</v>
      </c>
      <c r="G110"/>
      <c r="H110"/>
    </row>
    <row r="111" spans="1:8" ht="15" customHeight="1" x14ac:dyDescent="0.35">
      <c r="A111">
        <v>129803101</v>
      </c>
      <c r="B111" t="s">
        <v>308</v>
      </c>
      <c r="C111" s="190">
        <v>25635.82</v>
      </c>
      <c r="D111" s="190">
        <v>184441.83</v>
      </c>
      <c r="E111" s="190">
        <v>191269.69</v>
      </c>
      <c r="F111" s="190">
        <v>18807.96</v>
      </c>
      <c r="G111"/>
      <c r="H111"/>
    </row>
    <row r="112" spans="1:8" ht="15" customHeight="1" x14ac:dyDescent="0.35">
      <c r="A112">
        <v>12980310102</v>
      </c>
      <c r="B112" t="s">
        <v>227</v>
      </c>
      <c r="C112" s="190">
        <v>4705.47</v>
      </c>
      <c r="D112" s="190">
        <v>26667.66</v>
      </c>
      <c r="E112" s="190">
        <v>28724.02</v>
      </c>
      <c r="F112" s="190">
        <v>2649.11</v>
      </c>
      <c r="G112"/>
      <c r="H112"/>
    </row>
    <row r="113" spans="1:8" ht="15" customHeight="1" x14ac:dyDescent="0.35">
      <c r="A113">
        <v>12980310107</v>
      </c>
      <c r="B113" t="s">
        <v>300</v>
      </c>
      <c r="C113" s="190">
        <v>1144.67</v>
      </c>
      <c r="D113" s="190">
        <v>22560.38</v>
      </c>
      <c r="E113" s="190">
        <v>15325.41</v>
      </c>
      <c r="F113" s="190">
        <v>8379.64</v>
      </c>
      <c r="G113"/>
      <c r="H113"/>
    </row>
    <row r="114" spans="1:8" ht="15" customHeight="1" x14ac:dyDescent="0.35">
      <c r="A114">
        <v>12980310110</v>
      </c>
      <c r="B114" t="s">
        <v>303</v>
      </c>
      <c r="C114" s="190">
        <v>2727.86</v>
      </c>
      <c r="D114" s="190">
        <v>11739.35</v>
      </c>
      <c r="E114" s="190">
        <v>13153.89</v>
      </c>
      <c r="F114" s="190">
        <v>1313.32</v>
      </c>
      <c r="G114"/>
      <c r="H114"/>
    </row>
    <row r="115" spans="1:8" ht="15" customHeight="1" x14ac:dyDescent="0.35">
      <c r="A115">
        <v>12980310111</v>
      </c>
      <c r="B115" t="s">
        <v>301</v>
      </c>
      <c r="C115" s="190">
        <v>3383.84</v>
      </c>
      <c r="D115" s="190">
        <v>40654.089999999997</v>
      </c>
      <c r="E115" s="190">
        <v>43670.29</v>
      </c>
      <c r="F115" s="190">
        <v>367.64</v>
      </c>
      <c r="G115"/>
      <c r="H115"/>
    </row>
    <row r="116" spans="1:8" ht="15" customHeight="1" x14ac:dyDescent="0.35">
      <c r="A116">
        <v>12980310112</v>
      </c>
      <c r="B116" t="s">
        <v>302</v>
      </c>
      <c r="C116" s="190">
        <v>4030.64</v>
      </c>
      <c r="D116" s="190">
        <v>18310.28</v>
      </c>
      <c r="E116" s="190">
        <v>20639.849999999999</v>
      </c>
      <c r="F116" s="190">
        <v>1701.07</v>
      </c>
      <c r="G116"/>
      <c r="H116"/>
    </row>
    <row r="117" spans="1:8" ht="15" customHeight="1" x14ac:dyDescent="0.35">
      <c r="A117">
        <v>12980310113</v>
      </c>
      <c r="B117" t="s">
        <v>295</v>
      </c>
      <c r="C117" s="190">
        <v>4917.93</v>
      </c>
      <c r="D117" s="190">
        <v>41806.04</v>
      </c>
      <c r="E117" s="190">
        <v>44541.64</v>
      </c>
      <c r="F117" s="190">
        <v>2182.33</v>
      </c>
      <c r="G117"/>
      <c r="H117"/>
    </row>
    <row r="118" spans="1:8" ht="15" customHeight="1" x14ac:dyDescent="0.35">
      <c r="A118">
        <v>12980310114</v>
      </c>
      <c r="B118" t="s">
        <v>273</v>
      </c>
      <c r="C118" s="190">
        <v>4725.41</v>
      </c>
      <c r="D118" s="190">
        <v>22704.03</v>
      </c>
      <c r="E118" s="190">
        <v>25214.59</v>
      </c>
      <c r="F118" s="190">
        <v>2214.85</v>
      </c>
      <c r="G118"/>
      <c r="H118"/>
    </row>
    <row r="119" spans="1:8" ht="15" customHeight="1" x14ac:dyDescent="0.35">
      <c r="A119">
        <v>129803102</v>
      </c>
      <c r="B119" t="s">
        <v>298</v>
      </c>
      <c r="C119" s="190">
        <v>15412.01</v>
      </c>
      <c r="D119" s="190">
        <v>63674.79</v>
      </c>
      <c r="E119" s="190">
        <v>72792.240000000005</v>
      </c>
      <c r="F119" s="190">
        <v>6294.56</v>
      </c>
      <c r="G119"/>
      <c r="H119"/>
    </row>
    <row r="120" spans="1:8" ht="15" customHeight="1" x14ac:dyDescent="0.35">
      <c r="A120">
        <v>12980310202</v>
      </c>
      <c r="B120" t="s">
        <v>227</v>
      </c>
      <c r="C120" s="190">
        <v>15412.01</v>
      </c>
      <c r="D120" s="190">
        <v>63674.79</v>
      </c>
      <c r="E120" s="190">
        <v>72792.240000000005</v>
      </c>
      <c r="F120" s="190">
        <v>6294.56</v>
      </c>
      <c r="G120"/>
      <c r="H120"/>
    </row>
    <row r="121" spans="1:8" ht="15" customHeight="1" x14ac:dyDescent="0.35">
      <c r="A121">
        <v>129803103</v>
      </c>
      <c r="B121" t="s">
        <v>274</v>
      </c>
      <c r="C121" s="190">
        <v>13101.12</v>
      </c>
      <c r="D121" s="190">
        <v>145360.76</v>
      </c>
      <c r="E121" s="190">
        <v>144534.54999999999</v>
      </c>
      <c r="F121" s="190">
        <v>13927.33</v>
      </c>
      <c r="G121"/>
      <c r="H121"/>
    </row>
    <row r="122" spans="1:8" ht="15" customHeight="1" x14ac:dyDescent="0.35">
      <c r="A122">
        <v>12980310301</v>
      </c>
      <c r="B122" t="s">
        <v>273</v>
      </c>
      <c r="C122" s="190">
        <v>911.23</v>
      </c>
      <c r="D122" s="190">
        <v>7557.8</v>
      </c>
      <c r="E122" s="190">
        <v>7617.14</v>
      </c>
      <c r="F122" s="190">
        <v>851.89</v>
      </c>
      <c r="G122"/>
      <c r="H122"/>
    </row>
    <row r="123" spans="1:8" ht="15" customHeight="1" x14ac:dyDescent="0.35">
      <c r="A123">
        <v>12980310302</v>
      </c>
      <c r="B123" t="s">
        <v>301</v>
      </c>
      <c r="C123" s="190">
        <v>5564.49</v>
      </c>
      <c r="D123" s="190">
        <v>43816.87</v>
      </c>
      <c r="E123" s="190">
        <v>45116.99</v>
      </c>
      <c r="F123" s="190">
        <v>4264.37</v>
      </c>
      <c r="G123"/>
      <c r="H123"/>
    </row>
    <row r="124" spans="1:8" ht="15" customHeight="1" x14ac:dyDescent="0.35">
      <c r="A124">
        <v>12980310303</v>
      </c>
      <c r="B124" t="s">
        <v>275</v>
      </c>
      <c r="C124" s="190">
        <v>1344.26</v>
      </c>
      <c r="D124" s="190">
        <v>21924.39</v>
      </c>
      <c r="E124" s="190">
        <v>22347.88</v>
      </c>
      <c r="F124" s="190">
        <v>920.77</v>
      </c>
      <c r="G124"/>
      <c r="H124"/>
    </row>
    <row r="125" spans="1:8" ht="15" customHeight="1" x14ac:dyDescent="0.35">
      <c r="A125">
        <v>12980310304</v>
      </c>
      <c r="B125" t="s">
        <v>276</v>
      </c>
      <c r="C125" s="190">
        <v>2479.5</v>
      </c>
      <c r="D125" s="190">
        <v>55031.47</v>
      </c>
      <c r="E125" s="190">
        <v>51079.16</v>
      </c>
      <c r="F125" s="190">
        <v>6431.81</v>
      </c>
      <c r="G125"/>
      <c r="H125"/>
    </row>
    <row r="126" spans="1:8" ht="15" customHeight="1" x14ac:dyDescent="0.35">
      <c r="A126">
        <v>12980310305</v>
      </c>
      <c r="B126" t="s">
        <v>300</v>
      </c>
      <c r="C126" s="190">
        <v>2073.77</v>
      </c>
      <c r="D126" s="190">
        <v>6193.15</v>
      </c>
      <c r="E126" s="190">
        <v>6869.25</v>
      </c>
      <c r="F126" s="190">
        <v>1397.67</v>
      </c>
      <c r="G126"/>
      <c r="H126"/>
    </row>
    <row r="127" spans="1:8" ht="15" customHeight="1" x14ac:dyDescent="0.35">
      <c r="A127">
        <v>12980310306</v>
      </c>
      <c r="B127" t="s">
        <v>277</v>
      </c>
      <c r="C127" s="190">
        <v>727.87</v>
      </c>
      <c r="D127" s="190">
        <v>10837.08</v>
      </c>
      <c r="E127" s="190">
        <v>11504.13</v>
      </c>
      <c r="F127" s="190">
        <v>60.82</v>
      </c>
      <c r="G127"/>
      <c r="H127"/>
    </row>
    <row r="128" spans="1:8" ht="15" customHeight="1" x14ac:dyDescent="0.35">
      <c r="A128">
        <v>129803109</v>
      </c>
      <c r="B128" t="s">
        <v>278</v>
      </c>
      <c r="C128" s="190">
        <v>84154.98</v>
      </c>
      <c r="D128" s="190">
        <v>178299.62</v>
      </c>
      <c r="E128" s="190">
        <v>153303.85999999999</v>
      </c>
      <c r="F128" s="190">
        <v>109150.74</v>
      </c>
      <c r="G128"/>
      <c r="H128"/>
    </row>
    <row r="129" spans="1:8" ht="15" customHeight="1" x14ac:dyDescent="0.35">
      <c r="A129">
        <v>12980310901</v>
      </c>
      <c r="B129" t="s">
        <v>309</v>
      </c>
      <c r="C129" s="190">
        <v>84154.98</v>
      </c>
      <c r="D129" s="190">
        <v>178299.62</v>
      </c>
      <c r="E129" s="190">
        <v>153303.85999999999</v>
      </c>
      <c r="F129" s="190">
        <v>109150.74</v>
      </c>
      <c r="G129"/>
      <c r="H129"/>
    </row>
    <row r="130" spans="1:8" ht="15" customHeight="1" x14ac:dyDescent="0.35">
      <c r="A130">
        <v>1298031090101</v>
      </c>
      <c r="B130" t="s">
        <v>283</v>
      </c>
      <c r="C130" s="190">
        <v>13475.96</v>
      </c>
      <c r="D130" s="190">
        <v>80076.17</v>
      </c>
      <c r="E130" s="190">
        <v>55029</v>
      </c>
      <c r="F130" s="190">
        <v>38523.129999999997</v>
      </c>
      <c r="G130"/>
      <c r="H130"/>
    </row>
    <row r="131" spans="1:8" ht="15" customHeight="1" x14ac:dyDescent="0.35">
      <c r="A131">
        <v>1298031090102</v>
      </c>
      <c r="B131" t="s">
        <v>284</v>
      </c>
      <c r="C131" s="190">
        <v>60776.72</v>
      </c>
      <c r="D131" s="190">
        <v>46533.91</v>
      </c>
      <c r="E131" s="190">
        <v>46132.29</v>
      </c>
      <c r="F131" s="190">
        <v>61178.34</v>
      </c>
      <c r="G131"/>
      <c r="H131"/>
    </row>
    <row r="132" spans="1:8" ht="15" customHeight="1" x14ac:dyDescent="0.35">
      <c r="A132">
        <v>1298031090103</v>
      </c>
      <c r="B132" t="s">
        <v>285</v>
      </c>
      <c r="C132" s="190">
        <v>9902.2999999999993</v>
      </c>
      <c r="D132" s="190">
        <v>51689.54</v>
      </c>
      <c r="E132" s="190">
        <v>52142.57</v>
      </c>
      <c r="F132" s="190">
        <v>9449.27</v>
      </c>
      <c r="G132"/>
      <c r="H132"/>
    </row>
    <row r="133" spans="1:8" ht="15" customHeight="1" x14ac:dyDescent="0.35">
      <c r="A133">
        <v>13</v>
      </c>
      <c r="B133" t="s">
        <v>177</v>
      </c>
      <c r="C133" s="190">
        <v>2078221.67</v>
      </c>
      <c r="D133" s="190">
        <v>4302799.08</v>
      </c>
      <c r="E133" s="190">
        <v>3799819.26</v>
      </c>
      <c r="F133" s="190">
        <v>2581201.4900000002</v>
      </c>
      <c r="G133"/>
      <c r="H133"/>
    </row>
    <row r="134" spans="1:8" ht="15" customHeight="1" x14ac:dyDescent="0.35">
      <c r="A134">
        <v>1301</v>
      </c>
      <c r="B134" t="s">
        <v>188</v>
      </c>
      <c r="C134" s="190">
        <v>1426195.21</v>
      </c>
      <c r="D134" s="190">
        <v>2952144.12</v>
      </c>
      <c r="E134" s="190">
        <v>2469359.94</v>
      </c>
      <c r="F134" s="190">
        <v>1908979.39</v>
      </c>
      <c r="G134"/>
      <c r="H134"/>
    </row>
    <row r="135" spans="1:8" ht="15" customHeight="1" x14ac:dyDescent="0.35">
      <c r="A135">
        <v>130102</v>
      </c>
      <c r="B135" t="s">
        <v>310</v>
      </c>
      <c r="C135" s="190">
        <v>1426195.21</v>
      </c>
      <c r="D135" s="190">
        <v>2952144.12</v>
      </c>
      <c r="E135" s="190">
        <v>2469359.94</v>
      </c>
      <c r="F135" s="190">
        <v>1908979.39</v>
      </c>
      <c r="G135"/>
      <c r="H135"/>
    </row>
    <row r="136" spans="1:8" ht="15" customHeight="1" x14ac:dyDescent="0.35">
      <c r="A136">
        <v>1301021</v>
      </c>
      <c r="B136" t="s">
        <v>311</v>
      </c>
      <c r="C136" s="190">
        <v>1426195.21</v>
      </c>
      <c r="D136" s="190">
        <v>2952144.12</v>
      </c>
      <c r="E136" s="190">
        <v>2469359.94</v>
      </c>
      <c r="F136" s="190">
        <v>1908979.39</v>
      </c>
      <c r="G136"/>
      <c r="H136"/>
    </row>
    <row r="137" spans="1:8" ht="15" customHeight="1" x14ac:dyDescent="0.35">
      <c r="A137">
        <v>130102101</v>
      </c>
      <c r="B137" t="s">
        <v>312</v>
      </c>
      <c r="C137" s="190">
        <v>1426195.21</v>
      </c>
      <c r="D137" s="190">
        <v>2952144.12</v>
      </c>
      <c r="E137" s="190">
        <v>2469359.94</v>
      </c>
      <c r="F137" s="190">
        <v>1908979.39</v>
      </c>
      <c r="G137"/>
      <c r="H137"/>
    </row>
    <row r="138" spans="1:8" ht="15" customHeight="1" x14ac:dyDescent="0.35">
      <c r="A138">
        <v>13010210101</v>
      </c>
      <c r="B138" t="s">
        <v>313</v>
      </c>
      <c r="C138" s="190">
        <v>800000</v>
      </c>
      <c r="D138" s="190">
        <v>800000</v>
      </c>
      <c r="E138" s="190">
        <v>800000</v>
      </c>
      <c r="F138" s="190">
        <v>800000</v>
      </c>
      <c r="G138"/>
      <c r="H138"/>
    </row>
    <row r="139" spans="1:8" ht="15" customHeight="1" x14ac:dyDescent="0.35">
      <c r="A139">
        <v>13010210102</v>
      </c>
      <c r="B139" t="s">
        <v>314</v>
      </c>
      <c r="C139" s="190">
        <v>600000</v>
      </c>
      <c r="D139" s="190">
        <v>300000</v>
      </c>
      <c r="E139" s="190">
        <v>750000</v>
      </c>
      <c r="F139" s="190">
        <v>150000</v>
      </c>
      <c r="G139"/>
      <c r="H139"/>
    </row>
    <row r="140" spans="1:8" ht="15" customHeight="1" x14ac:dyDescent="0.35">
      <c r="A140">
        <v>13010210103</v>
      </c>
      <c r="B140" t="s">
        <v>315</v>
      </c>
      <c r="C140" s="190">
        <v>26195.21</v>
      </c>
      <c r="D140" s="190">
        <v>2144.12</v>
      </c>
      <c r="E140" s="190">
        <v>19359.939999999999</v>
      </c>
      <c r="F140" s="190">
        <v>8979.39</v>
      </c>
      <c r="G140"/>
      <c r="H140"/>
    </row>
    <row r="141" spans="1:8" ht="15" customHeight="1" x14ac:dyDescent="0.35">
      <c r="A141">
        <v>13010210104</v>
      </c>
      <c r="B141" t="s">
        <v>316</v>
      </c>
      <c r="C141" s="190">
        <v>0</v>
      </c>
      <c r="D141" s="190">
        <v>900000</v>
      </c>
      <c r="E141" s="190">
        <v>450000</v>
      </c>
      <c r="F141" s="190">
        <v>450000</v>
      </c>
      <c r="G141"/>
      <c r="H141"/>
    </row>
    <row r="142" spans="1:8" ht="15" customHeight="1" x14ac:dyDescent="0.35">
      <c r="A142">
        <v>13010210105</v>
      </c>
      <c r="B142" t="s">
        <v>317</v>
      </c>
      <c r="C142" s="190">
        <v>0</v>
      </c>
      <c r="D142" s="190">
        <v>950000</v>
      </c>
      <c r="E142" s="190">
        <v>450000</v>
      </c>
      <c r="F142" s="190">
        <v>500000</v>
      </c>
      <c r="G142"/>
      <c r="H142"/>
    </row>
    <row r="143" spans="1:8" ht="15" customHeight="1" x14ac:dyDescent="0.35">
      <c r="A143">
        <v>1302</v>
      </c>
      <c r="B143" t="s">
        <v>218</v>
      </c>
      <c r="C143" s="190">
        <v>633934.79</v>
      </c>
      <c r="D143" s="190">
        <v>633934.79</v>
      </c>
      <c r="E143" s="190">
        <v>633949.44999999995</v>
      </c>
      <c r="F143" s="190">
        <v>633920.13</v>
      </c>
      <c r="G143"/>
      <c r="H143"/>
    </row>
    <row r="144" spans="1:8" ht="15" customHeight="1" x14ac:dyDescent="0.35">
      <c r="A144">
        <v>130202</v>
      </c>
      <c r="B144" t="s">
        <v>310</v>
      </c>
      <c r="C144" s="190">
        <v>633934.79</v>
      </c>
      <c r="D144" s="190">
        <v>633934.79</v>
      </c>
      <c r="E144" s="190">
        <v>633949.44999999995</v>
      </c>
      <c r="F144" s="190">
        <v>633920.13</v>
      </c>
      <c r="G144"/>
      <c r="H144"/>
    </row>
    <row r="145" spans="1:8" ht="15" customHeight="1" x14ac:dyDescent="0.35">
      <c r="A145">
        <v>1302021</v>
      </c>
      <c r="B145" t="s">
        <v>311</v>
      </c>
      <c r="C145" s="190">
        <v>633934.79</v>
      </c>
      <c r="D145" s="190">
        <v>633934.79</v>
      </c>
      <c r="E145" s="190">
        <v>633949.44999999995</v>
      </c>
      <c r="F145" s="190">
        <v>633920.13</v>
      </c>
      <c r="G145"/>
      <c r="H145"/>
    </row>
    <row r="146" spans="1:8" ht="15" customHeight="1" x14ac:dyDescent="0.35">
      <c r="A146">
        <v>130202101</v>
      </c>
      <c r="B146" t="s">
        <v>312</v>
      </c>
      <c r="C146" s="190">
        <v>633934.79</v>
      </c>
      <c r="D146" s="190">
        <v>633934.79</v>
      </c>
      <c r="E146" s="190">
        <v>633949.44999999995</v>
      </c>
      <c r="F146" s="190">
        <v>633920.13</v>
      </c>
      <c r="G146"/>
      <c r="H146"/>
    </row>
    <row r="147" spans="1:8" ht="15" customHeight="1" x14ac:dyDescent="0.35">
      <c r="A147">
        <v>13020210100</v>
      </c>
      <c r="B147" t="s">
        <v>312</v>
      </c>
      <c r="C147" s="190">
        <v>0</v>
      </c>
      <c r="D147" s="190">
        <v>633934.79</v>
      </c>
      <c r="E147" s="190">
        <v>14.66</v>
      </c>
      <c r="F147" s="190">
        <v>633920.13</v>
      </c>
      <c r="G147"/>
      <c r="H147"/>
    </row>
    <row r="148" spans="1:8" ht="15" customHeight="1" x14ac:dyDescent="0.35">
      <c r="A148">
        <v>1302021010030</v>
      </c>
      <c r="B148" t="s">
        <v>315</v>
      </c>
      <c r="C148" s="190">
        <v>0</v>
      </c>
      <c r="D148" s="190">
        <v>633934.79</v>
      </c>
      <c r="E148" s="190">
        <v>14.66</v>
      </c>
      <c r="F148" s="190">
        <v>633920.13</v>
      </c>
      <c r="G148"/>
      <c r="H148"/>
    </row>
    <row r="149" spans="1:8" ht="15" customHeight="1" x14ac:dyDescent="0.35">
      <c r="A149">
        <v>1398</v>
      </c>
      <c r="B149" t="s">
        <v>189</v>
      </c>
      <c r="C149" s="190">
        <v>18091.669999999998</v>
      </c>
      <c r="D149" s="190">
        <v>230866.07</v>
      </c>
      <c r="E149" s="190">
        <v>210655.77</v>
      </c>
      <c r="F149" s="190">
        <v>38301.97</v>
      </c>
      <c r="G149"/>
      <c r="H149"/>
    </row>
    <row r="150" spans="1:8" ht="15" customHeight="1" x14ac:dyDescent="0.35">
      <c r="A150">
        <v>139802</v>
      </c>
      <c r="B150" t="s">
        <v>310</v>
      </c>
      <c r="C150" s="190">
        <v>18091.669999999998</v>
      </c>
      <c r="D150" s="190">
        <v>230866.07</v>
      </c>
      <c r="E150" s="190">
        <v>210655.77</v>
      </c>
      <c r="F150" s="190">
        <v>38301.97</v>
      </c>
      <c r="G150"/>
      <c r="H150"/>
    </row>
    <row r="151" spans="1:8" ht="15" customHeight="1" x14ac:dyDescent="0.35">
      <c r="A151">
        <v>1398021</v>
      </c>
      <c r="B151" t="s">
        <v>311</v>
      </c>
      <c r="C151" s="190">
        <v>18091.669999999998</v>
      </c>
      <c r="D151" s="190">
        <v>230866.07</v>
      </c>
      <c r="E151" s="190">
        <v>210655.77</v>
      </c>
      <c r="F151" s="190">
        <v>38301.97</v>
      </c>
      <c r="G151"/>
      <c r="H151"/>
    </row>
    <row r="152" spans="1:8" ht="15" customHeight="1" x14ac:dyDescent="0.35">
      <c r="A152">
        <v>139802101</v>
      </c>
      <c r="B152" t="s">
        <v>318</v>
      </c>
      <c r="C152" s="190">
        <v>18091.669999999998</v>
      </c>
      <c r="D152" s="190">
        <v>230866.07</v>
      </c>
      <c r="E152" s="190">
        <v>210655.77</v>
      </c>
      <c r="F152" s="190">
        <v>38301.97</v>
      </c>
      <c r="G152"/>
      <c r="H152"/>
    </row>
    <row r="153" spans="1:8" ht="15" customHeight="1" x14ac:dyDescent="0.35">
      <c r="A153">
        <v>13980210100</v>
      </c>
      <c r="B153" t="s">
        <v>318</v>
      </c>
      <c r="C153" s="190">
        <v>0</v>
      </c>
      <c r="D153" s="190">
        <v>230866.07</v>
      </c>
      <c r="E153" s="190">
        <v>192564.1</v>
      </c>
      <c r="F153" s="190">
        <v>38301.97</v>
      </c>
      <c r="G153"/>
      <c r="H153"/>
    </row>
    <row r="154" spans="1:8" ht="15" customHeight="1" x14ac:dyDescent="0.35">
      <c r="A154">
        <v>1398021010010</v>
      </c>
      <c r="B154" t="s">
        <v>313</v>
      </c>
      <c r="C154" s="190">
        <v>0</v>
      </c>
      <c r="D154" s="190">
        <v>51492.09</v>
      </c>
      <c r="E154" s="190">
        <v>37705.79</v>
      </c>
      <c r="F154" s="190">
        <v>13786.3</v>
      </c>
      <c r="G154"/>
      <c r="H154"/>
    </row>
    <row r="155" spans="1:8" ht="15" customHeight="1" x14ac:dyDescent="0.35">
      <c r="A155">
        <v>1398021010020</v>
      </c>
      <c r="B155" t="s">
        <v>315</v>
      </c>
      <c r="C155" s="190">
        <v>0</v>
      </c>
      <c r="D155" s="190">
        <v>42138.37</v>
      </c>
      <c r="E155" s="190">
        <v>41548.75</v>
      </c>
      <c r="F155" s="190">
        <v>589.62</v>
      </c>
      <c r="G155"/>
      <c r="H155"/>
    </row>
    <row r="156" spans="1:8" ht="15" customHeight="1" x14ac:dyDescent="0.35">
      <c r="A156">
        <v>1398021010030</v>
      </c>
      <c r="B156" t="s">
        <v>314</v>
      </c>
      <c r="C156" s="190">
        <v>0</v>
      </c>
      <c r="D156" s="190">
        <v>92816.39</v>
      </c>
      <c r="E156" s="190">
        <v>90999.95</v>
      </c>
      <c r="F156" s="190">
        <v>1816.44</v>
      </c>
      <c r="G156"/>
      <c r="H156"/>
    </row>
    <row r="157" spans="1:8" ht="15" customHeight="1" x14ac:dyDescent="0.35">
      <c r="A157">
        <v>1398021010040</v>
      </c>
      <c r="B157" t="s">
        <v>316</v>
      </c>
      <c r="C157" s="190">
        <v>0</v>
      </c>
      <c r="D157" s="190">
        <v>16273.98</v>
      </c>
      <c r="E157" s="190">
        <v>11835.62</v>
      </c>
      <c r="F157" s="190">
        <v>4438.3599999999997</v>
      </c>
      <c r="G157"/>
      <c r="H157"/>
    </row>
    <row r="158" spans="1:8" ht="15" customHeight="1" x14ac:dyDescent="0.35">
      <c r="A158">
        <v>1398021010050</v>
      </c>
      <c r="B158" t="s">
        <v>317</v>
      </c>
      <c r="C158" s="190">
        <v>0</v>
      </c>
      <c r="D158" s="190">
        <v>28145.24</v>
      </c>
      <c r="E158" s="190">
        <v>10473.99</v>
      </c>
      <c r="F158" s="190">
        <v>17671.25</v>
      </c>
      <c r="G158"/>
      <c r="H158"/>
    </row>
    <row r="159" spans="1:8" ht="15" customHeight="1" x14ac:dyDescent="0.35">
      <c r="A159">
        <v>1399</v>
      </c>
      <c r="B159" t="s">
        <v>723</v>
      </c>
      <c r="C159" s="190">
        <v>0</v>
      </c>
      <c r="D159" s="190">
        <v>485854.1</v>
      </c>
      <c r="E159" s="190">
        <v>485854.1</v>
      </c>
      <c r="F159" s="190">
        <v>0</v>
      </c>
      <c r="G159"/>
      <c r="H159"/>
    </row>
    <row r="160" spans="1:8" ht="15" customHeight="1" x14ac:dyDescent="0.35">
      <c r="A160">
        <v>139902</v>
      </c>
      <c r="B160" t="s">
        <v>310</v>
      </c>
      <c r="C160" s="190">
        <v>0</v>
      </c>
      <c r="D160" s="190">
        <v>485854.1</v>
      </c>
      <c r="E160" s="190">
        <v>485854.1</v>
      </c>
      <c r="F160" s="190">
        <v>0</v>
      </c>
      <c r="G160"/>
      <c r="H160"/>
    </row>
    <row r="161" spans="1:8" ht="15" customHeight="1" x14ac:dyDescent="0.35">
      <c r="A161">
        <v>1399021</v>
      </c>
      <c r="B161" t="s">
        <v>311</v>
      </c>
      <c r="C161" s="190">
        <v>0</v>
      </c>
      <c r="D161" s="190">
        <v>485854.1</v>
      </c>
      <c r="E161" s="190">
        <v>485854.1</v>
      </c>
      <c r="F161" s="190">
        <v>0</v>
      </c>
      <c r="G161"/>
      <c r="H161"/>
    </row>
    <row r="162" spans="1:8" ht="15" customHeight="1" x14ac:dyDescent="0.35">
      <c r="A162">
        <v>139902102</v>
      </c>
      <c r="B162" t="s">
        <v>314</v>
      </c>
      <c r="C162" s="190">
        <v>0</v>
      </c>
      <c r="D162" s="190">
        <v>485854.1</v>
      </c>
      <c r="E162" s="190">
        <v>485854.1</v>
      </c>
      <c r="F162" s="190">
        <v>0</v>
      </c>
      <c r="G162"/>
      <c r="H162"/>
    </row>
    <row r="163" spans="1:8" ht="15" customHeight="1" x14ac:dyDescent="0.35">
      <c r="A163">
        <v>14</v>
      </c>
      <c r="B163" t="s">
        <v>43</v>
      </c>
      <c r="C163" s="190">
        <v>2328327.79</v>
      </c>
      <c r="D163" s="190">
        <v>50437403.560000002</v>
      </c>
      <c r="E163" s="190">
        <v>51267195.880000003</v>
      </c>
      <c r="F163" s="190">
        <v>1498535.47</v>
      </c>
      <c r="G163"/>
      <c r="H163"/>
    </row>
    <row r="164" spans="1:8" ht="15" customHeight="1" x14ac:dyDescent="0.35">
      <c r="A164">
        <v>1401</v>
      </c>
      <c r="B164" t="s">
        <v>44</v>
      </c>
      <c r="C164" s="190">
        <v>616614.68000000005</v>
      </c>
      <c r="D164" s="190">
        <v>12124310.93</v>
      </c>
      <c r="E164" s="190">
        <v>12577491.220000001</v>
      </c>
      <c r="F164" s="190">
        <v>163434.39000000001</v>
      </c>
      <c r="G164"/>
      <c r="H164"/>
    </row>
    <row r="165" spans="1:8" ht="15" customHeight="1" x14ac:dyDescent="0.35">
      <c r="A165">
        <v>140101</v>
      </c>
      <c r="B165" t="s">
        <v>319</v>
      </c>
      <c r="C165" s="190">
        <v>10484.120000000001</v>
      </c>
      <c r="D165" s="190">
        <v>157610.35999999999</v>
      </c>
      <c r="E165" s="190">
        <v>133626.35999999999</v>
      </c>
      <c r="F165" s="190">
        <v>34468.120000000003</v>
      </c>
      <c r="G165"/>
      <c r="H165"/>
    </row>
    <row r="166" spans="1:8" ht="15" customHeight="1" x14ac:dyDescent="0.35">
      <c r="A166">
        <v>1401011</v>
      </c>
      <c r="B166" t="s">
        <v>320</v>
      </c>
      <c r="C166" s="190">
        <v>10484.120000000001</v>
      </c>
      <c r="D166" s="190">
        <v>157610.35999999999</v>
      </c>
      <c r="E166" s="190">
        <v>133626.35999999999</v>
      </c>
      <c r="F166" s="190">
        <v>34468.120000000003</v>
      </c>
      <c r="G166"/>
      <c r="H166"/>
    </row>
    <row r="167" spans="1:8" ht="15" customHeight="1" x14ac:dyDescent="0.35">
      <c r="A167">
        <v>140101101</v>
      </c>
      <c r="B167" t="s">
        <v>321</v>
      </c>
      <c r="C167" s="190">
        <v>10484.120000000001</v>
      </c>
      <c r="D167" s="190">
        <v>157610.35999999999</v>
      </c>
      <c r="E167" s="190">
        <v>133626.35999999999</v>
      </c>
      <c r="F167" s="190">
        <v>34468.120000000003</v>
      </c>
      <c r="G167"/>
      <c r="H167"/>
    </row>
    <row r="168" spans="1:8" ht="15" customHeight="1" x14ac:dyDescent="0.35">
      <c r="A168">
        <v>14010110101</v>
      </c>
      <c r="B168" t="s">
        <v>322</v>
      </c>
      <c r="C168" s="190">
        <v>10484.120000000001</v>
      </c>
      <c r="D168" s="190">
        <v>131776.91</v>
      </c>
      <c r="E168" s="190">
        <v>107792.91</v>
      </c>
      <c r="F168" s="190">
        <v>34468.120000000003</v>
      </c>
      <c r="G168"/>
      <c r="H168"/>
    </row>
    <row r="169" spans="1:8" ht="15" customHeight="1" x14ac:dyDescent="0.35">
      <c r="A169">
        <v>140102</v>
      </c>
      <c r="B169" t="s">
        <v>323</v>
      </c>
      <c r="C169" s="190">
        <v>805.6</v>
      </c>
      <c r="D169" s="190">
        <v>54514.3</v>
      </c>
      <c r="E169" s="190">
        <v>49180.17</v>
      </c>
      <c r="F169" s="190">
        <v>6139.73</v>
      </c>
      <c r="G169"/>
      <c r="H169"/>
    </row>
    <row r="170" spans="1:8" ht="15" customHeight="1" x14ac:dyDescent="0.35">
      <c r="A170">
        <v>1401021</v>
      </c>
      <c r="B170" t="s">
        <v>321</v>
      </c>
      <c r="C170" s="190">
        <v>805.6</v>
      </c>
      <c r="D170" s="190">
        <v>54514.3</v>
      </c>
      <c r="E170" s="190">
        <v>49180.17</v>
      </c>
      <c r="F170" s="190">
        <v>6139.73</v>
      </c>
      <c r="G170"/>
      <c r="H170"/>
    </row>
    <row r="171" spans="1:8" ht="15" customHeight="1" x14ac:dyDescent="0.35">
      <c r="A171">
        <v>140102101</v>
      </c>
      <c r="B171" t="s">
        <v>321</v>
      </c>
      <c r="C171" s="190">
        <v>805.6</v>
      </c>
      <c r="D171" s="190">
        <v>54514.3</v>
      </c>
      <c r="E171" s="190">
        <v>49180.17</v>
      </c>
      <c r="F171" s="190">
        <v>6139.73</v>
      </c>
      <c r="G171"/>
      <c r="H171"/>
    </row>
    <row r="172" spans="1:8" ht="15" customHeight="1" x14ac:dyDescent="0.35">
      <c r="A172">
        <v>14010210101</v>
      </c>
      <c r="B172" t="s">
        <v>324</v>
      </c>
      <c r="C172" s="190">
        <v>805.6</v>
      </c>
      <c r="D172" s="190">
        <v>45670.16</v>
      </c>
      <c r="E172" s="190">
        <v>40336.03</v>
      </c>
      <c r="F172" s="190">
        <v>6139.73</v>
      </c>
      <c r="G172"/>
      <c r="H172"/>
    </row>
    <row r="173" spans="1:8" ht="15" customHeight="1" x14ac:dyDescent="0.35">
      <c r="A173">
        <v>140103</v>
      </c>
      <c r="B173" t="s">
        <v>325</v>
      </c>
      <c r="C173" s="190">
        <v>605324.96</v>
      </c>
      <c r="D173" s="190">
        <v>11912186.27</v>
      </c>
      <c r="E173" s="190">
        <v>12394684.689999999</v>
      </c>
      <c r="F173" s="190">
        <v>122826.54</v>
      </c>
      <c r="G173"/>
      <c r="H173"/>
    </row>
    <row r="174" spans="1:8" ht="15" customHeight="1" x14ac:dyDescent="0.35">
      <c r="A174">
        <v>1401031</v>
      </c>
      <c r="B174" t="s">
        <v>326</v>
      </c>
      <c r="C174" s="190">
        <v>605324.96</v>
      </c>
      <c r="D174" s="190">
        <v>11912186.27</v>
      </c>
      <c r="E174" s="190">
        <v>12394684.689999999</v>
      </c>
      <c r="F174" s="190">
        <v>122826.54</v>
      </c>
      <c r="G174"/>
      <c r="H174"/>
    </row>
    <row r="175" spans="1:8" ht="15" customHeight="1" x14ac:dyDescent="0.35">
      <c r="A175">
        <v>140103101</v>
      </c>
      <c r="B175" t="s">
        <v>321</v>
      </c>
      <c r="C175" s="190">
        <v>605324.96</v>
      </c>
      <c r="D175" s="190">
        <v>11912186.27</v>
      </c>
      <c r="E175" s="190">
        <v>12394684.689999999</v>
      </c>
      <c r="F175" s="190">
        <v>122826.54</v>
      </c>
      <c r="G175"/>
      <c r="H175"/>
    </row>
    <row r="176" spans="1:8" ht="15" customHeight="1" x14ac:dyDescent="0.35">
      <c r="A176">
        <v>14010310101</v>
      </c>
      <c r="B176" t="s">
        <v>327</v>
      </c>
      <c r="C176" s="190">
        <v>504509.31</v>
      </c>
      <c r="D176" s="190">
        <v>4595935.63</v>
      </c>
      <c r="E176" s="190">
        <v>4977618.4000000004</v>
      </c>
      <c r="F176" s="190">
        <v>122826.54</v>
      </c>
      <c r="G176"/>
      <c r="H176"/>
    </row>
    <row r="177" spans="1:8" ht="15" customHeight="1" x14ac:dyDescent="0.35">
      <c r="A177">
        <v>14010310102</v>
      </c>
      <c r="B177" t="s">
        <v>328</v>
      </c>
      <c r="C177" s="190">
        <v>100815.65</v>
      </c>
      <c r="D177" s="190">
        <v>2975129.86</v>
      </c>
      <c r="E177" s="190">
        <v>3075945.51</v>
      </c>
      <c r="F177" s="190">
        <v>0</v>
      </c>
      <c r="G177"/>
      <c r="H177"/>
    </row>
    <row r="178" spans="1:8" ht="15" customHeight="1" x14ac:dyDescent="0.35">
      <c r="A178">
        <v>1402</v>
      </c>
      <c r="B178" t="s">
        <v>329</v>
      </c>
      <c r="C178" s="190">
        <v>0</v>
      </c>
      <c r="D178" s="190">
        <v>2565905.2200000002</v>
      </c>
      <c r="E178" s="190">
        <v>2565905.2200000002</v>
      </c>
      <c r="F178" s="190">
        <v>0</v>
      </c>
      <c r="G178"/>
      <c r="H178"/>
    </row>
    <row r="179" spans="1:8" ht="15" customHeight="1" x14ac:dyDescent="0.35">
      <c r="A179">
        <v>140201</v>
      </c>
      <c r="B179" t="s">
        <v>330</v>
      </c>
      <c r="C179" s="190">
        <v>0</v>
      </c>
      <c r="D179" s="190">
        <v>2565905.2200000002</v>
      </c>
      <c r="E179" s="190">
        <v>2565905.2200000002</v>
      </c>
      <c r="F179" s="190">
        <v>0</v>
      </c>
      <c r="G179"/>
      <c r="H179"/>
    </row>
    <row r="180" spans="1:8" ht="15" customHeight="1" x14ac:dyDescent="0.35">
      <c r="A180">
        <v>1402011</v>
      </c>
      <c r="B180" t="s">
        <v>331</v>
      </c>
      <c r="C180" s="190">
        <v>0</v>
      </c>
      <c r="D180" s="190">
        <v>2565905.2200000002</v>
      </c>
      <c r="E180" s="190">
        <v>2565905.2200000002</v>
      </c>
      <c r="F180" s="190">
        <v>0</v>
      </c>
      <c r="G180"/>
      <c r="H180"/>
    </row>
    <row r="181" spans="1:8" ht="15" customHeight="1" x14ac:dyDescent="0.35">
      <c r="A181">
        <v>140201102</v>
      </c>
      <c r="B181" t="s">
        <v>330</v>
      </c>
      <c r="C181" s="190">
        <v>0</v>
      </c>
      <c r="D181" s="190">
        <v>2565905.2200000002</v>
      </c>
      <c r="E181" s="190">
        <v>2565905.2200000002</v>
      </c>
      <c r="F181" s="190">
        <v>0</v>
      </c>
      <c r="G181"/>
      <c r="H181"/>
    </row>
    <row r="182" spans="1:8" ht="15" customHeight="1" x14ac:dyDescent="0.35">
      <c r="A182">
        <v>1403</v>
      </c>
      <c r="B182" t="s">
        <v>70</v>
      </c>
      <c r="C182" s="190">
        <v>920757.99</v>
      </c>
      <c r="D182" s="190">
        <v>9776305.3599999994</v>
      </c>
      <c r="E182" s="190">
        <v>9827123.3900000006</v>
      </c>
      <c r="F182" s="190">
        <v>869939.96</v>
      </c>
      <c r="G182"/>
      <c r="H182"/>
    </row>
    <row r="183" spans="1:8" ht="15" customHeight="1" x14ac:dyDescent="0.35">
      <c r="A183">
        <v>140301</v>
      </c>
      <c r="B183" t="s">
        <v>332</v>
      </c>
      <c r="C183" s="190">
        <v>908762.58</v>
      </c>
      <c r="D183" s="190">
        <v>9608242.7200000007</v>
      </c>
      <c r="E183" s="190">
        <v>9691495.4900000002</v>
      </c>
      <c r="F183" s="190">
        <v>825509.81</v>
      </c>
      <c r="G183"/>
      <c r="H183"/>
    </row>
    <row r="184" spans="1:8" ht="15" customHeight="1" x14ac:dyDescent="0.35">
      <c r="A184">
        <v>1403011</v>
      </c>
      <c r="B184" t="s">
        <v>333</v>
      </c>
      <c r="C184" s="190">
        <v>908762.58</v>
      </c>
      <c r="D184" s="190">
        <v>9608242.7200000007</v>
      </c>
      <c r="E184" s="190">
        <v>9691495.4900000002</v>
      </c>
      <c r="F184" s="190">
        <v>825509.81</v>
      </c>
      <c r="G184"/>
      <c r="H184"/>
    </row>
    <row r="185" spans="1:8" ht="15" customHeight="1" x14ac:dyDescent="0.35">
      <c r="A185">
        <v>140301101</v>
      </c>
      <c r="B185" t="s">
        <v>321</v>
      </c>
      <c r="C185" s="190">
        <v>908762.58</v>
      </c>
      <c r="D185" s="190">
        <v>9608242.7200000007</v>
      </c>
      <c r="E185" s="190">
        <v>9691495.4900000002</v>
      </c>
      <c r="F185" s="190">
        <v>825509.81</v>
      </c>
      <c r="G185"/>
      <c r="H185"/>
    </row>
    <row r="186" spans="1:8" ht="15" customHeight="1" x14ac:dyDescent="0.35">
      <c r="A186">
        <v>14030110101</v>
      </c>
      <c r="B186" t="s">
        <v>334</v>
      </c>
      <c r="C186" s="190">
        <v>322210.71999999997</v>
      </c>
      <c r="D186" s="190">
        <v>1362017.95</v>
      </c>
      <c r="E186" s="190">
        <v>1179335.26</v>
      </c>
      <c r="F186" s="190">
        <v>504893.41</v>
      </c>
      <c r="G186"/>
      <c r="H186"/>
    </row>
    <row r="187" spans="1:8" ht="15" customHeight="1" x14ac:dyDescent="0.35">
      <c r="A187">
        <v>14030110102</v>
      </c>
      <c r="B187" t="s">
        <v>335</v>
      </c>
      <c r="C187" s="190">
        <v>586551.86</v>
      </c>
      <c r="D187" s="190">
        <v>6460247.5300000003</v>
      </c>
      <c r="E187" s="190">
        <v>6726182.9900000002</v>
      </c>
      <c r="F187" s="190">
        <v>320616.40000000002</v>
      </c>
      <c r="G187"/>
      <c r="H187"/>
    </row>
    <row r="188" spans="1:8" ht="15" customHeight="1" x14ac:dyDescent="0.35">
      <c r="A188">
        <v>140302</v>
      </c>
      <c r="B188" t="s">
        <v>336</v>
      </c>
      <c r="C188" s="190">
        <v>11995.41</v>
      </c>
      <c r="D188" s="190">
        <v>168062.64</v>
      </c>
      <c r="E188" s="190">
        <v>135627.9</v>
      </c>
      <c r="F188" s="190">
        <v>44430.15</v>
      </c>
      <c r="G188"/>
      <c r="H188"/>
    </row>
    <row r="189" spans="1:8" ht="15" customHeight="1" x14ac:dyDescent="0.35">
      <c r="A189">
        <v>1403021</v>
      </c>
      <c r="B189" t="s">
        <v>337</v>
      </c>
      <c r="C189" s="190">
        <v>11995.41</v>
      </c>
      <c r="D189" s="190">
        <v>168062.64</v>
      </c>
      <c r="E189" s="190">
        <v>135627.9</v>
      </c>
      <c r="F189" s="190">
        <v>44430.15</v>
      </c>
      <c r="G189"/>
      <c r="H189"/>
    </row>
    <row r="190" spans="1:8" ht="15" customHeight="1" x14ac:dyDescent="0.35">
      <c r="A190">
        <v>140302101</v>
      </c>
      <c r="B190" t="s">
        <v>321</v>
      </c>
      <c r="C190" s="190">
        <v>11995.41</v>
      </c>
      <c r="D190" s="190">
        <v>168062.64</v>
      </c>
      <c r="E190" s="190">
        <v>135627.9</v>
      </c>
      <c r="F190" s="190">
        <v>44430.15</v>
      </c>
      <c r="G190"/>
      <c r="H190"/>
    </row>
    <row r="191" spans="1:8" ht="15" customHeight="1" x14ac:dyDescent="0.35">
      <c r="A191">
        <v>14030210101</v>
      </c>
      <c r="B191" t="s">
        <v>338</v>
      </c>
      <c r="C191" s="190">
        <v>404.16</v>
      </c>
      <c r="D191" s="190">
        <v>6011.81</v>
      </c>
      <c r="E191" s="190">
        <v>6370.63</v>
      </c>
      <c r="F191" s="190">
        <v>45.34</v>
      </c>
      <c r="G191"/>
      <c r="H191"/>
    </row>
    <row r="192" spans="1:8" ht="15" customHeight="1" x14ac:dyDescent="0.35">
      <c r="A192">
        <v>14030210102</v>
      </c>
      <c r="B192" t="s">
        <v>339</v>
      </c>
      <c r="C192" s="190">
        <v>11591.25</v>
      </c>
      <c r="D192" s="190">
        <v>126994.03</v>
      </c>
      <c r="E192" s="190">
        <v>94200.47</v>
      </c>
      <c r="F192" s="190">
        <v>44384.81</v>
      </c>
      <c r="G192"/>
      <c r="H192"/>
    </row>
    <row r="193" spans="1:8" ht="15" customHeight="1" x14ac:dyDescent="0.35">
      <c r="A193">
        <v>1408</v>
      </c>
      <c r="B193" t="s">
        <v>190</v>
      </c>
      <c r="C193" s="190">
        <v>870966.23</v>
      </c>
      <c r="D193" s="190">
        <v>14538558.65</v>
      </c>
      <c r="E193" s="190">
        <v>14666630.15</v>
      </c>
      <c r="F193" s="190">
        <v>742894.73</v>
      </c>
      <c r="G193"/>
      <c r="H193"/>
    </row>
    <row r="194" spans="1:8" ht="15" customHeight="1" x14ac:dyDescent="0.35">
      <c r="A194">
        <v>140801</v>
      </c>
      <c r="B194" t="s">
        <v>191</v>
      </c>
      <c r="C194" s="190">
        <v>318569</v>
      </c>
      <c r="D194" s="190">
        <v>6961413.9900000002</v>
      </c>
      <c r="E194" s="190">
        <v>7142963.0300000003</v>
      </c>
      <c r="F194" s="190">
        <v>137019.96</v>
      </c>
      <c r="G194"/>
      <c r="H194"/>
    </row>
    <row r="195" spans="1:8" ht="15" customHeight="1" x14ac:dyDescent="0.35">
      <c r="A195">
        <v>1408011</v>
      </c>
      <c r="B195" t="s">
        <v>340</v>
      </c>
      <c r="C195" s="190">
        <v>318569</v>
      </c>
      <c r="D195" s="190">
        <v>6961413.9900000002</v>
      </c>
      <c r="E195" s="190">
        <v>7142963.0300000003</v>
      </c>
      <c r="F195" s="190">
        <v>137019.96</v>
      </c>
      <c r="G195"/>
      <c r="H195"/>
    </row>
    <row r="196" spans="1:8" ht="15" customHeight="1" x14ac:dyDescent="0.35">
      <c r="A196">
        <v>140801101</v>
      </c>
      <c r="B196" t="s">
        <v>341</v>
      </c>
      <c r="C196" s="190">
        <v>12563.98</v>
      </c>
      <c r="D196" s="190">
        <v>1747806.12</v>
      </c>
      <c r="E196" s="190">
        <v>1746836.68</v>
      </c>
      <c r="F196" s="190">
        <v>13533.42</v>
      </c>
      <c r="G196"/>
      <c r="H196"/>
    </row>
    <row r="197" spans="1:8" ht="15" customHeight="1" x14ac:dyDescent="0.35">
      <c r="A197">
        <v>14080110101</v>
      </c>
      <c r="B197" t="s">
        <v>765</v>
      </c>
      <c r="C197" s="190">
        <v>11626.67</v>
      </c>
      <c r="D197" s="190">
        <v>69468.5</v>
      </c>
      <c r="E197" s="190">
        <v>67561.75</v>
      </c>
      <c r="F197" s="190">
        <v>13533.42</v>
      </c>
      <c r="G197"/>
      <c r="H197"/>
    </row>
    <row r="198" spans="1:8" ht="15" customHeight="1" x14ac:dyDescent="0.35">
      <c r="A198">
        <v>1408011010101</v>
      </c>
      <c r="B198" t="s">
        <v>342</v>
      </c>
      <c r="C198" s="190">
        <v>0</v>
      </c>
      <c r="D198" s="190">
        <v>59141.17</v>
      </c>
      <c r="E198" s="190">
        <v>45607.75</v>
      </c>
      <c r="F198" s="190">
        <v>13533.42</v>
      </c>
      <c r="G198"/>
      <c r="H198"/>
    </row>
    <row r="199" spans="1:8" ht="15" customHeight="1" x14ac:dyDescent="0.35">
      <c r="A199">
        <v>14080110102</v>
      </c>
      <c r="B199" t="s">
        <v>324</v>
      </c>
      <c r="C199" s="190">
        <v>937.31</v>
      </c>
      <c r="D199" s="190">
        <v>4653.6400000000003</v>
      </c>
      <c r="E199" s="190">
        <v>5590.95</v>
      </c>
      <c r="F199" s="190">
        <v>0</v>
      </c>
      <c r="G199"/>
      <c r="H199"/>
    </row>
    <row r="200" spans="1:8" ht="15" customHeight="1" x14ac:dyDescent="0.35">
      <c r="A200">
        <v>140801102</v>
      </c>
      <c r="B200" t="s">
        <v>343</v>
      </c>
      <c r="C200" s="190">
        <v>0</v>
      </c>
      <c r="D200" s="190">
        <v>21348.31</v>
      </c>
      <c r="E200" s="190">
        <v>20901</v>
      </c>
      <c r="F200" s="190">
        <v>447.31</v>
      </c>
      <c r="G200"/>
      <c r="H200"/>
    </row>
    <row r="201" spans="1:8" ht="15" customHeight="1" x14ac:dyDescent="0.35">
      <c r="A201">
        <v>1408011020101</v>
      </c>
      <c r="B201" t="s">
        <v>609</v>
      </c>
      <c r="C201" s="190">
        <v>0</v>
      </c>
      <c r="D201" s="190">
        <v>21348.31</v>
      </c>
      <c r="E201" s="190">
        <v>20901</v>
      </c>
      <c r="F201" s="190">
        <v>447.31</v>
      </c>
      <c r="G201"/>
      <c r="H201"/>
    </row>
    <row r="202" spans="1:8" ht="15" customHeight="1" x14ac:dyDescent="0.35">
      <c r="A202">
        <v>140801103</v>
      </c>
      <c r="B202" t="s">
        <v>325</v>
      </c>
      <c r="C202" s="190">
        <v>306005.02</v>
      </c>
      <c r="D202" s="190">
        <v>3851880.65</v>
      </c>
      <c r="E202" s="190">
        <v>4034846.44</v>
      </c>
      <c r="F202" s="190">
        <v>123039.23</v>
      </c>
      <c r="G202"/>
      <c r="H202"/>
    </row>
    <row r="203" spans="1:8" ht="15" customHeight="1" x14ac:dyDescent="0.35">
      <c r="A203">
        <v>14080110301</v>
      </c>
      <c r="B203" t="s">
        <v>325</v>
      </c>
      <c r="C203" s="190">
        <v>155159.5</v>
      </c>
      <c r="D203" s="190">
        <v>3663053.98</v>
      </c>
      <c r="E203" s="190">
        <v>3695174.25</v>
      </c>
      <c r="F203" s="190">
        <v>123039.23</v>
      </c>
      <c r="G203"/>
      <c r="H203"/>
    </row>
    <row r="204" spans="1:8" ht="15" customHeight="1" x14ac:dyDescent="0.35">
      <c r="A204">
        <v>1408011030101</v>
      </c>
      <c r="B204" t="s">
        <v>327</v>
      </c>
      <c r="C204" s="190">
        <v>0</v>
      </c>
      <c r="D204" s="190">
        <v>2391230.96</v>
      </c>
      <c r="E204" s="190">
        <v>2339617.66</v>
      </c>
      <c r="F204" s="190">
        <v>51613.3</v>
      </c>
      <c r="G204"/>
      <c r="H204"/>
    </row>
    <row r="205" spans="1:8" ht="15" customHeight="1" x14ac:dyDescent="0.35">
      <c r="A205">
        <v>1408011030102</v>
      </c>
      <c r="B205" t="s">
        <v>344</v>
      </c>
      <c r="C205" s="190">
        <v>0</v>
      </c>
      <c r="D205" s="190">
        <v>532261.06999999995</v>
      </c>
      <c r="E205" s="190">
        <v>460835.14</v>
      </c>
      <c r="F205" s="190">
        <v>71425.929999999993</v>
      </c>
      <c r="G205"/>
      <c r="H205"/>
    </row>
    <row r="206" spans="1:8" ht="15" customHeight="1" x14ac:dyDescent="0.35">
      <c r="A206">
        <v>14080110302</v>
      </c>
      <c r="B206" t="s">
        <v>344</v>
      </c>
      <c r="C206" s="190">
        <v>150845.51999999999</v>
      </c>
      <c r="D206" s="190">
        <v>188826.67</v>
      </c>
      <c r="E206" s="190">
        <v>339672.19</v>
      </c>
      <c r="F206" s="190">
        <v>0</v>
      </c>
      <c r="G206"/>
      <c r="H206"/>
    </row>
    <row r="207" spans="1:8" ht="15" customHeight="1" x14ac:dyDescent="0.35">
      <c r="A207">
        <v>140802</v>
      </c>
      <c r="B207" t="s">
        <v>345</v>
      </c>
      <c r="C207" s="190">
        <v>0</v>
      </c>
      <c r="D207" s="190">
        <v>2565905.2200000002</v>
      </c>
      <c r="E207" s="190">
        <v>2565905.2200000002</v>
      </c>
      <c r="F207" s="190">
        <v>0</v>
      </c>
      <c r="G207"/>
      <c r="H207"/>
    </row>
    <row r="208" spans="1:8" ht="15" customHeight="1" x14ac:dyDescent="0.35">
      <c r="A208">
        <v>1408021</v>
      </c>
      <c r="B208" t="s">
        <v>346</v>
      </c>
      <c r="C208" s="190">
        <v>0</v>
      </c>
      <c r="D208" s="190">
        <v>2565905.2200000002</v>
      </c>
      <c r="E208" s="190">
        <v>2565905.2200000002</v>
      </c>
      <c r="F208" s="190">
        <v>0</v>
      </c>
      <c r="G208"/>
      <c r="H208"/>
    </row>
    <row r="209" spans="1:9" ht="15" customHeight="1" x14ac:dyDescent="0.35">
      <c r="A209">
        <v>140803</v>
      </c>
      <c r="B209" t="s">
        <v>192</v>
      </c>
      <c r="C209" s="190">
        <v>552397.23</v>
      </c>
      <c r="D209" s="190">
        <v>5011239.4400000004</v>
      </c>
      <c r="E209" s="190">
        <v>4957761.9000000004</v>
      </c>
      <c r="F209" s="190">
        <v>605874.77</v>
      </c>
      <c r="G209"/>
      <c r="H209"/>
    </row>
    <row r="210" spans="1:9" ht="15" customHeight="1" x14ac:dyDescent="0.35">
      <c r="A210">
        <v>1408031</v>
      </c>
      <c r="B210" t="s">
        <v>347</v>
      </c>
      <c r="C210" s="190">
        <v>552397.23</v>
      </c>
      <c r="D210" s="190">
        <v>5011239.4400000004</v>
      </c>
      <c r="E210" s="190">
        <v>4957761.9000000004</v>
      </c>
      <c r="F210" s="190">
        <v>605874.77</v>
      </c>
      <c r="G210"/>
      <c r="H210"/>
    </row>
    <row r="211" spans="1:9" ht="15" customHeight="1" x14ac:dyDescent="0.35">
      <c r="A211">
        <v>140803101</v>
      </c>
      <c r="B211" t="s">
        <v>332</v>
      </c>
      <c r="C211" s="190">
        <v>549829.66</v>
      </c>
      <c r="D211" s="190">
        <v>4768101.18</v>
      </c>
      <c r="E211" s="190">
        <v>4717559.93</v>
      </c>
      <c r="F211" s="190">
        <v>600370.91</v>
      </c>
      <c r="G211"/>
      <c r="H211"/>
    </row>
    <row r="212" spans="1:9" ht="15" customHeight="1" x14ac:dyDescent="0.35">
      <c r="A212">
        <v>14080310101</v>
      </c>
      <c r="B212" t="s">
        <v>332</v>
      </c>
      <c r="C212" s="190">
        <v>63749.120000000003</v>
      </c>
      <c r="D212" s="190">
        <v>3359717.38</v>
      </c>
      <c r="E212" s="190">
        <v>2823095.59</v>
      </c>
      <c r="F212" s="190">
        <v>600370.91</v>
      </c>
      <c r="G212"/>
      <c r="H212"/>
    </row>
    <row r="213" spans="1:9" ht="15" customHeight="1" x14ac:dyDescent="0.35">
      <c r="A213">
        <v>1408031010101</v>
      </c>
      <c r="B213" t="s">
        <v>334</v>
      </c>
      <c r="C213" s="190">
        <v>0</v>
      </c>
      <c r="D213" s="190">
        <v>576280.73</v>
      </c>
      <c r="E213" s="190">
        <v>490831.25</v>
      </c>
      <c r="F213" s="190">
        <v>85449.48</v>
      </c>
      <c r="G213"/>
      <c r="H213"/>
    </row>
    <row r="214" spans="1:9" ht="15" customHeight="1" x14ac:dyDescent="0.35">
      <c r="A214">
        <v>1408031010102</v>
      </c>
      <c r="B214" t="s">
        <v>335</v>
      </c>
      <c r="C214" s="190">
        <v>0</v>
      </c>
      <c r="D214" s="190">
        <v>2680697.2200000002</v>
      </c>
      <c r="E214" s="190">
        <v>2165775.79</v>
      </c>
      <c r="F214" s="190">
        <v>514921.43</v>
      </c>
      <c r="G214"/>
      <c r="H214"/>
    </row>
    <row r="215" spans="1:9" ht="15" customHeight="1" x14ac:dyDescent="0.35">
      <c r="A215">
        <v>14080310102</v>
      </c>
      <c r="B215" t="s">
        <v>335</v>
      </c>
      <c r="C215" s="190">
        <v>486080.54</v>
      </c>
      <c r="D215" s="190">
        <v>1408383.8</v>
      </c>
      <c r="E215" s="190">
        <v>1894464.34</v>
      </c>
      <c r="F215" s="190">
        <v>0</v>
      </c>
      <c r="G215"/>
      <c r="H215"/>
    </row>
    <row r="216" spans="1:9" ht="15" customHeight="1" x14ac:dyDescent="0.35">
      <c r="A216">
        <v>140803102</v>
      </c>
      <c r="B216" t="s">
        <v>336</v>
      </c>
      <c r="C216" s="190">
        <v>2567.5700000000002</v>
      </c>
      <c r="D216" s="190">
        <v>36213.58</v>
      </c>
      <c r="E216" s="190">
        <v>33277.29</v>
      </c>
      <c r="F216" s="190">
        <v>5503.86</v>
      </c>
      <c r="G216"/>
      <c r="H216"/>
    </row>
    <row r="217" spans="1:9" ht="15" customHeight="1" x14ac:dyDescent="0.35">
      <c r="A217">
        <v>14080310201</v>
      </c>
      <c r="B217" t="s">
        <v>336</v>
      </c>
      <c r="C217" s="190">
        <v>0</v>
      </c>
      <c r="D217" s="190">
        <v>30851.34</v>
      </c>
      <c r="E217" s="190">
        <v>25347.48</v>
      </c>
      <c r="F217" s="190">
        <v>5503.86</v>
      </c>
      <c r="G217"/>
      <c r="H217"/>
    </row>
    <row r="218" spans="1:9" ht="15" customHeight="1" x14ac:dyDescent="0.35">
      <c r="A218">
        <v>1408031020101</v>
      </c>
      <c r="B218" t="s">
        <v>348</v>
      </c>
      <c r="C218" s="190">
        <v>0</v>
      </c>
      <c r="D218" s="190">
        <v>3504.27</v>
      </c>
      <c r="E218" s="190">
        <v>3054.78</v>
      </c>
      <c r="F218" s="190">
        <v>449.49</v>
      </c>
      <c r="G218"/>
      <c r="H218"/>
    </row>
    <row r="219" spans="1:9" ht="15" customHeight="1" x14ac:dyDescent="0.35">
      <c r="A219">
        <v>1408031020102</v>
      </c>
      <c r="B219" t="s">
        <v>349</v>
      </c>
      <c r="C219" s="190">
        <v>0</v>
      </c>
      <c r="D219" s="190">
        <v>26538.75</v>
      </c>
      <c r="E219" s="190">
        <v>21484.38</v>
      </c>
      <c r="F219" s="190">
        <v>5054.37</v>
      </c>
      <c r="G219"/>
      <c r="H219"/>
    </row>
    <row r="220" spans="1:9" ht="15" customHeight="1" x14ac:dyDescent="0.35">
      <c r="A220">
        <v>14080310202</v>
      </c>
      <c r="B220" t="s">
        <v>349</v>
      </c>
      <c r="C220" s="190">
        <v>2567.5700000000002</v>
      </c>
      <c r="D220" s="190">
        <v>5362.24</v>
      </c>
      <c r="E220" s="190">
        <v>7929.81</v>
      </c>
      <c r="F220" s="190">
        <v>0</v>
      </c>
      <c r="G220"/>
      <c r="H220"/>
    </row>
    <row r="221" spans="1:9" ht="15" customHeight="1" x14ac:dyDescent="0.35">
      <c r="A221">
        <v>1499</v>
      </c>
      <c r="B221" t="s">
        <v>193</v>
      </c>
      <c r="C221" s="190">
        <v>-80011.11</v>
      </c>
      <c r="D221" s="190">
        <v>11432323.4</v>
      </c>
      <c r="E221" s="190">
        <v>11630045.9</v>
      </c>
      <c r="F221" s="190">
        <v>-277733.61</v>
      </c>
      <c r="G221"/>
      <c r="H221"/>
    </row>
    <row r="222" spans="1:9" ht="15" customHeight="1" x14ac:dyDescent="0.35">
      <c r="A222">
        <v>149901</v>
      </c>
      <c r="B222" t="s">
        <v>191</v>
      </c>
      <c r="C222" s="190">
        <v>-22580.02</v>
      </c>
      <c r="D222" s="190">
        <v>6793709.0999999996</v>
      </c>
      <c r="E222" s="190">
        <v>6810346.8899999997</v>
      </c>
      <c r="F222" s="190">
        <v>-39217.81</v>
      </c>
      <c r="G222"/>
      <c r="H222"/>
    </row>
    <row r="223" spans="1:9" ht="15" customHeight="1" x14ac:dyDescent="0.35">
      <c r="A223">
        <v>1499011</v>
      </c>
      <c r="B223" t="s">
        <v>340</v>
      </c>
      <c r="C223" s="190">
        <v>-22580.02</v>
      </c>
      <c r="D223" s="190">
        <v>6793709.0999999996</v>
      </c>
      <c r="E223" s="190">
        <v>6810346.8899999997</v>
      </c>
      <c r="F223" s="190">
        <v>-39217.81</v>
      </c>
      <c r="G223"/>
      <c r="H223"/>
    </row>
    <row r="224" spans="1:9" ht="15" customHeight="1" x14ac:dyDescent="0.35">
      <c r="A224">
        <v>149901101</v>
      </c>
      <c r="B224" t="s">
        <v>341</v>
      </c>
      <c r="C224" s="190">
        <v>-7281.53</v>
      </c>
      <c r="D224" s="190">
        <v>31434.66</v>
      </c>
      <c r="E224" s="190">
        <v>29763.47</v>
      </c>
      <c r="F224" s="190">
        <v>-5610.34</v>
      </c>
      <c r="G224"/>
      <c r="H224"/>
      <c r="I224" s="167"/>
    </row>
    <row r="225" spans="1:8" ht="15" customHeight="1" x14ac:dyDescent="0.35">
      <c r="A225">
        <v>14990110101</v>
      </c>
      <c r="B225" t="s">
        <v>766</v>
      </c>
      <c r="C225" s="190">
        <v>-6678.03</v>
      </c>
      <c r="D225" s="190">
        <v>30776.26</v>
      </c>
      <c r="E225" s="190">
        <v>29708.57</v>
      </c>
      <c r="F225" s="190">
        <v>-5610.34</v>
      </c>
      <c r="G225"/>
      <c r="H225"/>
    </row>
    <row r="226" spans="1:8" ht="15" customHeight="1" x14ac:dyDescent="0.35">
      <c r="A226">
        <v>1499011010101</v>
      </c>
      <c r="B226" t="s">
        <v>342</v>
      </c>
      <c r="C226" s="190">
        <v>0</v>
      </c>
      <c r="D226" s="190">
        <v>23749.25</v>
      </c>
      <c r="E226" s="190">
        <v>29359.59</v>
      </c>
      <c r="F226" s="190">
        <v>-5610.34</v>
      </c>
      <c r="G226"/>
      <c r="H226"/>
    </row>
    <row r="227" spans="1:8" ht="15" customHeight="1" x14ac:dyDescent="0.35">
      <c r="A227">
        <v>14990110102</v>
      </c>
      <c r="B227" t="s">
        <v>324</v>
      </c>
      <c r="C227" s="190">
        <v>-603.5</v>
      </c>
      <c r="D227" s="190">
        <v>658.4</v>
      </c>
      <c r="E227" s="190">
        <v>54.9</v>
      </c>
      <c r="F227" s="190">
        <v>0</v>
      </c>
      <c r="G227"/>
      <c r="H227"/>
    </row>
    <row r="228" spans="1:8" ht="15" customHeight="1" x14ac:dyDescent="0.35">
      <c r="A228">
        <v>1499011020101</v>
      </c>
      <c r="B228" t="s">
        <v>324</v>
      </c>
      <c r="C228" s="190">
        <v>0</v>
      </c>
      <c r="D228" s="190">
        <v>4725.82</v>
      </c>
      <c r="E228" s="190">
        <v>5019.83</v>
      </c>
      <c r="F228" s="190">
        <v>-294.01</v>
      </c>
      <c r="G228"/>
      <c r="H228"/>
    </row>
    <row r="229" spans="1:8" ht="15" customHeight="1" x14ac:dyDescent="0.35">
      <c r="A229">
        <v>149901103</v>
      </c>
      <c r="B229" t="s">
        <v>325</v>
      </c>
      <c r="C229" s="190">
        <v>-15298.49</v>
      </c>
      <c r="D229" s="190">
        <v>1125517.3400000001</v>
      </c>
      <c r="E229" s="190">
        <v>1143532.31</v>
      </c>
      <c r="F229" s="190">
        <v>-33313.46</v>
      </c>
      <c r="G229"/>
      <c r="H229"/>
    </row>
    <row r="230" spans="1:8" ht="15" customHeight="1" x14ac:dyDescent="0.35">
      <c r="A230">
        <v>14990110301</v>
      </c>
      <c r="B230" t="s">
        <v>325</v>
      </c>
      <c r="C230" s="190">
        <v>-13627.73</v>
      </c>
      <c r="D230" s="190">
        <v>1122432.6000000001</v>
      </c>
      <c r="E230" s="190">
        <v>1142118.33</v>
      </c>
      <c r="F230" s="190">
        <v>-33313.46</v>
      </c>
      <c r="G230"/>
      <c r="H230"/>
    </row>
    <row r="231" spans="1:8" ht="15" customHeight="1" x14ac:dyDescent="0.35">
      <c r="A231">
        <v>1499011030101</v>
      </c>
      <c r="B231" t="s">
        <v>350</v>
      </c>
      <c r="C231" s="190">
        <v>0</v>
      </c>
      <c r="D231" s="190">
        <v>1013587.85</v>
      </c>
      <c r="E231" s="190">
        <v>1040529.02</v>
      </c>
      <c r="F231" s="190">
        <v>-26941.17</v>
      </c>
      <c r="G231"/>
      <c r="H231"/>
    </row>
    <row r="232" spans="1:8" ht="15" customHeight="1" x14ac:dyDescent="0.35">
      <c r="A232">
        <v>1499011030102</v>
      </c>
      <c r="B232" t="s">
        <v>344</v>
      </c>
      <c r="C232" s="190">
        <v>0</v>
      </c>
      <c r="D232" s="190">
        <v>75280.92</v>
      </c>
      <c r="E232" s="190">
        <v>81653.210000000006</v>
      </c>
      <c r="F232" s="190">
        <v>-6372.29</v>
      </c>
      <c r="G232"/>
      <c r="H232"/>
    </row>
    <row r="233" spans="1:8" ht="15" customHeight="1" x14ac:dyDescent="0.35">
      <c r="A233">
        <v>14990110302</v>
      </c>
      <c r="B233" t="s">
        <v>344</v>
      </c>
      <c r="C233" s="190">
        <v>-1670.76</v>
      </c>
      <c r="D233" s="190">
        <v>3084.74</v>
      </c>
      <c r="E233" s="190">
        <v>1413.98</v>
      </c>
      <c r="F233" s="190">
        <v>0</v>
      </c>
      <c r="G233"/>
      <c r="H233"/>
    </row>
    <row r="234" spans="1:8" ht="15" customHeight="1" x14ac:dyDescent="0.35">
      <c r="A234">
        <v>149902</v>
      </c>
      <c r="B234" t="s">
        <v>345</v>
      </c>
      <c r="C234" s="190">
        <v>0</v>
      </c>
      <c r="D234" s="190">
        <v>3385908.9</v>
      </c>
      <c r="E234" s="190">
        <v>3385908.9</v>
      </c>
      <c r="F234" s="190">
        <v>0</v>
      </c>
      <c r="G234"/>
      <c r="H234"/>
    </row>
    <row r="235" spans="1:8" ht="15" customHeight="1" x14ac:dyDescent="0.35">
      <c r="A235">
        <v>1499021</v>
      </c>
      <c r="B235" t="s">
        <v>346</v>
      </c>
      <c r="C235" s="190">
        <v>0</v>
      </c>
      <c r="D235" s="190">
        <v>3385908.9</v>
      </c>
      <c r="E235" s="190">
        <v>3385908.9</v>
      </c>
      <c r="F235" s="190">
        <v>0</v>
      </c>
      <c r="G235"/>
      <c r="H235"/>
    </row>
    <row r="236" spans="1:8" ht="15" customHeight="1" x14ac:dyDescent="0.35">
      <c r="A236">
        <v>149903</v>
      </c>
      <c r="B236" t="s">
        <v>192</v>
      </c>
      <c r="C236" s="190">
        <v>-57431.09</v>
      </c>
      <c r="D236" s="190">
        <v>1252705.3999999999</v>
      </c>
      <c r="E236" s="190">
        <v>1433790.11</v>
      </c>
      <c r="F236" s="190">
        <v>-238515.8</v>
      </c>
      <c r="G236"/>
      <c r="H236"/>
    </row>
    <row r="237" spans="1:8" ht="15" customHeight="1" x14ac:dyDescent="0.35">
      <c r="A237">
        <v>1499031</v>
      </c>
      <c r="B237" t="s">
        <v>347</v>
      </c>
      <c r="C237" s="190">
        <v>-57431.09</v>
      </c>
      <c r="D237" s="190">
        <v>1252705.3999999999</v>
      </c>
      <c r="E237" s="190">
        <v>1433790.11</v>
      </c>
      <c r="F237" s="190">
        <v>-238515.8</v>
      </c>
      <c r="G237"/>
      <c r="H237"/>
    </row>
    <row r="238" spans="1:8" ht="15" customHeight="1" x14ac:dyDescent="0.35">
      <c r="A238">
        <v>149903101</v>
      </c>
      <c r="B238" t="s">
        <v>332</v>
      </c>
      <c r="C238" s="190">
        <v>-56330.36</v>
      </c>
      <c r="D238" s="190">
        <v>1111639.68</v>
      </c>
      <c r="E238" s="190">
        <v>1288865.02</v>
      </c>
      <c r="F238" s="190">
        <v>-233555.7</v>
      </c>
      <c r="G238"/>
      <c r="H238"/>
    </row>
    <row r="239" spans="1:8" ht="15" customHeight="1" x14ac:dyDescent="0.35">
      <c r="A239">
        <v>14990310101</v>
      </c>
      <c r="B239" t="s">
        <v>332</v>
      </c>
      <c r="C239" s="190">
        <v>-34245.43</v>
      </c>
      <c r="D239" s="190">
        <v>1023976.62</v>
      </c>
      <c r="E239" s="190">
        <v>1223286.8899999999</v>
      </c>
      <c r="F239" s="190">
        <v>-233555.7</v>
      </c>
      <c r="G239"/>
      <c r="H239"/>
    </row>
    <row r="240" spans="1:8" ht="15" customHeight="1" x14ac:dyDescent="0.35">
      <c r="A240">
        <v>1499031010101</v>
      </c>
      <c r="B240" t="s">
        <v>334</v>
      </c>
      <c r="C240" s="190">
        <v>0</v>
      </c>
      <c r="D240" s="190">
        <v>228326.57</v>
      </c>
      <c r="E240" s="190">
        <v>278107.77</v>
      </c>
      <c r="F240" s="190">
        <v>-49781.2</v>
      </c>
      <c r="G240"/>
      <c r="H240"/>
    </row>
    <row r="241" spans="1:9" ht="15" customHeight="1" x14ac:dyDescent="0.35">
      <c r="A241">
        <v>1499031010102</v>
      </c>
      <c r="B241" t="s">
        <v>473</v>
      </c>
      <c r="C241" s="190">
        <v>0</v>
      </c>
      <c r="D241" s="190">
        <v>758843.78</v>
      </c>
      <c r="E241" s="190">
        <v>942618.28</v>
      </c>
      <c r="F241" s="190">
        <v>-183774.5</v>
      </c>
      <c r="G241"/>
      <c r="H241"/>
    </row>
    <row r="242" spans="1:9" ht="15" customHeight="1" x14ac:dyDescent="0.35">
      <c r="A242">
        <v>14990310102</v>
      </c>
      <c r="B242" t="s">
        <v>335</v>
      </c>
      <c r="C242" s="190">
        <v>-22084.93</v>
      </c>
      <c r="D242" s="190">
        <v>87663.06</v>
      </c>
      <c r="E242" s="190">
        <v>65578.13</v>
      </c>
      <c r="F242" s="190">
        <v>0</v>
      </c>
      <c r="G242"/>
      <c r="H242"/>
    </row>
    <row r="243" spans="1:9" ht="15" customHeight="1" x14ac:dyDescent="0.35">
      <c r="A243">
        <v>149903102</v>
      </c>
      <c r="B243" t="s">
        <v>336</v>
      </c>
      <c r="C243" s="190">
        <v>-1100.73</v>
      </c>
      <c r="D243" s="190">
        <v>38077</v>
      </c>
      <c r="E243" s="190">
        <v>41936.370000000003</v>
      </c>
      <c r="F243" s="190">
        <v>-4960.1000000000004</v>
      </c>
      <c r="G243"/>
      <c r="H243"/>
      <c r="I243" s="167"/>
    </row>
    <row r="244" spans="1:9" ht="15" customHeight="1" x14ac:dyDescent="0.35">
      <c r="A244">
        <v>14990310201</v>
      </c>
      <c r="B244" t="s">
        <v>336</v>
      </c>
      <c r="C244" s="190">
        <v>0</v>
      </c>
      <c r="D244" s="190">
        <v>36916.79</v>
      </c>
      <c r="E244" s="190">
        <v>41876.89</v>
      </c>
      <c r="F244" s="190">
        <v>-4960.1000000000004</v>
      </c>
      <c r="G244"/>
      <c r="H244"/>
    </row>
    <row r="245" spans="1:9" ht="15" customHeight="1" x14ac:dyDescent="0.35">
      <c r="A245">
        <v>1499031020101</v>
      </c>
      <c r="B245" t="s">
        <v>338</v>
      </c>
      <c r="C245" s="190">
        <v>0</v>
      </c>
      <c r="D245" s="190">
        <v>1955.11</v>
      </c>
      <c r="E245" s="190">
        <v>2381.94</v>
      </c>
      <c r="F245" s="190">
        <v>-426.83</v>
      </c>
      <c r="G245"/>
      <c r="H245"/>
    </row>
    <row r="246" spans="1:9" ht="15" customHeight="1" x14ac:dyDescent="0.35">
      <c r="A246">
        <v>1499031020102</v>
      </c>
      <c r="B246" t="s">
        <v>339</v>
      </c>
      <c r="C246" s="190">
        <v>0</v>
      </c>
      <c r="D246" s="190">
        <v>34941.47</v>
      </c>
      <c r="E246" s="190">
        <v>39474.74</v>
      </c>
      <c r="F246" s="190">
        <v>-4533.2700000000004</v>
      </c>
      <c r="G246"/>
      <c r="H246"/>
    </row>
    <row r="247" spans="1:9" ht="15" customHeight="1" x14ac:dyDescent="0.35">
      <c r="A247">
        <v>14990310202</v>
      </c>
      <c r="B247" t="s">
        <v>339</v>
      </c>
      <c r="C247" s="190">
        <v>-1100.73</v>
      </c>
      <c r="D247" s="190">
        <v>1160.21</v>
      </c>
      <c r="E247" s="190">
        <v>59.48</v>
      </c>
      <c r="F247" s="190">
        <v>0</v>
      </c>
      <c r="G247"/>
      <c r="H247"/>
    </row>
    <row r="248" spans="1:9" ht="15" customHeight="1" x14ac:dyDescent="0.35">
      <c r="A248">
        <v>16</v>
      </c>
      <c r="B248" t="s">
        <v>178</v>
      </c>
      <c r="C248" s="190">
        <v>806448.82</v>
      </c>
      <c r="D248" s="190">
        <v>2617202.0299999998</v>
      </c>
      <c r="E248" s="190">
        <v>1963837.95</v>
      </c>
      <c r="F248" s="190">
        <v>1459812.9</v>
      </c>
      <c r="G248"/>
      <c r="H248"/>
    </row>
    <row r="249" spans="1:9" ht="15" customHeight="1" x14ac:dyDescent="0.35">
      <c r="A249">
        <v>1601</v>
      </c>
      <c r="B249" t="s">
        <v>219</v>
      </c>
      <c r="C249" s="190">
        <v>106250.09</v>
      </c>
      <c r="D249" s="190">
        <v>1289005.76</v>
      </c>
      <c r="E249" s="190">
        <v>952072.44</v>
      </c>
      <c r="F249" s="190">
        <v>443183.41</v>
      </c>
      <c r="G249"/>
      <c r="H249"/>
    </row>
    <row r="250" spans="1:9" ht="15" customHeight="1" x14ac:dyDescent="0.35">
      <c r="A250">
        <v>160101</v>
      </c>
      <c r="B250" t="s">
        <v>351</v>
      </c>
      <c r="C250" s="190">
        <v>106250.09</v>
      </c>
      <c r="D250" s="190">
        <v>1289005.76</v>
      </c>
      <c r="E250" s="190">
        <v>952072.44</v>
      </c>
      <c r="F250" s="190">
        <v>443183.41</v>
      </c>
      <c r="G250"/>
      <c r="H250"/>
    </row>
    <row r="251" spans="1:9" ht="15" customHeight="1" x14ac:dyDescent="0.35">
      <c r="A251">
        <v>1601011</v>
      </c>
      <c r="B251" t="s">
        <v>352</v>
      </c>
      <c r="C251" s="190">
        <v>106250.09</v>
      </c>
      <c r="D251" s="190">
        <v>1289005.76</v>
      </c>
      <c r="E251" s="190">
        <v>952072.44</v>
      </c>
      <c r="F251" s="190">
        <v>443183.41</v>
      </c>
      <c r="G251"/>
      <c r="H251"/>
    </row>
    <row r="252" spans="1:9" ht="15" customHeight="1" x14ac:dyDescent="0.35">
      <c r="A252">
        <v>160101101</v>
      </c>
      <c r="B252" t="s">
        <v>353</v>
      </c>
      <c r="C252" s="190">
        <v>104881.4</v>
      </c>
      <c r="D252" s="190">
        <v>416770.62</v>
      </c>
      <c r="E252" s="190">
        <v>513960.45</v>
      </c>
      <c r="F252" s="190">
        <v>7691.57</v>
      </c>
      <c r="G252"/>
      <c r="H252"/>
    </row>
    <row r="253" spans="1:9" ht="15" customHeight="1" x14ac:dyDescent="0.35">
      <c r="A253">
        <v>160101102</v>
      </c>
      <c r="B253" t="s">
        <v>354</v>
      </c>
      <c r="C253" s="190">
        <v>1368.69</v>
      </c>
      <c r="D253" s="190">
        <v>26560.69</v>
      </c>
      <c r="E253" s="190">
        <v>28301.39</v>
      </c>
      <c r="F253" s="190">
        <v>-372.01</v>
      </c>
      <c r="G253"/>
      <c r="H253"/>
    </row>
    <row r="254" spans="1:9" ht="15" customHeight="1" x14ac:dyDescent="0.35">
      <c r="A254">
        <v>160101103</v>
      </c>
      <c r="B254" t="s">
        <v>355</v>
      </c>
      <c r="C254" s="190">
        <v>0</v>
      </c>
      <c r="D254" s="190">
        <v>180101.14</v>
      </c>
      <c r="E254" s="190">
        <v>0</v>
      </c>
      <c r="F254" s="190">
        <v>180101.14</v>
      </c>
      <c r="G254"/>
      <c r="H254"/>
    </row>
    <row r="255" spans="1:9" ht="15" customHeight="1" x14ac:dyDescent="0.35">
      <c r="A255">
        <v>160101104</v>
      </c>
      <c r="B255" t="s">
        <v>620</v>
      </c>
      <c r="C255" s="190">
        <v>0</v>
      </c>
      <c r="D255" s="190">
        <v>665573.31000000006</v>
      </c>
      <c r="E255" s="190">
        <v>409810.6</v>
      </c>
      <c r="F255" s="190">
        <v>255762.71</v>
      </c>
      <c r="G255"/>
      <c r="H255"/>
    </row>
    <row r="256" spans="1:9" ht="15" customHeight="1" x14ac:dyDescent="0.35">
      <c r="A256">
        <v>1603</v>
      </c>
      <c r="B256" t="s">
        <v>194</v>
      </c>
      <c r="C256" s="190">
        <v>700198.73</v>
      </c>
      <c r="D256" s="190">
        <v>1328196.27</v>
      </c>
      <c r="E256" s="190">
        <v>1011765.51</v>
      </c>
      <c r="F256" s="190">
        <v>1016629.49</v>
      </c>
      <c r="G256"/>
      <c r="H256"/>
    </row>
    <row r="257" spans="1:8" ht="15" customHeight="1" x14ac:dyDescent="0.35">
      <c r="A257">
        <v>160301</v>
      </c>
      <c r="B257" t="s">
        <v>356</v>
      </c>
      <c r="C257" s="190">
        <v>700198.73</v>
      </c>
      <c r="D257" s="190">
        <v>1328196.27</v>
      </c>
      <c r="E257" s="190">
        <v>1011765.51</v>
      </c>
      <c r="F257" s="190">
        <v>1016629.49</v>
      </c>
      <c r="G257"/>
      <c r="H257"/>
    </row>
    <row r="258" spans="1:8" ht="15" customHeight="1" x14ac:dyDescent="0.35">
      <c r="A258">
        <v>1603011</v>
      </c>
      <c r="B258" t="s">
        <v>357</v>
      </c>
      <c r="C258" s="190">
        <v>700198.73</v>
      </c>
      <c r="D258" s="190">
        <v>1328196.27</v>
      </c>
      <c r="E258" s="190">
        <v>1011765.51</v>
      </c>
      <c r="F258" s="190">
        <v>1016629.49</v>
      </c>
      <c r="G258"/>
      <c r="H258"/>
    </row>
    <row r="259" spans="1:8" ht="15" customHeight="1" x14ac:dyDescent="0.35">
      <c r="A259">
        <v>160301101</v>
      </c>
      <c r="B259" t="s">
        <v>358</v>
      </c>
      <c r="C259" s="190">
        <v>436304.37</v>
      </c>
      <c r="D259" s="190">
        <v>735168.85</v>
      </c>
      <c r="E259" s="190">
        <v>789634.04</v>
      </c>
      <c r="F259" s="190">
        <v>381839.18</v>
      </c>
      <c r="G259"/>
      <c r="H259"/>
    </row>
    <row r="260" spans="1:8" ht="15" customHeight="1" x14ac:dyDescent="0.35">
      <c r="A260">
        <v>160301102</v>
      </c>
      <c r="B260" t="s">
        <v>359</v>
      </c>
      <c r="C260" s="190">
        <v>14806.29</v>
      </c>
      <c r="D260" s="190">
        <v>2835.02</v>
      </c>
      <c r="E260" s="190">
        <v>1658.59</v>
      </c>
      <c r="F260" s="190">
        <v>15982.72</v>
      </c>
      <c r="G260"/>
      <c r="H260"/>
    </row>
    <row r="261" spans="1:8" ht="15" customHeight="1" x14ac:dyDescent="0.35">
      <c r="A261">
        <v>160301104</v>
      </c>
      <c r="B261" t="s">
        <v>354</v>
      </c>
      <c r="C261" s="190">
        <v>4716.83</v>
      </c>
      <c r="D261" s="190">
        <v>1171.3</v>
      </c>
      <c r="E261" s="190">
        <v>1171.33</v>
      </c>
      <c r="F261" s="190">
        <v>4716.8</v>
      </c>
      <c r="G261"/>
      <c r="H261"/>
    </row>
    <row r="262" spans="1:8" ht="15" customHeight="1" x14ac:dyDescent="0.35">
      <c r="A262">
        <v>160301105</v>
      </c>
      <c r="B262" t="s">
        <v>360</v>
      </c>
      <c r="C262" s="190">
        <v>3720.27</v>
      </c>
      <c r="D262" s="190">
        <v>137359.51999999999</v>
      </c>
      <c r="E262" s="190">
        <v>32945.79</v>
      </c>
      <c r="F262" s="190">
        <v>108134</v>
      </c>
      <c r="G262"/>
      <c r="H262"/>
    </row>
    <row r="263" spans="1:8" ht="15" customHeight="1" x14ac:dyDescent="0.35">
      <c r="A263">
        <v>160301106</v>
      </c>
      <c r="B263" t="s">
        <v>355</v>
      </c>
      <c r="C263" s="190">
        <v>240650.97</v>
      </c>
      <c r="D263" s="190">
        <v>451661.58</v>
      </c>
      <c r="E263" s="190">
        <v>186355.76</v>
      </c>
      <c r="F263" s="190">
        <v>505956.79</v>
      </c>
      <c r="G263"/>
      <c r="H263"/>
    </row>
    <row r="264" spans="1:8" ht="15" customHeight="1" x14ac:dyDescent="0.35">
      <c r="A264">
        <v>18</v>
      </c>
      <c r="B264" t="s">
        <v>45</v>
      </c>
      <c r="C264" s="190">
        <v>48127.24</v>
      </c>
      <c r="D264" s="190">
        <v>12502.43</v>
      </c>
      <c r="E264" s="190">
        <v>26681.15</v>
      </c>
      <c r="F264" s="190">
        <v>33948.519999999997</v>
      </c>
      <c r="G264"/>
      <c r="H264"/>
    </row>
    <row r="265" spans="1:8" ht="15" customHeight="1" x14ac:dyDescent="0.35">
      <c r="A265">
        <v>1803</v>
      </c>
      <c r="B265" t="s">
        <v>46</v>
      </c>
      <c r="C265" s="190">
        <v>116074.12</v>
      </c>
      <c r="D265" s="190">
        <v>0</v>
      </c>
      <c r="E265" s="190">
        <v>0</v>
      </c>
      <c r="F265" s="190">
        <v>116074.12</v>
      </c>
      <c r="G265"/>
      <c r="H265"/>
    </row>
    <row r="266" spans="1:8" ht="15" customHeight="1" x14ac:dyDescent="0.35">
      <c r="A266">
        <v>180301</v>
      </c>
      <c r="B266" t="s">
        <v>361</v>
      </c>
      <c r="C266" s="190">
        <v>6601.42</v>
      </c>
      <c r="D266" s="190">
        <v>0</v>
      </c>
      <c r="E266" s="190">
        <v>0</v>
      </c>
      <c r="F266" s="190">
        <v>6601.42</v>
      </c>
      <c r="G266"/>
      <c r="H266"/>
    </row>
    <row r="267" spans="1:8" ht="15" customHeight="1" x14ac:dyDescent="0.35">
      <c r="A267">
        <v>180302</v>
      </c>
      <c r="B267" t="s">
        <v>362</v>
      </c>
      <c r="C267" s="190">
        <v>1440.88</v>
      </c>
      <c r="D267" s="190">
        <v>0</v>
      </c>
      <c r="E267" s="190">
        <v>0</v>
      </c>
      <c r="F267" s="190">
        <v>1440.88</v>
      </c>
      <c r="G267"/>
      <c r="H267"/>
    </row>
    <row r="268" spans="1:8" ht="15" customHeight="1" x14ac:dyDescent="0.35">
      <c r="A268">
        <v>180303</v>
      </c>
      <c r="B268" t="s">
        <v>363</v>
      </c>
      <c r="C268" s="190">
        <v>99295.9</v>
      </c>
      <c r="D268" s="190">
        <v>0</v>
      </c>
      <c r="E268" s="190">
        <v>0</v>
      </c>
      <c r="F268" s="190">
        <v>99295.9</v>
      </c>
      <c r="G268"/>
      <c r="H268"/>
    </row>
    <row r="269" spans="1:8" ht="15" customHeight="1" x14ac:dyDescent="0.35">
      <c r="A269">
        <v>180309</v>
      </c>
      <c r="B269" t="s">
        <v>364</v>
      </c>
      <c r="C269" s="190">
        <v>8735.92</v>
      </c>
      <c r="D269" s="190">
        <v>0</v>
      </c>
      <c r="E269" s="190">
        <v>0</v>
      </c>
      <c r="F269" s="190">
        <v>8735.92</v>
      </c>
      <c r="G269"/>
      <c r="H269"/>
    </row>
    <row r="270" spans="1:8" ht="15" customHeight="1" x14ac:dyDescent="0.35">
      <c r="A270">
        <v>1804</v>
      </c>
      <c r="B270" t="s">
        <v>195</v>
      </c>
      <c r="C270" s="190">
        <v>43362.83</v>
      </c>
      <c r="D270" s="190">
        <v>0</v>
      </c>
      <c r="E270" s="190">
        <v>0</v>
      </c>
      <c r="F270" s="190">
        <v>43362.83</v>
      </c>
      <c r="G270"/>
      <c r="H270"/>
    </row>
    <row r="271" spans="1:8" ht="15" customHeight="1" x14ac:dyDescent="0.35">
      <c r="A271">
        <v>180401</v>
      </c>
      <c r="B271" t="s">
        <v>365</v>
      </c>
      <c r="C271" s="190">
        <v>43362.83</v>
      </c>
      <c r="D271" s="190">
        <v>0</v>
      </c>
      <c r="E271" s="190">
        <v>0</v>
      </c>
      <c r="F271" s="190">
        <v>43362.83</v>
      </c>
      <c r="G271"/>
      <c r="H271"/>
    </row>
    <row r="272" spans="1:8" ht="15" customHeight="1" x14ac:dyDescent="0.35">
      <c r="A272">
        <v>1899</v>
      </c>
      <c r="B272" t="s">
        <v>366</v>
      </c>
      <c r="C272" s="190">
        <v>-111309.71</v>
      </c>
      <c r="D272" s="190">
        <v>12502.43</v>
      </c>
      <c r="E272" s="190">
        <v>26681.15</v>
      </c>
      <c r="F272" s="190">
        <v>-125488.43</v>
      </c>
      <c r="G272"/>
      <c r="H272"/>
    </row>
    <row r="273" spans="1:8" ht="15" customHeight="1" x14ac:dyDescent="0.35">
      <c r="A273">
        <v>189903</v>
      </c>
      <c r="B273" t="s">
        <v>367</v>
      </c>
      <c r="C273" s="190">
        <v>-68850.27</v>
      </c>
      <c r="D273" s="190">
        <v>12502.43</v>
      </c>
      <c r="E273" s="190">
        <v>25777.759999999998</v>
      </c>
      <c r="F273" s="190">
        <v>-82125.600000000006</v>
      </c>
      <c r="G273"/>
      <c r="H273"/>
    </row>
    <row r="274" spans="1:8" ht="15" customHeight="1" x14ac:dyDescent="0.35">
      <c r="A274">
        <v>1899030</v>
      </c>
      <c r="B274" t="s">
        <v>367</v>
      </c>
      <c r="C274" s="190">
        <v>-68850.27</v>
      </c>
      <c r="D274" s="190">
        <v>12502.43</v>
      </c>
      <c r="E274" s="190">
        <v>25777.759999999998</v>
      </c>
      <c r="F274" s="190">
        <v>-82125.600000000006</v>
      </c>
      <c r="G274"/>
      <c r="H274"/>
    </row>
    <row r="275" spans="1:8" ht="15" customHeight="1" x14ac:dyDescent="0.35">
      <c r="A275">
        <v>189903001</v>
      </c>
      <c r="B275" t="s">
        <v>361</v>
      </c>
      <c r="C275" s="190">
        <v>-5940.86</v>
      </c>
      <c r="D275" s="190">
        <v>132.68</v>
      </c>
      <c r="E275" s="190">
        <v>309.54000000000002</v>
      </c>
      <c r="F275" s="190">
        <v>-6117.72</v>
      </c>
      <c r="G275"/>
      <c r="H275"/>
    </row>
    <row r="276" spans="1:8" ht="15" customHeight="1" x14ac:dyDescent="0.35">
      <c r="A276">
        <v>189903002</v>
      </c>
      <c r="B276" t="s">
        <v>368</v>
      </c>
      <c r="C276" s="190">
        <v>-1440.88</v>
      </c>
      <c r="D276" s="190">
        <v>0</v>
      </c>
      <c r="E276" s="190">
        <v>0</v>
      </c>
      <c r="F276" s="190">
        <v>-1440.88</v>
      </c>
      <c r="G276"/>
      <c r="H276"/>
    </row>
    <row r="277" spans="1:8" ht="15" customHeight="1" x14ac:dyDescent="0.35">
      <c r="A277">
        <v>189903003</v>
      </c>
      <c r="B277" t="s">
        <v>369</v>
      </c>
      <c r="C277" s="190">
        <v>-53724.4</v>
      </c>
      <c r="D277" s="190">
        <v>6076.2</v>
      </c>
      <c r="E277" s="190">
        <v>12152.4</v>
      </c>
      <c r="F277" s="190">
        <v>-59800.6</v>
      </c>
      <c r="G277"/>
      <c r="H277"/>
    </row>
    <row r="278" spans="1:8" ht="15" customHeight="1" x14ac:dyDescent="0.35">
      <c r="A278">
        <v>189903009</v>
      </c>
      <c r="B278" t="s">
        <v>364</v>
      </c>
      <c r="C278" s="190">
        <v>-7744.13</v>
      </c>
      <c r="D278" s="190">
        <v>6293.55</v>
      </c>
      <c r="E278" s="190">
        <v>13315.82</v>
      </c>
      <c r="F278" s="190">
        <v>-14766.4</v>
      </c>
      <c r="G278"/>
      <c r="H278"/>
    </row>
    <row r="279" spans="1:8" ht="15" customHeight="1" x14ac:dyDescent="0.35">
      <c r="A279">
        <v>189904</v>
      </c>
      <c r="B279" t="s">
        <v>370</v>
      </c>
      <c r="C279" s="190">
        <v>-42459.44</v>
      </c>
      <c r="D279" s="190">
        <v>0</v>
      </c>
      <c r="E279" s="190">
        <v>903.39</v>
      </c>
      <c r="F279" s="190">
        <v>-43362.83</v>
      </c>
      <c r="G279"/>
      <c r="H279"/>
    </row>
    <row r="280" spans="1:8" ht="15" customHeight="1" x14ac:dyDescent="0.35">
      <c r="A280">
        <v>1899040</v>
      </c>
      <c r="B280" t="s">
        <v>370</v>
      </c>
      <c r="C280" s="190">
        <v>-42459.44</v>
      </c>
      <c r="D280" s="190">
        <v>0</v>
      </c>
      <c r="E280" s="190">
        <v>903.39</v>
      </c>
      <c r="F280" s="190">
        <v>-43362.83</v>
      </c>
      <c r="G280"/>
      <c r="H280"/>
    </row>
    <row r="281" spans="1:8" ht="15" customHeight="1" x14ac:dyDescent="0.35">
      <c r="A281">
        <v>189904001</v>
      </c>
      <c r="B281" t="s">
        <v>365</v>
      </c>
      <c r="C281" s="190">
        <v>-42459.44</v>
      </c>
      <c r="D281" s="190">
        <v>0</v>
      </c>
      <c r="E281" s="190">
        <v>903.39</v>
      </c>
      <c r="F281" s="190">
        <v>-43362.83</v>
      </c>
      <c r="G281"/>
      <c r="H281"/>
    </row>
    <row r="282" spans="1:8" ht="15" customHeight="1" x14ac:dyDescent="0.35">
      <c r="A282">
        <v>19</v>
      </c>
      <c r="B282" t="s">
        <v>7</v>
      </c>
      <c r="C282" s="190">
        <v>923238.82</v>
      </c>
      <c r="D282" s="190">
        <v>2439914.12</v>
      </c>
      <c r="E282" s="190">
        <v>2039290.54</v>
      </c>
      <c r="F282" s="190">
        <v>1323862.3999999999</v>
      </c>
      <c r="G282"/>
      <c r="H282"/>
    </row>
    <row r="283" spans="1:8" ht="15" customHeight="1" x14ac:dyDescent="0.35">
      <c r="A283">
        <v>1901</v>
      </c>
      <c r="B283" t="s">
        <v>42</v>
      </c>
      <c r="C283" s="190">
        <v>237869.48</v>
      </c>
      <c r="D283" s="190">
        <v>940102.11</v>
      </c>
      <c r="E283" s="190">
        <v>915515.58</v>
      </c>
      <c r="F283" s="190">
        <v>262456.01</v>
      </c>
      <c r="G283"/>
      <c r="H283"/>
    </row>
    <row r="284" spans="1:8" ht="15" customHeight="1" x14ac:dyDescent="0.35">
      <c r="A284">
        <v>190102</v>
      </c>
      <c r="B284" t="s">
        <v>371</v>
      </c>
      <c r="C284" s="190">
        <v>15130.84</v>
      </c>
      <c r="D284" s="190">
        <v>29339.439999999999</v>
      </c>
      <c r="E284" s="190">
        <v>21752.43</v>
      </c>
      <c r="F284" s="190">
        <v>22717.85</v>
      </c>
      <c r="G284"/>
      <c r="H284"/>
    </row>
    <row r="285" spans="1:8" ht="15" customHeight="1" x14ac:dyDescent="0.35">
      <c r="A285">
        <v>1901020</v>
      </c>
      <c r="B285" t="s">
        <v>371</v>
      </c>
      <c r="C285" s="190">
        <v>15130.84</v>
      </c>
      <c r="D285" s="190">
        <v>29339.439999999999</v>
      </c>
      <c r="E285" s="190">
        <v>21752.43</v>
      </c>
      <c r="F285" s="190">
        <v>22717.85</v>
      </c>
      <c r="G285"/>
      <c r="H285"/>
    </row>
    <row r="286" spans="1:8" ht="15" customHeight="1" x14ac:dyDescent="0.35">
      <c r="A286">
        <v>190102001</v>
      </c>
      <c r="B286" t="s">
        <v>372</v>
      </c>
      <c r="C286" s="190">
        <v>15033.04</v>
      </c>
      <c r="D286" s="190">
        <v>29339.439999999999</v>
      </c>
      <c r="E286" s="190">
        <v>21654.63</v>
      </c>
      <c r="F286" s="190">
        <v>22717.85</v>
      </c>
      <c r="G286"/>
      <c r="H286"/>
    </row>
    <row r="287" spans="1:8" ht="15" customHeight="1" x14ac:dyDescent="0.35">
      <c r="A287">
        <v>190102002</v>
      </c>
      <c r="B287" t="s">
        <v>373</v>
      </c>
      <c r="C287" s="190">
        <v>97.8</v>
      </c>
      <c r="D287" s="190">
        <v>0</v>
      </c>
      <c r="E287" s="190">
        <v>97.8</v>
      </c>
      <c r="F287" s="190">
        <v>0</v>
      </c>
      <c r="G287"/>
      <c r="H287"/>
    </row>
    <row r="288" spans="1:8" ht="15" customHeight="1" x14ac:dyDescent="0.35">
      <c r="A288">
        <v>190103</v>
      </c>
      <c r="B288" t="s">
        <v>374</v>
      </c>
      <c r="C288" s="190">
        <v>0</v>
      </c>
      <c r="D288" s="190">
        <v>267416.68</v>
      </c>
      <c r="E288" s="190">
        <v>179833.3</v>
      </c>
      <c r="F288" s="190">
        <v>87583.38</v>
      </c>
      <c r="G288"/>
      <c r="H288"/>
    </row>
    <row r="289" spans="1:8" ht="15" customHeight="1" x14ac:dyDescent="0.35">
      <c r="A289">
        <v>1901030</v>
      </c>
      <c r="B289" t="s">
        <v>374</v>
      </c>
      <c r="C289" s="190">
        <v>0</v>
      </c>
      <c r="D289" s="190">
        <v>267416.68</v>
      </c>
      <c r="E289" s="190">
        <v>179833.3</v>
      </c>
      <c r="F289" s="190">
        <v>87583.38</v>
      </c>
      <c r="G289"/>
      <c r="H289"/>
    </row>
    <row r="290" spans="1:8" ht="15" customHeight="1" x14ac:dyDescent="0.35">
      <c r="A290">
        <v>190103001</v>
      </c>
      <c r="B290" t="s">
        <v>358</v>
      </c>
      <c r="C290" s="190">
        <v>0</v>
      </c>
      <c r="D290" s="190">
        <v>267416.68</v>
      </c>
      <c r="E290" s="190">
        <v>179833.3</v>
      </c>
      <c r="F290" s="190">
        <v>87583.38</v>
      </c>
      <c r="G290"/>
      <c r="H290"/>
    </row>
    <row r="291" spans="1:8" ht="15" customHeight="1" x14ac:dyDescent="0.35">
      <c r="A291">
        <v>190107</v>
      </c>
      <c r="B291" t="s">
        <v>375</v>
      </c>
      <c r="C291" s="190">
        <v>7577.68</v>
      </c>
      <c r="D291" s="190">
        <v>0</v>
      </c>
      <c r="E291" s="190">
        <v>7577.68</v>
      </c>
      <c r="F291" s="190">
        <v>0</v>
      </c>
      <c r="G291"/>
      <c r="H291"/>
    </row>
    <row r="292" spans="1:8" ht="15" customHeight="1" x14ac:dyDescent="0.35">
      <c r="A292">
        <v>190109</v>
      </c>
      <c r="B292" t="s">
        <v>62</v>
      </c>
      <c r="C292" s="190">
        <v>215160.95999999999</v>
      </c>
      <c r="D292" s="190">
        <v>643345.99</v>
      </c>
      <c r="E292" s="190">
        <v>706352.17</v>
      </c>
      <c r="F292" s="190">
        <v>152154.78</v>
      </c>
      <c r="G292"/>
      <c r="H292"/>
    </row>
    <row r="293" spans="1:8" ht="15" customHeight="1" x14ac:dyDescent="0.35">
      <c r="A293">
        <v>1901090</v>
      </c>
      <c r="B293" t="s">
        <v>62</v>
      </c>
      <c r="C293" s="190">
        <v>215160.95999999999</v>
      </c>
      <c r="D293" s="190">
        <v>537120.53</v>
      </c>
      <c r="E293" s="190">
        <v>600149.94999999995</v>
      </c>
      <c r="F293" s="190">
        <v>152131.54</v>
      </c>
      <c r="G293"/>
      <c r="H293"/>
    </row>
    <row r="294" spans="1:8" ht="15" customHeight="1" x14ac:dyDescent="0.35">
      <c r="A294">
        <v>190109003</v>
      </c>
      <c r="B294" t="s">
        <v>376</v>
      </c>
      <c r="C294" s="190">
        <v>65.319999999999993</v>
      </c>
      <c r="D294" s="190">
        <v>9763.07</v>
      </c>
      <c r="E294" s="190">
        <v>9820.2000000000007</v>
      </c>
      <c r="F294" s="190">
        <v>8.19</v>
      </c>
      <c r="G294"/>
      <c r="H294"/>
    </row>
    <row r="295" spans="1:8" ht="15" customHeight="1" x14ac:dyDescent="0.35">
      <c r="A295">
        <v>190109004</v>
      </c>
      <c r="B295" t="s">
        <v>377</v>
      </c>
      <c r="C295" s="190">
        <v>78463.47</v>
      </c>
      <c r="D295" s="190">
        <v>0</v>
      </c>
      <c r="E295" s="190">
        <v>0</v>
      </c>
      <c r="F295" s="190">
        <v>78463.47</v>
      </c>
      <c r="G295"/>
      <c r="H295"/>
    </row>
    <row r="296" spans="1:8" ht="15" customHeight="1" x14ac:dyDescent="0.35">
      <c r="A296">
        <v>190109009</v>
      </c>
      <c r="B296" t="s">
        <v>378</v>
      </c>
      <c r="C296" s="190">
        <v>136632.17000000001</v>
      </c>
      <c r="D296" s="190">
        <v>527357.46</v>
      </c>
      <c r="E296" s="190">
        <v>590329.75</v>
      </c>
      <c r="F296" s="190">
        <v>73659.88</v>
      </c>
      <c r="G296"/>
      <c r="H296"/>
    </row>
    <row r="297" spans="1:8" ht="15" customHeight="1" x14ac:dyDescent="0.35">
      <c r="A297">
        <v>1902</v>
      </c>
      <c r="B297" t="s">
        <v>47</v>
      </c>
      <c r="C297" s="190">
        <v>224930.8</v>
      </c>
      <c r="D297" s="190">
        <v>940864.19</v>
      </c>
      <c r="E297" s="190">
        <v>778811.39</v>
      </c>
      <c r="F297" s="190">
        <v>386983.6</v>
      </c>
      <c r="G297"/>
      <c r="H297"/>
    </row>
    <row r="298" spans="1:8" ht="15" customHeight="1" x14ac:dyDescent="0.35">
      <c r="A298">
        <v>190201</v>
      </c>
      <c r="B298" t="s">
        <v>379</v>
      </c>
      <c r="C298" s="190">
        <v>86469.78</v>
      </c>
      <c r="D298" s="190">
        <v>1672.92</v>
      </c>
      <c r="E298" s="190">
        <v>0</v>
      </c>
      <c r="F298" s="190">
        <v>88142.7</v>
      </c>
      <c r="G298"/>
      <c r="H298"/>
    </row>
    <row r="299" spans="1:8" ht="15" customHeight="1" x14ac:dyDescent="0.35">
      <c r="A299">
        <v>190206</v>
      </c>
      <c r="B299" t="s">
        <v>380</v>
      </c>
      <c r="C299" s="190">
        <v>114751.39</v>
      </c>
      <c r="D299" s="190">
        <v>74859.179999999993</v>
      </c>
      <c r="E299" s="190">
        <v>13584.1</v>
      </c>
      <c r="F299" s="190">
        <v>176026.47</v>
      </c>
      <c r="G299"/>
      <c r="H299"/>
    </row>
    <row r="300" spans="1:8" ht="15" customHeight="1" x14ac:dyDescent="0.35">
      <c r="A300">
        <v>1902060</v>
      </c>
      <c r="B300" t="s">
        <v>380</v>
      </c>
      <c r="C300" s="190">
        <v>114751.39</v>
      </c>
      <c r="D300" s="190">
        <v>74859.179999999993</v>
      </c>
      <c r="E300" s="190">
        <v>13584.1</v>
      </c>
      <c r="F300" s="190">
        <v>176026.47</v>
      </c>
      <c r="G300"/>
      <c r="H300"/>
    </row>
    <row r="301" spans="1:8" ht="15" customHeight="1" x14ac:dyDescent="0.35">
      <c r="A301">
        <v>190206001</v>
      </c>
      <c r="B301" t="s">
        <v>381</v>
      </c>
      <c r="C301" s="190">
        <v>114751.39</v>
      </c>
      <c r="D301" s="190">
        <v>74859.179999999993</v>
      </c>
      <c r="E301" s="190">
        <v>13584.1</v>
      </c>
      <c r="F301" s="190">
        <v>176026.47</v>
      </c>
      <c r="G301"/>
      <c r="H301"/>
    </row>
    <row r="302" spans="1:8" ht="15" customHeight="1" x14ac:dyDescent="0.35">
      <c r="A302">
        <v>190209</v>
      </c>
      <c r="B302" t="s">
        <v>382</v>
      </c>
      <c r="C302" s="190">
        <v>23709.63</v>
      </c>
      <c r="D302" s="190">
        <v>864332.09</v>
      </c>
      <c r="E302" s="190">
        <v>765227.29</v>
      </c>
      <c r="F302" s="190">
        <v>122814.43</v>
      </c>
      <c r="G302"/>
      <c r="H302"/>
    </row>
    <row r="303" spans="1:8" ht="15" customHeight="1" x14ac:dyDescent="0.35">
      <c r="A303">
        <v>1902090</v>
      </c>
      <c r="B303" t="s">
        <v>382</v>
      </c>
      <c r="C303" s="190">
        <v>23709.63</v>
      </c>
      <c r="D303" s="190">
        <v>864332.09</v>
      </c>
      <c r="E303" s="190">
        <v>765227.29</v>
      </c>
      <c r="F303" s="190">
        <v>122814.43</v>
      </c>
      <c r="G303"/>
      <c r="H303"/>
    </row>
    <row r="304" spans="1:8" ht="15" customHeight="1" x14ac:dyDescent="0.35">
      <c r="A304">
        <v>190209011</v>
      </c>
      <c r="B304" t="s">
        <v>610</v>
      </c>
      <c r="C304" s="190">
        <v>0</v>
      </c>
      <c r="D304" s="190">
        <v>198.33</v>
      </c>
      <c r="E304" s="190">
        <v>0</v>
      </c>
      <c r="F304" s="190">
        <v>198.33</v>
      </c>
      <c r="G304"/>
      <c r="H304"/>
    </row>
    <row r="305" spans="1:8" ht="15" customHeight="1" x14ac:dyDescent="0.35">
      <c r="A305">
        <v>190209099</v>
      </c>
      <c r="B305" t="s">
        <v>383</v>
      </c>
      <c r="C305" s="190">
        <v>23709.63</v>
      </c>
      <c r="D305" s="190">
        <v>864133.76</v>
      </c>
      <c r="E305" s="190">
        <v>765227.29</v>
      </c>
      <c r="F305" s="190">
        <v>122616.1</v>
      </c>
      <c r="G305"/>
      <c r="H305"/>
    </row>
    <row r="306" spans="1:8" ht="15" customHeight="1" x14ac:dyDescent="0.35">
      <c r="A306">
        <v>1903</v>
      </c>
      <c r="B306" t="s">
        <v>8</v>
      </c>
      <c r="C306" s="190">
        <v>460438.54</v>
      </c>
      <c r="D306" s="190">
        <v>556368.68999999994</v>
      </c>
      <c r="E306" s="190">
        <v>342384.44</v>
      </c>
      <c r="F306" s="190">
        <v>674422.79</v>
      </c>
      <c r="G306"/>
      <c r="H306"/>
    </row>
    <row r="307" spans="1:8" ht="15" customHeight="1" x14ac:dyDescent="0.35">
      <c r="A307">
        <v>190301</v>
      </c>
      <c r="B307" t="s">
        <v>384</v>
      </c>
      <c r="C307" s="190">
        <v>0</v>
      </c>
      <c r="D307" s="190">
        <v>461723.7</v>
      </c>
      <c r="E307" s="190">
        <v>130300.9</v>
      </c>
      <c r="F307" s="190">
        <v>331422.8</v>
      </c>
      <c r="G307"/>
      <c r="H307"/>
    </row>
    <row r="308" spans="1:8" ht="15" customHeight="1" x14ac:dyDescent="0.35">
      <c r="A308">
        <v>1903010</v>
      </c>
      <c r="B308" t="s">
        <v>384</v>
      </c>
      <c r="C308" s="190">
        <v>0</v>
      </c>
      <c r="D308" s="190">
        <v>461723.7</v>
      </c>
      <c r="E308" s="190">
        <v>130300.9</v>
      </c>
      <c r="F308" s="190">
        <v>331422.8</v>
      </c>
      <c r="G308"/>
      <c r="H308"/>
    </row>
    <row r="309" spans="1:8" ht="15" customHeight="1" x14ac:dyDescent="0.35">
      <c r="A309">
        <v>190301001</v>
      </c>
      <c r="B309" t="s">
        <v>384</v>
      </c>
      <c r="C309" s="190">
        <v>0</v>
      </c>
      <c r="D309" s="190">
        <v>461723.7</v>
      </c>
      <c r="E309" s="190">
        <v>130300.9</v>
      </c>
      <c r="F309" s="190">
        <v>331422.8</v>
      </c>
      <c r="G309"/>
      <c r="H309"/>
    </row>
    <row r="310" spans="1:8" ht="15" customHeight="1" x14ac:dyDescent="0.35">
      <c r="A310">
        <v>190302</v>
      </c>
      <c r="B310" t="s">
        <v>385</v>
      </c>
      <c r="C310" s="190">
        <v>0</v>
      </c>
      <c r="D310" s="190">
        <v>42883.75</v>
      </c>
      <c r="E310" s="190">
        <v>908.44</v>
      </c>
      <c r="F310" s="190">
        <v>41975.31</v>
      </c>
      <c r="G310"/>
      <c r="H310"/>
    </row>
    <row r="311" spans="1:8" ht="15" customHeight="1" x14ac:dyDescent="0.35">
      <c r="A311">
        <v>1903020</v>
      </c>
      <c r="B311" t="s">
        <v>385</v>
      </c>
      <c r="C311" s="190">
        <v>0</v>
      </c>
      <c r="D311" s="190">
        <v>42883.75</v>
      </c>
      <c r="E311" s="190">
        <v>908.44</v>
      </c>
      <c r="F311" s="190">
        <v>41975.31</v>
      </c>
      <c r="G311"/>
      <c r="H311"/>
    </row>
    <row r="312" spans="1:8" ht="15" customHeight="1" x14ac:dyDescent="0.35">
      <c r="A312">
        <v>190302001</v>
      </c>
      <c r="B312" t="s">
        <v>386</v>
      </c>
      <c r="C312" s="190">
        <v>0</v>
      </c>
      <c r="D312" s="190">
        <v>42883.75</v>
      </c>
      <c r="E312" s="190">
        <v>908.44</v>
      </c>
      <c r="F312" s="190">
        <v>41975.31</v>
      </c>
      <c r="G312"/>
      <c r="H312"/>
    </row>
    <row r="313" spans="1:8" ht="15" customHeight="1" x14ac:dyDescent="0.35">
      <c r="A313">
        <v>19030200102</v>
      </c>
      <c r="B313" t="s">
        <v>303</v>
      </c>
      <c r="C313" s="190">
        <v>0</v>
      </c>
      <c r="D313" s="190">
        <v>163.99</v>
      </c>
      <c r="E313" s="190">
        <v>0</v>
      </c>
      <c r="F313" s="190">
        <v>163.99</v>
      </c>
      <c r="G313"/>
      <c r="H313"/>
    </row>
    <row r="314" spans="1:8" ht="15" customHeight="1" x14ac:dyDescent="0.35">
      <c r="A314">
        <v>19030200103</v>
      </c>
      <c r="B314" t="s">
        <v>227</v>
      </c>
      <c r="C314" s="190">
        <v>0</v>
      </c>
      <c r="D314" s="190">
        <v>2441.62</v>
      </c>
      <c r="E314" s="190">
        <v>0</v>
      </c>
      <c r="F314" s="190">
        <v>2441.62</v>
      </c>
      <c r="G314"/>
      <c r="H314"/>
    </row>
    <row r="315" spans="1:8" ht="15" customHeight="1" x14ac:dyDescent="0.35">
      <c r="A315">
        <v>19030200107</v>
      </c>
      <c r="B315" t="s">
        <v>300</v>
      </c>
      <c r="C315" s="190">
        <v>0</v>
      </c>
      <c r="D315" s="190">
        <v>131.81</v>
      </c>
      <c r="E315" s="190">
        <v>0</v>
      </c>
      <c r="F315" s="190">
        <v>131.81</v>
      </c>
      <c r="G315"/>
      <c r="H315"/>
    </row>
    <row r="316" spans="1:8" ht="15" customHeight="1" x14ac:dyDescent="0.35">
      <c r="A316">
        <v>19030200109</v>
      </c>
      <c r="B316" t="s">
        <v>387</v>
      </c>
      <c r="C316" s="190">
        <v>0</v>
      </c>
      <c r="D316" s="190">
        <v>35994.910000000003</v>
      </c>
      <c r="E316" s="190">
        <v>882.38</v>
      </c>
      <c r="F316" s="190">
        <v>35112.53</v>
      </c>
      <c r="G316"/>
      <c r="H316"/>
    </row>
    <row r="317" spans="1:8" ht="15" customHeight="1" x14ac:dyDescent="0.35">
      <c r="A317">
        <v>19030200110</v>
      </c>
      <c r="B317" t="s">
        <v>301</v>
      </c>
      <c r="C317" s="190">
        <v>0</v>
      </c>
      <c r="D317" s="190">
        <v>2077.9</v>
      </c>
      <c r="E317" s="190">
        <v>0</v>
      </c>
      <c r="F317" s="190">
        <v>2077.9</v>
      </c>
      <c r="G317"/>
      <c r="H317"/>
    </row>
    <row r="318" spans="1:8" ht="15" customHeight="1" x14ac:dyDescent="0.35">
      <c r="A318">
        <v>19030200113</v>
      </c>
      <c r="B318" t="s">
        <v>273</v>
      </c>
      <c r="C318" s="190">
        <v>0</v>
      </c>
      <c r="D318" s="190">
        <v>202.36</v>
      </c>
      <c r="E318" s="190">
        <v>0</v>
      </c>
      <c r="F318" s="190">
        <v>202.36</v>
      </c>
      <c r="G318"/>
      <c r="H318"/>
    </row>
    <row r="319" spans="1:8" ht="15" customHeight="1" x14ac:dyDescent="0.35">
      <c r="A319">
        <v>19030200114</v>
      </c>
      <c r="B319" t="s">
        <v>302</v>
      </c>
      <c r="C319" s="190">
        <v>0</v>
      </c>
      <c r="D319" s="190">
        <v>1487.71</v>
      </c>
      <c r="E319" s="190">
        <v>0</v>
      </c>
      <c r="F319" s="190">
        <v>1487.71</v>
      </c>
      <c r="G319"/>
      <c r="H319"/>
    </row>
    <row r="320" spans="1:8" ht="15" customHeight="1" x14ac:dyDescent="0.35">
      <c r="A320">
        <v>19030200115</v>
      </c>
      <c r="B320" t="s">
        <v>295</v>
      </c>
      <c r="C320" s="190">
        <v>0</v>
      </c>
      <c r="D320" s="190">
        <v>383.45</v>
      </c>
      <c r="E320" s="190">
        <v>26.06</v>
      </c>
      <c r="F320" s="190">
        <v>357.39</v>
      </c>
      <c r="G320"/>
      <c r="H320"/>
    </row>
    <row r="321" spans="1:8" ht="15" customHeight="1" x14ac:dyDescent="0.35">
      <c r="A321">
        <v>190303</v>
      </c>
      <c r="B321" t="s">
        <v>388</v>
      </c>
      <c r="C321" s="190">
        <v>460438.54</v>
      </c>
      <c r="D321" s="190">
        <v>51761.24</v>
      </c>
      <c r="E321" s="190">
        <v>211175.1</v>
      </c>
      <c r="F321" s="190">
        <v>301024.68</v>
      </c>
      <c r="G321"/>
      <c r="H321"/>
    </row>
    <row r="322" spans="1:8" ht="15" customHeight="1" x14ac:dyDescent="0.35">
      <c r="A322">
        <v>1903030</v>
      </c>
      <c r="B322" t="s">
        <v>388</v>
      </c>
      <c r="C322" s="190">
        <v>460438.54</v>
      </c>
      <c r="D322" s="190">
        <v>51761.24</v>
      </c>
      <c r="E322" s="190">
        <v>211175.1</v>
      </c>
      <c r="F322" s="190">
        <v>301024.68</v>
      </c>
      <c r="G322"/>
      <c r="H322"/>
    </row>
    <row r="323" spans="1:8" ht="15" customHeight="1" x14ac:dyDescent="0.35">
      <c r="A323">
        <v>190303001</v>
      </c>
      <c r="B323" t="s">
        <v>389</v>
      </c>
      <c r="C323" s="190">
        <v>460438.54</v>
      </c>
      <c r="D323" s="190">
        <v>51761.24</v>
      </c>
      <c r="E323" s="190">
        <v>211175.1</v>
      </c>
      <c r="F323" s="190">
        <v>301024.68</v>
      </c>
      <c r="G323"/>
      <c r="H323"/>
    </row>
    <row r="324" spans="1:8" ht="15" customHeight="1" x14ac:dyDescent="0.35">
      <c r="A324">
        <v>1999</v>
      </c>
      <c r="B324" t="s">
        <v>390</v>
      </c>
      <c r="C324" s="190">
        <v>0</v>
      </c>
      <c r="D324" s="190">
        <v>2579.13</v>
      </c>
      <c r="E324" s="190">
        <v>2579.13</v>
      </c>
      <c r="F324" s="190">
        <v>0</v>
      </c>
      <c r="G324"/>
      <c r="H324"/>
    </row>
    <row r="325" spans="1:8" ht="15" customHeight="1" x14ac:dyDescent="0.35">
      <c r="A325">
        <v>199901</v>
      </c>
      <c r="B325" t="s">
        <v>47</v>
      </c>
      <c r="C325" s="190">
        <v>0</v>
      </c>
      <c r="D325" s="190">
        <v>2579.13</v>
      </c>
      <c r="E325" s="190">
        <v>2579.13</v>
      </c>
      <c r="F325" s="190">
        <v>0</v>
      </c>
      <c r="G325"/>
      <c r="H325"/>
    </row>
    <row r="326" spans="1:8" ht="15" customHeight="1" x14ac:dyDescent="0.35">
      <c r="A326">
        <v>2</v>
      </c>
      <c r="B326" t="s">
        <v>18</v>
      </c>
      <c r="C326" s="190">
        <v>-11375484.970000001</v>
      </c>
      <c r="D326" s="190">
        <v>59454000.240000002</v>
      </c>
      <c r="E326" s="190">
        <v>56724993.25</v>
      </c>
      <c r="F326" s="190">
        <v>-8646477.9800000004</v>
      </c>
      <c r="G326"/>
      <c r="H326"/>
    </row>
    <row r="327" spans="1:8" ht="15" customHeight="1" x14ac:dyDescent="0.35">
      <c r="A327">
        <v>21</v>
      </c>
      <c r="B327" t="s">
        <v>182</v>
      </c>
      <c r="C327" s="190">
        <v>-112309.04</v>
      </c>
      <c r="D327" s="190">
        <v>9019781.3100000005</v>
      </c>
      <c r="E327" s="190">
        <v>9259714.5800000001</v>
      </c>
      <c r="F327" s="190">
        <v>-352242.31</v>
      </c>
      <c r="G327"/>
      <c r="H327"/>
    </row>
    <row r="328" spans="1:8" ht="15" customHeight="1" x14ac:dyDescent="0.35">
      <c r="A328">
        <v>2101</v>
      </c>
      <c r="B328" t="s">
        <v>196</v>
      </c>
      <c r="C328" s="190">
        <v>0</v>
      </c>
      <c r="D328" s="190">
        <v>8135145.0700000003</v>
      </c>
      <c r="E328" s="190">
        <v>8245641.0899999999</v>
      </c>
      <c r="F328" s="190">
        <v>-110496.02</v>
      </c>
      <c r="G328"/>
      <c r="H328"/>
    </row>
    <row r="329" spans="1:8" ht="15" customHeight="1" x14ac:dyDescent="0.35">
      <c r="A329">
        <v>210101</v>
      </c>
      <c r="B329" t="s">
        <v>191</v>
      </c>
      <c r="C329" s="190">
        <v>0</v>
      </c>
      <c r="D329" s="190">
        <v>1745115.66</v>
      </c>
      <c r="E329" s="190">
        <v>1748165.66</v>
      </c>
      <c r="F329" s="190">
        <v>-3050</v>
      </c>
      <c r="G329"/>
      <c r="H329"/>
    </row>
    <row r="330" spans="1:8" ht="15" customHeight="1" x14ac:dyDescent="0.35">
      <c r="A330">
        <v>2101011</v>
      </c>
      <c r="B330" t="s">
        <v>197</v>
      </c>
      <c r="C330" s="190">
        <v>0</v>
      </c>
      <c r="D330" s="190">
        <v>1745115.66</v>
      </c>
      <c r="E330" s="190">
        <v>1748165.66</v>
      </c>
      <c r="F330" s="190">
        <v>-3050</v>
      </c>
      <c r="G330"/>
      <c r="H330"/>
    </row>
    <row r="331" spans="1:8" ht="15" customHeight="1" x14ac:dyDescent="0.35">
      <c r="A331">
        <v>210101101</v>
      </c>
      <c r="B331" t="s">
        <v>341</v>
      </c>
      <c r="C331" s="190">
        <v>0</v>
      </c>
      <c r="D331" s="190">
        <v>437789.26</v>
      </c>
      <c r="E331" s="190">
        <v>437789.26</v>
      </c>
      <c r="F331" s="190">
        <v>0</v>
      </c>
      <c r="G331"/>
      <c r="H331"/>
    </row>
    <row r="332" spans="1:8" ht="15" customHeight="1" x14ac:dyDescent="0.35">
      <c r="A332">
        <v>210101103</v>
      </c>
      <c r="B332" t="s">
        <v>325</v>
      </c>
      <c r="C332" s="190">
        <v>0</v>
      </c>
      <c r="D332" s="190">
        <v>1307326.3999999999</v>
      </c>
      <c r="E332" s="190">
        <v>1310376.3999999999</v>
      </c>
      <c r="F332" s="190">
        <v>-3050</v>
      </c>
      <c r="G332"/>
      <c r="H332"/>
    </row>
    <row r="333" spans="1:8" ht="15" customHeight="1" x14ac:dyDescent="0.35">
      <c r="A333">
        <v>21010110301</v>
      </c>
      <c r="B333" t="s">
        <v>327</v>
      </c>
      <c r="C333" s="190">
        <v>0</v>
      </c>
      <c r="D333" s="190">
        <v>224691.63</v>
      </c>
      <c r="E333" s="190">
        <v>226143.11</v>
      </c>
      <c r="F333" s="190">
        <v>-1451.48</v>
      </c>
      <c r="G333"/>
      <c r="H333"/>
    </row>
    <row r="334" spans="1:8" ht="15" customHeight="1" x14ac:dyDescent="0.35">
      <c r="A334">
        <v>21010110302</v>
      </c>
      <c r="B334" t="s">
        <v>328</v>
      </c>
      <c r="C334" s="190">
        <v>0</v>
      </c>
      <c r="D334" s="190">
        <v>1082634.77</v>
      </c>
      <c r="E334" s="190">
        <v>1084233.29</v>
      </c>
      <c r="F334" s="190">
        <v>-1598.52</v>
      </c>
      <c r="G334"/>
      <c r="H334"/>
    </row>
    <row r="335" spans="1:8" ht="15" customHeight="1" x14ac:dyDescent="0.35">
      <c r="A335">
        <v>210102</v>
      </c>
      <c r="B335" t="s">
        <v>391</v>
      </c>
      <c r="C335" s="190">
        <v>0</v>
      </c>
      <c r="D335" s="190">
        <v>3350307.72</v>
      </c>
      <c r="E335" s="190">
        <v>3350307.72</v>
      </c>
      <c r="F335" s="190">
        <v>0</v>
      </c>
      <c r="G335"/>
      <c r="H335"/>
    </row>
    <row r="336" spans="1:8" ht="15" customHeight="1" x14ac:dyDescent="0.35">
      <c r="A336">
        <v>2101021</v>
      </c>
      <c r="B336" t="s">
        <v>197</v>
      </c>
      <c r="C336" s="190">
        <v>0</v>
      </c>
      <c r="D336" s="190">
        <v>3350307.72</v>
      </c>
      <c r="E336" s="190">
        <v>3350307.72</v>
      </c>
      <c r="F336" s="190">
        <v>0</v>
      </c>
      <c r="G336"/>
      <c r="H336"/>
    </row>
    <row r="337" spans="1:9" ht="15" customHeight="1" x14ac:dyDescent="0.35">
      <c r="A337">
        <v>210102101</v>
      </c>
      <c r="B337" t="s">
        <v>392</v>
      </c>
      <c r="C337" s="190">
        <v>0</v>
      </c>
      <c r="D337" s="190">
        <v>3350307.72</v>
      </c>
      <c r="E337" s="190">
        <v>3350307.72</v>
      </c>
      <c r="F337" s="190">
        <v>0</v>
      </c>
      <c r="G337"/>
      <c r="H337"/>
      <c r="I337" s="167"/>
    </row>
    <row r="338" spans="1:9" ht="15" customHeight="1" x14ac:dyDescent="0.35">
      <c r="A338">
        <v>21010210101</v>
      </c>
      <c r="B338" t="s">
        <v>393</v>
      </c>
      <c r="C338" s="190">
        <v>0</v>
      </c>
      <c r="D338" s="190">
        <v>3350307.72</v>
      </c>
      <c r="E338" s="190">
        <v>3350307.72</v>
      </c>
      <c r="F338" s="190">
        <v>0</v>
      </c>
      <c r="G338"/>
      <c r="H338"/>
    </row>
    <row r="339" spans="1:9" ht="15" customHeight="1" x14ac:dyDescent="0.35">
      <c r="A339">
        <v>210103</v>
      </c>
      <c r="B339" t="s">
        <v>394</v>
      </c>
      <c r="C339" s="190">
        <v>0</v>
      </c>
      <c r="D339" s="190">
        <v>3039721.69</v>
      </c>
      <c r="E339" s="190">
        <v>3147167.71</v>
      </c>
      <c r="F339" s="190">
        <v>-107446.02</v>
      </c>
      <c r="G339"/>
      <c r="H339"/>
    </row>
    <row r="340" spans="1:9" ht="15" customHeight="1" x14ac:dyDescent="0.35">
      <c r="A340">
        <v>2101031</v>
      </c>
      <c r="B340" t="s">
        <v>197</v>
      </c>
      <c r="C340" s="190">
        <v>0</v>
      </c>
      <c r="D340" s="190">
        <v>3039721.69</v>
      </c>
      <c r="E340" s="190">
        <v>3147167.71</v>
      </c>
      <c r="F340" s="190">
        <v>-107446.02</v>
      </c>
      <c r="G340"/>
      <c r="H340"/>
    </row>
    <row r="341" spans="1:9" ht="15" customHeight="1" x14ac:dyDescent="0.35">
      <c r="A341">
        <v>210103101</v>
      </c>
      <c r="B341" t="s">
        <v>332</v>
      </c>
      <c r="C341" s="190">
        <v>0</v>
      </c>
      <c r="D341" s="190">
        <v>2965661.82</v>
      </c>
      <c r="E341" s="190">
        <v>3073107.84</v>
      </c>
      <c r="F341" s="190">
        <v>-107446.02</v>
      </c>
      <c r="G341"/>
      <c r="H341"/>
    </row>
    <row r="342" spans="1:9" ht="15" customHeight="1" x14ac:dyDescent="0.35">
      <c r="A342">
        <v>21010310101</v>
      </c>
      <c r="B342" t="s">
        <v>334</v>
      </c>
      <c r="C342" s="190">
        <v>0</v>
      </c>
      <c r="D342" s="190">
        <v>530228.32999999996</v>
      </c>
      <c r="E342" s="190">
        <v>547462.86</v>
      </c>
      <c r="F342" s="190">
        <v>-17234.53</v>
      </c>
      <c r="G342"/>
      <c r="H342"/>
    </row>
    <row r="343" spans="1:9" ht="15" customHeight="1" x14ac:dyDescent="0.35">
      <c r="A343">
        <v>21010310102</v>
      </c>
      <c r="B343" t="s">
        <v>335</v>
      </c>
      <c r="C343" s="190">
        <v>0</v>
      </c>
      <c r="D343" s="190">
        <v>2339240.7400000002</v>
      </c>
      <c r="E343" s="190">
        <v>2429452.23</v>
      </c>
      <c r="F343" s="190">
        <v>-90211.49</v>
      </c>
      <c r="G343"/>
      <c r="H343"/>
    </row>
    <row r="344" spans="1:9" ht="15" customHeight="1" x14ac:dyDescent="0.35">
      <c r="A344">
        <v>210103102</v>
      </c>
      <c r="B344" t="s">
        <v>336</v>
      </c>
      <c r="C344" s="190">
        <v>0</v>
      </c>
      <c r="D344" s="190">
        <v>74059.87</v>
      </c>
      <c r="E344" s="190">
        <v>74059.87</v>
      </c>
      <c r="F344" s="190">
        <v>0</v>
      </c>
      <c r="G344"/>
      <c r="H344"/>
    </row>
    <row r="345" spans="1:9" ht="15" customHeight="1" x14ac:dyDescent="0.35">
      <c r="A345">
        <v>21010310202</v>
      </c>
      <c r="B345" t="s">
        <v>339</v>
      </c>
      <c r="C345" s="190">
        <v>0</v>
      </c>
      <c r="D345" s="190">
        <v>74059.87</v>
      </c>
      <c r="E345" s="190">
        <v>74059.87</v>
      </c>
      <c r="F345" s="190">
        <v>0</v>
      </c>
      <c r="G345"/>
      <c r="H345"/>
    </row>
    <row r="346" spans="1:9" ht="15" customHeight="1" x14ac:dyDescent="0.35">
      <c r="A346">
        <v>2102</v>
      </c>
      <c r="B346" t="s">
        <v>199</v>
      </c>
      <c r="C346" s="190">
        <v>-112309.04</v>
      </c>
      <c r="D346" s="190">
        <v>884636.24</v>
      </c>
      <c r="E346" s="190">
        <v>1014073.49</v>
      </c>
      <c r="F346" s="190">
        <v>-241746.29</v>
      </c>
      <c r="G346"/>
      <c r="H346"/>
    </row>
    <row r="347" spans="1:9" ht="15" customHeight="1" x14ac:dyDescent="0.35">
      <c r="A347">
        <v>210201</v>
      </c>
      <c r="B347" t="s">
        <v>395</v>
      </c>
      <c r="C347" s="190">
        <v>-112309.04</v>
      </c>
      <c r="D347" s="190">
        <v>384531.25</v>
      </c>
      <c r="E347" s="190">
        <v>354941.76</v>
      </c>
      <c r="F347" s="190">
        <v>-82719.55</v>
      </c>
      <c r="G347"/>
      <c r="H347"/>
    </row>
    <row r="348" spans="1:9" ht="15" customHeight="1" x14ac:dyDescent="0.35">
      <c r="A348">
        <v>2102011</v>
      </c>
      <c r="B348" t="s">
        <v>197</v>
      </c>
      <c r="C348" s="190">
        <v>-112309.04</v>
      </c>
      <c r="D348" s="190">
        <v>384531.25</v>
      </c>
      <c r="E348" s="190">
        <v>354941.76</v>
      </c>
      <c r="F348" s="190">
        <v>-82719.55</v>
      </c>
      <c r="G348"/>
      <c r="H348"/>
    </row>
    <row r="349" spans="1:9" ht="15" customHeight="1" x14ac:dyDescent="0.35">
      <c r="A349">
        <v>210201101</v>
      </c>
      <c r="B349" t="s">
        <v>341</v>
      </c>
      <c r="C349" s="190">
        <v>-241.66</v>
      </c>
      <c r="D349" s="190">
        <v>724.98</v>
      </c>
      <c r="E349" s="190">
        <v>483.32</v>
      </c>
      <c r="F349" s="190">
        <v>0</v>
      </c>
      <c r="G349"/>
      <c r="H349"/>
    </row>
    <row r="350" spans="1:9" ht="15" customHeight="1" x14ac:dyDescent="0.35">
      <c r="A350">
        <v>210201102</v>
      </c>
      <c r="B350" t="s">
        <v>327</v>
      </c>
      <c r="C350" s="190">
        <v>-14.28</v>
      </c>
      <c r="D350" s="190">
        <v>9756.18</v>
      </c>
      <c r="E350" s="190">
        <v>55797.14</v>
      </c>
      <c r="F350" s="190">
        <v>-46055.24</v>
      </c>
      <c r="G350"/>
      <c r="H350"/>
    </row>
    <row r="351" spans="1:9" ht="15" customHeight="1" x14ac:dyDescent="0.35">
      <c r="A351">
        <v>210201103</v>
      </c>
      <c r="B351" t="s">
        <v>328</v>
      </c>
      <c r="C351" s="190">
        <v>0</v>
      </c>
      <c r="D351" s="190">
        <v>0</v>
      </c>
      <c r="E351" s="190">
        <v>18.96</v>
      </c>
      <c r="F351" s="190">
        <v>-18.96</v>
      </c>
      <c r="G351"/>
      <c r="H351"/>
    </row>
    <row r="352" spans="1:9" ht="15" customHeight="1" x14ac:dyDescent="0.35">
      <c r="A352">
        <v>210201104</v>
      </c>
      <c r="B352" t="s">
        <v>334</v>
      </c>
      <c r="C352" s="190">
        <v>-1920.51</v>
      </c>
      <c r="D352" s="190">
        <v>4029.53</v>
      </c>
      <c r="E352" s="190">
        <v>2999.74</v>
      </c>
      <c r="F352" s="190">
        <v>-890.72</v>
      </c>
      <c r="G352"/>
      <c r="H352"/>
    </row>
    <row r="353" spans="1:8" ht="15" customHeight="1" x14ac:dyDescent="0.35">
      <c r="A353">
        <v>210201105</v>
      </c>
      <c r="B353" t="s">
        <v>335</v>
      </c>
      <c r="C353" s="190">
        <v>-110132.59</v>
      </c>
      <c r="D353" s="190">
        <v>370020.56</v>
      </c>
      <c r="E353" s="190">
        <v>295642.59999999998</v>
      </c>
      <c r="F353" s="190">
        <v>-35754.629999999997</v>
      </c>
      <c r="G353"/>
      <c r="H353"/>
    </row>
    <row r="354" spans="1:8" ht="15" customHeight="1" x14ac:dyDescent="0.35">
      <c r="A354">
        <v>210209</v>
      </c>
      <c r="B354" t="s">
        <v>396</v>
      </c>
      <c r="C354" s="190">
        <v>0</v>
      </c>
      <c r="D354" s="190">
        <v>500104.99</v>
      </c>
      <c r="E354" s="190">
        <v>659131.73</v>
      </c>
      <c r="F354" s="190">
        <v>-159026.74</v>
      </c>
      <c r="G354"/>
      <c r="H354"/>
    </row>
    <row r="355" spans="1:8" ht="15" customHeight="1" x14ac:dyDescent="0.35">
      <c r="A355">
        <v>2102091</v>
      </c>
      <c r="B355" t="s">
        <v>197</v>
      </c>
      <c r="C355" s="190">
        <v>0</v>
      </c>
      <c r="D355" s="190">
        <v>500104.99</v>
      </c>
      <c r="E355" s="190">
        <v>659131.73</v>
      </c>
      <c r="F355" s="190">
        <v>-159026.74</v>
      </c>
      <c r="G355"/>
      <c r="H355"/>
    </row>
    <row r="356" spans="1:8" s="188" customFormat="1" ht="15" customHeight="1" x14ac:dyDescent="0.35">
      <c r="A356">
        <v>210209102</v>
      </c>
      <c r="B356" t="s">
        <v>397</v>
      </c>
      <c r="C356" s="190">
        <v>0</v>
      </c>
      <c r="D356" s="190">
        <v>87837.83</v>
      </c>
      <c r="E356" s="190">
        <v>89131.69</v>
      </c>
      <c r="F356" s="190">
        <v>-1293.8599999999999</v>
      </c>
      <c r="G356"/>
      <c r="H356"/>
    </row>
    <row r="357" spans="1:8" s="188" customFormat="1" ht="15" customHeight="1" x14ac:dyDescent="0.35">
      <c r="A357">
        <v>210209103</v>
      </c>
      <c r="B357" t="s">
        <v>398</v>
      </c>
      <c r="C357" s="190">
        <v>0</v>
      </c>
      <c r="D357" s="190">
        <v>412267.16</v>
      </c>
      <c r="E357" s="190">
        <v>570000.04</v>
      </c>
      <c r="F357" s="190">
        <v>-157732.88</v>
      </c>
      <c r="G357"/>
      <c r="H357"/>
    </row>
    <row r="358" spans="1:8" ht="15" customHeight="1" x14ac:dyDescent="0.35">
      <c r="A358">
        <v>22</v>
      </c>
      <c r="B358" t="s">
        <v>71</v>
      </c>
      <c r="C358" s="190">
        <v>-1831428.26</v>
      </c>
      <c r="D358" s="190">
        <v>5688399.9400000004</v>
      </c>
      <c r="E358" s="190">
        <v>5669707.3799999999</v>
      </c>
      <c r="F358" s="190">
        <v>-1812735.7</v>
      </c>
      <c r="G358"/>
      <c r="H358"/>
    </row>
    <row r="359" spans="1:8" ht="15" customHeight="1" x14ac:dyDescent="0.35">
      <c r="A359">
        <v>2201</v>
      </c>
      <c r="B359" t="s">
        <v>48</v>
      </c>
      <c r="C359" s="190">
        <v>-304403.56</v>
      </c>
      <c r="D359" s="190">
        <v>1135326.43</v>
      </c>
      <c r="E359" s="190">
        <v>1023054.73</v>
      </c>
      <c r="F359" s="190">
        <v>-192131.86</v>
      </c>
      <c r="G359"/>
      <c r="H359"/>
    </row>
    <row r="360" spans="1:8" ht="15" customHeight="1" x14ac:dyDescent="0.35">
      <c r="A360">
        <v>220101</v>
      </c>
      <c r="B360" t="s">
        <v>399</v>
      </c>
      <c r="C360" s="190">
        <v>-25560.26</v>
      </c>
      <c r="D360" s="190">
        <v>7652.12</v>
      </c>
      <c r="E360" s="190">
        <v>4922</v>
      </c>
      <c r="F360" s="190">
        <v>-22830.14</v>
      </c>
      <c r="G360"/>
      <c r="H360"/>
    </row>
    <row r="361" spans="1:8" ht="15" customHeight="1" x14ac:dyDescent="0.35">
      <c r="A361">
        <v>2201011</v>
      </c>
      <c r="B361" t="s">
        <v>197</v>
      </c>
      <c r="C361" s="190">
        <v>-25560.26</v>
      </c>
      <c r="D361" s="190">
        <v>7652.12</v>
      </c>
      <c r="E361" s="190">
        <v>4922</v>
      </c>
      <c r="F361" s="190">
        <v>-22830.14</v>
      </c>
      <c r="G361"/>
      <c r="H361"/>
    </row>
    <row r="362" spans="1:8" ht="15" customHeight="1" x14ac:dyDescent="0.35">
      <c r="A362">
        <v>220101101</v>
      </c>
      <c r="B362" t="s">
        <v>321</v>
      </c>
      <c r="C362" s="190">
        <v>-25560.26</v>
      </c>
      <c r="D362" s="190">
        <v>7652.12</v>
      </c>
      <c r="E362" s="190">
        <v>4922</v>
      </c>
      <c r="F362" s="190">
        <v>-22830.14</v>
      </c>
      <c r="G362"/>
      <c r="H362"/>
    </row>
    <row r="363" spans="1:8" ht="15" customHeight="1" x14ac:dyDescent="0.35">
      <c r="A363">
        <v>22010110101</v>
      </c>
      <c r="B363" t="s">
        <v>400</v>
      </c>
      <c r="C363" s="190">
        <v>-25560.26</v>
      </c>
      <c r="D363" s="190">
        <v>3289.76</v>
      </c>
      <c r="E363" s="190">
        <v>559.64</v>
      </c>
      <c r="F363" s="190">
        <v>-22830.14</v>
      </c>
      <c r="G363"/>
      <c r="H363"/>
    </row>
    <row r="364" spans="1:8" ht="15" customHeight="1" x14ac:dyDescent="0.35">
      <c r="A364">
        <v>220102</v>
      </c>
      <c r="B364" t="s">
        <v>401</v>
      </c>
      <c r="C364" s="190">
        <v>-2445.25</v>
      </c>
      <c r="D364" s="190">
        <v>20419.099999999999</v>
      </c>
      <c r="E364" s="190">
        <v>19644.580000000002</v>
      </c>
      <c r="F364" s="190">
        <v>-1670.73</v>
      </c>
      <c r="G364"/>
      <c r="H364"/>
    </row>
    <row r="365" spans="1:8" ht="15" customHeight="1" x14ac:dyDescent="0.35">
      <c r="A365">
        <v>2201021</v>
      </c>
      <c r="B365" t="s">
        <v>197</v>
      </c>
      <c r="C365" s="190">
        <v>-2445.25</v>
      </c>
      <c r="D365" s="190">
        <v>20419.099999999999</v>
      </c>
      <c r="E365" s="190">
        <v>19644.580000000002</v>
      </c>
      <c r="F365" s="190">
        <v>-1670.73</v>
      </c>
      <c r="G365"/>
      <c r="H365"/>
    </row>
    <row r="366" spans="1:8" ht="15" customHeight="1" x14ac:dyDescent="0.35">
      <c r="A366">
        <v>220102101</v>
      </c>
      <c r="B366" t="s">
        <v>321</v>
      </c>
      <c r="C366" s="190">
        <v>-1935.47</v>
      </c>
      <c r="D366" s="190">
        <v>19964.32</v>
      </c>
      <c r="E366" s="190">
        <v>19523.23</v>
      </c>
      <c r="F366" s="190">
        <v>-1494.38</v>
      </c>
      <c r="G366"/>
      <c r="H366"/>
    </row>
    <row r="367" spans="1:8" ht="15" customHeight="1" x14ac:dyDescent="0.35">
      <c r="A367">
        <v>22010210101</v>
      </c>
      <c r="B367" t="s">
        <v>324</v>
      </c>
      <c r="C367" s="190">
        <v>-1935.47</v>
      </c>
      <c r="D367" s="190">
        <v>13473.44</v>
      </c>
      <c r="E367" s="190">
        <v>13032.35</v>
      </c>
      <c r="F367" s="190">
        <v>-1494.38</v>
      </c>
      <c r="G367"/>
      <c r="H367"/>
    </row>
    <row r="368" spans="1:8" ht="15" customHeight="1" x14ac:dyDescent="0.35">
      <c r="A368">
        <v>220102102</v>
      </c>
      <c r="B368" t="s">
        <v>402</v>
      </c>
      <c r="C368" s="190">
        <v>-509.78</v>
      </c>
      <c r="D368" s="190">
        <v>454.78</v>
      </c>
      <c r="E368" s="190">
        <v>121.35</v>
      </c>
      <c r="F368" s="190">
        <v>-176.35</v>
      </c>
      <c r="G368"/>
      <c r="H368"/>
    </row>
    <row r="369" spans="1:8" ht="15" customHeight="1" x14ac:dyDescent="0.35">
      <c r="A369">
        <v>22010210201</v>
      </c>
      <c r="B369" t="s">
        <v>403</v>
      </c>
      <c r="C369" s="190">
        <v>-509.78</v>
      </c>
      <c r="D369" s="190">
        <v>454.78</v>
      </c>
      <c r="E369" s="190">
        <v>121.35</v>
      </c>
      <c r="F369" s="190">
        <v>-176.35</v>
      </c>
      <c r="G369"/>
      <c r="H369"/>
    </row>
    <row r="370" spans="1:8" ht="15" customHeight="1" x14ac:dyDescent="0.35">
      <c r="A370">
        <v>220103</v>
      </c>
      <c r="B370" t="s">
        <v>404</v>
      </c>
      <c r="C370" s="190">
        <v>-276398.05</v>
      </c>
      <c r="D370" s="190">
        <v>1107255.21</v>
      </c>
      <c r="E370" s="190">
        <v>998488.15</v>
      </c>
      <c r="F370" s="190">
        <v>-167630.99</v>
      </c>
      <c r="G370"/>
      <c r="H370"/>
    </row>
    <row r="371" spans="1:8" ht="15" customHeight="1" x14ac:dyDescent="0.35">
      <c r="A371">
        <v>2201031</v>
      </c>
      <c r="B371" t="s">
        <v>197</v>
      </c>
      <c r="C371" s="190">
        <v>-276398.05</v>
      </c>
      <c r="D371" s="190">
        <v>1107255.21</v>
      </c>
      <c r="E371" s="190">
        <v>998488.15</v>
      </c>
      <c r="F371" s="190">
        <v>-167630.99</v>
      </c>
      <c r="G371"/>
      <c r="H371"/>
    </row>
    <row r="372" spans="1:8" ht="15" customHeight="1" x14ac:dyDescent="0.35">
      <c r="A372">
        <v>220103101</v>
      </c>
      <c r="B372" t="s">
        <v>321</v>
      </c>
      <c r="C372" s="190">
        <v>-276398.05</v>
      </c>
      <c r="D372" s="190">
        <v>1089507.6299999999</v>
      </c>
      <c r="E372" s="190">
        <v>947763.76</v>
      </c>
      <c r="F372" s="190">
        <v>-134654.18</v>
      </c>
      <c r="G372"/>
      <c r="H372"/>
    </row>
    <row r="373" spans="1:8" ht="15" customHeight="1" x14ac:dyDescent="0.35">
      <c r="A373">
        <v>22010310101</v>
      </c>
      <c r="B373" t="s">
        <v>327</v>
      </c>
      <c r="C373" s="190">
        <v>-276398.05</v>
      </c>
      <c r="D373" s="190">
        <v>624573.43999999994</v>
      </c>
      <c r="E373" s="190">
        <v>482829.57</v>
      </c>
      <c r="F373" s="190">
        <v>-134654.18</v>
      </c>
      <c r="G373"/>
      <c r="H373"/>
    </row>
    <row r="374" spans="1:8" ht="15" customHeight="1" x14ac:dyDescent="0.35">
      <c r="A374">
        <v>220103102</v>
      </c>
      <c r="B374" t="s">
        <v>402</v>
      </c>
      <c r="C374" s="190">
        <v>0</v>
      </c>
      <c r="D374" s="190">
        <v>17747.580000000002</v>
      </c>
      <c r="E374" s="190">
        <v>50724.39</v>
      </c>
      <c r="F374" s="190">
        <v>-32976.81</v>
      </c>
      <c r="G374"/>
      <c r="H374"/>
    </row>
    <row r="375" spans="1:8" ht="15" customHeight="1" x14ac:dyDescent="0.35">
      <c r="A375">
        <v>22010310201</v>
      </c>
      <c r="B375" t="s">
        <v>621</v>
      </c>
      <c r="C375" s="190">
        <v>0</v>
      </c>
      <c r="D375" s="190">
        <v>17747.580000000002</v>
      </c>
      <c r="E375" s="190">
        <v>50724.39</v>
      </c>
      <c r="F375" s="190">
        <v>-32976.81</v>
      </c>
      <c r="G375"/>
      <c r="H375"/>
    </row>
    <row r="376" spans="1:8" ht="15" customHeight="1" x14ac:dyDescent="0.35">
      <c r="A376">
        <v>2202</v>
      </c>
      <c r="B376" t="s">
        <v>405</v>
      </c>
      <c r="C376" s="190">
        <v>0</v>
      </c>
      <c r="D376" s="190">
        <v>369880.04</v>
      </c>
      <c r="E376" s="190">
        <v>369880.04</v>
      </c>
      <c r="F376" s="190">
        <v>0</v>
      </c>
      <c r="G376"/>
      <c r="H376"/>
    </row>
    <row r="377" spans="1:8" ht="15" customHeight="1" x14ac:dyDescent="0.35">
      <c r="A377">
        <v>220201</v>
      </c>
      <c r="B377" t="s">
        <v>330</v>
      </c>
      <c r="C377" s="190">
        <v>0</v>
      </c>
      <c r="D377" s="190">
        <v>369880.04</v>
      </c>
      <c r="E377" s="190">
        <v>369880.04</v>
      </c>
      <c r="F377" s="190">
        <v>0</v>
      </c>
      <c r="G377"/>
      <c r="H377"/>
    </row>
    <row r="378" spans="1:8" ht="15" customHeight="1" x14ac:dyDescent="0.35">
      <c r="A378">
        <v>2202011</v>
      </c>
      <c r="B378" t="s">
        <v>197</v>
      </c>
      <c r="C378" s="190">
        <v>0</v>
      </c>
      <c r="D378" s="190">
        <v>369880.04</v>
      </c>
      <c r="E378" s="190">
        <v>369880.04</v>
      </c>
      <c r="F378" s="190">
        <v>0</v>
      </c>
      <c r="G378"/>
      <c r="H378"/>
    </row>
    <row r="379" spans="1:8" ht="15" customHeight="1" x14ac:dyDescent="0.35">
      <c r="A379">
        <v>220201101</v>
      </c>
      <c r="B379" t="s">
        <v>321</v>
      </c>
      <c r="C379" s="190">
        <v>0</v>
      </c>
      <c r="D379" s="190">
        <v>369880.04</v>
      </c>
      <c r="E379" s="190">
        <v>369880.04</v>
      </c>
      <c r="F379" s="190">
        <v>0</v>
      </c>
      <c r="G379"/>
      <c r="H379"/>
    </row>
    <row r="380" spans="1:8" ht="15" customHeight="1" x14ac:dyDescent="0.35">
      <c r="A380">
        <v>2203</v>
      </c>
      <c r="B380" t="s">
        <v>49</v>
      </c>
      <c r="C380" s="190">
        <v>-1527024.7</v>
      </c>
      <c r="D380" s="190">
        <v>4183193.47</v>
      </c>
      <c r="E380" s="190">
        <v>4276772.6100000003</v>
      </c>
      <c r="F380" s="190">
        <v>-1620603.84</v>
      </c>
      <c r="G380"/>
      <c r="H380"/>
    </row>
    <row r="381" spans="1:8" ht="15" customHeight="1" x14ac:dyDescent="0.35">
      <c r="A381">
        <v>220301</v>
      </c>
      <c r="B381" t="s">
        <v>332</v>
      </c>
      <c r="C381" s="190">
        <v>-1512853.09</v>
      </c>
      <c r="D381" s="190">
        <v>4154609.24</v>
      </c>
      <c r="E381" s="190">
        <v>4234118.34</v>
      </c>
      <c r="F381" s="190">
        <v>-1592362.19</v>
      </c>
      <c r="G381"/>
      <c r="H381"/>
    </row>
    <row r="382" spans="1:8" ht="15" customHeight="1" x14ac:dyDescent="0.35">
      <c r="A382">
        <v>2203011</v>
      </c>
      <c r="B382" t="s">
        <v>197</v>
      </c>
      <c r="C382" s="190">
        <v>-1512853.09</v>
      </c>
      <c r="D382" s="190">
        <v>4154609.24</v>
      </c>
      <c r="E382" s="190">
        <v>4234118.34</v>
      </c>
      <c r="F382" s="190">
        <v>-1592362.19</v>
      </c>
      <c r="G382"/>
      <c r="H382"/>
    </row>
    <row r="383" spans="1:8" ht="15" customHeight="1" x14ac:dyDescent="0.35">
      <c r="A383">
        <v>220301101</v>
      </c>
      <c r="B383" t="s">
        <v>321</v>
      </c>
      <c r="C383" s="190">
        <v>-1512853.09</v>
      </c>
      <c r="D383" s="190">
        <v>4005610.76</v>
      </c>
      <c r="E383" s="190">
        <v>3819012.67</v>
      </c>
      <c r="F383" s="190">
        <v>-1326255</v>
      </c>
      <c r="G383"/>
      <c r="H383"/>
    </row>
    <row r="384" spans="1:8" ht="15" customHeight="1" x14ac:dyDescent="0.35">
      <c r="A384">
        <v>22030110101</v>
      </c>
      <c r="B384" t="s">
        <v>406</v>
      </c>
      <c r="C384" s="190">
        <v>-216943.73</v>
      </c>
      <c r="D384" s="190">
        <v>509447.17</v>
      </c>
      <c r="E384" s="190">
        <v>611381.57999999996</v>
      </c>
      <c r="F384" s="190">
        <v>-318878.14</v>
      </c>
      <c r="G384"/>
      <c r="H384"/>
    </row>
    <row r="385" spans="1:8" ht="15" customHeight="1" x14ac:dyDescent="0.35">
      <c r="A385">
        <v>22030110102</v>
      </c>
      <c r="B385" t="s">
        <v>335</v>
      </c>
      <c r="C385" s="190">
        <v>-1295909.3600000001</v>
      </c>
      <c r="D385" s="190">
        <v>2492564.84</v>
      </c>
      <c r="E385" s="190">
        <v>2204032.34</v>
      </c>
      <c r="F385" s="190">
        <v>-1007376.86</v>
      </c>
      <c r="G385"/>
      <c r="H385"/>
    </row>
    <row r="386" spans="1:8" ht="15" customHeight="1" x14ac:dyDescent="0.35">
      <c r="A386">
        <v>220301102</v>
      </c>
      <c r="B386" t="s">
        <v>402</v>
      </c>
      <c r="C386" s="190">
        <v>0</v>
      </c>
      <c r="D386" s="190">
        <v>148998.48000000001</v>
      </c>
      <c r="E386" s="190">
        <v>415105.67</v>
      </c>
      <c r="F386" s="190">
        <v>-266107.19</v>
      </c>
      <c r="G386"/>
      <c r="H386"/>
    </row>
    <row r="387" spans="1:8" ht="15" customHeight="1" x14ac:dyDescent="0.35">
      <c r="A387">
        <v>22030110202</v>
      </c>
      <c r="B387" t="s">
        <v>622</v>
      </c>
      <c r="C387" s="190">
        <v>0</v>
      </c>
      <c r="D387" s="190">
        <v>148998.48000000001</v>
      </c>
      <c r="E387" s="190">
        <v>415105.67</v>
      </c>
      <c r="F387" s="190">
        <v>-266107.19</v>
      </c>
      <c r="G387"/>
      <c r="H387"/>
    </row>
    <row r="388" spans="1:8" ht="15" customHeight="1" x14ac:dyDescent="0.35">
      <c r="A388">
        <v>220302</v>
      </c>
      <c r="B388" t="s">
        <v>336</v>
      </c>
      <c r="C388" s="190">
        <v>-14171.61</v>
      </c>
      <c r="D388" s="190">
        <v>28584.23</v>
      </c>
      <c r="E388" s="190">
        <v>42654.27</v>
      </c>
      <c r="F388" s="190">
        <v>-28241.65</v>
      </c>
      <c r="G388"/>
      <c r="H388"/>
    </row>
    <row r="389" spans="1:8" ht="15" customHeight="1" x14ac:dyDescent="0.35">
      <c r="A389">
        <v>2203021</v>
      </c>
      <c r="B389" t="s">
        <v>197</v>
      </c>
      <c r="C389" s="190">
        <v>-14171.61</v>
      </c>
      <c r="D389" s="190">
        <v>28584.23</v>
      </c>
      <c r="E389" s="190">
        <v>42654.27</v>
      </c>
      <c r="F389" s="190">
        <v>-28241.65</v>
      </c>
      <c r="G389"/>
      <c r="H389"/>
    </row>
    <row r="390" spans="1:8" ht="15" customHeight="1" x14ac:dyDescent="0.35">
      <c r="A390">
        <v>220302101</v>
      </c>
      <c r="B390" t="s">
        <v>321</v>
      </c>
      <c r="C390" s="190">
        <v>-14171.64</v>
      </c>
      <c r="D390" s="190">
        <v>28584.17</v>
      </c>
      <c r="E390" s="190">
        <v>42654.18</v>
      </c>
      <c r="F390" s="190">
        <v>-28241.65</v>
      </c>
      <c r="G390"/>
      <c r="H390"/>
    </row>
    <row r="391" spans="1:8" ht="15" customHeight="1" x14ac:dyDescent="0.35">
      <c r="A391">
        <v>22030210101</v>
      </c>
      <c r="B391" t="s">
        <v>338</v>
      </c>
      <c r="C391" s="190">
        <v>-146.21</v>
      </c>
      <c r="D391" s="190">
        <v>788.47</v>
      </c>
      <c r="E391" s="190">
        <v>889.14</v>
      </c>
      <c r="F391" s="190">
        <v>-246.88</v>
      </c>
      <c r="G391"/>
      <c r="H391"/>
    </row>
    <row r="392" spans="1:8" ht="15" customHeight="1" x14ac:dyDescent="0.35">
      <c r="A392">
        <v>22030210102</v>
      </c>
      <c r="B392" t="s">
        <v>339</v>
      </c>
      <c r="C392" s="190">
        <v>-14025.43</v>
      </c>
      <c r="D392" s="190">
        <v>20439.29</v>
      </c>
      <c r="E392" s="190">
        <v>34408.629999999997</v>
      </c>
      <c r="F392" s="190">
        <v>-27994.77</v>
      </c>
      <c r="G392"/>
      <c r="H392"/>
    </row>
    <row r="393" spans="1:8" ht="15" customHeight="1" x14ac:dyDescent="0.35">
      <c r="A393">
        <v>220302102</v>
      </c>
      <c r="B393" t="s">
        <v>402</v>
      </c>
      <c r="C393" s="190">
        <v>0.03</v>
      </c>
      <c r="D393" s="190">
        <v>0.06</v>
      </c>
      <c r="E393" s="190">
        <v>0.09</v>
      </c>
      <c r="F393" s="190">
        <v>0</v>
      </c>
      <c r="G393"/>
      <c r="H393"/>
    </row>
    <row r="394" spans="1:8" ht="15" customHeight="1" x14ac:dyDescent="0.35">
      <c r="A394">
        <v>22030210201</v>
      </c>
      <c r="B394" t="s">
        <v>407</v>
      </c>
      <c r="C394" s="190">
        <v>0.03</v>
      </c>
      <c r="D394" s="190">
        <v>0.06</v>
      </c>
      <c r="E394" s="190">
        <v>0.09</v>
      </c>
      <c r="F394" s="190">
        <v>0</v>
      </c>
      <c r="G394"/>
      <c r="H394"/>
    </row>
    <row r="395" spans="1:8" ht="15" customHeight="1" x14ac:dyDescent="0.35">
      <c r="A395">
        <v>23</v>
      </c>
      <c r="B395" t="s">
        <v>50</v>
      </c>
      <c r="C395" s="190">
        <v>-7242015.5099999998</v>
      </c>
      <c r="D395" s="190">
        <v>11067509.02</v>
      </c>
      <c r="E395" s="190">
        <v>7909583.2199999997</v>
      </c>
      <c r="F395" s="190">
        <v>-4084089.71</v>
      </c>
      <c r="G395"/>
      <c r="H395"/>
    </row>
    <row r="396" spans="1:8" ht="15" customHeight="1" x14ac:dyDescent="0.35">
      <c r="A396">
        <v>2301</v>
      </c>
      <c r="B396" t="s">
        <v>200</v>
      </c>
      <c r="C396" s="190">
        <v>-6709720.29</v>
      </c>
      <c r="D396" s="190">
        <v>11067509.02</v>
      </c>
      <c r="E396" s="190">
        <v>7909583.2199999997</v>
      </c>
      <c r="F396" s="190">
        <v>-3551794.49</v>
      </c>
      <c r="G396"/>
      <c r="H396"/>
    </row>
    <row r="397" spans="1:8" ht="15" customHeight="1" x14ac:dyDescent="0.35">
      <c r="A397">
        <v>230101</v>
      </c>
      <c r="B397" t="s">
        <v>191</v>
      </c>
      <c r="C397" s="190">
        <v>-58082.14</v>
      </c>
      <c r="D397" s="190">
        <v>374389.69</v>
      </c>
      <c r="E397" s="190">
        <v>327835.19</v>
      </c>
      <c r="F397" s="190">
        <v>-11527.64</v>
      </c>
      <c r="G397"/>
      <c r="H397"/>
    </row>
    <row r="398" spans="1:8" ht="15" customHeight="1" x14ac:dyDescent="0.35">
      <c r="A398">
        <v>2301011</v>
      </c>
      <c r="B398" t="s">
        <v>197</v>
      </c>
      <c r="C398" s="190">
        <v>-58082.14</v>
      </c>
      <c r="D398" s="190">
        <v>374389.69</v>
      </c>
      <c r="E398" s="190">
        <v>327835.19</v>
      </c>
      <c r="F398" s="190">
        <v>-11527.64</v>
      </c>
      <c r="G398"/>
      <c r="H398"/>
    </row>
    <row r="399" spans="1:8" ht="15" customHeight="1" x14ac:dyDescent="0.35">
      <c r="A399">
        <v>230101101</v>
      </c>
      <c r="B399" t="s">
        <v>408</v>
      </c>
      <c r="C399" s="190">
        <v>-300</v>
      </c>
      <c r="D399" s="190">
        <v>59512.160000000003</v>
      </c>
      <c r="E399" s="190">
        <v>59212.160000000003</v>
      </c>
      <c r="F399" s="190">
        <v>0</v>
      </c>
      <c r="G399"/>
      <c r="H399"/>
    </row>
    <row r="400" spans="1:8" ht="15" customHeight="1" x14ac:dyDescent="0.35">
      <c r="A400">
        <v>23010110102</v>
      </c>
      <c r="B400" t="s">
        <v>409</v>
      </c>
      <c r="C400" s="190">
        <v>-300</v>
      </c>
      <c r="D400" s="190">
        <v>597.9</v>
      </c>
      <c r="E400" s="190">
        <v>297.89999999999998</v>
      </c>
      <c r="F400" s="190">
        <v>0</v>
      </c>
      <c r="G400"/>
      <c r="H400"/>
    </row>
    <row r="401" spans="1:8" ht="15" customHeight="1" x14ac:dyDescent="0.35">
      <c r="A401">
        <v>23010110103</v>
      </c>
      <c r="B401" t="s">
        <v>410</v>
      </c>
      <c r="C401" s="190">
        <v>0</v>
      </c>
      <c r="D401" s="190">
        <v>58914.26</v>
      </c>
      <c r="E401" s="190">
        <v>58914.26</v>
      </c>
      <c r="F401" s="190">
        <v>0</v>
      </c>
      <c r="G401"/>
      <c r="H401"/>
    </row>
    <row r="402" spans="1:8" ht="15" customHeight="1" x14ac:dyDescent="0.35">
      <c r="A402">
        <v>230101102</v>
      </c>
      <c r="B402" t="s">
        <v>411</v>
      </c>
      <c r="C402" s="190">
        <v>0</v>
      </c>
      <c r="D402" s="190">
        <v>11490.96</v>
      </c>
      <c r="E402" s="190">
        <v>11490.96</v>
      </c>
      <c r="F402" s="190">
        <v>0</v>
      </c>
      <c r="G402"/>
      <c r="H402"/>
    </row>
    <row r="403" spans="1:8" ht="15" customHeight="1" x14ac:dyDescent="0.35">
      <c r="A403">
        <v>23010110203</v>
      </c>
      <c r="B403" t="s">
        <v>412</v>
      </c>
      <c r="C403" s="190">
        <v>0</v>
      </c>
      <c r="D403" s="190">
        <v>11490.96</v>
      </c>
      <c r="E403" s="190">
        <v>11490.96</v>
      </c>
      <c r="F403" s="190">
        <v>0</v>
      </c>
      <c r="G403"/>
      <c r="H403"/>
    </row>
    <row r="404" spans="1:8" ht="15" customHeight="1" x14ac:dyDescent="0.35">
      <c r="A404">
        <v>230101103</v>
      </c>
      <c r="B404" t="s">
        <v>325</v>
      </c>
      <c r="C404" s="190">
        <v>-57782.14</v>
      </c>
      <c r="D404" s="190">
        <v>303386.57</v>
      </c>
      <c r="E404" s="190">
        <v>257132.07</v>
      </c>
      <c r="F404" s="190">
        <v>-11527.64</v>
      </c>
      <c r="G404"/>
      <c r="H404"/>
    </row>
    <row r="405" spans="1:8" ht="15" customHeight="1" x14ac:dyDescent="0.35">
      <c r="A405">
        <v>23010110301</v>
      </c>
      <c r="B405" t="s">
        <v>327</v>
      </c>
      <c r="C405" s="190">
        <v>-6583.57</v>
      </c>
      <c r="D405" s="190">
        <v>17976.34</v>
      </c>
      <c r="E405" s="190">
        <v>19723.810000000001</v>
      </c>
      <c r="F405" s="190">
        <v>-8331.0400000000009</v>
      </c>
      <c r="G405"/>
      <c r="H405"/>
    </row>
    <row r="406" spans="1:8" ht="15" customHeight="1" x14ac:dyDescent="0.35">
      <c r="A406">
        <v>23010110302</v>
      </c>
      <c r="B406" t="s">
        <v>328</v>
      </c>
      <c r="C406" s="190">
        <v>-51198.57</v>
      </c>
      <c r="D406" s="190">
        <v>186281.92</v>
      </c>
      <c r="E406" s="190">
        <v>138279.95000000001</v>
      </c>
      <c r="F406" s="190">
        <v>-3196.6</v>
      </c>
      <c r="G406"/>
      <c r="H406"/>
    </row>
    <row r="407" spans="1:8" ht="15" customHeight="1" x14ac:dyDescent="0.35">
      <c r="A407">
        <v>230102</v>
      </c>
      <c r="B407" t="s">
        <v>391</v>
      </c>
      <c r="C407" s="190">
        <v>-6651514.5899999999</v>
      </c>
      <c r="D407" s="190">
        <v>10092268.43</v>
      </c>
      <c r="E407" s="190">
        <v>6970918.5099999998</v>
      </c>
      <c r="F407" s="190">
        <v>-3530164.67</v>
      </c>
      <c r="G407"/>
      <c r="H407"/>
    </row>
    <row r="408" spans="1:8" ht="15" customHeight="1" x14ac:dyDescent="0.35">
      <c r="A408">
        <v>2301021</v>
      </c>
      <c r="B408" t="s">
        <v>197</v>
      </c>
      <c r="C408" s="190">
        <v>-6651514.5899999999</v>
      </c>
      <c r="D408" s="190">
        <v>10092268.43</v>
      </c>
      <c r="E408" s="190">
        <v>6970918.5099999998</v>
      </c>
      <c r="F408" s="190">
        <v>-3530164.67</v>
      </c>
      <c r="G408"/>
      <c r="H408"/>
    </row>
    <row r="409" spans="1:8" ht="15" customHeight="1" x14ac:dyDescent="0.35">
      <c r="A409">
        <v>230102101</v>
      </c>
      <c r="B409" t="s">
        <v>408</v>
      </c>
      <c r="C409" s="190">
        <v>0</v>
      </c>
      <c r="D409" s="190">
        <v>3590216.66</v>
      </c>
      <c r="E409" s="190">
        <v>4826344.7699999996</v>
      </c>
      <c r="F409" s="190">
        <v>-1236128.1100000001</v>
      </c>
      <c r="G409"/>
      <c r="H409"/>
    </row>
    <row r="410" spans="1:8" ht="15" customHeight="1" x14ac:dyDescent="0.35">
      <c r="A410">
        <v>23010210101</v>
      </c>
      <c r="B410" t="s">
        <v>623</v>
      </c>
      <c r="C410" s="190">
        <v>0</v>
      </c>
      <c r="D410" s="190">
        <v>226589.74</v>
      </c>
      <c r="E410" s="190">
        <v>1462717.85</v>
      </c>
      <c r="F410" s="190">
        <v>-1236128.1100000001</v>
      </c>
      <c r="G410"/>
      <c r="H410"/>
    </row>
    <row r="411" spans="1:8" ht="15" customHeight="1" x14ac:dyDescent="0.35">
      <c r="A411">
        <v>230102102</v>
      </c>
      <c r="B411" t="s">
        <v>411</v>
      </c>
      <c r="C411" s="190">
        <v>-6651514.5899999999</v>
      </c>
      <c r="D411" s="190">
        <v>6502051.7699999996</v>
      </c>
      <c r="E411" s="190">
        <v>2144573.7400000002</v>
      </c>
      <c r="F411" s="190">
        <v>-2294036.56</v>
      </c>
      <c r="G411"/>
      <c r="H411"/>
    </row>
    <row r="412" spans="1:8" ht="15" customHeight="1" x14ac:dyDescent="0.35">
      <c r="A412">
        <v>23010210201</v>
      </c>
      <c r="B412" t="s">
        <v>413</v>
      </c>
      <c r="C412" s="190">
        <v>-6651514.5899999999</v>
      </c>
      <c r="D412" s="190">
        <v>6502051.7699999996</v>
      </c>
      <c r="E412" s="190">
        <v>2144573.7400000002</v>
      </c>
      <c r="F412" s="190">
        <v>-2294036.56</v>
      </c>
      <c r="G412"/>
      <c r="H412"/>
    </row>
    <row r="413" spans="1:8" ht="15" customHeight="1" x14ac:dyDescent="0.35">
      <c r="A413">
        <v>230103</v>
      </c>
      <c r="B413" t="s">
        <v>394</v>
      </c>
      <c r="C413" s="190">
        <v>-123.56</v>
      </c>
      <c r="D413" s="190">
        <v>600850.9</v>
      </c>
      <c r="E413" s="190">
        <v>610829.52</v>
      </c>
      <c r="F413" s="190">
        <v>-10102.18</v>
      </c>
      <c r="G413"/>
      <c r="H413"/>
    </row>
    <row r="414" spans="1:8" ht="15" customHeight="1" x14ac:dyDescent="0.35">
      <c r="A414">
        <v>2301031</v>
      </c>
      <c r="B414" t="s">
        <v>197</v>
      </c>
      <c r="C414" s="190">
        <v>-123.56</v>
      </c>
      <c r="D414" s="190">
        <v>600850.9</v>
      </c>
      <c r="E414" s="190">
        <v>610829.52</v>
      </c>
      <c r="F414" s="190">
        <v>-10102.18</v>
      </c>
      <c r="G414"/>
      <c r="H414"/>
    </row>
    <row r="415" spans="1:8" ht="15" customHeight="1" x14ac:dyDescent="0.35">
      <c r="A415">
        <v>230103101</v>
      </c>
      <c r="B415" t="s">
        <v>332</v>
      </c>
      <c r="C415" s="190">
        <v>0</v>
      </c>
      <c r="D415" s="190">
        <v>573833.54</v>
      </c>
      <c r="E415" s="190">
        <v>589922.89</v>
      </c>
      <c r="F415" s="190">
        <v>-16089.35</v>
      </c>
      <c r="G415"/>
      <c r="H415"/>
    </row>
    <row r="416" spans="1:8" ht="15" customHeight="1" x14ac:dyDescent="0.35">
      <c r="A416">
        <v>23010310102</v>
      </c>
      <c r="B416" t="s">
        <v>335</v>
      </c>
      <c r="C416" s="190">
        <v>0</v>
      </c>
      <c r="D416" s="190">
        <v>9825.3799999999992</v>
      </c>
      <c r="E416" s="190">
        <v>25914.73</v>
      </c>
      <c r="F416" s="190">
        <v>-16089.35</v>
      </c>
      <c r="G416"/>
      <c r="H416"/>
    </row>
    <row r="417" spans="1:8" ht="15" customHeight="1" x14ac:dyDescent="0.35">
      <c r="A417">
        <v>230103102</v>
      </c>
      <c r="B417" t="s">
        <v>336</v>
      </c>
      <c r="C417" s="190">
        <v>-123.56</v>
      </c>
      <c r="D417" s="190">
        <v>27017.360000000001</v>
      </c>
      <c r="E417" s="190">
        <v>20906.63</v>
      </c>
      <c r="F417" s="190">
        <v>5987.17</v>
      </c>
      <c r="G417"/>
      <c r="H417"/>
    </row>
    <row r="418" spans="1:8" ht="15" customHeight="1" x14ac:dyDescent="0.35">
      <c r="A418">
        <v>23010310201</v>
      </c>
      <c r="B418" t="s">
        <v>338</v>
      </c>
      <c r="C418" s="190">
        <v>0</v>
      </c>
      <c r="D418" s="190">
        <v>14529.79</v>
      </c>
      <c r="E418" s="190">
        <v>8484.9500000000007</v>
      </c>
      <c r="F418" s="190">
        <v>6044.84</v>
      </c>
      <c r="G418"/>
      <c r="H418"/>
    </row>
    <row r="419" spans="1:8" ht="15" customHeight="1" x14ac:dyDescent="0.35">
      <c r="A419">
        <v>23010310202</v>
      </c>
      <c r="B419" t="s">
        <v>339</v>
      </c>
      <c r="C419" s="190">
        <v>-123.56</v>
      </c>
      <c r="D419" s="190">
        <v>109.82</v>
      </c>
      <c r="E419" s="190">
        <v>43.93</v>
      </c>
      <c r="F419" s="190">
        <v>-57.67</v>
      </c>
      <c r="G419"/>
      <c r="H419"/>
    </row>
    <row r="420" spans="1:8" ht="15" customHeight="1" x14ac:dyDescent="0.35">
      <c r="A420">
        <v>2302</v>
      </c>
      <c r="B420" t="s">
        <v>201</v>
      </c>
      <c r="C420" s="190">
        <v>-532295.22</v>
      </c>
      <c r="D420" s="190">
        <v>0</v>
      </c>
      <c r="E420" s="190">
        <v>0</v>
      </c>
      <c r="F420" s="190">
        <v>-532295.22</v>
      </c>
      <c r="G420"/>
      <c r="H420"/>
    </row>
    <row r="421" spans="1:8" ht="15" customHeight="1" x14ac:dyDescent="0.35">
      <c r="A421">
        <v>230201</v>
      </c>
      <c r="B421" t="s">
        <v>191</v>
      </c>
      <c r="C421" s="190">
        <v>-107943.11</v>
      </c>
      <c r="D421" s="190">
        <v>0</v>
      </c>
      <c r="E421" s="190">
        <v>0</v>
      </c>
      <c r="F421" s="190">
        <v>-107943.11</v>
      </c>
      <c r="G421"/>
      <c r="H421"/>
    </row>
    <row r="422" spans="1:8" ht="15" customHeight="1" x14ac:dyDescent="0.35">
      <c r="A422">
        <v>2302011</v>
      </c>
      <c r="B422" t="s">
        <v>197</v>
      </c>
      <c r="C422" s="190">
        <v>-107943.11</v>
      </c>
      <c r="D422" s="190">
        <v>0</v>
      </c>
      <c r="E422" s="190">
        <v>0</v>
      </c>
      <c r="F422" s="190">
        <v>-107943.11</v>
      </c>
      <c r="G422"/>
      <c r="H422"/>
    </row>
    <row r="423" spans="1:8" ht="15" customHeight="1" x14ac:dyDescent="0.35">
      <c r="A423">
        <v>230201103</v>
      </c>
      <c r="B423" t="s">
        <v>325</v>
      </c>
      <c r="C423" s="190">
        <v>-107943.11</v>
      </c>
      <c r="D423" s="190">
        <v>0</v>
      </c>
      <c r="E423" s="190">
        <v>0</v>
      </c>
      <c r="F423" s="190">
        <v>-107943.11</v>
      </c>
      <c r="G423"/>
      <c r="H423"/>
    </row>
    <row r="424" spans="1:8" ht="15" customHeight="1" x14ac:dyDescent="0.35">
      <c r="A424">
        <v>23020110301</v>
      </c>
      <c r="B424" t="s">
        <v>327</v>
      </c>
      <c r="C424" s="190">
        <v>-1907.53</v>
      </c>
      <c r="D424" s="190">
        <v>0</v>
      </c>
      <c r="E424" s="190">
        <v>0</v>
      </c>
      <c r="F424" s="190">
        <v>-1907.53</v>
      </c>
      <c r="G424"/>
      <c r="H424"/>
    </row>
    <row r="425" spans="1:8" ht="15" customHeight="1" x14ac:dyDescent="0.35">
      <c r="A425">
        <v>23020110302</v>
      </c>
      <c r="B425" t="s">
        <v>344</v>
      </c>
      <c r="C425" s="190">
        <v>-106035.58</v>
      </c>
      <c r="D425" s="190">
        <v>0</v>
      </c>
      <c r="E425" s="190">
        <v>0</v>
      </c>
      <c r="F425" s="190">
        <v>-106035.58</v>
      </c>
      <c r="G425"/>
      <c r="H425"/>
    </row>
    <row r="426" spans="1:8" ht="15" customHeight="1" x14ac:dyDescent="0.35">
      <c r="A426">
        <v>230202</v>
      </c>
      <c r="B426" t="s">
        <v>391</v>
      </c>
      <c r="C426" s="190">
        <v>-273238.01</v>
      </c>
      <c r="D426" s="190">
        <v>0</v>
      </c>
      <c r="E426" s="190">
        <v>0</v>
      </c>
      <c r="F426" s="190">
        <v>-273238.01</v>
      </c>
      <c r="G426"/>
      <c r="H426"/>
    </row>
    <row r="427" spans="1:8" ht="15" customHeight="1" x14ac:dyDescent="0.35">
      <c r="A427">
        <v>2302021</v>
      </c>
      <c r="B427" t="s">
        <v>197</v>
      </c>
      <c r="C427" s="190">
        <v>-273238.01</v>
      </c>
      <c r="D427" s="190">
        <v>0</v>
      </c>
      <c r="E427" s="190">
        <v>0</v>
      </c>
      <c r="F427" s="190">
        <v>-273238.01</v>
      </c>
      <c r="G427"/>
      <c r="H427"/>
    </row>
    <row r="428" spans="1:8" ht="15" customHeight="1" x14ac:dyDescent="0.35">
      <c r="A428">
        <v>230202102</v>
      </c>
      <c r="B428" t="s">
        <v>411</v>
      </c>
      <c r="C428" s="190">
        <v>-273238.01</v>
      </c>
      <c r="D428" s="190">
        <v>0</v>
      </c>
      <c r="E428" s="190">
        <v>0</v>
      </c>
      <c r="F428" s="190">
        <v>-273238.01</v>
      </c>
      <c r="G428"/>
      <c r="H428"/>
    </row>
    <row r="429" spans="1:8" ht="15" customHeight="1" x14ac:dyDescent="0.35">
      <c r="A429">
        <v>23020210201</v>
      </c>
      <c r="B429" t="s">
        <v>413</v>
      </c>
      <c r="C429" s="190">
        <v>-273238.01</v>
      </c>
      <c r="D429" s="190">
        <v>0</v>
      </c>
      <c r="E429" s="190">
        <v>0</v>
      </c>
      <c r="F429" s="190">
        <v>-273238.01</v>
      </c>
      <c r="G429"/>
      <c r="H429"/>
    </row>
    <row r="430" spans="1:8" ht="15" customHeight="1" x14ac:dyDescent="0.35">
      <c r="A430">
        <v>230203</v>
      </c>
      <c r="B430" t="s">
        <v>394</v>
      </c>
      <c r="C430" s="190">
        <v>-151114.1</v>
      </c>
      <c r="D430" s="190">
        <v>0</v>
      </c>
      <c r="E430" s="190">
        <v>0</v>
      </c>
      <c r="F430" s="190">
        <v>-151114.1</v>
      </c>
      <c r="G430"/>
      <c r="H430"/>
    </row>
    <row r="431" spans="1:8" ht="15" customHeight="1" x14ac:dyDescent="0.35">
      <c r="A431">
        <v>2302031</v>
      </c>
      <c r="B431" t="s">
        <v>197</v>
      </c>
      <c r="C431" s="190">
        <v>-151114.1</v>
      </c>
      <c r="D431" s="190">
        <v>0</v>
      </c>
      <c r="E431" s="190">
        <v>0</v>
      </c>
      <c r="F431" s="190">
        <v>-151114.1</v>
      </c>
      <c r="G431"/>
      <c r="H431"/>
    </row>
    <row r="432" spans="1:8" ht="15" customHeight="1" x14ac:dyDescent="0.35">
      <c r="A432">
        <v>230203101</v>
      </c>
      <c r="B432" t="s">
        <v>332</v>
      </c>
      <c r="C432" s="190">
        <v>-150914.29999999999</v>
      </c>
      <c r="D432" s="190">
        <v>0</v>
      </c>
      <c r="E432" s="190">
        <v>0</v>
      </c>
      <c r="F432" s="190">
        <v>-150914.29999999999</v>
      </c>
      <c r="G432"/>
      <c r="H432"/>
    </row>
    <row r="433" spans="1:8" ht="15" customHeight="1" x14ac:dyDescent="0.35">
      <c r="A433">
        <v>23020310101</v>
      </c>
      <c r="B433" t="s">
        <v>406</v>
      </c>
      <c r="C433" s="190">
        <v>-14261.42</v>
      </c>
      <c r="D433" s="190">
        <v>0</v>
      </c>
      <c r="E433" s="190">
        <v>0</v>
      </c>
      <c r="F433" s="190">
        <v>-14261.42</v>
      </c>
      <c r="G433"/>
      <c r="H433"/>
    </row>
    <row r="434" spans="1:8" ht="15" customHeight="1" x14ac:dyDescent="0.35">
      <c r="A434">
        <v>23020310102</v>
      </c>
      <c r="B434" t="s">
        <v>335</v>
      </c>
      <c r="C434" s="190">
        <v>-136652.88</v>
      </c>
      <c r="D434" s="190">
        <v>0</v>
      </c>
      <c r="E434" s="190">
        <v>0</v>
      </c>
      <c r="F434" s="190">
        <v>-136652.88</v>
      </c>
      <c r="G434"/>
      <c r="H434"/>
    </row>
    <row r="435" spans="1:8" ht="15" customHeight="1" x14ac:dyDescent="0.35">
      <c r="A435">
        <v>230203102</v>
      </c>
      <c r="B435" t="s">
        <v>336</v>
      </c>
      <c r="C435" s="190">
        <v>-199.8</v>
      </c>
      <c r="D435" s="190">
        <v>0</v>
      </c>
      <c r="E435" s="190">
        <v>0</v>
      </c>
      <c r="F435" s="190">
        <v>-199.8</v>
      </c>
      <c r="G435"/>
      <c r="H435"/>
    </row>
    <row r="436" spans="1:8" ht="15" customHeight="1" x14ac:dyDescent="0.35">
      <c r="A436">
        <v>23020310202</v>
      </c>
      <c r="B436" t="s">
        <v>339</v>
      </c>
      <c r="C436" s="190">
        <v>-199.8</v>
      </c>
      <c r="D436" s="190">
        <v>0</v>
      </c>
      <c r="E436" s="190">
        <v>0</v>
      </c>
      <c r="F436" s="190">
        <v>-199.8</v>
      </c>
      <c r="G436"/>
      <c r="H436"/>
    </row>
    <row r="437" spans="1:8" ht="15" customHeight="1" x14ac:dyDescent="0.35">
      <c r="A437">
        <v>24</v>
      </c>
      <c r="B437" t="s">
        <v>51</v>
      </c>
      <c r="C437" s="190">
        <v>-1347111.96</v>
      </c>
      <c r="D437" s="190">
        <v>8020067.3399999999</v>
      </c>
      <c r="E437" s="190">
        <v>7726428.7400000002</v>
      </c>
      <c r="F437" s="190">
        <v>-1053473.3600000001</v>
      </c>
      <c r="G437"/>
      <c r="H437"/>
    </row>
    <row r="438" spans="1:8" ht="15" customHeight="1" x14ac:dyDescent="0.35">
      <c r="A438">
        <v>2401</v>
      </c>
      <c r="B438" t="s">
        <v>72</v>
      </c>
      <c r="C438" s="190">
        <v>-631099.9</v>
      </c>
      <c r="D438" s="190">
        <v>3640623.87</v>
      </c>
      <c r="E438" s="190">
        <v>3770157.81</v>
      </c>
      <c r="F438" s="190">
        <v>-760633.84</v>
      </c>
      <c r="G438"/>
      <c r="H438"/>
    </row>
    <row r="439" spans="1:8" ht="15" customHeight="1" x14ac:dyDescent="0.35">
      <c r="A439">
        <v>240101</v>
      </c>
      <c r="B439" t="s">
        <v>356</v>
      </c>
      <c r="C439" s="190">
        <v>-631099.9</v>
      </c>
      <c r="D439" s="190">
        <v>3633563.15</v>
      </c>
      <c r="E439" s="190">
        <v>3763097.09</v>
      </c>
      <c r="F439" s="190">
        <v>-760633.84</v>
      </c>
      <c r="G439"/>
      <c r="H439"/>
    </row>
    <row r="440" spans="1:8" ht="15" customHeight="1" x14ac:dyDescent="0.35">
      <c r="A440">
        <v>2401011</v>
      </c>
      <c r="B440" t="s">
        <v>197</v>
      </c>
      <c r="C440" s="190">
        <v>-631099.9</v>
      </c>
      <c r="D440" s="190">
        <v>3633563.15</v>
      </c>
      <c r="E440" s="190">
        <v>3763097.09</v>
      </c>
      <c r="F440" s="190">
        <v>-760633.84</v>
      </c>
      <c r="G440"/>
      <c r="H440"/>
    </row>
    <row r="441" spans="1:8" ht="15" customHeight="1" x14ac:dyDescent="0.35">
      <c r="A441">
        <v>240101101</v>
      </c>
      <c r="B441" t="s">
        <v>358</v>
      </c>
      <c r="C441" s="190">
        <v>-523667.17</v>
      </c>
      <c r="D441" s="190">
        <v>1588915.72</v>
      </c>
      <c r="E441" s="190">
        <v>1574239.23</v>
      </c>
      <c r="F441" s="190">
        <v>-508990.68</v>
      </c>
      <c r="G441"/>
      <c r="H441"/>
    </row>
    <row r="442" spans="1:8" ht="15" customHeight="1" x14ac:dyDescent="0.35">
      <c r="A442">
        <v>240101102</v>
      </c>
      <c r="B442" t="s">
        <v>359</v>
      </c>
      <c r="C442" s="190">
        <v>-13018.99</v>
      </c>
      <c r="D442" s="190">
        <v>46010.53</v>
      </c>
      <c r="E442" s="190">
        <v>66599.13</v>
      </c>
      <c r="F442" s="190">
        <v>-33607.589999999997</v>
      </c>
      <c r="G442"/>
      <c r="H442"/>
    </row>
    <row r="443" spans="1:8" ht="15" customHeight="1" x14ac:dyDescent="0.35">
      <c r="A443">
        <v>240101104</v>
      </c>
      <c r="B443" t="s">
        <v>354</v>
      </c>
      <c r="C443" s="190">
        <v>-20.81</v>
      </c>
      <c r="D443" s="190">
        <v>126847.4</v>
      </c>
      <c r="E443" s="190">
        <v>128114.89</v>
      </c>
      <c r="F443" s="190">
        <v>-1288.3</v>
      </c>
      <c r="G443"/>
      <c r="H443"/>
    </row>
    <row r="444" spans="1:8" ht="15" customHeight="1" x14ac:dyDescent="0.35">
      <c r="A444">
        <v>240101105</v>
      </c>
      <c r="B444" t="s">
        <v>360</v>
      </c>
      <c r="C444" s="190">
        <v>-20246.29</v>
      </c>
      <c r="D444" s="190">
        <v>1734601.99</v>
      </c>
      <c r="E444" s="190">
        <v>1729495.85</v>
      </c>
      <c r="F444" s="190">
        <v>-15140.15</v>
      </c>
      <c r="G444"/>
      <c r="H444"/>
    </row>
    <row r="445" spans="1:8" ht="15" customHeight="1" x14ac:dyDescent="0.35">
      <c r="A445">
        <v>240101106</v>
      </c>
      <c r="B445" t="s">
        <v>355</v>
      </c>
      <c r="C445" s="190">
        <v>-74146.64</v>
      </c>
      <c r="D445" s="190">
        <v>137186.25</v>
      </c>
      <c r="E445" s="190">
        <v>264646.73</v>
      </c>
      <c r="F445" s="190">
        <v>-201607.12</v>
      </c>
      <c r="G445"/>
      <c r="H445"/>
    </row>
    <row r="446" spans="1:8" ht="15" customHeight="1" x14ac:dyDescent="0.35">
      <c r="A446">
        <v>240103</v>
      </c>
      <c r="B446" t="s">
        <v>600</v>
      </c>
      <c r="C446" s="190">
        <v>0</v>
      </c>
      <c r="D446" s="190">
        <v>7060.72</v>
      </c>
      <c r="E446" s="190">
        <v>7060.72</v>
      </c>
      <c r="F446" s="190">
        <v>0</v>
      </c>
      <c r="G446"/>
      <c r="H446"/>
    </row>
    <row r="447" spans="1:8" ht="15" customHeight="1" x14ac:dyDescent="0.35">
      <c r="A447">
        <v>2403</v>
      </c>
      <c r="B447" t="s">
        <v>414</v>
      </c>
      <c r="C447" s="190">
        <v>-716012.06</v>
      </c>
      <c r="D447" s="190">
        <v>4379443.47</v>
      </c>
      <c r="E447" s="190">
        <v>3956270.93</v>
      </c>
      <c r="F447" s="190">
        <v>-292839.52</v>
      </c>
      <c r="G447"/>
      <c r="H447"/>
    </row>
    <row r="448" spans="1:8" ht="15" customHeight="1" x14ac:dyDescent="0.35">
      <c r="A448">
        <v>240301</v>
      </c>
      <c r="B448" t="s">
        <v>351</v>
      </c>
      <c r="C448" s="190">
        <v>-716012.06</v>
      </c>
      <c r="D448" s="190">
        <v>4379443.47</v>
      </c>
      <c r="E448" s="190">
        <v>3956270.93</v>
      </c>
      <c r="F448" s="190">
        <v>-292839.52</v>
      </c>
      <c r="G448"/>
      <c r="H448"/>
    </row>
    <row r="449" spans="1:9" ht="15" customHeight="1" x14ac:dyDescent="0.35">
      <c r="A449">
        <v>2403011</v>
      </c>
      <c r="B449" t="s">
        <v>197</v>
      </c>
      <c r="C449" s="190">
        <v>-716012.06</v>
      </c>
      <c r="D449" s="190">
        <v>4379443.47</v>
      </c>
      <c r="E449" s="190">
        <v>3956270.93</v>
      </c>
      <c r="F449" s="190">
        <v>-292839.52</v>
      </c>
      <c r="G449"/>
      <c r="H449"/>
    </row>
    <row r="450" spans="1:9" ht="15" customHeight="1" x14ac:dyDescent="0.35">
      <c r="A450">
        <v>240301101</v>
      </c>
      <c r="B450" t="s">
        <v>415</v>
      </c>
      <c r="C450" s="190">
        <v>-505535.89</v>
      </c>
      <c r="D450" s="190">
        <v>3853138.11</v>
      </c>
      <c r="E450" s="190">
        <v>3388945.03</v>
      </c>
      <c r="F450" s="190">
        <v>-41342.81</v>
      </c>
      <c r="G450"/>
      <c r="H450"/>
    </row>
    <row r="451" spans="1:9" ht="15" customHeight="1" x14ac:dyDescent="0.35">
      <c r="A451">
        <v>240301102</v>
      </c>
      <c r="B451" t="s">
        <v>354</v>
      </c>
      <c r="C451" s="190">
        <v>-30492.63</v>
      </c>
      <c r="D451" s="190">
        <v>411839.79</v>
      </c>
      <c r="E451" s="190">
        <v>470095.05</v>
      </c>
      <c r="F451" s="190">
        <v>-88747.89</v>
      </c>
      <c r="G451"/>
      <c r="H451"/>
    </row>
    <row r="452" spans="1:9" ht="15" customHeight="1" x14ac:dyDescent="0.35">
      <c r="A452">
        <v>240301103</v>
      </c>
      <c r="B452" t="s">
        <v>355</v>
      </c>
      <c r="C452" s="190">
        <v>-179983.54</v>
      </c>
      <c r="D452" s="190">
        <v>0</v>
      </c>
      <c r="E452" s="190">
        <v>0</v>
      </c>
      <c r="F452" s="190">
        <v>-179983.54</v>
      </c>
      <c r="G452"/>
      <c r="H452"/>
    </row>
    <row r="453" spans="1:9" ht="15" customHeight="1" x14ac:dyDescent="0.35">
      <c r="A453">
        <v>240301104</v>
      </c>
      <c r="B453" t="s">
        <v>620</v>
      </c>
      <c r="C453" s="190">
        <v>0</v>
      </c>
      <c r="D453" s="190">
        <v>114465.57</v>
      </c>
      <c r="E453" s="190">
        <v>97230.85</v>
      </c>
      <c r="F453" s="190">
        <v>17234.72</v>
      </c>
      <c r="G453"/>
      <c r="H453"/>
    </row>
    <row r="454" spans="1:9" ht="15" customHeight="1" x14ac:dyDescent="0.35">
      <c r="A454">
        <v>26</v>
      </c>
      <c r="B454" t="s">
        <v>55</v>
      </c>
      <c r="C454" s="190">
        <v>-313087.57</v>
      </c>
      <c r="D454" s="190">
        <v>2171359.7000000002</v>
      </c>
      <c r="E454" s="190">
        <v>2130358.41</v>
      </c>
      <c r="F454" s="190">
        <v>-272086.28000000003</v>
      </c>
      <c r="G454"/>
      <c r="H454"/>
      <c r="I454" s="167"/>
    </row>
    <row r="455" spans="1:9" ht="15" customHeight="1" x14ac:dyDescent="0.35">
      <c r="A455">
        <v>2601</v>
      </c>
      <c r="B455" t="s">
        <v>56</v>
      </c>
      <c r="C455" s="190">
        <v>-245577.68</v>
      </c>
      <c r="D455" s="190">
        <v>1064803.96</v>
      </c>
      <c r="E455" s="190">
        <v>994189.31</v>
      </c>
      <c r="F455" s="190">
        <v>-174963.03</v>
      </c>
      <c r="G455"/>
      <c r="H455"/>
    </row>
    <row r="456" spans="1:9" ht="15" customHeight="1" x14ac:dyDescent="0.35">
      <c r="A456">
        <v>260101</v>
      </c>
      <c r="B456" t="s">
        <v>416</v>
      </c>
      <c r="C456" s="190">
        <v>-245577.68</v>
      </c>
      <c r="D456" s="190">
        <v>1064803.96</v>
      </c>
      <c r="E456" s="190">
        <v>994189.31</v>
      </c>
      <c r="F456" s="190">
        <v>-174963.03</v>
      </c>
      <c r="G456"/>
      <c r="H456"/>
    </row>
    <row r="457" spans="1:9" ht="15" customHeight="1" x14ac:dyDescent="0.35">
      <c r="A457">
        <v>2601011</v>
      </c>
      <c r="B457" t="s">
        <v>197</v>
      </c>
      <c r="C457" s="190">
        <v>-245577.68</v>
      </c>
      <c r="D457" s="190">
        <v>1064803.96</v>
      </c>
      <c r="E457" s="190">
        <v>994189.31</v>
      </c>
      <c r="F457" s="190">
        <v>-174963.03</v>
      </c>
      <c r="G457"/>
      <c r="H457"/>
    </row>
    <row r="458" spans="1:9" ht="15" customHeight="1" x14ac:dyDescent="0.35">
      <c r="A458">
        <v>260101101</v>
      </c>
      <c r="B458" t="s">
        <v>417</v>
      </c>
      <c r="C458" s="190">
        <v>-245577.68</v>
      </c>
      <c r="D458" s="190">
        <v>947392.92</v>
      </c>
      <c r="E458" s="190">
        <v>876778.27</v>
      </c>
      <c r="F458" s="190">
        <v>-174963.03</v>
      </c>
      <c r="G458"/>
      <c r="H458"/>
    </row>
    <row r="459" spans="1:9" ht="15" customHeight="1" x14ac:dyDescent="0.35">
      <c r="A459">
        <v>2602</v>
      </c>
      <c r="B459" t="s">
        <v>57</v>
      </c>
      <c r="C459" s="190">
        <v>-67509.89</v>
      </c>
      <c r="D459" s="190">
        <v>1106555.74</v>
      </c>
      <c r="E459" s="190">
        <v>1136169.1000000001</v>
      </c>
      <c r="F459" s="190">
        <v>-97123.25</v>
      </c>
      <c r="G459"/>
      <c r="H459"/>
    </row>
    <row r="460" spans="1:9" ht="15" customHeight="1" x14ac:dyDescent="0.35">
      <c r="A460">
        <v>260201</v>
      </c>
      <c r="B460" t="s">
        <v>418</v>
      </c>
      <c r="C460" s="190">
        <v>-66628.899999999994</v>
      </c>
      <c r="D460" s="190">
        <v>1102366.72</v>
      </c>
      <c r="E460" s="190">
        <v>1130804.6299999999</v>
      </c>
      <c r="F460" s="190">
        <v>-95066.81</v>
      </c>
      <c r="G460"/>
      <c r="H460"/>
    </row>
    <row r="461" spans="1:9" ht="15" customHeight="1" x14ac:dyDescent="0.35">
      <c r="A461">
        <v>2602011</v>
      </c>
      <c r="B461" t="s">
        <v>197</v>
      </c>
      <c r="C461" s="190">
        <v>-66628.899999999994</v>
      </c>
      <c r="D461" s="190">
        <v>1102366.72</v>
      </c>
      <c r="E461" s="190">
        <v>1130804.6299999999</v>
      </c>
      <c r="F461" s="190">
        <v>-95066.81</v>
      </c>
      <c r="G461"/>
      <c r="H461"/>
    </row>
    <row r="462" spans="1:9" ht="15" customHeight="1" x14ac:dyDescent="0.35">
      <c r="A462">
        <v>260201101</v>
      </c>
      <c r="B462" t="s">
        <v>419</v>
      </c>
      <c r="C462" s="190">
        <v>-66628.899999999994</v>
      </c>
      <c r="D462" s="190">
        <v>801154.63</v>
      </c>
      <c r="E462" s="190">
        <v>756816.84</v>
      </c>
      <c r="F462" s="190">
        <v>-22291.11</v>
      </c>
      <c r="G462"/>
      <c r="H462"/>
    </row>
    <row r="463" spans="1:9" ht="15" customHeight="1" x14ac:dyDescent="0.35">
      <c r="A463">
        <v>260201102</v>
      </c>
      <c r="B463" t="s">
        <v>420</v>
      </c>
      <c r="C463" s="190">
        <v>0</v>
      </c>
      <c r="D463" s="190">
        <v>301212.09000000003</v>
      </c>
      <c r="E463" s="190">
        <v>373987.79</v>
      </c>
      <c r="F463" s="190">
        <v>-72775.7</v>
      </c>
      <c r="G463"/>
      <c r="H463"/>
    </row>
    <row r="464" spans="1:9" ht="15" customHeight="1" x14ac:dyDescent="0.35">
      <c r="A464">
        <v>260202</v>
      </c>
      <c r="B464" t="s">
        <v>421</v>
      </c>
      <c r="C464" s="190">
        <v>-880.99</v>
      </c>
      <c r="D464" s="190">
        <v>4189.0200000000004</v>
      </c>
      <c r="E464" s="190">
        <v>5364.47</v>
      </c>
      <c r="F464" s="190">
        <v>-2056.44</v>
      </c>
      <c r="G464"/>
      <c r="H464"/>
    </row>
    <row r="465" spans="1:9" ht="15" customHeight="1" x14ac:dyDescent="0.35">
      <c r="A465">
        <v>2602021</v>
      </c>
      <c r="B465" t="s">
        <v>197</v>
      </c>
      <c r="C465" s="190">
        <v>-880.99</v>
      </c>
      <c r="D465" s="190">
        <v>4189.0200000000004</v>
      </c>
      <c r="E465" s="190">
        <v>5364.47</v>
      </c>
      <c r="F465" s="190">
        <v>-2056.44</v>
      </c>
      <c r="G465"/>
      <c r="H465"/>
    </row>
    <row r="466" spans="1:9" ht="15" customHeight="1" x14ac:dyDescent="0.35">
      <c r="A466">
        <v>260202101</v>
      </c>
      <c r="B466" t="s">
        <v>422</v>
      </c>
      <c r="C466" s="190">
        <v>-880.99</v>
      </c>
      <c r="D466" s="190">
        <v>4189.0200000000004</v>
      </c>
      <c r="E466" s="190">
        <v>5364.47</v>
      </c>
      <c r="F466" s="190">
        <v>-2056.44</v>
      </c>
      <c r="G466"/>
      <c r="H466"/>
    </row>
    <row r="467" spans="1:9" ht="15" customHeight="1" x14ac:dyDescent="0.35">
      <c r="A467">
        <v>27</v>
      </c>
      <c r="B467" t="s">
        <v>19</v>
      </c>
      <c r="C467" s="190">
        <v>-325735.84000000003</v>
      </c>
      <c r="D467" s="190">
        <v>22567469.420000002</v>
      </c>
      <c r="E467" s="190">
        <v>23208154.420000002</v>
      </c>
      <c r="F467" s="190">
        <v>-966420.84</v>
      </c>
      <c r="G467"/>
      <c r="H467"/>
    </row>
    <row r="468" spans="1:9" ht="15" customHeight="1" x14ac:dyDescent="0.35">
      <c r="A468">
        <v>2701</v>
      </c>
      <c r="B468" t="s">
        <v>20</v>
      </c>
      <c r="C468" s="190">
        <v>-98468.86</v>
      </c>
      <c r="D468" s="190">
        <v>803272.19</v>
      </c>
      <c r="E468" s="190">
        <v>855555.89</v>
      </c>
      <c r="F468" s="190">
        <v>-150752.56</v>
      </c>
      <c r="G468"/>
      <c r="H468"/>
      <c r="I468" s="167"/>
    </row>
    <row r="469" spans="1:9" ht="15" customHeight="1" x14ac:dyDescent="0.35">
      <c r="A469">
        <v>270101</v>
      </c>
      <c r="B469" t="s">
        <v>423</v>
      </c>
      <c r="C469" s="190">
        <v>-83923.88</v>
      </c>
      <c r="D469" s="190">
        <v>448981.64</v>
      </c>
      <c r="E469" s="190">
        <v>397264.77</v>
      </c>
      <c r="F469" s="190">
        <v>-32207.01</v>
      </c>
      <c r="G469"/>
      <c r="H469"/>
    </row>
    <row r="470" spans="1:9" ht="15" customHeight="1" x14ac:dyDescent="0.35">
      <c r="A470">
        <v>2701011</v>
      </c>
      <c r="B470" t="s">
        <v>197</v>
      </c>
      <c r="C470" s="190">
        <v>-83923.88</v>
      </c>
      <c r="D470" s="190">
        <v>448981.64</v>
      </c>
      <c r="E470" s="190">
        <v>397264.77</v>
      </c>
      <c r="F470" s="190">
        <v>-32207.01</v>
      </c>
      <c r="G470"/>
      <c r="H470"/>
    </row>
    <row r="471" spans="1:9" ht="15" customHeight="1" x14ac:dyDescent="0.35">
      <c r="A471">
        <v>270101101</v>
      </c>
      <c r="B471" t="s">
        <v>73</v>
      </c>
      <c r="C471" s="190">
        <v>-63496.78</v>
      </c>
      <c r="D471" s="190">
        <v>318026.55</v>
      </c>
      <c r="E471" s="190">
        <v>264502.7</v>
      </c>
      <c r="F471" s="190">
        <v>-9972.93</v>
      </c>
      <c r="G471"/>
      <c r="H471"/>
    </row>
    <row r="472" spans="1:9" ht="15" customHeight="1" x14ac:dyDescent="0.35">
      <c r="A472">
        <v>27010110101</v>
      </c>
      <c r="B472" t="s">
        <v>424</v>
      </c>
      <c r="C472" s="190">
        <v>-10523.01</v>
      </c>
      <c r="D472" s="190">
        <v>133082.75</v>
      </c>
      <c r="E472" s="190">
        <v>132035.29999999999</v>
      </c>
      <c r="F472" s="190">
        <v>-9475.56</v>
      </c>
      <c r="G472"/>
      <c r="H472"/>
    </row>
    <row r="473" spans="1:9" ht="15" customHeight="1" x14ac:dyDescent="0.35">
      <c r="A473">
        <v>27010110102</v>
      </c>
      <c r="B473" t="s">
        <v>425</v>
      </c>
      <c r="C473" s="190">
        <v>-2318.37</v>
      </c>
      <c r="D473" s="190">
        <v>30702.33</v>
      </c>
      <c r="E473" s="190">
        <v>29256.33</v>
      </c>
      <c r="F473" s="190">
        <v>-872.37</v>
      </c>
      <c r="G473"/>
      <c r="H473"/>
    </row>
    <row r="474" spans="1:9" ht="15" customHeight="1" x14ac:dyDescent="0.35">
      <c r="A474">
        <v>27010110103</v>
      </c>
      <c r="B474" t="s">
        <v>426</v>
      </c>
      <c r="C474" s="190">
        <v>-50655.4</v>
      </c>
      <c r="D474" s="190">
        <v>142392.67000000001</v>
      </c>
      <c r="E474" s="190">
        <v>91362.27</v>
      </c>
      <c r="F474" s="190">
        <v>375</v>
      </c>
      <c r="G474"/>
      <c r="H474"/>
    </row>
    <row r="475" spans="1:9" ht="15" customHeight="1" x14ac:dyDescent="0.35">
      <c r="A475">
        <v>270101103</v>
      </c>
      <c r="B475" t="s">
        <v>427</v>
      </c>
      <c r="C475" s="190">
        <v>-625.95000000000005</v>
      </c>
      <c r="D475" s="190">
        <v>18539.18</v>
      </c>
      <c r="E475" s="190">
        <v>17957.419999999998</v>
      </c>
      <c r="F475" s="190">
        <v>-44.19</v>
      </c>
      <c r="G475"/>
      <c r="H475"/>
    </row>
    <row r="476" spans="1:9" ht="15" customHeight="1" x14ac:dyDescent="0.35">
      <c r="A476">
        <v>270101104</v>
      </c>
      <c r="B476" t="s">
        <v>428</v>
      </c>
      <c r="C476" s="190">
        <v>-3486.51</v>
      </c>
      <c r="D476" s="190">
        <v>78761.87</v>
      </c>
      <c r="E476" s="190">
        <v>75952.800000000003</v>
      </c>
      <c r="F476" s="190">
        <v>-677.44</v>
      </c>
      <c r="G476"/>
      <c r="H476"/>
    </row>
    <row r="477" spans="1:9" ht="15" customHeight="1" x14ac:dyDescent="0.35">
      <c r="A477">
        <v>27010110401</v>
      </c>
      <c r="B477" t="s">
        <v>429</v>
      </c>
      <c r="C477" s="190">
        <v>-2712.24</v>
      </c>
      <c r="D477" s="190">
        <v>51742.98</v>
      </c>
      <c r="E477" s="190">
        <v>48552.61</v>
      </c>
      <c r="F477" s="190">
        <v>478.13</v>
      </c>
      <c r="G477"/>
      <c r="H477"/>
    </row>
    <row r="478" spans="1:9" ht="15" customHeight="1" x14ac:dyDescent="0.35">
      <c r="A478">
        <v>27010110402</v>
      </c>
      <c r="B478" t="s">
        <v>430</v>
      </c>
      <c r="C478" s="190">
        <v>-774.27</v>
      </c>
      <c r="D478" s="190">
        <v>27018.89</v>
      </c>
      <c r="E478" s="190">
        <v>27400.19</v>
      </c>
      <c r="F478" s="190">
        <v>-1155.57</v>
      </c>
      <c r="G478"/>
      <c r="H478"/>
    </row>
    <row r="479" spans="1:9" ht="15" customHeight="1" x14ac:dyDescent="0.35">
      <c r="A479">
        <v>270101105</v>
      </c>
      <c r="B479" t="s">
        <v>431</v>
      </c>
      <c r="C479" s="190">
        <v>0</v>
      </c>
      <c r="D479" s="190">
        <v>185.22</v>
      </c>
      <c r="E479" s="190">
        <v>185.22</v>
      </c>
      <c r="F479" s="190">
        <v>0</v>
      </c>
      <c r="G479"/>
      <c r="H479"/>
    </row>
    <row r="480" spans="1:9" ht="15" customHeight="1" x14ac:dyDescent="0.35">
      <c r="A480">
        <v>270101106</v>
      </c>
      <c r="B480" t="s">
        <v>432</v>
      </c>
      <c r="C480" s="190">
        <v>-14484.89</v>
      </c>
      <c r="D480" s="190">
        <v>27702.959999999999</v>
      </c>
      <c r="E480" s="190">
        <v>32993.379999999997</v>
      </c>
      <c r="F480" s="190">
        <v>-19775.310000000001</v>
      </c>
      <c r="G480"/>
      <c r="H480"/>
    </row>
    <row r="481" spans="1:8" ht="15" customHeight="1" x14ac:dyDescent="0.35">
      <c r="A481">
        <v>270101109</v>
      </c>
      <c r="B481" t="s">
        <v>433</v>
      </c>
      <c r="C481" s="190">
        <v>-1829.75</v>
      </c>
      <c r="D481" s="190">
        <v>5763.86</v>
      </c>
      <c r="E481" s="190">
        <v>5671.25</v>
      </c>
      <c r="F481" s="190">
        <v>-1737.14</v>
      </c>
      <c r="G481"/>
      <c r="H481"/>
    </row>
    <row r="482" spans="1:8" ht="15" customHeight="1" x14ac:dyDescent="0.35">
      <c r="A482">
        <v>270102</v>
      </c>
      <c r="B482" t="s">
        <v>14</v>
      </c>
      <c r="C482" s="190">
        <v>-14544.98</v>
      </c>
      <c r="D482" s="190">
        <v>354290.55</v>
      </c>
      <c r="E482" s="190">
        <v>458291.12</v>
      </c>
      <c r="F482" s="190">
        <v>-118545.55</v>
      </c>
      <c r="G482"/>
      <c r="H482"/>
    </row>
    <row r="483" spans="1:8" ht="15" customHeight="1" x14ac:dyDescent="0.35">
      <c r="A483">
        <v>2701021</v>
      </c>
      <c r="B483" t="s">
        <v>197</v>
      </c>
      <c r="C483" s="190">
        <v>-14544.98</v>
      </c>
      <c r="D483" s="190">
        <v>354290.55</v>
      </c>
      <c r="E483" s="190">
        <v>458291.12</v>
      </c>
      <c r="F483" s="190">
        <v>-118545.55</v>
      </c>
      <c r="G483"/>
      <c r="H483"/>
    </row>
    <row r="484" spans="1:8" ht="15" customHeight="1" x14ac:dyDescent="0.35">
      <c r="A484">
        <v>270102101</v>
      </c>
      <c r="B484" t="s">
        <v>73</v>
      </c>
      <c r="C484" s="190">
        <v>0</v>
      </c>
      <c r="D484" s="190">
        <v>0</v>
      </c>
      <c r="E484" s="190">
        <v>7.22</v>
      </c>
      <c r="F484" s="190">
        <v>-7.22</v>
      </c>
      <c r="G484"/>
      <c r="H484"/>
    </row>
    <row r="485" spans="1:8" ht="15" customHeight="1" x14ac:dyDescent="0.35">
      <c r="A485">
        <v>270102102</v>
      </c>
      <c r="B485" t="s">
        <v>434</v>
      </c>
      <c r="C485" s="190">
        <v>0</v>
      </c>
      <c r="D485" s="190">
        <v>30291.89</v>
      </c>
      <c r="E485" s="190">
        <v>36541.89</v>
      </c>
      <c r="F485" s="190">
        <v>-6250</v>
      </c>
      <c r="G485"/>
      <c r="H485"/>
    </row>
    <row r="486" spans="1:8" ht="15" customHeight="1" x14ac:dyDescent="0.35">
      <c r="A486">
        <v>270102103</v>
      </c>
      <c r="B486" t="s">
        <v>427</v>
      </c>
      <c r="C486" s="190">
        <v>-837.43</v>
      </c>
      <c r="D486" s="190">
        <v>16262.76</v>
      </c>
      <c r="E486" s="190">
        <v>19345.060000000001</v>
      </c>
      <c r="F486" s="190">
        <v>-3919.73</v>
      </c>
      <c r="G486"/>
      <c r="H486"/>
    </row>
    <row r="487" spans="1:8" ht="15" customHeight="1" x14ac:dyDescent="0.35">
      <c r="A487">
        <v>270102105</v>
      </c>
      <c r="B487" t="s">
        <v>435</v>
      </c>
      <c r="C487" s="190">
        <v>-3954.99</v>
      </c>
      <c r="D487" s="190">
        <v>100803.06</v>
      </c>
      <c r="E487" s="190">
        <v>97615.85</v>
      </c>
      <c r="F487" s="190">
        <v>-767.78</v>
      </c>
      <c r="G487"/>
      <c r="H487"/>
    </row>
    <row r="488" spans="1:8" ht="15" customHeight="1" x14ac:dyDescent="0.35">
      <c r="A488">
        <v>27010210501</v>
      </c>
      <c r="B488" t="s">
        <v>429</v>
      </c>
      <c r="C488" s="190">
        <v>-3161.57</v>
      </c>
      <c r="D488" s="190">
        <v>62399.62</v>
      </c>
      <c r="E488" s="190">
        <v>59733.84</v>
      </c>
      <c r="F488" s="190">
        <v>-495.79</v>
      </c>
      <c r="G488"/>
      <c r="H488"/>
    </row>
    <row r="489" spans="1:8" ht="15" customHeight="1" x14ac:dyDescent="0.35">
      <c r="A489">
        <v>27010210502</v>
      </c>
      <c r="B489" t="s">
        <v>430</v>
      </c>
      <c r="C489" s="190">
        <v>-793.42</v>
      </c>
      <c r="D489" s="190">
        <v>38403.440000000002</v>
      </c>
      <c r="E489" s="190">
        <v>37882.01</v>
      </c>
      <c r="F489" s="190">
        <v>-271.99</v>
      </c>
      <c r="G489"/>
      <c r="H489"/>
    </row>
    <row r="490" spans="1:8" ht="15" customHeight="1" x14ac:dyDescent="0.35">
      <c r="A490">
        <v>270102109</v>
      </c>
      <c r="B490" t="s">
        <v>436</v>
      </c>
      <c r="C490" s="190">
        <v>-9752.56</v>
      </c>
      <c r="D490" s="190">
        <v>206932.84</v>
      </c>
      <c r="E490" s="190">
        <v>304781.09999999998</v>
      </c>
      <c r="F490" s="190">
        <v>-107600.82</v>
      </c>
      <c r="G490"/>
      <c r="H490"/>
    </row>
    <row r="491" spans="1:8" ht="15" customHeight="1" x14ac:dyDescent="0.35">
      <c r="A491">
        <v>27010210902</v>
      </c>
      <c r="B491" t="s">
        <v>437</v>
      </c>
      <c r="C491" s="190">
        <v>-9752.56</v>
      </c>
      <c r="D491" s="190">
        <v>202308.54</v>
      </c>
      <c r="E491" s="190">
        <v>280000.2</v>
      </c>
      <c r="F491" s="190">
        <v>-87444.22</v>
      </c>
      <c r="G491"/>
      <c r="H491"/>
    </row>
    <row r="492" spans="1:8" ht="15" customHeight="1" x14ac:dyDescent="0.35">
      <c r="A492">
        <v>27010210903</v>
      </c>
      <c r="B492" t="s">
        <v>438</v>
      </c>
      <c r="C492" s="190">
        <v>0</v>
      </c>
      <c r="D492" s="190">
        <v>4624.3</v>
      </c>
      <c r="E492" s="190">
        <v>24780.9</v>
      </c>
      <c r="F492" s="190">
        <v>-20156.599999999999</v>
      </c>
      <c r="G492"/>
      <c r="H492"/>
    </row>
    <row r="493" spans="1:8" ht="15" customHeight="1" x14ac:dyDescent="0.35">
      <c r="A493">
        <v>2702</v>
      </c>
      <c r="B493" t="s">
        <v>58</v>
      </c>
      <c r="C493" s="190">
        <v>-59272.93</v>
      </c>
      <c r="D493" s="190">
        <v>180460.39</v>
      </c>
      <c r="E493" s="190">
        <v>182785.56</v>
      </c>
      <c r="F493" s="190">
        <v>-61598.1</v>
      </c>
      <c r="G493"/>
      <c r="H493"/>
    </row>
    <row r="494" spans="1:8" ht="15" customHeight="1" x14ac:dyDescent="0.35">
      <c r="A494">
        <v>270201</v>
      </c>
      <c r="B494" t="s">
        <v>439</v>
      </c>
      <c r="C494" s="190">
        <v>-25623.06</v>
      </c>
      <c r="D494" s="190">
        <v>34769.480000000003</v>
      </c>
      <c r="E494" s="190">
        <v>22970.44</v>
      </c>
      <c r="F494" s="190">
        <v>-13824.02</v>
      </c>
      <c r="G494"/>
      <c r="H494"/>
    </row>
    <row r="495" spans="1:8" ht="15" customHeight="1" x14ac:dyDescent="0.35">
      <c r="A495">
        <v>2702011</v>
      </c>
      <c r="B495" t="s">
        <v>197</v>
      </c>
      <c r="C495" s="190">
        <v>-25623.06</v>
      </c>
      <c r="D495" s="190">
        <v>34769.480000000003</v>
      </c>
      <c r="E495" s="190">
        <v>22970.44</v>
      </c>
      <c r="F495" s="190">
        <v>-13824.02</v>
      </c>
      <c r="G495"/>
      <c r="H495"/>
    </row>
    <row r="496" spans="1:8" ht="15" customHeight="1" x14ac:dyDescent="0.35">
      <c r="A496">
        <v>270202</v>
      </c>
      <c r="B496" t="s">
        <v>58</v>
      </c>
      <c r="C496" s="190">
        <v>0</v>
      </c>
      <c r="D496" s="190">
        <v>30597.26</v>
      </c>
      <c r="E496" s="190">
        <v>33572.83</v>
      </c>
      <c r="F496" s="190">
        <v>-2975.57</v>
      </c>
      <c r="G496"/>
      <c r="H496"/>
    </row>
    <row r="497" spans="1:8" ht="15" customHeight="1" x14ac:dyDescent="0.35">
      <c r="A497">
        <v>2702021</v>
      </c>
      <c r="B497" t="s">
        <v>197</v>
      </c>
      <c r="C497" s="190">
        <v>0</v>
      </c>
      <c r="D497" s="190">
        <v>30597.26</v>
      </c>
      <c r="E497" s="190">
        <v>33572.83</v>
      </c>
      <c r="F497" s="190">
        <v>-2975.57</v>
      </c>
      <c r="G497"/>
      <c r="H497"/>
    </row>
    <row r="498" spans="1:8" ht="15" customHeight="1" x14ac:dyDescent="0.35">
      <c r="A498">
        <v>270202101</v>
      </c>
      <c r="B498" t="s">
        <v>440</v>
      </c>
      <c r="C498" s="190">
        <v>0</v>
      </c>
      <c r="D498" s="190">
        <v>30597.26</v>
      </c>
      <c r="E498" s="190">
        <v>33572.83</v>
      </c>
      <c r="F498" s="190">
        <v>-2975.57</v>
      </c>
      <c r="G498"/>
      <c r="H498"/>
    </row>
    <row r="499" spans="1:8" ht="15" customHeight="1" x14ac:dyDescent="0.35">
      <c r="A499">
        <v>270205</v>
      </c>
      <c r="B499" t="s">
        <v>441</v>
      </c>
      <c r="C499" s="190">
        <v>-33649.870000000003</v>
      </c>
      <c r="D499" s="190">
        <v>115093.65</v>
      </c>
      <c r="E499" s="190">
        <v>126242.29</v>
      </c>
      <c r="F499" s="190">
        <v>-44798.51</v>
      </c>
      <c r="G499"/>
      <c r="H499"/>
    </row>
    <row r="500" spans="1:8" ht="15" customHeight="1" x14ac:dyDescent="0.35">
      <c r="A500">
        <v>2702051</v>
      </c>
      <c r="B500" t="s">
        <v>197</v>
      </c>
      <c r="C500" s="190">
        <v>-33649.870000000003</v>
      </c>
      <c r="D500" s="190">
        <v>115093.65</v>
      </c>
      <c r="E500" s="190">
        <v>126242.29</v>
      </c>
      <c r="F500" s="190">
        <v>-44798.51</v>
      </c>
      <c r="G500"/>
      <c r="H500"/>
    </row>
    <row r="501" spans="1:8" ht="15" customHeight="1" x14ac:dyDescent="0.35">
      <c r="A501">
        <v>270205101</v>
      </c>
      <c r="B501" t="s">
        <v>442</v>
      </c>
      <c r="C501" s="190">
        <v>-2574.87</v>
      </c>
      <c r="D501" s="190">
        <v>16767.39</v>
      </c>
      <c r="E501" s="190">
        <v>36450.239999999998</v>
      </c>
      <c r="F501" s="190">
        <v>-22257.72</v>
      </c>
      <c r="G501"/>
      <c r="H501"/>
    </row>
    <row r="502" spans="1:8" ht="15" customHeight="1" x14ac:dyDescent="0.35">
      <c r="A502">
        <v>270205102</v>
      </c>
      <c r="B502" t="s">
        <v>443</v>
      </c>
      <c r="C502" s="190">
        <v>-31075</v>
      </c>
      <c r="D502" s="190">
        <v>98326.26</v>
      </c>
      <c r="E502" s="190">
        <v>89792.05</v>
      </c>
      <c r="F502" s="190">
        <v>-22540.79</v>
      </c>
      <c r="G502"/>
      <c r="H502"/>
    </row>
    <row r="503" spans="1:8" ht="15" customHeight="1" x14ac:dyDescent="0.35">
      <c r="A503">
        <v>2706</v>
      </c>
      <c r="B503" t="s">
        <v>21</v>
      </c>
      <c r="C503" s="190">
        <v>-167994.05</v>
      </c>
      <c r="D503" s="190">
        <v>21583736.84</v>
      </c>
      <c r="E503" s="190">
        <v>22169812.969999999</v>
      </c>
      <c r="F503" s="190">
        <v>-754070.18</v>
      </c>
      <c r="G503"/>
      <c r="H503"/>
    </row>
    <row r="504" spans="1:8" ht="15" customHeight="1" x14ac:dyDescent="0.35">
      <c r="A504">
        <v>270601</v>
      </c>
      <c r="B504" t="s">
        <v>444</v>
      </c>
      <c r="C504" s="190">
        <v>-167623.76999999999</v>
      </c>
      <c r="D504" s="190">
        <v>2391090.94</v>
      </c>
      <c r="E504" s="190">
        <v>2617020.79</v>
      </c>
      <c r="F504" s="190">
        <v>-393553.62</v>
      </c>
      <c r="G504"/>
      <c r="H504"/>
    </row>
    <row r="505" spans="1:8" ht="15" customHeight="1" x14ac:dyDescent="0.35">
      <c r="A505">
        <v>2706011</v>
      </c>
      <c r="B505" t="s">
        <v>197</v>
      </c>
      <c r="C505" s="190">
        <v>-167623.76999999999</v>
      </c>
      <c r="D505" s="190">
        <v>2391090.94</v>
      </c>
      <c r="E505" s="190">
        <v>2617020.79</v>
      </c>
      <c r="F505" s="190">
        <v>-393553.62</v>
      </c>
      <c r="G505"/>
      <c r="H505"/>
    </row>
    <row r="506" spans="1:8" ht="15" customHeight="1" x14ac:dyDescent="0.35">
      <c r="A506">
        <v>270601101</v>
      </c>
      <c r="B506" t="s">
        <v>445</v>
      </c>
      <c r="C506" s="190">
        <v>-167623.76999999999</v>
      </c>
      <c r="D506" s="190">
        <v>1139932</v>
      </c>
      <c r="E506" s="190">
        <v>1279177.23</v>
      </c>
      <c r="F506" s="190">
        <v>-306869</v>
      </c>
      <c r="G506"/>
      <c r="H506"/>
    </row>
    <row r="507" spans="1:8" ht="15" customHeight="1" x14ac:dyDescent="0.35">
      <c r="A507">
        <v>270601104</v>
      </c>
      <c r="B507" t="s">
        <v>446</v>
      </c>
      <c r="C507" s="190">
        <v>0</v>
      </c>
      <c r="D507" s="190">
        <v>735590.58</v>
      </c>
      <c r="E507" s="190">
        <v>818292.42</v>
      </c>
      <c r="F507" s="190">
        <v>-82701.84</v>
      </c>
      <c r="G507"/>
      <c r="H507"/>
    </row>
    <row r="508" spans="1:8" ht="15" customHeight="1" x14ac:dyDescent="0.35">
      <c r="A508">
        <v>270601105</v>
      </c>
      <c r="B508" t="s">
        <v>447</v>
      </c>
      <c r="C508" s="190">
        <v>0</v>
      </c>
      <c r="D508" s="190">
        <v>515568.36</v>
      </c>
      <c r="E508" s="190">
        <v>519551.14</v>
      </c>
      <c r="F508" s="190">
        <v>-3982.78</v>
      </c>
      <c r="G508"/>
      <c r="H508"/>
    </row>
    <row r="509" spans="1:8" ht="15" customHeight="1" x14ac:dyDescent="0.35">
      <c r="A509">
        <v>270609</v>
      </c>
      <c r="B509" t="s">
        <v>448</v>
      </c>
      <c r="C509" s="190">
        <v>-370.28</v>
      </c>
      <c r="D509" s="190">
        <v>19192645.899999999</v>
      </c>
      <c r="E509" s="190">
        <v>19552792.18</v>
      </c>
      <c r="F509" s="190">
        <v>-360516.56</v>
      </c>
      <c r="G509"/>
      <c r="H509"/>
    </row>
    <row r="510" spans="1:8" ht="15" customHeight="1" x14ac:dyDescent="0.35">
      <c r="A510">
        <v>2706091</v>
      </c>
      <c r="B510" t="s">
        <v>197</v>
      </c>
      <c r="C510" s="190">
        <v>-370.28</v>
      </c>
      <c r="D510" s="190">
        <v>19192645.899999999</v>
      </c>
      <c r="E510" s="190">
        <v>19552792.18</v>
      </c>
      <c r="F510" s="190">
        <v>-360516.56</v>
      </c>
      <c r="G510"/>
      <c r="H510"/>
    </row>
    <row r="511" spans="1:8" ht="15" customHeight="1" x14ac:dyDescent="0.35">
      <c r="A511">
        <v>270609102</v>
      </c>
      <c r="B511" t="s">
        <v>767</v>
      </c>
      <c r="C511" s="190">
        <v>0</v>
      </c>
      <c r="D511" s="190">
        <v>0</v>
      </c>
      <c r="E511" s="190">
        <v>2375</v>
      </c>
      <c r="F511" s="190">
        <v>-2375</v>
      </c>
      <c r="G511"/>
      <c r="H511"/>
    </row>
    <row r="512" spans="1:8" ht="15" customHeight="1" x14ac:dyDescent="0.35">
      <c r="A512">
        <v>270609103</v>
      </c>
      <c r="B512" t="s">
        <v>449</v>
      </c>
      <c r="C512" s="190">
        <v>0</v>
      </c>
      <c r="D512" s="190">
        <v>920.35</v>
      </c>
      <c r="E512" s="190">
        <v>2358.4</v>
      </c>
      <c r="F512" s="190">
        <v>-1438.05</v>
      </c>
      <c r="G512"/>
      <c r="H512"/>
    </row>
    <row r="513" spans="1:8" ht="15" customHeight="1" x14ac:dyDescent="0.35">
      <c r="A513">
        <v>270609104</v>
      </c>
      <c r="B513" t="s">
        <v>59</v>
      </c>
      <c r="C513" s="190">
        <v>0</v>
      </c>
      <c r="D513" s="190">
        <v>172000</v>
      </c>
      <c r="E513" s="190">
        <v>172000</v>
      </c>
      <c r="F513" s="190">
        <v>0</v>
      </c>
      <c r="G513"/>
      <c r="H513"/>
    </row>
    <row r="514" spans="1:8" s="188" customFormat="1" ht="15" customHeight="1" x14ac:dyDescent="0.35">
      <c r="A514">
        <v>270609107</v>
      </c>
      <c r="B514" t="s">
        <v>450</v>
      </c>
      <c r="C514" s="190">
        <v>-370.28</v>
      </c>
      <c r="D514" s="190">
        <v>6647805.9199999999</v>
      </c>
      <c r="E514" s="190">
        <v>6729805.0899999999</v>
      </c>
      <c r="F514" s="190">
        <v>-82369.45</v>
      </c>
      <c r="G514"/>
      <c r="H514"/>
    </row>
    <row r="515" spans="1:8" s="188" customFormat="1" ht="15" customHeight="1" x14ac:dyDescent="0.35">
      <c r="A515">
        <v>270609108</v>
      </c>
      <c r="B515" t="s">
        <v>451</v>
      </c>
      <c r="C515" s="190">
        <v>0</v>
      </c>
      <c r="D515" s="190">
        <v>12371919.630000001</v>
      </c>
      <c r="E515" s="190">
        <v>12444938.73</v>
      </c>
      <c r="F515" s="190">
        <v>-73019.100000000006</v>
      </c>
      <c r="G515"/>
      <c r="H515"/>
    </row>
    <row r="516" spans="1:8" ht="15" customHeight="1" x14ac:dyDescent="0.35">
      <c r="A516">
        <v>270609109</v>
      </c>
      <c r="B516" t="s">
        <v>624</v>
      </c>
      <c r="C516" s="190">
        <v>0</v>
      </c>
      <c r="D516" s="190">
        <v>0</v>
      </c>
      <c r="E516" s="190">
        <v>201314.96</v>
      </c>
      <c r="F516" s="190">
        <v>-201314.96</v>
      </c>
      <c r="G516"/>
      <c r="H516"/>
    </row>
    <row r="517" spans="1:8" ht="15" customHeight="1" x14ac:dyDescent="0.35">
      <c r="A517">
        <v>28</v>
      </c>
      <c r="B517" t="s">
        <v>59</v>
      </c>
      <c r="C517" s="190">
        <v>-203796.79</v>
      </c>
      <c r="D517" s="190">
        <v>919413.51</v>
      </c>
      <c r="E517" s="190">
        <v>817972.91</v>
      </c>
      <c r="F517" s="190">
        <v>-102356.19</v>
      </c>
      <c r="G517"/>
      <c r="H517"/>
    </row>
    <row r="518" spans="1:8" ht="15" customHeight="1" x14ac:dyDescent="0.35">
      <c r="A518">
        <v>2801</v>
      </c>
      <c r="B518" t="s">
        <v>60</v>
      </c>
      <c r="C518" s="190">
        <v>-203796.79</v>
      </c>
      <c r="D518" s="190">
        <v>919413.51</v>
      </c>
      <c r="E518" s="190">
        <v>817972.91</v>
      </c>
      <c r="F518" s="190">
        <v>-102356.19</v>
      </c>
      <c r="G518"/>
      <c r="H518"/>
    </row>
    <row r="519" spans="1:8" ht="15" customHeight="1" x14ac:dyDescent="0.35">
      <c r="A519">
        <v>280101</v>
      </c>
      <c r="B519" t="s">
        <v>60</v>
      </c>
      <c r="C519" s="190">
        <v>-203796.79</v>
      </c>
      <c r="D519" s="190">
        <v>919413.51</v>
      </c>
      <c r="E519" s="190">
        <v>817972.91</v>
      </c>
      <c r="F519" s="190">
        <v>-102356.19</v>
      </c>
      <c r="G519"/>
      <c r="H519"/>
    </row>
    <row r="520" spans="1:8" ht="15" customHeight="1" x14ac:dyDescent="0.35">
      <c r="A520">
        <v>2801010</v>
      </c>
      <c r="B520" t="s">
        <v>60</v>
      </c>
      <c r="C520" s="190">
        <v>-203796.79</v>
      </c>
      <c r="D520" s="190">
        <v>919413.51</v>
      </c>
      <c r="E520" s="190">
        <v>817972.91</v>
      </c>
      <c r="F520" s="190">
        <v>-102356.19</v>
      </c>
      <c r="G520"/>
      <c r="H520"/>
    </row>
    <row r="521" spans="1:8" ht="15" customHeight="1" x14ac:dyDescent="0.35">
      <c r="A521">
        <v>280101001</v>
      </c>
      <c r="B521" t="s">
        <v>60</v>
      </c>
      <c r="C521" s="190">
        <v>-203796.79</v>
      </c>
      <c r="D521" s="190">
        <v>919413.51</v>
      </c>
      <c r="E521" s="190">
        <v>817972.91</v>
      </c>
      <c r="F521" s="190">
        <v>-102356.19</v>
      </c>
      <c r="G521"/>
      <c r="H521"/>
    </row>
    <row r="522" spans="1:8" ht="15" customHeight="1" x14ac:dyDescent="0.35">
      <c r="A522">
        <v>29</v>
      </c>
      <c r="B522" t="s">
        <v>22</v>
      </c>
      <c r="C522" s="190">
        <v>0</v>
      </c>
      <c r="D522" s="190">
        <v>0</v>
      </c>
      <c r="E522" s="190">
        <v>3073.59</v>
      </c>
      <c r="F522" s="190">
        <v>-3073.59</v>
      </c>
      <c r="G522"/>
      <c r="H522"/>
    </row>
    <row r="523" spans="1:8" ht="15" customHeight="1" x14ac:dyDescent="0.35">
      <c r="A523">
        <v>2904</v>
      </c>
      <c r="B523" t="s">
        <v>601</v>
      </c>
      <c r="C523" s="190">
        <v>0</v>
      </c>
      <c r="D523" s="190">
        <v>0</v>
      </c>
      <c r="E523" s="190">
        <v>3073.59</v>
      </c>
      <c r="F523" s="190">
        <v>-3073.59</v>
      </c>
      <c r="G523"/>
      <c r="H523"/>
    </row>
    <row r="524" spans="1:8" ht="15" customHeight="1" x14ac:dyDescent="0.35">
      <c r="A524">
        <v>290401</v>
      </c>
      <c r="B524" t="s">
        <v>601</v>
      </c>
      <c r="C524" s="190">
        <v>0</v>
      </c>
      <c r="D524" s="190">
        <v>0</v>
      </c>
      <c r="E524" s="190">
        <v>3073.59</v>
      </c>
      <c r="F524" s="190">
        <v>-3073.59</v>
      </c>
      <c r="G524"/>
      <c r="H524"/>
    </row>
    <row r="525" spans="1:8" ht="15" customHeight="1" x14ac:dyDescent="0.35">
      <c r="A525">
        <v>2904011</v>
      </c>
      <c r="B525" t="s">
        <v>197</v>
      </c>
      <c r="C525" s="190">
        <v>0</v>
      </c>
      <c r="D525" s="190">
        <v>0</v>
      </c>
      <c r="E525" s="190">
        <v>3073.59</v>
      </c>
      <c r="F525" s="190">
        <v>-3073.59</v>
      </c>
      <c r="G525"/>
      <c r="H525"/>
    </row>
    <row r="526" spans="1:8" ht="15" customHeight="1" x14ac:dyDescent="0.35">
      <c r="A526">
        <v>290401101</v>
      </c>
      <c r="B526" t="s">
        <v>601</v>
      </c>
      <c r="C526" s="190">
        <v>0</v>
      </c>
      <c r="D526" s="190">
        <v>0</v>
      </c>
      <c r="E526" s="190">
        <v>3073.59</v>
      </c>
      <c r="F526" s="190">
        <v>-3073.59</v>
      </c>
      <c r="G526"/>
      <c r="H526"/>
    </row>
    <row r="527" spans="1:8" ht="15" customHeight="1" x14ac:dyDescent="0.35">
      <c r="A527">
        <v>3</v>
      </c>
      <c r="B527" t="s">
        <v>23</v>
      </c>
      <c r="C527" s="190">
        <v>-11703898.970000001</v>
      </c>
      <c r="D527" s="190">
        <v>2174550.61</v>
      </c>
      <c r="E527" s="190">
        <v>2174550.61</v>
      </c>
      <c r="F527" s="190">
        <v>-11703898.970000001</v>
      </c>
      <c r="G527"/>
      <c r="H527"/>
    </row>
    <row r="528" spans="1:8" ht="15" customHeight="1" x14ac:dyDescent="0.35">
      <c r="A528">
        <v>31</v>
      </c>
      <c r="B528" t="s">
        <v>24</v>
      </c>
      <c r="C528" s="190">
        <v>-11015000</v>
      </c>
      <c r="D528" s="190">
        <v>0</v>
      </c>
      <c r="E528" s="190">
        <v>0</v>
      </c>
      <c r="F528" s="190">
        <v>-11015000</v>
      </c>
      <c r="G528"/>
      <c r="H528"/>
    </row>
    <row r="529" spans="1:8" ht="15" customHeight="1" x14ac:dyDescent="0.35">
      <c r="A529">
        <v>3101</v>
      </c>
      <c r="B529" t="s">
        <v>202</v>
      </c>
      <c r="C529" s="190">
        <v>-11015000</v>
      </c>
      <c r="D529" s="190">
        <v>0</v>
      </c>
      <c r="E529" s="190">
        <v>0</v>
      </c>
      <c r="F529" s="190">
        <v>-11015000</v>
      </c>
      <c r="G529"/>
      <c r="H529"/>
    </row>
    <row r="530" spans="1:8" ht="15" customHeight="1" x14ac:dyDescent="0.35">
      <c r="A530">
        <v>310101</v>
      </c>
      <c r="B530" t="s">
        <v>452</v>
      </c>
      <c r="C530" s="190">
        <v>-11015000</v>
      </c>
      <c r="D530" s="190">
        <v>0</v>
      </c>
      <c r="E530" s="190">
        <v>0</v>
      </c>
      <c r="F530" s="190">
        <v>-11015000</v>
      </c>
      <c r="G530"/>
      <c r="H530"/>
    </row>
    <row r="531" spans="1:8" ht="15" customHeight="1" x14ac:dyDescent="0.35">
      <c r="A531">
        <v>3101010</v>
      </c>
      <c r="B531" t="s">
        <v>452</v>
      </c>
      <c r="C531" s="190">
        <v>-11015000</v>
      </c>
      <c r="D531" s="190">
        <v>0</v>
      </c>
      <c r="E531" s="190">
        <v>0</v>
      </c>
      <c r="F531" s="190">
        <v>-11015000</v>
      </c>
      <c r="G531"/>
      <c r="H531"/>
    </row>
    <row r="532" spans="1:8" ht="15" customHeight="1" x14ac:dyDescent="0.35">
      <c r="A532">
        <v>310101001</v>
      </c>
      <c r="B532" t="s">
        <v>453</v>
      </c>
      <c r="C532" s="190">
        <v>-11014999</v>
      </c>
      <c r="D532" s="190">
        <v>0</v>
      </c>
      <c r="E532" s="190">
        <v>0</v>
      </c>
      <c r="F532" s="190">
        <v>-11014999</v>
      </c>
      <c r="G532"/>
      <c r="H532"/>
    </row>
    <row r="533" spans="1:8" ht="15" customHeight="1" x14ac:dyDescent="0.35">
      <c r="A533">
        <v>310101002</v>
      </c>
      <c r="B533" t="s">
        <v>454</v>
      </c>
      <c r="C533" s="190">
        <v>-1</v>
      </c>
      <c r="D533" s="190">
        <v>0</v>
      </c>
      <c r="E533" s="190">
        <v>0</v>
      </c>
      <c r="F533" s="190">
        <v>-1</v>
      </c>
      <c r="G533"/>
      <c r="H533"/>
    </row>
    <row r="534" spans="1:8" ht="15" customHeight="1" x14ac:dyDescent="0.35">
      <c r="A534">
        <v>35</v>
      </c>
      <c r="B534" t="s">
        <v>25</v>
      </c>
      <c r="C534" s="190">
        <v>-740572.54</v>
      </c>
      <c r="D534" s="190">
        <v>0</v>
      </c>
      <c r="E534" s="190">
        <v>0</v>
      </c>
      <c r="F534" s="190">
        <v>-740572.54</v>
      </c>
      <c r="G534"/>
      <c r="H534"/>
    </row>
    <row r="535" spans="1:8" ht="15" customHeight="1" x14ac:dyDescent="0.35">
      <c r="A535">
        <v>3501</v>
      </c>
      <c r="B535" t="s">
        <v>26</v>
      </c>
      <c r="C535" s="190">
        <v>-740572.54</v>
      </c>
      <c r="D535" s="190">
        <v>0</v>
      </c>
      <c r="E535" s="190">
        <v>0</v>
      </c>
      <c r="F535" s="190">
        <v>-740572.54</v>
      </c>
      <c r="G535"/>
      <c r="H535"/>
    </row>
    <row r="536" spans="1:8" ht="15" customHeight="1" x14ac:dyDescent="0.35">
      <c r="A536">
        <v>350101</v>
      </c>
      <c r="B536" t="s">
        <v>455</v>
      </c>
      <c r="C536" s="190">
        <v>-740572.54</v>
      </c>
      <c r="D536" s="190">
        <v>0</v>
      </c>
      <c r="E536" s="190">
        <v>0</v>
      </c>
      <c r="F536" s="190">
        <v>-740572.54</v>
      </c>
      <c r="G536"/>
      <c r="H536"/>
    </row>
    <row r="537" spans="1:8" ht="15" customHeight="1" x14ac:dyDescent="0.35">
      <c r="A537">
        <v>3501010</v>
      </c>
      <c r="B537" t="s">
        <v>455</v>
      </c>
      <c r="C537" s="190">
        <v>-740572.54</v>
      </c>
      <c r="D537" s="190">
        <v>0</v>
      </c>
      <c r="E537" s="190">
        <v>0</v>
      </c>
      <c r="F537" s="190">
        <v>-740572.54</v>
      </c>
      <c r="G537"/>
      <c r="H537"/>
    </row>
    <row r="538" spans="1:8" ht="15" customHeight="1" x14ac:dyDescent="0.35">
      <c r="A538">
        <v>350101001</v>
      </c>
      <c r="B538" t="s">
        <v>455</v>
      </c>
      <c r="C538" s="190">
        <v>-740572.54</v>
      </c>
      <c r="D538" s="190">
        <v>0</v>
      </c>
      <c r="E538" s="190">
        <v>0</v>
      </c>
      <c r="F538" s="190">
        <v>-740572.54</v>
      </c>
      <c r="G538"/>
      <c r="H538"/>
    </row>
    <row r="539" spans="1:8" ht="15" customHeight="1" x14ac:dyDescent="0.35">
      <c r="A539">
        <v>36</v>
      </c>
      <c r="B539" t="s">
        <v>27</v>
      </c>
      <c r="C539" s="190">
        <v>-184527</v>
      </c>
      <c r="D539" s="190">
        <v>0</v>
      </c>
      <c r="E539" s="190">
        <v>0</v>
      </c>
      <c r="F539" s="190">
        <v>-184527</v>
      </c>
      <c r="G539"/>
      <c r="H539"/>
    </row>
    <row r="540" spans="1:8" ht="15" customHeight="1" x14ac:dyDescent="0.35">
      <c r="A540">
        <v>3602</v>
      </c>
      <c r="B540" t="s">
        <v>28</v>
      </c>
      <c r="C540" s="190">
        <v>-184527</v>
      </c>
      <c r="D540" s="190">
        <v>0</v>
      </c>
      <c r="E540" s="190">
        <v>0</v>
      </c>
      <c r="F540" s="190">
        <v>-184527</v>
      </c>
      <c r="G540"/>
      <c r="H540"/>
    </row>
    <row r="541" spans="1:8" ht="15" customHeight="1" x14ac:dyDescent="0.35">
      <c r="A541">
        <v>360201</v>
      </c>
      <c r="B541" t="s">
        <v>28</v>
      </c>
      <c r="C541" s="190">
        <v>-184527</v>
      </c>
      <c r="D541" s="190">
        <v>0</v>
      </c>
      <c r="E541" s="190">
        <v>0</v>
      </c>
      <c r="F541" s="190">
        <v>-184527</v>
      </c>
      <c r="G541"/>
      <c r="H541"/>
    </row>
    <row r="542" spans="1:8" ht="15" customHeight="1" x14ac:dyDescent="0.35">
      <c r="A542">
        <v>3602010</v>
      </c>
      <c r="B542" t="s">
        <v>28</v>
      </c>
      <c r="C542" s="190">
        <v>-184527</v>
      </c>
      <c r="D542" s="190">
        <v>0</v>
      </c>
      <c r="E542" s="190">
        <v>0</v>
      </c>
      <c r="F542" s="190">
        <v>-184527</v>
      </c>
      <c r="G542"/>
      <c r="H542"/>
    </row>
    <row r="543" spans="1:8" ht="15" customHeight="1" x14ac:dyDescent="0.35">
      <c r="A543">
        <v>360201001</v>
      </c>
      <c r="B543" t="s">
        <v>456</v>
      </c>
      <c r="C543" s="190">
        <v>-184527</v>
      </c>
      <c r="D543" s="190">
        <v>0</v>
      </c>
      <c r="E543" s="190">
        <v>0</v>
      </c>
      <c r="F543" s="190">
        <v>-184527</v>
      </c>
      <c r="G543"/>
      <c r="H543"/>
    </row>
    <row r="544" spans="1:8" ht="15" customHeight="1" x14ac:dyDescent="0.35">
      <c r="A544">
        <v>38</v>
      </c>
      <c r="B544" t="s">
        <v>29</v>
      </c>
      <c r="C544" s="190">
        <v>236200.57</v>
      </c>
      <c r="D544" s="190">
        <v>2174550.61</v>
      </c>
      <c r="E544" s="190">
        <v>2174550.61</v>
      </c>
      <c r="F544" s="190">
        <v>236200.57</v>
      </c>
      <c r="G544"/>
      <c r="H544"/>
    </row>
    <row r="545" spans="1:8" ht="15" customHeight="1" x14ac:dyDescent="0.35">
      <c r="A545">
        <v>3801</v>
      </c>
      <c r="B545" t="s">
        <v>63</v>
      </c>
      <c r="C545" s="190">
        <v>2174550.61</v>
      </c>
      <c r="D545" s="190">
        <v>0</v>
      </c>
      <c r="E545" s="190">
        <v>2174550.61</v>
      </c>
      <c r="F545" s="190">
        <v>0</v>
      </c>
      <c r="G545"/>
      <c r="H545"/>
    </row>
    <row r="546" spans="1:8" ht="15" customHeight="1" x14ac:dyDescent="0.35">
      <c r="A546">
        <v>380102</v>
      </c>
      <c r="B546" t="s">
        <v>457</v>
      </c>
      <c r="C546" s="190">
        <v>2174550.61</v>
      </c>
      <c r="D546" s="190">
        <v>0</v>
      </c>
      <c r="E546" s="190">
        <v>2174550.61</v>
      </c>
      <c r="F546" s="190">
        <v>0</v>
      </c>
      <c r="G546"/>
      <c r="H546"/>
    </row>
    <row r="547" spans="1:8" ht="15" customHeight="1" x14ac:dyDescent="0.35">
      <c r="A547">
        <v>3802</v>
      </c>
      <c r="B547" t="s">
        <v>30</v>
      </c>
      <c r="C547" s="190">
        <v>-1938350.04</v>
      </c>
      <c r="D547" s="190">
        <v>2174550.61</v>
      </c>
      <c r="E547" s="190">
        <v>0</v>
      </c>
      <c r="F547" s="190">
        <v>236200.57</v>
      </c>
      <c r="G547"/>
      <c r="H547"/>
    </row>
    <row r="548" spans="1:8" ht="15" customHeight="1" x14ac:dyDescent="0.35">
      <c r="A548">
        <v>380201</v>
      </c>
      <c r="B548" t="s">
        <v>458</v>
      </c>
      <c r="C548" s="190">
        <v>-2114332.39</v>
      </c>
      <c r="D548" s="190">
        <v>0</v>
      </c>
      <c r="E548" s="190">
        <v>0</v>
      </c>
      <c r="F548" s="190">
        <v>-2114332.39</v>
      </c>
      <c r="G548"/>
      <c r="H548"/>
    </row>
    <row r="549" spans="1:8" ht="15" customHeight="1" x14ac:dyDescent="0.35">
      <c r="A549">
        <v>3802010</v>
      </c>
      <c r="B549" t="s">
        <v>458</v>
      </c>
      <c r="C549" s="190">
        <v>-2114332.39</v>
      </c>
      <c r="D549" s="190">
        <v>0</v>
      </c>
      <c r="E549" s="190">
        <v>0</v>
      </c>
      <c r="F549" s="190">
        <v>-2114332.39</v>
      </c>
      <c r="G549"/>
      <c r="H549"/>
    </row>
    <row r="550" spans="1:8" ht="15" customHeight="1" x14ac:dyDescent="0.35">
      <c r="A550">
        <v>380201001</v>
      </c>
      <c r="B550" t="s">
        <v>458</v>
      </c>
      <c r="C550" s="190">
        <v>-2114332.39</v>
      </c>
      <c r="D550" s="190">
        <v>0</v>
      </c>
      <c r="E550" s="190">
        <v>0</v>
      </c>
      <c r="F550" s="190">
        <v>-2114332.39</v>
      </c>
      <c r="G550"/>
      <c r="H550"/>
    </row>
    <row r="551" spans="1:8" ht="15" customHeight="1" x14ac:dyDescent="0.35">
      <c r="A551">
        <v>380202</v>
      </c>
      <c r="B551" t="s">
        <v>457</v>
      </c>
      <c r="C551" s="190">
        <v>175982.35</v>
      </c>
      <c r="D551" s="190">
        <v>2174550.61</v>
      </c>
      <c r="E551" s="190">
        <v>0</v>
      </c>
      <c r="F551" s="190">
        <v>2350532.96</v>
      </c>
      <c r="G551"/>
      <c r="H551"/>
    </row>
    <row r="552" spans="1:8" ht="15" customHeight="1" x14ac:dyDescent="0.35">
      <c r="A552">
        <v>3802020</v>
      </c>
      <c r="B552" t="s">
        <v>457</v>
      </c>
      <c r="C552" s="190">
        <v>175982.35</v>
      </c>
      <c r="D552" s="190">
        <v>2174550.61</v>
      </c>
      <c r="E552" s="190">
        <v>0</v>
      </c>
      <c r="F552" s="190">
        <v>2350532.96</v>
      </c>
      <c r="G552"/>
      <c r="H552"/>
    </row>
    <row r="553" spans="1:8" ht="15" customHeight="1" x14ac:dyDescent="0.35">
      <c r="A553">
        <v>380202001</v>
      </c>
      <c r="B553" t="s">
        <v>459</v>
      </c>
      <c r="C553" s="190">
        <v>175982.35</v>
      </c>
      <c r="D553" s="190">
        <v>2174550.61</v>
      </c>
      <c r="E553" s="190">
        <v>0</v>
      </c>
      <c r="F553" s="190">
        <v>2350532.96</v>
      </c>
      <c r="G553"/>
      <c r="H553"/>
    </row>
    <row r="554" spans="1:8" ht="15" customHeight="1" x14ac:dyDescent="0.35">
      <c r="A554">
        <v>4</v>
      </c>
      <c r="B554" t="s">
        <v>9</v>
      </c>
      <c r="C554" s="190">
        <v>0</v>
      </c>
      <c r="D554" s="190">
        <v>40160804.210000001</v>
      </c>
      <c r="E554" s="190">
        <v>22302658.949999999</v>
      </c>
      <c r="F554" s="190">
        <v>17858145.260000002</v>
      </c>
      <c r="G554"/>
      <c r="H554"/>
    </row>
    <row r="555" spans="1:8" ht="15" customHeight="1" x14ac:dyDescent="0.35">
      <c r="A555">
        <v>41</v>
      </c>
      <c r="B555" t="s">
        <v>64</v>
      </c>
      <c r="C555" s="190">
        <v>0</v>
      </c>
      <c r="D555" s="190">
        <v>7749404.1799999997</v>
      </c>
      <c r="E555" s="190">
        <v>415439.39</v>
      </c>
      <c r="F555" s="190">
        <v>7333964.79</v>
      </c>
      <c r="G555"/>
      <c r="H555"/>
    </row>
    <row r="556" spans="1:8" ht="15" customHeight="1" x14ac:dyDescent="0.35">
      <c r="A556">
        <v>4101</v>
      </c>
      <c r="B556" t="s">
        <v>191</v>
      </c>
      <c r="C556" s="190">
        <v>0</v>
      </c>
      <c r="D556" s="190">
        <v>1223761.72</v>
      </c>
      <c r="E556" s="190">
        <v>19899.98</v>
      </c>
      <c r="F556" s="190">
        <v>1203861.74</v>
      </c>
      <c r="G556"/>
      <c r="H556"/>
    </row>
    <row r="557" spans="1:8" ht="15" customHeight="1" x14ac:dyDescent="0.35">
      <c r="A557">
        <v>410101</v>
      </c>
      <c r="B557" t="s">
        <v>461</v>
      </c>
      <c r="C557" s="190">
        <v>0</v>
      </c>
      <c r="D557" s="190">
        <v>3500</v>
      </c>
      <c r="E557" s="190">
        <v>3500</v>
      </c>
      <c r="F557" s="190">
        <v>0</v>
      </c>
      <c r="G557"/>
      <c r="H557"/>
    </row>
    <row r="558" spans="1:8" ht="15" customHeight="1" x14ac:dyDescent="0.35">
      <c r="A558">
        <v>4101010</v>
      </c>
      <c r="B558" t="s">
        <v>461</v>
      </c>
      <c r="C558" s="190">
        <v>0</v>
      </c>
      <c r="D558" s="190">
        <v>3500</v>
      </c>
      <c r="E558" s="190">
        <v>3500</v>
      </c>
      <c r="F558" s="190">
        <v>0</v>
      </c>
      <c r="G558"/>
      <c r="H558"/>
    </row>
    <row r="559" spans="1:8" ht="15" customHeight="1" x14ac:dyDescent="0.35">
      <c r="A559">
        <v>410101001</v>
      </c>
      <c r="B559" t="s">
        <v>321</v>
      </c>
      <c r="C559" s="190">
        <v>0</v>
      </c>
      <c r="D559" s="190">
        <v>3500</v>
      </c>
      <c r="E559" s="190">
        <v>3500</v>
      </c>
      <c r="F559" s="190">
        <v>0</v>
      </c>
      <c r="G559"/>
      <c r="H559"/>
    </row>
    <row r="560" spans="1:8" ht="15" customHeight="1" x14ac:dyDescent="0.35">
      <c r="A560">
        <v>41010100101</v>
      </c>
      <c r="B560" t="s">
        <v>322</v>
      </c>
      <c r="C560" s="190">
        <v>0</v>
      </c>
      <c r="D560" s="190">
        <v>3500</v>
      </c>
      <c r="E560" s="190">
        <v>3500</v>
      </c>
      <c r="F560" s="190">
        <v>0</v>
      </c>
      <c r="G560"/>
      <c r="H560"/>
    </row>
    <row r="561" spans="1:8" ht="15" customHeight="1" x14ac:dyDescent="0.35">
      <c r="A561">
        <v>410103</v>
      </c>
      <c r="B561" t="s">
        <v>325</v>
      </c>
      <c r="C561" s="190">
        <v>0</v>
      </c>
      <c r="D561" s="190">
        <v>1220261.72</v>
      </c>
      <c r="E561" s="190">
        <v>16399.98</v>
      </c>
      <c r="F561" s="190">
        <v>1203861.74</v>
      </c>
      <c r="G561"/>
      <c r="H561"/>
    </row>
    <row r="562" spans="1:8" ht="15" customHeight="1" x14ac:dyDescent="0.35">
      <c r="A562">
        <v>4101030</v>
      </c>
      <c r="B562" t="s">
        <v>325</v>
      </c>
      <c r="C562" s="190">
        <v>0</v>
      </c>
      <c r="D562" s="190">
        <v>1220261.72</v>
      </c>
      <c r="E562" s="190">
        <v>16399.98</v>
      </c>
      <c r="F562" s="190">
        <v>1203861.74</v>
      </c>
      <c r="G562"/>
      <c r="H562"/>
    </row>
    <row r="563" spans="1:8" ht="15" customHeight="1" x14ac:dyDescent="0.35">
      <c r="A563">
        <v>410103001</v>
      </c>
      <c r="B563" t="s">
        <v>321</v>
      </c>
      <c r="C563" s="190">
        <v>0</v>
      </c>
      <c r="D563" s="190">
        <v>1214396.72</v>
      </c>
      <c r="E563" s="190">
        <v>13494.98</v>
      </c>
      <c r="F563" s="190">
        <v>1200901.74</v>
      </c>
      <c r="G563"/>
      <c r="H563"/>
    </row>
    <row r="564" spans="1:8" ht="15" customHeight="1" x14ac:dyDescent="0.35">
      <c r="A564">
        <v>41010300101</v>
      </c>
      <c r="B564" t="s">
        <v>460</v>
      </c>
      <c r="C564" s="190">
        <v>0</v>
      </c>
      <c r="D564" s="190">
        <v>201095.59</v>
      </c>
      <c r="E564" s="190">
        <v>4781.45</v>
      </c>
      <c r="F564" s="190">
        <v>196314.14</v>
      </c>
      <c r="G564"/>
      <c r="H564"/>
    </row>
    <row r="565" spans="1:8" ht="15" customHeight="1" x14ac:dyDescent="0.35">
      <c r="A565">
        <v>41010300102</v>
      </c>
      <c r="B565" t="s">
        <v>328</v>
      </c>
      <c r="C565" s="190">
        <v>0</v>
      </c>
      <c r="D565" s="190">
        <v>1013301.13</v>
      </c>
      <c r="E565" s="190">
        <v>8713.5300000000007</v>
      </c>
      <c r="F565" s="190">
        <v>1004587.6</v>
      </c>
      <c r="G565"/>
      <c r="H565"/>
    </row>
    <row r="566" spans="1:8" ht="15" customHeight="1" x14ac:dyDescent="0.35">
      <c r="A566">
        <v>410103002</v>
      </c>
      <c r="B566" t="s">
        <v>402</v>
      </c>
      <c r="C566" s="190">
        <v>0</v>
      </c>
      <c r="D566" s="190">
        <v>5865</v>
      </c>
      <c r="E566" s="190">
        <v>2905</v>
      </c>
      <c r="F566" s="190">
        <v>2960</v>
      </c>
      <c r="G566"/>
      <c r="H566"/>
    </row>
    <row r="567" spans="1:8" ht="15" customHeight="1" x14ac:dyDescent="0.35">
      <c r="A567">
        <v>41010300201</v>
      </c>
      <c r="B567" t="s">
        <v>625</v>
      </c>
      <c r="C567" s="190">
        <v>0</v>
      </c>
      <c r="D567" s="190">
        <v>5865</v>
      </c>
      <c r="E567" s="190">
        <v>2905</v>
      </c>
      <c r="F567" s="190">
        <v>2960</v>
      </c>
      <c r="G567"/>
      <c r="H567"/>
    </row>
    <row r="568" spans="1:8" ht="15" customHeight="1" x14ac:dyDescent="0.35">
      <c r="A568">
        <v>4102</v>
      </c>
      <c r="B568" t="s">
        <v>391</v>
      </c>
      <c r="C568" s="190">
        <v>0</v>
      </c>
      <c r="D568" s="190">
        <v>3782336</v>
      </c>
      <c r="E568" s="190">
        <v>0</v>
      </c>
      <c r="F568" s="190">
        <v>3782336</v>
      </c>
      <c r="G568"/>
      <c r="H568"/>
    </row>
    <row r="569" spans="1:8" ht="15" customHeight="1" x14ac:dyDescent="0.35">
      <c r="A569">
        <v>410201</v>
      </c>
      <c r="B569" t="s">
        <v>330</v>
      </c>
      <c r="C569" s="190">
        <v>0</v>
      </c>
      <c r="D569" s="190">
        <v>3782336</v>
      </c>
      <c r="E569" s="190">
        <v>0</v>
      </c>
      <c r="F569" s="190">
        <v>3782336</v>
      </c>
      <c r="G569"/>
      <c r="H569"/>
    </row>
    <row r="570" spans="1:8" ht="15" customHeight="1" x14ac:dyDescent="0.35">
      <c r="A570">
        <v>4102010</v>
      </c>
      <c r="B570" t="s">
        <v>330</v>
      </c>
      <c r="C570" s="190">
        <v>0</v>
      </c>
      <c r="D570" s="190">
        <v>3782336</v>
      </c>
      <c r="E570" s="190">
        <v>0</v>
      </c>
      <c r="F570" s="190">
        <v>3782336</v>
      </c>
      <c r="G570"/>
      <c r="H570"/>
    </row>
    <row r="571" spans="1:8" ht="15" customHeight="1" x14ac:dyDescent="0.35">
      <c r="A571">
        <v>410201002</v>
      </c>
      <c r="B571" t="s">
        <v>626</v>
      </c>
      <c r="C571" s="190">
        <v>0</v>
      </c>
      <c r="D571" s="190">
        <v>3782336</v>
      </c>
      <c r="E571" s="190">
        <v>0</v>
      </c>
      <c r="F571" s="190">
        <v>3782336</v>
      </c>
      <c r="G571"/>
      <c r="H571"/>
    </row>
    <row r="572" spans="1:8" ht="15" customHeight="1" x14ac:dyDescent="0.35">
      <c r="A572">
        <v>4103</v>
      </c>
      <c r="B572" t="s">
        <v>394</v>
      </c>
      <c r="C572" s="190">
        <v>0</v>
      </c>
      <c r="D572" s="190">
        <v>2743306.46</v>
      </c>
      <c r="E572" s="190">
        <v>395539.41</v>
      </c>
      <c r="F572" s="190">
        <v>2347767.0499999998</v>
      </c>
      <c r="G572"/>
      <c r="H572"/>
    </row>
    <row r="573" spans="1:8" ht="15" customHeight="1" x14ac:dyDescent="0.35">
      <c r="A573">
        <v>410301</v>
      </c>
      <c r="B573" t="s">
        <v>332</v>
      </c>
      <c r="C573" s="190">
        <v>0</v>
      </c>
      <c r="D573" s="190">
        <v>2681632.02</v>
      </c>
      <c r="E573" s="190">
        <v>388819.27</v>
      </c>
      <c r="F573" s="190">
        <v>2292812.75</v>
      </c>
      <c r="G573"/>
      <c r="H573"/>
    </row>
    <row r="574" spans="1:8" ht="15" customHeight="1" x14ac:dyDescent="0.35">
      <c r="A574">
        <v>4103010</v>
      </c>
      <c r="B574" t="s">
        <v>332</v>
      </c>
      <c r="C574" s="190">
        <v>0</v>
      </c>
      <c r="D574" s="190">
        <v>2681632.02</v>
      </c>
      <c r="E574" s="190">
        <v>388819.27</v>
      </c>
      <c r="F574" s="190">
        <v>2292812.75</v>
      </c>
      <c r="G574"/>
      <c r="H574"/>
    </row>
    <row r="575" spans="1:8" ht="15" customHeight="1" x14ac:dyDescent="0.35">
      <c r="A575">
        <v>410301001</v>
      </c>
      <c r="B575" t="s">
        <v>321</v>
      </c>
      <c r="C575" s="190">
        <v>0</v>
      </c>
      <c r="D575" s="190">
        <v>2517309.25</v>
      </c>
      <c r="E575" s="190">
        <v>318767.34999999998</v>
      </c>
      <c r="F575" s="190">
        <v>2198541.9</v>
      </c>
      <c r="G575"/>
      <c r="H575"/>
    </row>
    <row r="576" spans="1:8" ht="15" customHeight="1" x14ac:dyDescent="0.35">
      <c r="A576">
        <v>41030100101</v>
      </c>
      <c r="B576" t="s">
        <v>406</v>
      </c>
      <c r="C576" s="190">
        <v>0</v>
      </c>
      <c r="D576" s="190">
        <v>829305.68</v>
      </c>
      <c r="E576" s="190">
        <v>266679.3</v>
      </c>
      <c r="F576" s="190">
        <v>562626.38</v>
      </c>
      <c r="G576"/>
      <c r="H576"/>
    </row>
    <row r="577" spans="1:8" ht="15" customHeight="1" x14ac:dyDescent="0.35">
      <c r="A577">
        <v>41030100102</v>
      </c>
      <c r="B577" t="s">
        <v>335</v>
      </c>
      <c r="C577" s="190">
        <v>0</v>
      </c>
      <c r="D577" s="190">
        <v>1688003.57</v>
      </c>
      <c r="E577" s="190">
        <v>52088.05</v>
      </c>
      <c r="F577" s="190">
        <v>1635915.52</v>
      </c>
      <c r="G577"/>
      <c r="H577"/>
    </row>
    <row r="578" spans="1:8" ht="15" customHeight="1" x14ac:dyDescent="0.35">
      <c r="A578">
        <v>410301002</v>
      </c>
      <c r="B578" t="s">
        <v>402</v>
      </c>
      <c r="C578" s="190">
        <v>0</v>
      </c>
      <c r="D578" s="190">
        <v>164322.76999999999</v>
      </c>
      <c r="E578" s="190">
        <v>70051.92</v>
      </c>
      <c r="F578" s="190">
        <v>94270.85</v>
      </c>
      <c r="G578"/>
      <c r="H578"/>
    </row>
    <row r="579" spans="1:8" ht="15" customHeight="1" x14ac:dyDescent="0.35">
      <c r="A579">
        <v>41030100202</v>
      </c>
      <c r="B579" t="s">
        <v>627</v>
      </c>
      <c r="C579" s="190">
        <v>0</v>
      </c>
      <c r="D579" s="190">
        <v>164322.76999999999</v>
      </c>
      <c r="E579" s="190">
        <v>70051.92</v>
      </c>
      <c r="F579" s="190">
        <v>94270.85</v>
      </c>
      <c r="G579"/>
      <c r="H579"/>
    </row>
    <row r="580" spans="1:8" ht="15" customHeight="1" x14ac:dyDescent="0.35">
      <c r="A580">
        <v>410302</v>
      </c>
      <c r="B580" t="s">
        <v>336</v>
      </c>
      <c r="C580" s="190">
        <v>0</v>
      </c>
      <c r="D580" s="190">
        <v>61674.44</v>
      </c>
      <c r="E580" s="190">
        <v>6720.14</v>
      </c>
      <c r="F580" s="190">
        <v>54954.3</v>
      </c>
      <c r="G580"/>
      <c r="H580"/>
    </row>
    <row r="581" spans="1:8" ht="15" customHeight="1" x14ac:dyDescent="0.35">
      <c r="A581">
        <v>4103020</v>
      </c>
      <c r="B581" t="s">
        <v>336</v>
      </c>
      <c r="C581" s="190">
        <v>0</v>
      </c>
      <c r="D581" s="190">
        <v>61674.44</v>
      </c>
      <c r="E581" s="190">
        <v>6720.14</v>
      </c>
      <c r="F581" s="190">
        <v>54954.3</v>
      </c>
      <c r="G581"/>
      <c r="H581"/>
    </row>
    <row r="582" spans="1:8" ht="15" customHeight="1" x14ac:dyDescent="0.35">
      <c r="A582">
        <v>410302001</v>
      </c>
      <c r="B582" t="s">
        <v>321</v>
      </c>
      <c r="C582" s="190">
        <v>0</v>
      </c>
      <c r="D582" s="190">
        <v>61674.44</v>
      </c>
      <c r="E582" s="190">
        <v>6720.14</v>
      </c>
      <c r="F582" s="190">
        <v>54954.3</v>
      </c>
      <c r="G582"/>
      <c r="H582"/>
    </row>
    <row r="583" spans="1:8" ht="15" customHeight="1" x14ac:dyDescent="0.35">
      <c r="A583">
        <v>41030200102</v>
      </c>
      <c r="B583" t="s">
        <v>339</v>
      </c>
      <c r="C583" s="190">
        <v>0</v>
      </c>
      <c r="D583" s="190">
        <v>61674.44</v>
      </c>
      <c r="E583" s="190">
        <v>6720.14</v>
      </c>
      <c r="F583" s="190">
        <v>54954.3</v>
      </c>
      <c r="G583"/>
      <c r="H583"/>
    </row>
    <row r="584" spans="1:8" ht="15" customHeight="1" x14ac:dyDescent="0.35">
      <c r="A584">
        <v>42</v>
      </c>
      <c r="B584" t="s">
        <v>65</v>
      </c>
      <c r="C584" s="190">
        <v>0</v>
      </c>
      <c r="D584" s="190">
        <v>2432066.8199999998</v>
      </c>
      <c r="E584" s="190">
        <v>1392463.77</v>
      </c>
      <c r="F584" s="190">
        <v>1039603.05</v>
      </c>
      <c r="G584"/>
      <c r="H584"/>
    </row>
    <row r="585" spans="1:8" ht="15" customHeight="1" x14ac:dyDescent="0.35">
      <c r="A585">
        <v>4201</v>
      </c>
      <c r="B585" t="s">
        <v>191</v>
      </c>
      <c r="C585" s="190">
        <v>0</v>
      </c>
      <c r="D585" s="190">
        <v>2175116.96</v>
      </c>
      <c r="E585" s="190">
        <v>1284870.6299999999</v>
      </c>
      <c r="F585" s="190">
        <v>890246.33</v>
      </c>
      <c r="G585"/>
      <c r="H585"/>
    </row>
    <row r="586" spans="1:8" ht="15" customHeight="1" x14ac:dyDescent="0.35">
      <c r="A586">
        <v>420101</v>
      </c>
      <c r="B586" t="s">
        <v>461</v>
      </c>
      <c r="C586" s="190">
        <v>0</v>
      </c>
      <c r="D586" s="190">
        <v>39674.31</v>
      </c>
      <c r="E586" s="190">
        <v>20124.55</v>
      </c>
      <c r="F586" s="190">
        <v>19549.759999999998</v>
      </c>
      <c r="G586"/>
      <c r="H586"/>
    </row>
    <row r="587" spans="1:8" ht="15" customHeight="1" x14ac:dyDescent="0.35">
      <c r="A587">
        <v>4201010</v>
      </c>
      <c r="B587" t="s">
        <v>461</v>
      </c>
      <c r="C587" s="190">
        <v>0</v>
      </c>
      <c r="D587" s="190">
        <v>39674.31</v>
      </c>
      <c r="E587" s="190">
        <v>20124.55</v>
      </c>
      <c r="F587" s="190">
        <v>19549.759999999998</v>
      </c>
      <c r="G587"/>
      <c r="H587"/>
    </row>
    <row r="588" spans="1:8" ht="15" customHeight="1" x14ac:dyDescent="0.35">
      <c r="A588">
        <v>420101004</v>
      </c>
      <c r="B588" t="s">
        <v>462</v>
      </c>
      <c r="C588" s="190">
        <v>0</v>
      </c>
      <c r="D588" s="190">
        <v>39674.31</v>
      </c>
      <c r="E588" s="190">
        <v>20124.55</v>
      </c>
      <c r="F588" s="190">
        <v>19549.759999999998</v>
      </c>
      <c r="G588"/>
      <c r="H588"/>
    </row>
    <row r="589" spans="1:8" ht="15" customHeight="1" x14ac:dyDescent="0.35">
      <c r="A589">
        <v>42010100401</v>
      </c>
      <c r="B589" t="s">
        <v>322</v>
      </c>
      <c r="C589" s="190">
        <v>0</v>
      </c>
      <c r="D589" s="190">
        <v>31977.34</v>
      </c>
      <c r="E589" s="190">
        <v>12427.58</v>
      </c>
      <c r="F589" s="190">
        <v>19549.759999999998</v>
      </c>
      <c r="G589"/>
      <c r="H589"/>
    </row>
    <row r="590" spans="1:8" ht="15" customHeight="1" x14ac:dyDescent="0.35">
      <c r="A590">
        <v>420102</v>
      </c>
      <c r="B590" t="s">
        <v>463</v>
      </c>
      <c r="C590" s="190">
        <v>0</v>
      </c>
      <c r="D590" s="190">
        <v>7532.77</v>
      </c>
      <c r="E590" s="190">
        <v>1975.67</v>
      </c>
      <c r="F590" s="190">
        <v>5557.1</v>
      </c>
      <c r="G590"/>
      <c r="H590"/>
    </row>
    <row r="591" spans="1:8" ht="15" customHeight="1" x14ac:dyDescent="0.35">
      <c r="A591">
        <v>4201020</v>
      </c>
      <c r="B591" t="s">
        <v>463</v>
      </c>
      <c r="C591" s="190">
        <v>0</v>
      </c>
      <c r="D591" s="190">
        <v>7532.77</v>
      </c>
      <c r="E591" s="190">
        <v>1975.67</v>
      </c>
      <c r="F591" s="190">
        <v>5557.1</v>
      </c>
      <c r="G591"/>
      <c r="H591"/>
    </row>
    <row r="592" spans="1:8" ht="15" customHeight="1" x14ac:dyDescent="0.35">
      <c r="A592">
        <v>420102004</v>
      </c>
      <c r="B592" t="s">
        <v>462</v>
      </c>
      <c r="C592" s="190">
        <v>0</v>
      </c>
      <c r="D592" s="190">
        <v>6882.91</v>
      </c>
      <c r="E592" s="190">
        <v>1975.67</v>
      </c>
      <c r="F592" s="190">
        <v>4907.24</v>
      </c>
      <c r="G592"/>
      <c r="H592"/>
    </row>
    <row r="593" spans="1:8" ht="15" customHeight="1" x14ac:dyDescent="0.35">
      <c r="A593">
        <v>42010200401</v>
      </c>
      <c r="B593" t="s">
        <v>324</v>
      </c>
      <c r="C593" s="190">
        <v>0</v>
      </c>
      <c r="D593" s="190">
        <v>6882.91</v>
      </c>
      <c r="E593" s="190">
        <v>1975.67</v>
      </c>
      <c r="F593" s="190">
        <v>4907.24</v>
      </c>
      <c r="G593"/>
      <c r="H593"/>
    </row>
    <row r="594" spans="1:8" ht="15" customHeight="1" x14ac:dyDescent="0.35">
      <c r="A594">
        <v>420102005</v>
      </c>
      <c r="B594" t="s">
        <v>465</v>
      </c>
      <c r="C594" s="190">
        <v>0</v>
      </c>
      <c r="D594" s="190">
        <v>649.86</v>
      </c>
      <c r="E594" s="190">
        <v>0</v>
      </c>
      <c r="F594" s="190">
        <v>649.86</v>
      </c>
      <c r="G594"/>
      <c r="H594"/>
    </row>
    <row r="595" spans="1:8" ht="15" customHeight="1" x14ac:dyDescent="0.35">
      <c r="A595">
        <v>42010200501</v>
      </c>
      <c r="B595" t="s">
        <v>628</v>
      </c>
      <c r="C595" s="190">
        <v>0</v>
      </c>
      <c r="D595" s="190">
        <v>649.86</v>
      </c>
      <c r="E595" s="190">
        <v>0</v>
      </c>
      <c r="F595" s="190">
        <v>649.86</v>
      </c>
      <c r="G595"/>
      <c r="H595"/>
    </row>
    <row r="596" spans="1:8" ht="15" customHeight="1" x14ac:dyDescent="0.35">
      <c r="A596">
        <v>420103</v>
      </c>
      <c r="B596" t="s">
        <v>325</v>
      </c>
      <c r="C596" s="190">
        <v>0</v>
      </c>
      <c r="D596" s="190">
        <v>2127909.88</v>
      </c>
      <c r="E596" s="190">
        <v>1262770.4099999999</v>
      </c>
      <c r="F596" s="190">
        <v>865139.47</v>
      </c>
      <c r="G596"/>
      <c r="H596"/>
    </row>
    <row r="597" spans="1:8" ht="15" customHeight="1" x14ac:dyDescent="0.35">
      <c r="A597">
        <v>4201030</v>
      </c>
      <c r="B597" t="s">
        <v>325</v>
      </c>
      <c r="C597" s="190">
        <v>0</v>
      </c>
      <c r="D597" s="190">
        <v>2127909.88</v>
      </c>
      <c r="E597" s="190">
        <v>1262770.4099999999</v>
      </c>
      <c r="F597" s="190">
        <v>865139.47</v>
      </c>
      <c r="G597"/>
      <c r="H597"/>
    </row>
    <row r="598" spans="1:8" ht="15" customHeight="1" x14ac:dyDescent="0.35">
      <c r="A598">
        <v>420103004</v>
      </c>
      <c r="B598" t="s">
        <v>462</v>
      </c>
      <c r="C598" s="190">
        <v>0</v>
      </c>
      <c r="D598" s="190">
        <v>2127909.88</v>
      </c>
      <c r="E598" s="190">
        <v>1262770.4099999999</v>
      </c>
      <c r="F598" s="190">
        <v>865139.47</v>
      </c>
      <c r="G598"/>
      <c r="H598"/>
    </row>
    <row r="599" spans="1:8" ht="15" customHeight="1" x14ac:dyDescent="0.35">
      <c r="A599">
        <v>42010300401</v>
      </c>
      <c r="B599" t="s">
        <v>327</v>
      </c>
      <c r="C599" s="190">
        <v>0</v>
      </c>
      <c r="D599" s="190">
        <v>490806.5</v>
      </c>
      <c r="E599" s="190">
        <v>332579.53999999998</v>
      </c>
      <c r="F599" s="190">
        <v>158226.96</v>
      </c>
      <c r="G599"/>
      <c r="H599"/>
    </row>
    <row r="600" spans="1:8" ht="15" customHeight="1" x14ac:dyDescent="0.35">
      <c r="A600">
        <v>42010300402</v>
      </c>
      <c r="B600" t="s">
        <v>328</v>
      </c>
      <c r="C600" s="190">
        <v>0</v>
      </c>
      <c r="D600" s="190">
        <v>1111367.25</v>
      </c>
      <c r="E600" s="190">
        <v>404454.74</v>
      </c>
      <c r="F600" s="190">
        <v>706912.51</v>
      </c>
      <c r="G600"/>
      <c r="H600"/>
    </row>
    <row r="601" spans="1:8" ht="15" customHeight="1" x14ac:dyDescent="0.35">
      <c r="A601">
        <v>4202</v>
      </c>
      <c r="B601" t="s">
        <v>391</v>
      </c>
      <c r="C601" s="190">
        <v>0</v>
      </c>
      <c r="D601" s="190">
        <v>4539.87</v>
      </c>
      <c r="E601" s="190">
        <v>1924.82</v>
      </c>
      <c r="F601" s="190">
        <v>2615.0500000000002</v>
      </c>
      <c r="G601"/>
      <c r="H601"/>
    </row>
    <row r="602" spans="1:8" ht="15" customHeight="1" x14ac:dyDescent="0.35">
      <c r="A602">
        <v>420201</v>
      </c>
      <c r="B602" t="s">
        <v>330</v>
      </c>
      <c r="C602" s="190">
        <v>0</v>
      </c>
      <c r="D602" s="190">
        <v>4539.87</v>
      </c>
      <c r="E602" s="190">
        <v>1924.82</v>
      </c>
      <c r="F602" s="190">
        <v>2615.0500000000002</v>
      </c>
      <c r="G602"/>
      <c r="H602"/>
    </row>
    <row r="603" spans="1:8" ht="15" customHeight="1" x14ac:dyDescent="0.35">
      <c r="A603">
        <v>4202010</v>
      </c>
      <c r="B603" t="s">
        <v>330</v>
      </c>
      <c r="C603" s="190">
        <v>0</v>
      </c>
      <c r="D603" s="190">
        <v>4539.87</v>
      </c>
      <c r="E603" s="190">
        <v>1924.82</v>
      </c>
      <c r="F603" s="190">
        <v>2615.0500000000002</v>
      </c>
      <c r="G603"/>
      <c r="H603"/>
    </row>
    <row r="604" spans="1:8" ht="15" customHeight="1" x14ac:dyDescent="0.35">
      <c r="A604">
        <v>420201004</v>
      </c>
      <c r="B604" t="s">
        <v>462</v>
      </c>
      <c r="C604" s="190">
        <v>0</v>
      </c>
      <c r="D604" s="190">
        <v>1230.49</v>
      </c>
      <c r="E604" s="190">
        <v>1230.49</v>
      </c>
      <c r="F604" s="190">
        <v>0</v>
      </c>
      <c r="G604"/>
      <c r="H604"/>
    </row>
    <row r="605" spans="1:8" ht="15" customHeight="1" x14ac:dyDescent="0.35">
      <c r="A605">
        <v>42020100401</v>
      </c>
      <c r="B605" t="s">
        <v>464</v>
      </c>
      <c r="C605" s="190">
        <v>0</v>
      </c>
      <c r="D605" s="190">
        <v>506.28</v>
      </c>
      <c r="E605" s="190">
        <v>506.28</v>
      </c>
      <c r="F605" s="190">
        <v>0</v>
      </c>
      <c r="G605"/>
      <c r="H605"/>
    </row>
    <row r="606" spans="1:8" ht="15" customHeight="1" x14ac:dyDescent="0.35">
      <c r="A606">
        <v>420201005</v>
      </c>
      <c r="B606" t="s">
        <v>465</v>
      </c>
      <c r="C606" s="190">
        <v>0</v>
      </c>
      <c r="D606" s="190">
        <v>3309.38</v>
      </c>
      <c r="E606" s="190">
        <v>694.33</v>
      </c>
      <c r="F606" s="190">
        <v>2615.0500000000002</v>
      </c>
      <c r="G606"/>
      <c r="H606"/>
    </row>
    <row r="607" spans="1:8" ht="15" customHeight="1" x14ac:dyDescent="0.35">
      <c r="A607">
        <v>42020100501</v>
      </c>
      <c r="B607" t="s">
        <v>466</v>
      </c>
      <c r="C607" s="190">
        <v>0</v>
      </c>
      <c r="D607" s="190">
        <v>3309.38</v>
      </c>
      <c r="E607" s="190">
        <v>694.33</v>
      </c>
      <c r="F607" s="190">
        <v>2615.0500000000002</v>
      </c>
      <c r="G607"/>
      <c r="H607"/>
    </row>
    <row r="608" spans="1:8" ht="15" customHeight="1" x14ac:dyDescent="0.35">
      <c r="A608">
        <v>4203</v>
      </c>
      <c r="B608" t="s">
        <v>394</v>
      </c>
      <c r="C608" s="190">
        <v>0</v>
      </c>
      <c r="D608" s="190">
        <v>252409.99</v>
      </c>
      <c r="E608" s="190">
        <v>105668.32</v>
      </c>
      <c r="F608" s="190">
        <v>146741.67000000001</v>
      </c>
      <c r="G608"/>
      <c r="H608"/>
    </row>
    <row r="609" spans="1:8" ht="15" customHeight="1" x14ac:dyDescent="0.35">
      <c r="A609">
        <v>420301</v>
      </c>
      <c r="B609" t="s">
        <v>332</v>
      </c>
      <c r="C609" s="190">
        <v>0</v>
      </c>
      <c r="D609" s="190">
        <v>168236.28</v>
      </c>
      <c r="E609" s="190">
        <v>65712.95</v>
      </c>
      <c r="F609" s="190">
        <v>102523.33</v>
      </c>
      <c r="G609"/>
      <c r="H609"/>
    </row>
    <row r="610" spans="1:8" ht="15" customHeight="1" x14ac:dyDescent="0.35">
      <c r="A610">
        <v>4203010</v>
      </c>
      <c r="B610" t="s">
        <v>332</v>
      </c>
      <c r="C610" s="190">
        <v>0</v>
      </c>
      <c r="D610" s="190">
        <v>168236.28</v>
      </c>
      <c r="E610" s="190">
        <v>65712.95</v>
      </c>
      <c r="F610" s="190">
        <v>102523.33</v>
      </c>
      <c r="G610"/>
      <c r="H610"/>
    </row>
    <row r="611" spans="1:8" ht="15" customHeight="1" x14ac:dyDescent="0.35">
      <c r="A611">
        <v>420301004</v>
      </c>
      <c r="B611" t="s">
        <v>462</v>
      </c>
      <c r="C611" s="190">
        <v>0</v>
      </c>
      <c r="D611" s="190">
        <v>168236.28</v>
      </c>
      <c r="E611" s="190">
        <v>65712.95</v>
      </c>
      <c r="F611" s="190">
        <v>102523.33</v>
      </c>
      <c r="G611"/>
      <c r="H611"/>
    </row>
    <row r="612" spans="1:8" ht="15" customHeight="1" x14ac:dyDescent="0.35">
      <c r="A612">
        <v>42030100401</v>
      </c>
      <c r="B612" t="s">
        <v>467</v>
      </c>
      <c r="C612" s="190">
        <v>0</v>
      </c>
      <c r="D612" s="190">
        <v>11755.98</v>
      </c>
      <c r="E612" s="190">
        <v>11755.98</v>
      </c>
      <c r="F612" s="190">
        <v>0</v>
      </c>
      <c r="G612"/>
      <c r="H612"/>
    </row>
    <row r="613" spans="1:8" ht="15" customHeight="1" x14ac:dyDescent="0.35">
      <c r="A613">
        <v>42030100402</v>
      </c>
      <c r="B613" t="s">
        <v>468</v>
      </c>
      <c r="C613" s="190">
        <v>0</v>
      </c>
      <c r="D613" s="190">
        <v>152248.06</v>
      </c>
      <c r="E613" s="190">
        <v>49724.73</v>
      </c>
      <c r="F613" s="190">
        <v>102523.33</v>
      </c>
      <c r="G613"/>
      <c r="H613"/>
    </row>
    <row r="614" spans="1:8" ht="15" customHeight="1" x14ac:dyDescent="0.35">
      <c r="A614">
        <v>420302</v>
      </c>
      <c r="B614" t="s">
        <v>336</v>
      </c>
      <c r="C614" s="190">
        <v>0</v>
      </c>
      <c r="D614" s="190">
        <v>84173.71</v>
      </c>
      <c r="E614" s="190">
        <v>39955.370000000003</v>
      </c>
      <c r="F614" s="190">
        <v>44218.34</v>
      </c>
      <c r="G614"/>
      <c r="H614"/>
    </row>
    <row r="615" spans="1:8" ht="15" customHeight="1" x14ac:dyDescent="0.35">
      <c r="A615">
        <v>4203020</v>
      </c>
      <c r="B615" t="s">
        <v>336</v>
      </c>
      <c r="C615" s="190">
        <v>0</v>
      </c>
      <c r="D615" s="190">
        <v>84173.71</v>
      </c>
      <c r="E615" s="190">
        <v>39955.370000000003</v>
      </c>
      <c r="F615" s="190">
        <v>44218.34</v>
      </c>
      <c r="G615"/>
      <c r="H615"/>
    </row>
    <row r="616" spans="1:8" ht="15" customHeight="1" x14ac:dyDescent="0.35">
      <c r="A616">
        <v>420302004</v>
      </c>
      <c r="B616" t="s">
        <v>462</v>
      </c>
      <c r="C616" s="190">
        <v>0</v>
      </c>
      <c r="D616" s="190">
        <v>84173.71</v>
      </c>
      <c r="E616" s="190">
        <v>39955.370000000003</v>
      </c>
      <c r="F616" s="190">
        <v>44218.34</v>
      </c>
      <c r="G616"/>
      <c r="H616"/>
    </row>
    <row r="617" spans="1:8" ht="15" customHeight="1" x14ac:dyDescent="0.35">
      <c r="A617">
        <v>42030200401</v>
      </c>
      <c r="B617" t="s">
        <v>338</v>
      </c>
      <c r="C617" s="190">
        <v>0</v>
      </c>
      <c r="D617" s="190">
        <v>2094.12</v>
      </c>
      <c r="E617" s="190">
        <v>1503.37</v>
      </c>
      <c r="F617" s="190">
        <v>590.75</v>
      </c>
      <c r="G617"/>
      <c r="H617"/>
    </row>
    <row r="618" spans="1:8" ht="15" customHeight="1" x14ac:dyDescent="0.35">
      <c r="A618">
        <v>42030200402</v>
      </c>
      <c r="B618" t="s">
        <v>339</v>
      </c>
      <c r="C618" s="190">
        <v>0</v>
      </c>
      <c r="D618" s="190">
        <v>57854.51</v>
      </c>
      <c r="E618" s="190">
        <v>14226.92</v>
      </c>
      <c r="F618" s="190">
        <v>43627.59</v>
      </c>
      <c r="G618"/>
      <c r="H618"/>
    </row>
    <row r="619" spans="1:8" ht="15" customHeight="1" x14ac:dyDescent="0.35">
      <c r="A619">
        <v>43</v>
      </c>
      <c r="B619" t="s">
        <v>469</v>
      </c>
      <c r="C619" s="190">
        <v>0</v>
      </c>
      <c r="D619" s="190">
        <v>10377478.98</v>
      </c>
      <c r="E619" s="190">
        <v>5647189.2800000003</v>
      </c>
      <c r="F619" s="190">
        <v>4730289.7</v>
      </c>
      <c r="G619"/>
      <c r="H619"/>
    </row>
    <row r="620" spans="1:8" ht="15" customHeight="1" x14ac:dyDescent="0.35">
      <c r="A620">
        <v>4301</v>
      </c>
      <c r="B620" t="s">
        <v>191</v>
      </c>
      <c r="C620" s="190">
        <v>0</v>
      </c>
      <c r="D620" s="190">
        <v>686336.31</v>
      </c>
      <c r="E620" s="190">
        <v>459139.89</v>
      </c>
      <c r="F620" s="190">
        <v>227196.42</v>
      </c>
      <c r="G620"/>
      <c r="H620"/>
    </row>
    <row r="621" spans="1:8" ht="15" customHeight="1" x14ac:dyDescent="0.35">
      <c r="A621">
        <v>430101</v>
      </c>
      <c r="B621" t="s">
        <v>470</v>
      </c>
      <c r="C621" s="190">
        <v>0</v>
      </c>
      <c r="D621" s="190">
        <v>1341.72</v>
      </c>
      <c r="E621" s="190">
        <v>1341.72</v>
      </c>
      <c r="F621" s="190">
        <v>0</v>
      </c>
      <c r="G621"/>
      <c r="H621"/>
    </row>
    <row r="622" spans="1:8" ht="15" customHeight="1" x14ac:dyDescent="0.35">
      <c r="A622">
        <v>4301010</v>
      </c>
      <c r="B622" t="s">
        <v>470</v>
      </c>
      <c r="C622" s="190">
        <v>0</v>
      </c>
      <c r="D622" s="190">
        <v>1341.72</v>
      </c>
      <c r="E622" s="190">
        <v>1341.72</v>
      </c>
      <c r="F622" s="190">
        <v>0</v>
      </c>
      <c r="G622"/>
      <c r="H622"/>
    </row>
    <row r="623" spans="1:8" ht="15" customHeight="1" x14ac:dyDescent="0.35">
      <c r="A623">
        <v>430101001</v>
      </c>
      <c r="B623" t="s">
        <v>408</v>
      </c>
      <c r="C623" s="190">
        <v>0</v>
      </c>
      <c r="D623" s="190">
        <v>1341.72</v>
      </c>
      <c r="E623" s="190">
        <v>1341.72</v>
      </c>
      <c r="F623" s="190">
        <v>0</v>
      </c>
      <c r="G623"/>
      <c r="H623"/>
    </row>
    <row r="624" spans="1:8" ht="15" customHeight="1" x14ac:dyDescent="0.35">
      <c r="A624">
        <v>430102</v>
      </c>
      <c r="B624" t="s">
        <v>471</v>
      </c>
      <c r="C624" s="190">
        <v>0</v>
      </c>
      <c r="D624" s="190">
        <v>12512.3</v>
      </c>
      <c r="E624" s="190">
        <v>8545.4500000000007</v>
      </c>
      <c r="F624" s="190">
        <v>3966.85</v>
      </c>
      <c r="G624"/>
      <c r="H624"/>
    </row>
    <row r="625" spans="1:8" ht="15" customHeight="1" x14ac:dyDescent="0.35">
      <c r="A625">
        <v>4301020</v>
      </c>
      <c r="B625" t="s">
        <v>471</v>
      </c>
      <c r="C625" s="190">
        <v>0</v>
      </c>
      <c r="D625" s="190">
        <v>12512.3</v>
      </c>
      <c r="E625" s="190">
        <v>8545.4500000000007</v>
      </c>
      <c r="F625" s="190">
        <v>3966.85</v>
      </c>
      <c r="G625"/>
      <c r="H625"/>
    </row>
    <row r="626" spans="1:8" ht="15" customHeight="1" x14ac:dyDescent="0.35">
      <c r="A626">
        <v>430102001</v>
      </c>
      <c r="B626" t="s">
        <v>408</v>
      </c>
      <c r="C626" s="190">
        <v>0</v>
      </c>
      <c r="D626" s="190">
        <v>12435.27</v>
      </c>
      <c r="E626" s="190">
        <v>8545.4500000000007</v>
      </c>
      <c r="F626" s="190">
        <v>3889.82</v>
      </c>
      <c r="G626"/>
      <c r="H626"/>
    </row>
    <row r="627" spans="1:8" ht="15" customHeight="1" x14ac:dyDescent="0.35">
      <c r="A627">
        <v>43010200101</v>
      </c>
      <c r="B627" t="s">
        <v>324</v>
      </c>
      <c r="C627" s="190">
        <v>0</v>
      </c>
      <c r="D627" s="190">
        <v>9189.83</v>
      </c>
      <c r="E627" s="190">
        <v>5300.01</v>
      </c>
      <c r="F627" s="190">
        <v>3889.82</v>
      </c>
      <c r="G627"/>
      <c r="H627"/>
    </row>
    <row r="628" spans="1:8" ht="15" customHeight="1" x14ac:dyDescent="0.35">
      <c r="A628">
        <v>430102002</v>
      </c>
      <c r="B628" t="s">
        <v>411</v>
      </c>
      <c r="C628" s="190">
        <v>0</v>
      </c>
      <c r="D628" s="190">
        <v>77.03</v>
      </c>
      <c r="E628" s="190">
        <v>0</v>
      </c>
      <c r="F628" s="190">
        <v>77.03</v>
      </c>
      <c r="G628"/>
      <c r="H628"/>
    </row>
    <row r="629" spans="1:8" ht="15" customHeight="1" x14ac:dyDescent="0.35">
      <c r="A629">
        <v>43010200201</v>
      </c>
      <c r="B629" t="s">
        <v>411</v>
      </c>
      <c r="C629" s="190">
        <v>0</v>
      </c>
      <c r="D629" s="190">
        <v>77.03</v>
      </c>
      <c r="E629" s="190">
        <v>0</v>
      </c>
      <c r="F629" s="190">
        <v>77.03</v>
      </c>
      <c r="G629"/>
      <c r="H629"/>
    </row>
    <row r="630" spans="1:8" ht="15" customHeight="1" x14ac:dyDescent="0.35">
      <c r="A630">
        <v>430103</v>
      </c>
      <c r="B630" t="s">
        <v>472</v>
      </c>
      <c r="C630" s="190">
        <v>0</v>
      </c>
      <c r="D630" s="190">
        <v>672482.29</v>
      </c>
      <c r="E630" s="190">
        <v>449252.72</v>
      </c>
      <c r="F630" s="190">
        <v>223229.57</v>
      </c>
      <c r="G630"/>
      <c r="H630"/>
    </row>
    <row r="631" spans="1:8" ht="15" customHeight="1" x14ac:dyDescent="0.35">
      <c r="A631">
        <v>4301030</v>
      </c>
      <c r="B631" t="s">
        <v>472</v>
      </c>
      <c r="C631" s="190">
        <v>0</v>
      </c>
      <c r="D631" s="190">
        <v>672482.29</v>
      </c>
      <c r="E631" s="190">
        <v>449252.72</v>
      </c>
      <c r="F631" s="190">
        <v>223229.57</v>
      </c>
      <c r="G631"/>
      <c r="H631"/>
    </row>
    <row r="632" spans="1:8" ht="15" customHeight="1" x14ac:dyDescent="0.35">
      <c r="A632">
        <v>430103001</v>
      </c>
      <c r="B632" t="s">
        <v>408</v>
      </c>
      <c r="C632" s="190">
        <v>0</v>
      </c>
      <c r="D632" s="190">
        <v>622770.25</v>
      </c>
      <c r="E632" s="190">
        <v>441153.94</v>
      </c>
      <c r="F632" s="190">
        <v>181616.31</v>
      </c>
      <c r="G632"/>
      <c r="H632"/>
    </row>
    <row r="633" spans="1:8" ht="15" customHeight="1" x14ac:dyDescent="0.35">
      <c r="A633">
        <v>43010300101</v>
      </c>
      <c r="B633" t="s">
        <v>327</v>
      </c>
      <c r="C633" s="190">
        <v>0</v>
      </c>
      <c r="D633" s="190">
        <v>398096.21</v>
      </c>
      <c r="E633" s="190">
        <v>216479.9</v>
      </c>
      <c r="F633" s="190">
        <v>181616.31</v>
      </c>
      <c r="G633"/>
      <c r="H633"/>
    </row>
    <row r="634" spans="1:8" ht="15" customHeight="1" x14ac:dyDescent="0.35">
      <c r="A634">
        <v>430103002</v>
      </c>
      <c r="B634" t="s">
        <v>411</v>
      </c>
      <c r="C634" s="190">
        <v>0</v>
      </c>
      <c r="D634" s="190">
        <v>49712.04</v>
      </c>
      <c r="E634" s="190">
        <v>8098.78</v>
      </c>
      <c r="F634" s="190">
        <v>41613.26</v>
      </c>
      <c r="G634"/>
      <c r="H634"/>
    </row>
    <row r="635" spans="1:8" ht="15" customHeight="1" x14ac:dyDescent="0.35">
      <c r="A635">
        <v>43010300201</v>
      </c>
      <c r="B635" t="s">
        <v>625</v>
      </c>
      <c r="C635" s="190">
        <v>0</v>
      </c>
      <c r="D635" s="190">
        <v>49712.04</v>
      </c>
      <c r="E635" s="190">
        <v>8098.78</v>
      </c>
      <c r="F635" s="190">
        <v>41613.26</v>
      </c>
      <c r="G635"/>
      <c r="H635"/>
    </row>
    <row r="636" spans="1:8" ht="15" customHeight="1" x14ac:dyDescent="0.35">
      <c r="A636">
        <v>4302</v>
      </c>
      <c r="B636" t="s">
        <v>391</v>
      </c>
      <c r="C636" s="190">
        <v>0</v>
      </c>
      <c r="D636" s="190">
        <v>369880.04</v>
      </c>
      <c r="E636" s="190">
        <v>369880.04</v>
      </c>
      <c r="F636" s="190">
        <v>0</v>
      </c>
      <c r="G636"/>
      <c r="H636"/>
    </row>
    <row r="637" spans="1:8" ht="15" customHeight="1" x14ac:dyDescent="0.35">
      <c r="A637">
        <v>430201</v>
      </c>
      <c r="B637" t="s">
        <v>330</v>
      </c>
      <c r="C637" s="190">
        <v>0</v>
      </c>
      <c r="D637" s="190">
        <v>369880.04</v>
      </c>
      <c r="E637" s="190">
        <v>369880.04</v>
      </c>
      <c r="F637" s="190">
        <v>0</v>
      </c>
      <c r="G637"/>
      <c r="H637"/>
    </row>
    <row r="638" spans="1:8" ht="15" customHeight="1" x14ac:dyDescent="0.35">
      <c r="A638">
        <v>4302010</v>
      </c>
      <c r="B638" t="s">
        <v>330</v>
      </c>
      <c r="C638" s="190">
        <v>0</v>
      </c>
      <c r="D638" s="190">
        <v>369880.04</v>
      </c>
      <c r="E638" s="190">
        <v>369880.04</v>
      </c>
      <c r="F638" s="190">
        <v>0</v>
      </c>
      <c r="G638"/>
      <c r="H638"/>
    </row>
    <row r="639" spans="1:8" ht="15" customHeight="1" x14ac:dyDescent="0.35">
      <c r="A639">
        <v>430201001</v>
      </c>
      <c r="B639" t="s">
        <v>408</v>
      </c>
      <c r="C639" s="190">
        <v>0</v>
      </c>
      <c r="D639" s="190">
        <v>369880.04</v>
      </c>
      <c r="E639" s="190">
        <v>369880.04</v>
      </c>
      <c r="F639" s="190">
        <v>0</v>
      </c>
      <c r="G639"/>
      <c r="H639"/>
    </row>
    <row r="640" spans="1:8" ht="15" customHeight="1" x14ac:dyDescent="0.35">
      <c r="A640">
        <v>4303</v>
      </c>
      <c r="B640" t="s">
        <v>203</v>
      </c>
      <c r="C640" s="190">
        <v>0</v>
      </c>
      <c r="D640" s="190">
        <v>3081283.64</v>
      </c>
      <c r="E640" s="190">
        <v>1140952.6399999999</v>
      </c>
      <c r="F640" s="190">
        <v>1940331</v>
      </c>
      <c r="G640"/>
      <c r="H640"/>
    </row>
    <row r="641" spans="1:8" ht="15" customHeight="1" x14ac:dyDescent="0.35">
      <c r="A641">
        <v>430301</v>
      </c>
      <c r="B641" t="s">
        <v>332</v>
      </c>
      <c r="C641" s="190">
        <v>0</v>
      </c>
      <c r="D641" s="190">
        <v>3045811.19</v>
      </c>
      <c r="E641" s="190">
        <v>1136979.54</v>
      </c>
      <c r="F641" s="190">
        <v>1908831.65</v>
      </c>
      <c r="G641"/>
      <c r="H641"/>
    </row>
    <row r="642" spans="1:8" ht="15" customHeight="1" x14ac:dyDescent="0.35">
      <c r="A642">
        <v>4303010</v>
      </c>
      <c r="B642" t="s">
        <v>332</v>
      </c>
      <c r="C642" s="190">
        <v>0</v>
      </c>
      <c r="D642" s="190">
        <v>3045811.19</v>
      </c>
      <c r="E642" s="190">
        <v>1136979.54</v>
      </c>
      <c r="F642" s="190">
        <v>1908831.65</v>
      </c>
      <c r="G642"/>
      <c r="H642"/>
    </row>
    <row r="643" spans="1:8" ht="15" customHeight="1" x14ac:dyDescent="0.35">
      <c r="A643">
        <v>430301001</v>
      </c>
      <c r="B643" t="s">
        <v>408</v>
      </c>
      <c r="C643" s="190">
        <v>0</v>
      </c>
      <c r="D643" s="190">
        <v>2644480.92</v>
      </c>
      <c r="E643" s="190">
        <v>1070710.8999999999</v>
      </c>
      <c r="F643" s="190">
        <v>1573770.02</v>
      </c>
      <c r="G643"/>
      <c r="H643"/>
    </row>
    <row r="644" spans="1:8" ht="15" customHeight="1" x14ac:dyDescent="0.35">
      <c r="A644">
        <v>43030100101</v>
      </c>
      <c r="B644" t="s">
        <v>334</v>
      </c>
      <c r="C644" s="190">
        <v>0</v>
      </c>
      <c r="D644" s="190">
        <v>536956.47</v>
      </c>
      <c r="E644" s="190">
        <v>113708.05</v>
      </c>
      <c r="F644" s="190">
        <v>423248.42</v>
      </c>
      <c r="G644"/>
      <c r="H644"/>
    </row>
    <row r="645" spans="1:8" ht="15" customHeight="1" x14ac:dyDescent="0.35">
      <c r="A645">
        <v>43030100102</v>
      </c>
      <c r="B645" t="s">
        <v>473</v>
      </c>
      <c r="C645" s="190">
        <v>0</v>
      </c>
      <c r="D645" s="190">
        <v>1866077.93</v>
      </c>
      <c r="E645" s="190">
        <v>715556.33</v>
      </c>
      <c r="F645" s="190">
        <v>1150521.6000000001</v>
      </c>
      <c r="G645"/>
      <c r="H645"/>
    </row>
    <row r="646" spans="1:8" ht="15" customHeight="1" x14ac:dyDescent="0.35">
      <c r="A646">
        <v>430301002</v>
      </c>
      <c r="B646" t="s">
        <v>411</v>
      </c>
      <c r="C646" s="190">
        <v>0</v>
      </c>
      <c r="D646" s="190">
        <v>401330.27</v>
      </c>
      <c r="E646" s="190">
        <v>66268.639999999999</v>
      </c>
      <c r="F646" s="190">
        <v>335061.63</v>
      </c>
      <c r="G646"/>
      <c r="H646"/>
    </row>
    <row r="647" spans="1:8" ht="15" customHeight="1" x14ac:dyDescent="0.35">
      <c r="A647">
        <v>43030100202</v>
      </c>
      <c r="B647" t="s">
        <v>622</v>
      </c>
      <c r="C647" s="190">
        <v>0</v>
      </c>
      <c r="D647" s="190">
        <v>401330.27</v>
      </c>
      <c r="E647" s="190">
        <v>66268.639999999999</v>
      </c>
      <c r="F647" s="190">
        <v>335061.63</v>
      </c>
      <c r="G647"/>
      <c r="H647"/>
    </row>
    <row r="648" spans="1:8" ht="15" customHeight="1" x14ac:dyDescent="0.35">
      <c r="A648">
        <v>430302</v>
      </c>
      <c r="B648" t="s">
        <v>336</v>
      </c>
      <c r="C648" s="190">
        <v>0</v>
      </c>
      <c r="D648" s="190">
        <v>35472.449999999997</v>
      </c>
      <c r="E648" s="190">
        <v>3973.1</v>
      </c>
      <c r="F648" s="190">
        <v>31499.35</v>
      </c>
      <c r="G648"/>
      <c r="H648"/>
    </row>
    <row r="649" spans="1:8" ht="15" customHeight="1" x14ac:dyDescent="0.35">
      <c r="A649">
        <v>4303020</v>
      </c>
      <c r="B649" t="s">
        <v>336</v>
      </c>
      <c r="C649" s="190">
        <v>0</v>
      </c>
      <c r="D649" s="190">
        <v>35472.449999999997</v>
      </c>
      <c r="E649" s="190">
        <v>3973.1</v>
      </c>
      <c r="F649" s="190">
        <v>31499.35</v>
      </c>
      <c r="G649"/>
      <c r="H649"/>
    </row>
    <row r="650" spans="1:8" ht="15" customHeight="1" x14ac:dyDescent="0.35">
      <c r="A650">
        <v>430302001</v>
      </c>
      <c r="B650" t="s">
        <v>408</v>
      </c>
      <c r="C650" s="190">
        <v>0</v>
      </c>
      <c r="D650" s="190">
        <v>35472.449999999997</v>
      </c>
      <c r="E650" s="190">
        <v>3973.1</v>
      </c>
      <c r="F650" s="190">
        <v>31499.35</v>
      </c>
      <c r="G650"/>
      <c r="H650"/>
    </row>
    <row r="651" spans="1:8" ht="15" customHeight="1" x14ac:dyDescent="0.35">
      <c r="A651">
        <v>43030200101</v>
      </c>
      <c r="B651" t="s">
        <v>338</v>
      </c>
      <c r="C651" s="190">
        <v>0</v>
      </c>
      <c r="D651" s="190">
        <v>732.95</v>
      </c>
      <c r="E651" s="190">
        <v>319.42</v>
      </c>
      <c r="F651" s="190">
        <v>413.53</v>
      </c>
      <c r="G651"/>
      <c r="H651"/>
    </row>
    <row r="652" spans="1:8" ht="15" customHeight="1" x14ac:dyDescent="0.35">
      <c r="A652">
        <v>43030200102</v>
      </c>
      <c r="B652" t="s">
        <v>339</v>
      </c>
      <c r="C652" s="190">
        <v>0</v>
      </c>
      <c r="D652" s="190">
        <v>32085.84</v>
      </c>
      <c r="E652" s="190">
        <v>1000.02</v>
      </c>
      <c r="F652" s="190">
        <v>31085.82</v>
      </c>
      <c r="G652"/>
      <c r="H652"/>
    </row>
    <row r="653" spans="1:8" ht="15" customHeight="1" x14ac:dyDescent="0.35">
      <c r="A653">
        <v>4309</v>
      </c>
      <c r="B653" t="s">
        <v>204</v>
      </c>
      <c r="C653" s="190">
        <v>0</v>
      </c>
      <c r="D653" s="190">
        <v>6239978.9900000002</v>
      </c>
      <c r="E653" s="190">
        <v>3677216.71</v>
      </c>
      <c r="F653" s="190">
        <v>2562762.2799999998</v>
      </c>
      <c r="G653"/>
      <c r="H653"/>
    </row>
    <row r="654" spans="1:8" ht="15" customHeight="1" x14ac:dyDescent="0.35">
      <c r="A654">
        <v>430901</v>
      </c>
      <c r="B654" t="s">
        <v>191</v>
      </c>
      <c r="C654" s="190">
        <v>0</v>
      </c>
      <c r="D654" s="190">
        <v>357632.77</v>
      </c>
      <c r="E654" s="190">
        <v>203459.31</v>
      </c>
      <c r="F654" s="190">
        <v>154173.46</v>
      </c>
      <c r="G654"/>
      <c r="H654"/>
    </row>
    <row r="655" spans="1:8" ht="15" customHeight="1" x14ac:dyDescent="0.35">
      <c r="A655">
        <v>4309010</v>
      </c>
      <c r="B655" t="s">
        <v>191</v>
      </c>
      <c r="C655" s="190">
        <v>0</v>
      </c>
      <c r="D655" s="190">
        <v>357632.77</v>
      </c>
      <c r="E655" s="190">
        <v>203459.31</v>
      </c>
      <c r="F655" s="190">
        <v>154173.46</v>
      </c>
      <c r="G655"/>
      <c r="H655"/>
    </row>
    <row r="656" spans="1:8" ht="15" customHeight="1" x14ac:dyDescent="0.35">
      <c r="A656">
        <v>430901001</v>
      </c>
      <c r="B656" t="s">
        <v>408</v>
      </c>
      <c r="C656" s="190">
        <v>0</v>
      </c>
      <c r="D656" s="190">
        <v>137561.44</v>
      </c>
      <c r="E656" s="190">
        <v>137561.42000000001</v>
      </c>
      <c r="F656" s="190">
        <v>0.02</v>
      </c>
      <c r="G656"/>
      <c r="H656"/>
    </row>
    <row r="657" spans="1:8" ht="15" customHeight="1" x14ac:dyDescent="0.35">
      <c r="A657">
        <v>43090100102</v>
      </c>
      <c r="B657" t="s">
        <v>474</v>
      </c>
      <c r="C657" s="190">
        <v>0</v>
      </c>
      <c r="D657" s="190">
        <v>0.02</v>
      </c>
      <c r="E657" s="190">
        <v>0</v>
      </c>
      <c r="F657" s="190">
        <v>0.02</v>
      </c>
      <c r="G657"/>
      <c r="H657"/>
    </row>
    <row r="658" spans="1:8" ht="15" customHeight="1" x14ac:dyDescent="0.35">
      <c r="A658">
        <v>43090100103</v>
      </c>
      <c r="B658" t="s">
        <v>475</v>
      </c>
      <c r="C658" s="190">
        <v>0</v>
      </c>
      <c r="D658" s="190">
        <v>137561.42000000001</v>
      </c>
      <c r="E658" s="190">
        <v>137561.42000000001</v>
      </c>
      <c r="F658" s="190">
        <v>0</v>
      </c>
      <c r="G658"/>
      <c r="H658"/>
    </row>
    <row r="659" spans="1:8" ht="15" customHeight="1" x14ac:dyDescent="0.35">
      <c r="A659">
        <v>430901003</v>
      </c>
      <c r="B659" t="s">
        <v>350</v>
      </c>
      <c r="C659" s="190">
        <v>0</v>
      </c>
      <c r="D659" s="190">
        <v>220071.33</v>
      </c>
      <c r="E659" s="190">
        <v>65897.89</v>
      </c>
      <c r="F659" s="190">
        <v>154173.44</v>
      </c>
      <c r="G659"/>
      <c r="H659"/>
    </row>
    <row r="660" spans="1:8" ht="15" customHeight="1" x14ac:dyDescent="0.35">
      <c r="A660">
        <v>43090100301</v>
      </c>
      <c r="B660" t="s">
        <v>327</v>
      </c>
      <c r="C660" s="190">
        <v>0</v>
      </c>
      <c r="D660" s="190">
        <v>20021.689999999999</v>
      </c>
      <c r="E660" s="190">
        <v>0</v>
      </c>
      <c r="F660" s="190">
        <v>20021.689999999999</v>
      </c>
      <c r="G660"/>
      <c r="H660"/>
    </row>
    <row r="661" spans="1:8" ht="15" customHeight="1" x14ac:dyDescent="0.35">
      <c r="A661">
        <v>43090100302</v>
      </c>
      <c r="B661" t="s">
        <v>328</v>
      </c>
      <c r="C661" s="190">
        <v>0</v>
      </c>
      <c r="D661" s="190">
        <v>134434.82999999999</v>
      </c>
      <c r="E661" s="190">
        <v>283.08</v>
      </c>
      <c r="F661" s="190">
        <v>134151.75</v>
      </c>
      <c r="G661"/>
      <c r="H661"/>
    </row>
    <row r="662" spans="1:8" ht="15" customHeight="1" x14ac:dyDescent="0.35">
      <c r="A662">
        <v>430902</v>
      </c>
      <c r="B662" t="s">
        <v>391</v>
      </c>
      <c r="C662" s="190">
        <v>0</v>
      </c>
      <c r="D662" s="190">
        <v>5278073.34</v>
      </c>
      <c r="E662" s="190">
        <v>2897371.49</v>
      </c>
      <c r="F662" s="190">
        <v>2380701.85</v>
      </c>
      <c r="G662"/>
      <c r="H662"/>
    </row>
    <row r="663" spans="1:8" ht="15" customHeight="1" x14ac:dyDescent="0.35">
      <c r="A663">
        <v>4309020</v>
      </c>
      <c r="B663" t="s">
        <v>391</v>
      </c>
      <c r="C663" s="190">
        <v>0</v>
      </c>
      <c r="D663" s="190">
        <v>5278073.34</v>
      </c>
      <c r="E663" s="190">
        <v>2897371.49</v>
      </c>
      <c r="F663" s="190">
        <v>2380701.85</v>
      </c>
      <c r="G663"/>
      <c r="H663"/>
    </row>
    <row r="664" spans="1:8" ht="15" customHeight="1" x14ac:dyDescent="0.35">
      <c r="A664">
        <v>430902001</v>
      </c>
      <c r="B664" t="s">
        <v>408</v>
      </c>
      <c r="C664" s="190">
        <v>0</v>
      </c>
      <c r="D664" s="190">
        <v>3133499.6</v>
      </c>
      <c r="E664" s="190">
        <v>1897371.49</v>
      </c>
      <c r="F664" s="190">
        <v>1236128.1100000001</v>
      </c>
      <c r="G664"/>
      <c r="H664"/>
    </row>
    <row r="665" spans="1:8" ht="15" customHeight="1" x14ac:dyDescent="0.35">
      <c r="A665">
        <v>43090200101</v>
      </c>
      <c r="B665" t="s">
        <v>760</v>
      </c>
      <c r="C665" s="190">
        <v>0</v>
      </c>
      <c r="D665" s="190">
        <v>1236128.1100000001</v>
      </c>
      <c r="E665" s="190">
        <v>0</v>
      </c>
      <c r="F665" s="190">
        <v>1236128.1100000001</v>
      </c>
      <c r="G665"/>
      <c r="H665"/>
    </row>
    <row r="666" spans="1:8" ht="15" customHeight="1" x14ac:dyDescent="0.35">
      <c r="A666">
        <v>430902002</v>
      </c>
      <c r="B666" t="s">
        <v>411</v>
      </c>
      <c r="C666" s="190">
        <v>0</v>
      </c>
      <c r="D666" s="190">
        <v>2144573.7400000002</v>
      </c>
      <c r="E666" s="190">
        <v>1000000</v>
      </c>
      <c r="F666" s="190">
        <v>1144573.74</v>
      </c>
      <c r="G666"/>
      <c r="H666"/>
    </row>
    <row r="667" spans="1:8" ht="15" customHeight="1" x14ac:dyDescent="0.35">
      <c r="A667">
        <v>43090200201</v>
      </c>
      <c r="B667" t="s">
        <v>413</v>
      </c>
      <c r="C667" s="190">
        <v>0</v>
      </c>
      <c r="D667" s="190">
        <v>2144573.7400000002</v>
      </c>
      <c r="E667" s="190">
        <v>1000000</v>
      </c>
      <c r="F667" s="190">
        <v>1144573.74</v>
      </c>
      <c r="G667"/>
      <c r="H667"/>
    </row>
    <row r="668" spans="1:8" ht="15" customHeight="1" x14ac:dyDescent="0.35">
      <c r="A668">
        <v>430903</v>
      </c>
      <c r="B668" t="s">
        <v>394</v>
      </c>
      <c r="C668" s="190">
        <v>0</v>
      </c>
      <c r="D668" s="190">
        <v>604272.88</v>
      </c>
      <c r="E668" s="190">
        <v>576385.91</v>
      </c>
      <c r="F668" s="190">
        <v>27886.97</v>
      </c>
      <c r="G668"/>
      <c r="H668"/>
    </row>
    <row r="669" spans="1:8" ht="15" customHeight="1" x14ac:dyDescent="0.35">
      <c r="A669">
        <v>4309030</v>
      </c>
      <c r="B669" t="s">
        <v>394</v>
      </c>
      <c r="C669" s="190">
        <v>0</v>
      </c>
      <c r="D669" s="190">
        <v>604272.88</v>
      </c>
      <c r="E669" s="190">
        <v>576385.91</v>
      </c>
      <c r="F669" s="190">
        <v>27886.97</v>
      </c>
      <c r="G669"/>
      <c r="H669"/>
    </row>
    <row r="670" spans="1:8" ht="15" customHeight="1" x14ac:dyDescent="0.35">
      <c r="A670">
        <v>430903001</v>
      </c>
      <c r="B670" t="s">
        <v>332</v>
      </c>
      <c r="C670" s="190">
        <v>0</v>
      </c>
      <c r="D670" s="190">
        <v>589922.89</v>
      </c>
      <c r="E670" s="190">
        <v>564008.16</v>
      </c>
      <c r="F670" s="190">
        <v>25914.73</v>
      </c>
      <c r="G670"/>
      <c r="H670"/>
    </row>
    <row r="671" spans="1:8" ht="15" customHeight="1" x14ac:dyDescent="0.35">
      <c r="A671">
        <v>43090300102</v>
      </c>
      <c r="B671" t="s">
        <v>335</v>
      </c>
      <c r="C671" s="190">
        <v>0</v>
      </c>
      <c r="D671" s="190">
        <v>25914.73</v>
      </c>
      <c r="E671" s="190">
        <v>0</v>
      </c>
      <c r="F671" s="190">
        <v>25914.73</v>
      </c>
      <c r="G671"/>
      <c r="H671"/>
    </row>
    <row r="672" spans="1:8" ht="15" customHeight="1" x14ac:dyDescent="0.35">
      <c r="A672">
        <v>430903002</v>
      </c>
      <c r="B672" t="s">
        <v>336</v>
      </c>
      <c r="C672" s="190">
        <v>0</v>
      </c>
      <c r="D672" s="190">
        <v>14349.99</v>
      </c>
      <c r="E672" s="190">
        <v>12377.75</v>
      </c>
      <c r="F672" s="190">
        <v>1972.24</v>
      </c>
      <c r="G672"/>
      <c r="H672"/>
    </row>
    <row r="673" spans="1:8" ht="15" customHeight="1" x14ac:dyDescent="0.35">
      <c r="A673">
        <v>43090300201</v>
      </c>
      <c r="B673" t="s">
        <v>338</v>
      </c>
      <c r="C673" s="190">
        <v>0</v>
      </c>
      <c r="D673" s="190">
        <v>1901.38</v>
      </c>
      <c r="E673" s="190">
        <v>0</v>
      </c>
      <c r="F673" s="190">
        <v>1901.38</v>
      </c>
      <c r="G673"/>
      <c r="H673"/>
    </row>
    <row r="674" spans="1:8" ht="15" customHeight="1" x14ac:dyDescent="0.35">
      <c r="A674">
        <v>43090300202</v>
      </c>
      <c r="B674" t="s">
        <v>339</v>
      </c>
      <c r="C674" s="190">
        <v>0</v>
      </c>
      <c r="D674" s="190">
        <v>70.86</v>
      </c>
      <c r="E674" s="190">
        <v>0</v>
      </c>
      <c r="F674" s="190">
        <v>70.86</v>
      </c>
      <c r="G674"/>
      <c r="H674"/>
    </row>
    <row r="675" spans="1:8" ht="15" customHeight="1" x14ac:dyDescent="0.35">
      <c r="A675">
        <v>45</v>
      </c>
      <c r="B675" t="s">
        <v>179</v>
      </c>
      <c r="C675" s="190">
        <v>0</v>
      </c>
      <c r="D675" s="190">
        <v>1822270.46</v>
      </c>
      <c r="E675" s="190">
        <v>604939.12</v>
      </c>
      <c r="F675" s="190">
        <v>1217331.3400000001</v>
      </c>
      <c r="G675"/>
      <c r="H675"/>
    </row>
    <row r="676" spans="1:8" ht="15" customHeight="1" x14ac:dyDescent="0.35">
      <c r="A676">
        <v>4501</v>
      </c>
      <c r="B676" t="s">
        <v>205</v>
      </c>
      <c r="C676" s="190">
        <v>0</v>
      </c>
      <c r="D676" s="190">
        <v>484727.36</v>
      </c>
      <c r="E676" s="190">
        <v>290178.51</v>
      </c>
      <c r="F676" s="190">
        <v>194548.85</v>
      </c>
      <c r="G676"/>
      <c r="H676"/>
    </row>
    <row r="677" spans="1:8" ht="15" customHeight="1" x14ac:dyDescent="0.35">
      <c r="A677">
        <v>450101</v>
      </c>
      <c r="B677" t="s">
        <v>476</v>
      </c>
      <c r="C677" s="190">
        <v>0</v>
      </c>
      <c r="D677" s="190">
        <v>49676.2</v>
      </c>
      <c r="E677" s="190">
        <v>19147.09</v>
      </c>
      <c r="F677" s="190">
        <v>30529.11</v>
      </c>
      <c r="G677"/>
      <c r="H677"/>
    </row>
    <row r="678" spans="1:8" ht="15" customHeight="1" x14ac:dyDescent="0.35">
      <c r="A678">
        <v>4501010</v>
      </c>
      <c r="B678" t="s">
        <v>476</v>
      </c>
      <c r="C678" s="190">
        <v>0</v>
      </c>
      <c r="D678" s="190">
        <v>49676.2</v>
      </c>
      <c r="E678" s="190">
        <v>19147.09</v>
      </c>
      <c r="F678" s="190">
        <v>30529.11</v>
      </c>
      <c r="G678"/>
      <c r="H678"/>
    </row>
    <row r="679" spans="1:8" ht="15" customHeight="1" x14ac:dyDescent="0.35">
      <c r="A679">
        <v>450101001</v>
      </c>
      <c r="B679" t="s">
        <v>321</v>
      </c>
      <c r="C679" s="190">
        <v>0</v>
      </c>
      <c r="D679" s="190">
        <v>49676.2</v>
      </c>
      <c r="E679" s="190">
        <v>19147.09</v>
      </c>
      <c r="F679" s="190">
        <v>30529.11</v>
      </c>
      <c r="G679"/>
      <c r="H679"/>
    </row>
    <row r="680" spans="1:8" ht="15" customHeight="1" x14ac:dyDescent="0.35">
      <c r="A680">
        <v>45010100101</v>
      </c>
      <c r="B680" t="s">
        <v>477</v>
      </c>
      <c r="C680" s="190">
        <v>0</v>
      </c>
      <c r="D680" s="190">
        <v>49499.81</v>
      </c>
      <c r="E680" s="190">
        <v>19010.34</v>
      </c>
      <c r="F680" s="190">
        <v>30489.47</v>
      </c>
      <c r="G680"/>
      <c r="H680"/>
    </row>
    <row r="681" spans="1:8" ht="15" customHeight="1" x14ac:dyDescent="0.35">
      <c r="A681">
        <v>4501010010101</v>
      </c>
      <c r="B681" t="s">
        <v>602</v>
      </c>
      <c r="C681" s="190">
        <v>0</v>
      </c>
      <c r="D681" s="190">
        <v>38004.379999999997</v>
      </c>
      <c r="E681" s="190">
        <v>7514.91</v>
      </c>
      <c r="F681" s="190">
        <v>30489.47</v>
      </c>
      <c r="G681"/>
      <c r="H681"/>
    </row>
    <row r="682" spans="1:8" ht="15" customHeight="1" x14ac:dyDescent="0.35">
      <c r="A682">
        <v>45010100102</v>
      </c>
      <c r="B682" t="s">
        <v>480</v>
      </c>
      <c r="C682" s="190">
        <v>0</v>
      </c>
      <c r="D682" s="190">
        <v>176.39</v>
      </c>
      <c r="E682" s="190">
        <v>136.75</v>
      </c>
      <c r="F682" s="190">
        <v>39.64</v>
      </c>
      <c r="G682"/>
      <c r="H682"/>
    </row>
    <row r="683" spans="1:8" ht="15" customHeight="1" x14ac:dyDescent="0.35">
      <c r="A683">
        <v>4501010010201</v>
      </c>
      <c r="B683" t="s">
        <v>322</v>
      </c>
      <c r="C683" s="190">
        <v>0</v>
      </c>
      <c r="D683" s="190">
        <v>176.39</v>
      </c>
      <c r="E683" s="190">
        <v>136.75</v>
      </c>
      <c r="F683" s="190">
        <v>39.64</v>
      </c>
      <c r="G683"/>
      <c r="H683"/>
    </row>
    <row r="684" spans="1:8" ht="15" customHeight="1" x14ac:dyDescent="0.35">
      <c r="A684">
        <v>450102</v>
      </c>
      <c r="B684" t="s">
        <v>478</v>
      </c>
      <c r="C684" s="190">
        <v>0</v>
      </c>
      <c r="D684" s="190">
        <v>84835.14</v>
      </c>
      <c r="E684" s="190">
        <v>71438.98</v>
      </c>
      <c r="F684" s="190">
        <v>13396.16</v>
      </c>
      <c r="G684"/>
      <c r="H684"/>
    </row>
    <row r="685" spans="1:8" ht="15" customHeight="1" x14ac:dyDescent="0.35">
      <c r="A685">
        <v>4501020</v>
      </c>
      <c r="B685" t="s">
        <v>478</v>
      </c>
      <c r="C685" s="190">
        <v>0</v>
      </c>
      <c r="D685" s="190">
        <v>84835.14</v>
      </c>
      <c r="E685" s="190">
        <v>71438.98</v>
      </c>
      <c r="F685" s="190">
        <v>13396.16</v>
      </c>
      <c r="G685"/>
      <c r="H685"/>
    </row>
    <row r="686" spans="1:8" ht="15" customHeight="1" x14ac:dyDescent="0.35">
      <c r="A686">
        <v>450102001</v>
      </c>
      <c r="B686" t="s">
        <v>321</v>
      </c>
      <c r="C686" s="190">
        <v>0</v>
      </c>
      <c r="D686" s="190">
        <v>84835.14</v>
      </c>
      <c r="E686" s="190">
        <v>71438.98</v>
      </c>
      <c r="F686" s="190">
        <v>13396.16</v>
      </c>
      <c r="G686"/>
      <c r="H686"/>
    </row>
    <row r="687" spans="1:8" ht="15" customHeight="1" x14ac:dyDescent="0.35">
      <c r="A687">
        <v>45010200101</v>
      </c>
      <c r="B687" t="s">
        <v>477</v>
      </c>
      <c r="C687" s="190">
        <v>0</v>
      </c>
      <c r="D687" s="190">
        <v>81722.63</v>
      </c>
      <c r="E687" s="190">
        <v>71438.98</v>
      </c>
      <c r="F687" s="190">
        <v>10283.65</v>
      </c>
      <c r="G687"/>
      <c r="H687"/>
    </row>
    <row r="688" spans="1:8" ht="15" customHeight="1" x14ac:dyDescent="0.35">
      <c r="A688">
        <v>4501020010101</v>
      </c>
      <c r="B688" t="s">
        <v>324</v>
      </c>
      <c r="C688" s="190">
        <v>0</v>
      </c>
      <c r="D688" s="190">
        <v>19586.75</v>
      </c>
      <c r="E688" s="190">
        <v>9303.1</v>
      </c>
      <c r="F688" s="190">
        <v>10283.65</v>
      </c>
      <c r="G688"/>
      <c r="H688"/>
    </row>
    <row r="689" spans="1:9" ht="15" customHeight="1" x14ac:dyDescent="0.35">
      <c r="A689">
        <v>45010200102</v>
      </c>
      <c r="B689" t="s">
        <v>480</v>
      </c>
      <c r="C689" s="190">
        <v>0</v>
      </c>
      <c r="D689" s="190">
        <v>3112.51</v>
      </c>
      <c r="E689" s="190">
        <v>0</v>
      </c>
      <c r="F689" s="190">
        <v>3112.51</v>
      </c>
      <c r="G689"/>
      <c r="H689"/>
    </row>
    <row r="690" spans="1:9" ht="15" customHeight="1" x14ac:dyDescent="0.35">
      <c r="A690">
        <v>4501020010201</v>
      </c>
      <c r="B690" t="s">
        <v>324</v>
      </c>
      <c r="C690" s="190">
        <v>0</v>
      </c>
      <c r="D690" s="190">
        <v>3112.51</v>
      </c>
      <c r="E690" s="190">
        <v>0</v>
      </c>
      <c r="F690" s="190">
        <v>3112.51</v>
      </c>
      <c r="G690"/>
      <c r="H690"/>
    </row>
    <row r="691" spans="1:9" ht="15" customHeight="1" x14ac:dyDescent="0.35">
      <c r="A691">
        <v>450103</v>
      </c>
      <c r="B691" t="s">
        <v>479</v>
      </c>
      <c r="C691" s="190">
        <v>0</v>
      </c>
      <c r="D691" s="190">
        <v>350216.02</v>
      </c>
      <c r="E691" s="190">
        <v>199592.44</v>
      </c>
      <c r="F691" s="190">
        <v>150623.57999999999</v>
      </c>
      <c r="G691"/>
      <c r="H691"/>
    </row>
    <row r="692" spans="1:9" ht="15" customHeight="1" x14ac:dyDescent="0.35">
      <c r="A692">
        <v>4501030</v>
      </c>
      <c r="B692" t="s">
        <v>479</v>
      </c>
      <c r="C692" s="190">
        <v>0</v>
      </c>
      <c r="D692" s="190">
        <v>350216.02</v>
      </c>
      <c r="E692" s="190">
        <v>199592.44</v>
      </c>
      <c r="F692" s="190">
        <v>150623.57999999999</v>
      </c>
      <c r="G692"/>
      <c r="H692"/>
    </row>
    <row r="693" spans="1:9" ht="15" customHeight="1" x14ac:dyDescent="0.35">
      <c r="A693">
        <v>450103001</v>
      </c>
      <c r="B693" t="s">
        <v>321</v>
      </c>
      <c r="C693" s="190">
        <v>0</v>
      </c>
      <c r="D693" s="190">
        <v>338305.93</v>
      </c>
      <c r="E693" s="190">
        <v>197299.18</v>
      </c>
      <c r="F693" s="190">
        <v>141006.75</v>
      </c>
      <c r="G693"/>
      <c r="H693"/>
    </row>
    <row r="694" spans="1:9" ht="15" customHeight="1" x14ac:dyDescent="0.35">
      <c r="A694">
        <v>45010300101</v>
      </c>
      <c r="B694" t="s">
        <v>477</v>
      </c>
      <c r="C694" s="190">
        <v>0</v>
      </c>
      <c r="D694" s="190">
        <v>302695.43</v>
      </c>
      <c r="E694" s="190">
        <v>182643.56</v>
      </c>
      <c r="F694" s="190">
        <v>120051.87</v>
      </c>
      <c r="G694"/>
      <c r="H694"/>
    </row>
    <row r="695" spans="1:9" ht="15" customHeight="1" x14ac:dyDescent="0.35">
      <c r="A695">
        <v>4501030010101</v>
      </c>
      <c r="B695" t="s">
        <v>327</v>
      </c>
      <c r="C695" s="190">
        <v>0</v>
      </c>
      <c r="D695" s="190">
        <v>90177.38</v>
      </c>
      <c r="E695" s="190">
        <v>72597.490000000005</v>
      </c>
      <c r="F695" s="190">
        <v>17579.89</v>
      </c>
      <c r="G695"/>
      <c r="H695"/>
    </row>
    <row r="696" spans="1:9" ht="15" customHeight="1" x14ac:dyDescent="0.35">
      <c r="A696">
        <v>4501030010102</v>
      </c>
      <c r="B696" t="s">
        <v>328</v>
      </c>
      <c r="C696" s="190">
        <v>0</v>
      </c>
      <c r="D696" s="190">
        <v>139314.01999999999</v>
      </c>
      <c r="E696" s="190">
        <v>36842.04</v>
      </c>
      <c r="F696" s="190">
        <v>102471.98</v>
      </c>
      <c r="G696"/>
      <c r="H696"/>
      <c r="I696" s="167"/>
    </row>
    <row r="697" spans="1:9" ht="15" customHeight="1" x14ac:dyDescent="0.35">
      <c r="A697">
        <v>45010300102</v>
      </c>
      <c r="B697" t="s">
        <v>480</v>
      </c>
      <c r="C697" s="190">
        <v>0</v>
      </c>
      <c r="D697" s="190">
        <v>35610.5</v>
      </c>
      <c r="E697" s="190">
        <v>14655.62</v>
      </c>
      <c r="F697" s="190">
        <v>20954.88</v>
      </c>
      <c r="G697"/>
      <c r="H697"/>
    </row>
    <row r="698" spans="1:9" ht="15" customHeight="1" x14ac:dyDescent="0.35">
      <c r="A698">
        <v>4501030010201</v>
      </c>
      <c r="B698" t="s">
        <v>327</v>
      </c>
      <c r="C698" s="190">
        <v>0</v>
      </c>
      <c r="D698" s="190">
        <v>18806.27</v>
      </c>
      <c r="E698" s="190">
        <v>14465.16</v>
      </c>
      <c r="F698" s="190">
        <v>4341.1099999999997</v>
      </c>
      <c r="G698"/>
      <c r="H698"/>
    </row>
    <row r="699" spans="1:9" ht="15" customHeight="1" x14ac:dyDescent="0.35">
      <c r="A699">
        <v>4501030010202</v>
      </c>
      <c r="B699" t="s">
        <v>328</v>
      </c>
      <c r="C699" s="190">
        <v>0</v>
      </c>
      <c r="D699" s="190">
        <v>16804.23</v>
      </c>
      <c r="E699" s="190">
        <v>190.46</v>
      </c>
      <c r="F699" s="190">
        <v>16613.77</v>
      </c>
      <c r="G699"/>
      <c r="H699"/>
    </row>
    <row r="700" spans="1:9" ht="15" customHeight="1" x14ac:dyDescent="0.35">
      <c r="A700">
        <v>450103002</v>
      </c>
      <c r="B700" t="s">
        <v>402</v>
      </c>
      <c r="C700" s="190">
        <v>0</v>
      </c>
      <c r="D700" s="190">
        <v>11910.09</v>
      </c>
      <c r="E700" s="190">
        <v>2293.2600000000002</v>
      </c>
      <c r="F700" s="190">
        <v>9616.83</v>
      </c>
      <c r="G700"/>
      <c r="H700"/>
    </row>
    <row r="701" spans="1:9" ht="15" customHeight="1" x14ac:dyDescent="0.35">
      <c r="A701">
        <v>45010300201</v>
      </c>
      <c r="B701" t="s">
        <v>629</v>
      </c>
      <c r="C701" s="190">
        <v>0</v>
      </c>
      <c r="D701" s="190">
        <v>11910.09</v>
      </c>
      <c r="E701" s="190">
        <v>2293.2600000000002</v>
      </c>
      <c r="F701" s="190">
        <v>9616.83</v>
      </c>
      <c r="G701"/>
      <c r="H701"/>
    </row>
    <row r="702" spans="1:9" ht="15" customHeight="1" x14ac:dyDescent="0.35">
      <c r="A702">
        <v>4502</v>
      </c>
      <c r="B702" t="s">
        <v>481</v>
      </c>
      <c r="C702" s="190">
        <v>0</v>
      </c>
      <c r="D702" s="190">
        <v>19979.87</v>
      </c>
      <c r="E702" s="190">
        <v>18380.21</v>
      </c>
      <c r="F702" s="190">
        <v>1599.66</v>
      </c>
      <c r="G702"/>
      <c r="H702"/>
    </row>
    <row r="703" spans="1:9" ht="15" customHeight="1" x14ac:dyDescent="0.35">
      <c r="A703">
        <v>450201</v>
      </c>
      <c r="B703" t="s">
        <v>330</v>
      </c>
      <c r="C703" s="190">
        <v>0</v>
      </c>
      <c r="D703" s="190">
        <v>19979.87</v>
      </c>
      <c r="E703" s="190">
        <v>18380.21</v>
      </c>
      <c r="F703" s="190">
        <v>1599.66</v>
      </c>
      <c r="G703"/>
      <c r="H703"/>
    </row>
    <row r="704" spans="1:9" ht="15" customHeight="1" x14ac:dyDescent="0.35">
      <c r="A704">
        <v>4502010</v>
      </c>
      <c r="B704" t="s">
        <v>330</v>
      </c>
      <c r="C704" s="190">
        <v>0</v>
      </c>
      <c r="D704" s="190">
        <v>19979.87</v>
      </c>
      <c r="E704" s="190">
        <v>18380.21</v>
      </c>
      <c r="F704" s="190">
        <v>1599.66</v>
      </c>
      <c r="G704"/>
      <c r="H704"/>
    </row>
    <row r="705" spans="1:8" ht="15" customHeight="1" x14ac:dyDescent="0.35">
      <c r="A705">
        <v>450201002</v>
      </c>
      <c r="B705" t="s">
        <v>402</v>
      </c>
      <c r="C705" s="190">
        <v>0</v>
      </c>
      <c r="D705" s="190">
        <v>19979.87</v>
      </c>
      <c r="E705" s="190">
        <v>18380.21</v>
      </c>
      <c r="F705" s="190">
        <v>1599.66</v>
      </c>
      <c r="G705"/>
      <c r="H705"/>
    </row>
    <row r="706" spans="1:8" ht="15" customHeight="1" x14ac:dyDescent="0.35">
      <c r="A706">
        <v>45020100201</v>
      </c>
      <c r="B706" t="s">
        <v>466</v>
      </c>
      <c r="C706" s="190">
        <v>0</v>
      </c>
      <c r="D706" s="190">
        <v>19281.509999999998</v>
      </c>
      <c r="E706" s="190">
        <v>17681.849999999999</v>
      </c>
      <c r="F706" s="190">
        <v>1599.66</v>
      </c>
      <c r="G706"/>
      <c r="H706"/>
    </row>
    <row r="707" spans="1:8" ht="15" customHeight="1" x14ac:dyDescent="0.35">
      <c r="A707">
        <v>4503</v>
      </c>
      <c r="B707" t="s">
        <v>482</v>
      </c>
      <c r="C707" s="190">
        <v>0</v>
      </c>
      <c r="D707" s="190">
        <v>463687.05</v>
      </c>
      <c r="E707" s="190">
        <v>150371.17000000001</v>
      </c>
      <c r="F707" s="190">
        <v>313315.88</v>
      </c>
      <c r="G707"/>
      <c r="H707"/>
    </row>
    <row r="708" spans="1:8" ht="15" customHeight="1" x14ac:dyDescent="0.35">
      <c r="A708">
        <v>450301</v>
      </c>
      <c r="B708" t="s">
        <v>332</v>
      </c>
      <c r="C708" s="190">
        <v>0</v>
      </c>
      <c r="D708" s="190">
        <v>422609.64</v>
      </c>
      <c r="E708" s="190">
        <v>124697.39</v>
      </c>
      <c r="F708" s="190">
        <v>297912.25</v>
      </c>
      <c r="G708"/>
      <c r="H708"/>
    </row>
    <row r="709" spans="1:8" ht="15" customHeight="1" x14ac:dyDescent="0.35">
      <c r="A709">
        <v>4503010</v>
      </c>
      <c r="B709" t="s">
        <v>332</v>
      </c>
      <c r="C709" s="190">
        <v>0</v>
      </c>
      <c r="D709" s="190">
        <v>422609.64</v>
      </c>
      <c r="E709" s="190">
        <v>124697.39</v>
      </c>
      <c r="F709" s="190">
        <v>297912.25</v>
      </c>
      <c r="G709"/>
      <c r="H709"/>
    </row>
    <row r="710" spans="1:8" ht="15" customHeight="1" x14ac:dyDescent="0.35">
      <c r="A710">
        <v>450301001</v>
      </c>
      <c r="B710" t="s">
        <v>321</v>
      </c>
      <c r="C710" s="190">
        <v>0</v>
      </c>
      <c r="D710" s="190">
        <v>307943.84999999998</v>
      </c>
      <c r="E710" s="190">
        <v>105763.5</v>
      </c>
      <c r="F710" s="190">
        <v>202180.35</v>
      </c>
      <c r="G710"/>
      <c r="H710"/>
    </row>
    <row r="711" spans="1:8" ht="15" customHeight="1" x14ac:dyDescent="0.35">
      <c r="A711">
        <v>45030100101</v>
      </c>
      <c r="B711" t="s">
        <v>477</v>
      </c>
      <c r="C711" s="190">
        <v>0</v>
      </c>
      <c r="D711" s="190">
        <v>235916.16</v>
      </c>
      <c r="E711" s="190">
        <v>86799.95</v>
      </c>
      <c r="F711" s="190">
        <v>149116.21</v>
      </c>
      <c r="G711"/>
      <c r="H711"/>
    </row>
    <row r="712" spans="1:8" ht="15" customHeight="1" x14ac:dyDescent="0.35">
      <c r="A712">
        <v>4503010010101</v>
      </c>
      <c r="B712" t="s">
        <v>603</v>
      </c>
      <c r="C712" s="190">
        <v>0</v>
      </c>
      <c r="D712" s="190">
        <v>54236.59</v>
      </c>
      <c r="E712" s="190">
        <v>9989.2099999999991</v>
      </c>
      <c r="F712" s="190">
        <v>44247.38</v>
      </c>
      <c r="G712"/>
      <c r="H712"/>
    </row>
    <row r="713" spans="1:8" ht="15" customHeight="1" x14ac:dyDescent="0.35">
      <c r="A713">
        <v>4503010010102</v>
      </c>
      <c r="B713" t="s">
        <v>473</v>
      </c>
      <c r="C713" s="190">
        <v>0</v>
      </c>
      <c r="D713" s="190">
        <v>121266.69</v>
      </c>
      <c r="E713" s="190">
        <v>16397.86</v>
      </c>
      <c r="F713" s="190">
        <v>104868.83</v>
      </c>
      <c r="G713"/>
      <c r="H713"/>
    </row>
    <row r="714" spans="1:8" ht="15" customHeight="1" x14ac:dyDescent="0.35">
      <c r="A714">
        <v>45030100102</v>
      </c>
      <c r="B714" t="s">
        <v>480</v>
      </c>
      <c r="C714" s="190">
        <v>0</v>
      </c>
      <c r="D714" s="190">
        <v>72027.69</v>
      </c>
      <c r="E714" s="190">
        <v>18963.55</v>
      </c>
      <c r="F714" s="190">
        <v>53064.14</v>
      </c>
      <c r="G714"/>
      <c r="H714"/>
    </row>
    <row r="715" spans="1:8" ht="15" customHeight="1" x14ac:dyDescent="0.35">
      <c r="A715">
        <v>4503010010201</v>
      </c>
      <c r="B715" t="s">
        <v>603</v>
      </c>
      <c r="C715" s="190">
        <v>0</v>
      </c>
      <c r="D715" s="190">
        <v>29207.79</v>
      </c>
      <c r="E715" s="190">
        <v>5818.63</v>
      </c>
      <c r="F715" s="190">
        <v>23389.16</v>
      </c>
      <c r="G715"/>
      <c r="H715"/>
    </row>
    <row r="716" spans="1:8" ht="15" customHeight="1" x14ac:dyDescent="0.35">
      <c r="A716">
        <v>4503010010202</v>
      </c>
      <c r="B716" t="s">
        <v>335</v>
      </c>
      <c r="C716" s="190">
        <v>0</v>
      </c>
      <c r="D716" s="190">
        <v>42819.9</v>
      </c>
      <c r="E716" s="190">
        <v>13144.92</v>
      </c>
      <c r="F716" s="190">
        <v>29674.98</v>
      </c>
      <c r="G716"/>
      <c r="H716"/>
    </row>
    <row r="717" spans="1:8" ht="15" customHeight="1" x14ac:dyDescent="0.35">
      <c r="A717">
        <v>450301002</v>
      </c>
      <c r="B717" t="s">
        <v>402</v>
      </c>
      <c r="C717" s="190">
        <v>0</v>
      </c>
      <c r="D717" s="190">
        <v>114665.79</v>
      </c>
      <c r="E717" s="190">
        <v>18933.89</v>
      </c>
      <c r="F717" s="190">
        <v>95731.9</v>
      </c>
      <c r="G717"/>
      <c r="H717"/>
    </row>
    <row r="718" spans="1:8" ht="15" customHeight="1" x14ac:dyDescent="0.35">
      <c r="A718">
        <v>45030100202</v>
      </c>
      <c r="B718" t="s">
        <v>627</v>
      </c>
      <c r="C718" s="190">
        <v>0</v>
      </c>
      <c r="D718" s="190">
        <v>114665.79</v>
      </c>
      <c r="E718" s="190">
        <v>18933.89</v>
      </c>
      <c r="F718" s="190">
        <v>95731.9</v>
      </c>
      <c r="G718"/>
      <c r="H718"/>
    </row>
    <row r="719" spans="1:8" ht="15" customHeight="1" x14ac:dyDescent="0.35">
      <c r="A719">
        <v>450302</v>
      </c>
      <c r="B719" t="s">
        <v>336</v>
      </c>
      <c r="C719" s="190">
        <v>0</v>
      </c>
      <c r="D719" s="190">
        <v>41077.410000000003</v>
      </c>
      <c r="E719" s="190">
        <v>25673.78</v>
      </c>
      <c r="F719" s="190">
        <v>15403.63</v>
      </c>
      <c r="G719"/>
      <c r="H719"/>
    </row>
    <row r="720" spans="1:8" ht="15" customHeight="1" x14ac:dyDescent="0.35">
      <c r="A720">
        <v>4503020</v>
      </c>
      <c r="B720" t="s">
        <v>336</v>
      </c>
      <c r="C720" s="190">
        <v>0</v>
      </c>
      <c r="D720" s="190">
        <v>41077.410000000003</v>
      </c>
      <c r="E720" s="190">
        <v>25673.78</v>
      </c>
      <c r="F720" s="190">
        <v>15403.63</v>
      </c>
      <c r="G720"/>
      <c r="H720"/>
    </row>
    <row r="721" spans="1:8" ht="15" customHeight="1" x14ac:dyDescent="0.35">
      <c r="A721">
        <v>450302001</v>
      </c>
      <c r="B721" t="s">
        <v>321</v>
      </c>
      <c r="C721" s="190">
        <v>0</v>
      </c>
      <c r="D721" s="190">
        <v>41077.410000000003</v>
      </c>
      <c r="E721" s="190">
        <v>25673.78</v>
      </c>
      <c r="F721" s="190">
        <v>15403.63</v>
      </c>
      <c r="G721"/>
      <c r="H721"/>
    </row>
    <row r="722" spans="1:8" ht="15" customHeight="1" x14ac:dyDescent="0.35">
      <c r="A722">
        <v>45030200101</v>
      </c>
      <c r="B722" t="s">
        <v>477</v>
      </c>
      <c r="C722" s="190">
        <v>0</v>
      </c>
      <c r="D722" s="190">
        <v>37734.839999999997</v>
      </c>
      <c r="E722" s="190">
        <v>25673.78</v>
      </c>
      <c r="F722" s="190">
        <v>12061.06</v>
      </c>
      <c r="G722"/>
      <c r="H722"/>
    </row>
    <row r="723" spans="1:8" ht="15" customHeight="1" x14ac:dyDescent="0.35">
      <c r="A723">
        <v>4503020010101</v>
      </c>
      <c r="B723" t="s">
        <v>338</v>
      </c>
      <c r="C723" s="190">
        <v>0</v>
      </c>
      <c r="D723" s="190">
        <v>365.04</v>
      </c>
      <c r="E723" s="190">
        <v>365.04</v>
      </c>
      <c r="F723" s="190">
        <v>0</v>
      </c>
      <c r="G723"/>
      <c r="H723"/>
    </row>
    <row r="724" spans="1:8" ht="15" customHeight="1" x14ac:dyDescent="0.35">
      <c r="A724">
        <v>4503020010102</v>
      </c>
      <c r="B724" t="s">
        <v>339</v>
      </c>
      <c r="C724" s="190">
        <v>0</v>
      </c>
      <c r="D724" s="190">
        <v>12632.11</v>
      </c>
      <c r="E724" s="190">
        <v>571.04999999999995</v>
      </c>
      <c r="F724" s="190">
        <v>12061.06</v>
      </c>
      <c r="G724"/>
      <c r="H724"/>
    </row>
    <row r="725" spans="1:8" ht="15" customHeight="1" x14ac:dyDescent="0.35">
      <c r="A725">
        <v>45030200102</v>
      </c>
      <c r="B725" t="s">
        <v>480</v>
      </c>
      <c r="C725" s="190">
        <v>0</v>
      </c>
      <c r="D725" s="190">
        <v>3342.57</v>
      </c>
      <c r="E725" s="190">
        <v>0</v>
      </c>
      <c r="F725" s="190">
        <v>3342.57</v>
      </c>
      <c r="G725"/>
      <c r="H725"/>
    </row>
    <row r="726" spans="1:8" ht="15" customHeight="1" x14ac:dyDescent="0.35">
      <c r="A726">
        <v>4503020010202</v>
      </c>
      <c r="B726" t="s">
        <v>339</v>
      </c>
      <c r="C726" s="190">
        <v>0</v>
      </c>
      <c r="D726" s="190">
        <v>3342.57</v>
      </c>
      <c r="E726" s="190">
        <v>0</v>
      </c>
      <c r="F726" s="190">
        <v>3342.57</v>
      </c>
      <c r="G726"/>
      <c r="H726"/>
    </row>
    <row r="727" spans="1:8" ht="15" customHeight="1" x14ac:dyDescent="0.35">
      <c r="A727">
        <v>4510</v>
      </c>
      <c r="B727" t="s">
        <v>611</v>
      </c>
      <c r="C727" s="190">
        <v>0</v>
      </c>
      <c r="D727" s="190">
        <v>1.4</v>
      </c>
      <c r="E727" s="190">
        <v>1.4</v>
      </c>
      <c r="F727" s="190">
        <v>0</v>
      </c>
      <c r="G727"/>
      <c r="H727"/>
    </row>
    <row r="728" spans="1:8" ht="15" customHeight="1" x14ac:dyDescent="0.35">
      <c r="A728">
        <v>451001</v>
      </c>
      <c r="B728" t="s">
        <v>612</v>
      </c>
      <c r="C728" s="190">
        <v>0</v>
      </c>
      <c r="D728" s="190">
        <v>1.4</v>
      </c>
      <c r="E728" s="190">
        <v>1.4</v>
      </c>
      <c r="F728" s="190">
        <v>0</v>
      </c>
      <c r="G728"/>
      <c r="H728"/>
    </row>
    <row r="729" spans="1:8" ht="15" customHeight="1" x14ac:dyDescent="0.35">
      <c r="A729">
        <v>4510010</v>
      </c>
      <c r="B729" t="s">
        <v>612</v>
      </c>
      <c r="C729" s="190">
        <v>0</v>
      </c>
      <c r="D729" s="190">
        <v>0.7</v>
      </c>
      <c r="E729" s="190">
        <v>0.7</v>
      </c>
      <c r="F729" s="190">
        <v>0</v>
      </c>
      <c r="G729"/>
      <c r="H729"/>
    </row>
    <row r="730" spans="1:8" ht="15" customHeight="1" x14ac:dyDescent="0.35">
      <c r="A730">
        <v>45100100301</v>
      </c>
      <c r="B730" t="s">
        <v>613</v>
      </c>
      <c r="C730" s="190">
        <v>0</v>
      </c>
      <c r="D730" s="190">
        <v>0.7</v>
      </c>
      <c r="E730" s="190">
        <v>0.7</v>
      </c>
      <c r="F730" s="190">
        <v>0</v>
      </c>
      <c r="G730"/>
      <c r="H730"/>
    </row>
    <row r="731" spans="1:8" ht="15" customHeight="1" x14ac:dyDescent="0.35">
      <c r="A731">
        <v>4515</v>
      </c>
      <c r="B731" t="s">
        <v>207</v>
      </c>
      <c r="C731" s="190">
        <v>0</v>
      </c>
      <c r="D731" s="190">
        <v>853874.78</v>
      </c>
      <c r="E731" s="190">
        <v>146007.82999999999</v>
      </c>
      <c r="F731" s="190">
        <v>707866.95</v>
      </c>
      <c r="G731"/>
      <c r="H731"/>
    </row>
    <row r="732" spans="1:8" ht="15" customHeight="1" x14ac:dyDescent="0.35">
      <c r="A732">
        <v>451503</v>
      </c>
      <c r="B732" t="s">
        <v>441</v>
      </c>
      <c r="C732" s="190">
        <v>0</v>
      </c>
      <c r="D732" s="190">
        <v>4050</v>
      </c>
      <c r="E732" s="190">
        <v>0</v>
      </c>
      <c r="F732" s="190">
        <v>4050</v>
      </c>
      <c r="G732"/>
      <c r="H732"/>
    </row>
    <row r="733" spans="1:8" ht="15" customHeight="1" x14ac:dyDescent="0.35">
      <c r="A733">
        <v>4515030</v>
      </c>
      <c r="B733" t="s">
        <v>441</v>
      </c>
      <c r="C733" s="190">
        <v>0</v>
      </c>
      <c r="D733" s="190">
        <v>4050</v>
      </c>
      <c r="E733" s="190">
        <v>0</v>
      </c>
      <c r="F733" s="190">
        <v>4050</v>
      </c>
      <c r="G733"/>
      <c r="H733"/>
    </row>
    <row r="734" spans="1:8" ht="15" customHeight="1" x14ac:dyDescent="0.35">
      <c r="A734">
        <v>451503002</v>
      </c>
      <c r="B734" t="s">
        <v>443</v>
      </c>
      <c r="C734" s="190">
        <v>0</v>
      </c>
      <c r="D734" s="190">
        <v>4050</v>
      </c>
      <c r="E734" s="190">
        <v>0</v>
      </c>
      <c r="F734" s="190">
        <v>4050</v>
      </c>
      <c r="G734"/>
      <c r="H734"/>
    </row>
    <row r="735" spans="1:8" ht="15" customHeight="1" x14ac:dyDescent="0.35">
      <c r="A735">
        <v>451505</v>
      </c>
      <c r="B735" t="s">
        <v>74</v>
      </c>
      <c r="C735" s="190">
        <v>0</v>
      </c>
      <c r="D735" s="190">
        <v>10.95</v>
      </c>
      <c r="E735" s="190">
        <v>0</v>
      </c>
      <c r="F735" s="190">
        <v>10.95</v>
      </c>
      <c r="G735"/>
      <c r="H735"/>
    </row>
    <row r="736" spans="1:8" ht="15" customHeight="1" x14ac:dyDescent="0.35">
      <c r="A736">
        <v>4515050</v>
      </c>
      <c r="B736" t="s">
        <v>74</v>
      </c>
      <c r="C736" s="190">
        <v>0</v>
      </c>
      <c r="D736" s="190">
        <v>10.95</v>
      </c>
      <c r="E736" s="190">
        <v>0</v>
      </c>
      <c r="F736" s="190">
        <v>10.95</v>
      </c>
      <c r="G736"/>
      <c r="H736"/>
    </row>
    <row r="737" spans="1:8" ht="15" customHeight="1" x14ac:dyDescent="0.35">
      <c r="A737">
        <v>451505002</v>
      </c>
      <c r="B737" t="s">
        <v>483</v>
      </c>
      <c r="C737" s="190">
        <v>0</v>
      </c>
      <c r="D737" s="190">
        <v>10.95</v>
      </c>
      <c r="E737" s="190">
        <v>0</v>
      </c>
      <c r="F737" s="190">
        <v>10.95</v>
      </c>
      <c r="G737"/>
      <c r="H737"/>
    </row>
    <row r="738" spans="1:8" ht="15" customHeight="1" x14ac:dyDescent="0.35">
      <c r="A738">
        <v>451509</v>
      </c>
      <c r="B738" t="s">
        <v>484</v>
      </c>
      <c r="C738" s="190">
        <v>0</v>
      </c>
      <c r="D738" s="190">
        <v>537.98</v>
      </c>
      <c r="E738" s="190">
        <v>0</v>
      </c>
      <c r="F738" s="190">
        <v>537.98</v>
      </c>
      <c r="G738"/>
      <c r="H738"/>
    </row>
    <row r="739" spans="1:8" ht="15" customHeight="1" x14ac:dyDescent="0.35">
      <c r="A739">
        <v>451513</v>
      </c>
      <c r="B739" t="s">
        <v>524</v>
      </c>
      <c r="C739" s="190">
        <v>0</v>
      </c>
      <c r="D739" s="190">
        <v>3500</v>
      </c>
      <c r="E739" s="190">
        <v>3500</v>
      </c>
      <c r="F739" s="190">
        <v>0</v>
      </c>
      <c r="G739"/>
      <c r="H739"/>
    </row>
    <row r="740" spans="1:8" ht="15" customHeight="1" x14ac:dyDescent="0.35">
      <c r="A740">
        <v>4515130</v>
      </c>
      <c r="B740" t="s">
        <v>524</v>
      </c>
      <c r="C740" s="190">
        <v>0</v>
      </c>
      <c r="D740" s="190">
        <v>3500</v>
      </c>
      <c r="E740" s="190">
        <v>3500</v>
      </c>
      <c r="F740" s="190">
        <v>0</v>
      </c>
      <c r="G740"/>
      <c r="H740"/>
    </row>
    <row r="741" spans="1:8" ht="15" customHeight="1" x14ac:dyDescent="0.35">
      <c r="A741">
        <v>451513001</v>
      </c>
      <c r="B741" t="s">
        <v>761</v>
      </c>
      <c r="C741" s="190">
        <v>0</v>
      </c>
      <c r="D741" s="190">
        <v>3500</v>
      </c>
      <c r="E741" s="190">
        <v>3500</v>
      </c>
      <c r="F741" s="190">
        <v>0</v>
      </c>
      <c r="G741"/>
      <c r="H741"/>
    </row>
    <row r="742" spans="1:8" ht="15" customHeight="1" x14ac:dyDescent="0.35">
      <c r="A742">
        <v>451516</v>
      </c>
      <c r="B742" t="s">
        <v>485</v>
      </c>
      <c r="C742" s="190">
        <v>0</v>
      </c>
      <c r="D742" s="190">
        <v>8632.6200000000008</v>
      </c>
      <c r="E742" s="190">
        <v>843.04</v>
      </c>
      <c r="F742" s="190">
        <v>7789.58</v>
      </c>
      <c r="G742"/>
      <c r="H742"/>
    </row>
    <row r="743" spans="1:8" ht="15" customHeight="1" x14ac:dyDescent="0.35">
      <c r="A743">
        <v>4515160</v>
      </c>
      <c r="B743" t="s">
        <v>485</v>
      </c>
      <c r="C743" s="190">
        <v>0</v>
      </c>
      <c r="D743" s="190">
        <v>8632.6200000000008</v>
      </c>
      <c r="E743" s="190">
        <v>843.04</v>
      </c>
      <c r="F743" s="190">
        <v>7789.58</v>
      </c>
      <c r="G743"/>
      <c r="H743"/>
    </row>
    <row r="744" spans="1:8" ht="15" customHeight="1" x14ac:dyDescent="0.35">
      <c r="A744">
        <v>451516001</v>
      </c>
      <c r="B744" t="s">
        <v>341</v>
      </c>
      <c r="C744" s="190">
        <v>0</v>
      </c>
      <c r="D744" s="190">
        <v>128.72</v>
      </c>
      <c r="E744" s="190">
        <v>0</v>
      </c>
      <c r="F744" s="190">
        <v>128.72</v>
      </c>
      <c r="G744"/>
      <c r="H744"/>
    </row>
    <row r="745" spans="1:8" ht="15" customHeight="1" x14ac:dyDescent="0.35">
      <c r="A745">
        <v>451516002</v>
      </c>
      <c r="B745" t="s">
        <v>327</v>
      </c>
      <c r="C745" s="190">
        <v>0</v>
      </c>
      <c r="D745" s="190">
        <v>15.7</v>
      </c>
      <c r="E745" s="190">
        <v>0</v>
      </c>
      <c r="F745" s="190">
        <v>15.7</v>
      </c>
      <c r="G745"/>
      <c r="H745"/>
    </row>
    <row r="746" spans="1:8" ht="15" customHeight="1" x14ac:dyDescent="0.35">
      <c r="A746">
        <v>451516003</v>
      </c>
      <c r="B746" t="s">
        <v>328</v>
      </c>
      <c r="C746" s="190">
        <v>0</v>
      </c>
      <c r="D746" s="190">
        <v>2897.64</v>
      </c>
      <c r="E746" s="190">
        <v>430.35</v>
      </c>
      <c r="F746" s="190">
        <v>2467.29</v>
      </c>
      <c r="G746"/>
      <c r="H746"/>
    </row>
    <row r="747" spans="1:8" ht="15" customHeight="1" x14ac:dyDescent="0.35">
      <c r="A747">
        <v>451516004</v>
      </c>
      <c r="B747" t="s">
        <v>334</v>
      </c>
      <c r="C747" s="190">
        <v>0</v>
      </c>
      <c r="D747" s="190">
        <v>5525.57</v>
      </c>
      <c r="E747" s="190">
        <v>412.69</v>
      </c>
      <c r="F747" s="190">
        <v>5112.88</v>
      </c>
      <c r="G747"/>
      <c r="H747"/>
    </row>
    <row r="748" spans="1:8" ht="15" customHeight="1" x14ac:dyDescent="0.35">
      <c r="A748">
        <v>451516005</v>
      </c>
      <c r="B748" t="s">
        <v>335</v>
      </c>
      <c r="C748" s="190">
        <v>0</v>
      </c>
      <c r="D748" s="190">
        <v>64.989999999999995</v>
      </c>
      <c r="E748" s="190">
        <v>0</v>
      </c>
      <c r="F748" s="190">
        <v>64.989999999999995</v>
      </c>
      <c r="G748"/>
      <c r="H748"/>
    </row>
    <row r="749" spans="1:8" ht="15" customHeight="1" x14ac:dyDescent="0.35">
      <c r="A749">
        <v>451518</v>
      </c>
      <c r="B749" t="s">
        <v>486</v>
      </c>
      <c r="C749" s="190">
        <v>0</v>
      </c>
      <c r="D749" s="190">
        <v>84.75</v>
      </c>
      <c r="E749" s="190">
        <v>0</v>
      </c>
      <c r="F749" s="190">
        <v>84.75</v>
      </c>
      <c r="G749"/>
      <c r="H749"/>
    </row>
    <row r="750" spans="1:8" ht="15" customHeight="1" x14ac:dyDescent="0.35">
      <c r="A750">
        <v>4515180</v>
      </c>
      <c r="B750" t="s">
        <v>486</v>
      </c>
      <c r="C750" s="190">
        <v>0</v>
      </c>
      <c r="D750" s="190">
        <v>84.75</v>
      </c>
      <c r="E750" s="190">
        <v>0</v>
      </c>
      <c r="F750" s="190">
        <v>84.75</v>
      </c>
      <c r="G750"/>
      <c r="H750"/>
    </row>
    <row r="751" spans="1:8" ht="15" customHeight="1" x14ac:dyDescent="0.35">
      <c r="A751">
        <v>451518001</v>
      </c>
      <c r="B751" t="s">
        <v>487</v>
      </c>
      <c r="C751" s="190">
        <v>0</v>
      </c>
      <c r="D751" s="190">
        <v>84.75</v>
      </c>
      <c r="E751" s="190">
        <v>0</v>
      </c>
      <c r="F751" s="190">
        <v>84.75</v>
      </c>
      <c r="G751"/>
      <c r="H751"/>
    </row>
    <row r="752" spans="1:8" ht="15" customHeight="1" x14ac:dyDescent="0.35">
      <c r="A752">
        <v>451527</v>
      </c>
      <c r="B752" t="s">
        <v>488</v>
      </c>
      <c r="C752" s="190">
        <v>0</v>
      </c>
      <c r="D752" s="190">
        <v>81.650000000000006</v>
      </c>
      <c r="E752" s="190">
        <v>0</v>
      </c>
      <c r="F752" s="190">
        <v>81.650000000000006</v>
      </c>
      <c r="G752"/>
      <c r="H752"/>
    </row>
    <row r="753" spans="1:8" ht="15" customHeight="1" x14ac:dyDescent="0.35">
      <c r="A753">
        <v>451528</v>
      </c>
      <c r="B753" t="s">
        <v>489</v>
      </c>
      <c r="C753" s="190">
        <v>0</v>
      </c>
      <c r="D753" s="190">
        <v>80.48</v>
      </c>
      <c r="E753" s="190">
        <v>0</v>
      </c>
      <c r="F753" s="190">
        <v>80.48</v>
      </c>
      <c r="G753"/>
      <c r="H753"/>
    </row>
    <row r="754" spans="1:8" ht="15" customHeight="1" x14ac:dyDescent="0.35">
      <c r="A754">
        <v>451599</v>
      </c>
      <c r="B754" t="s">
        <v>206</v>
      </c>
      <c r="C754" s="190">
        <v>0</v>
      </c>
      <c r="D754" s="190">
        <v>836896.35</v>
      </c>
      <c r="E754" s="190">
        <v>141664.79</v>
      </c>
      <c r="F754" s="190">
        <v>695231.56</v>
      </c>
      <c r="G754"/>
      <c r="H754"/>
    </row>
    <row r="755" spans="1:8" ht="15" customHeight="1" x14ac:dyDescent="0.35">
      <c r="A755">
        <v>4515990</v>
      </c>
      <c r="B755" t="s">
        <v>206</v>
      </c>
      <c r="C755" s="190">
        <v>0</v>
      </c>
      <c r="D755" s="190">
        <v>836896.35</v>
      </c>
      <c r="E755" s="190">
        <v>141664.79</v>
      </c>
      <c r="F755" s="190">
        <v>695231.56</v>
      </c>
      <c r="G755"/>
      <c r="H755"/>
    </row>
    <row r="756" spans="1:8" ht="15" customHeight="1" x14ac:dyDescent="0.35">
      <c r="A756">
        <v>451599001</v>
      </c>
      <c r="B756" t="s">
        <v>490</v>
      </c>
      <c r="C756" s="190">
        <v>0</v>
      </c>
      <c r="D756" s="190">
        <v>789819.12</v>
      </c>
      <c r="E756" s="190">
        <v>141664.79</v>
      </c>
      <c r="F756" s="190">
        <v>648154.32999999996</v>
      </c>
      <c r="G756"/>
      <c r="H756"/>
    </row>
    <row r="757" spans="1:8" ht="15" customHeight="1" x14ac:dyDescent="0.35">
      <c r="A757">
        <v>451599002</v>
      </c>
      <c r="B757" t="s">
        <v>630</v>
      </c>
      <c r="C757" s="190">
        <v>0</v>
      </c>
      <c r="D757" s="190">
        <v>160.19</v>
      </c>
      <c r="E757" s="190">
        <v>0</v>
      </c>
      <c r="F757" s="190">
        <v>160.19</v>
      </c>
      <c r="G757"/>
      <c r="H757"/>
    </row>
    <row r="758" spans="1:8" ht="15" customHeight="1" x14ac:dyDescent="0.35">
      <c r="A758">
        <v>451599003</v>
      </c>
      <c r="B758" t="s">
        <v>631</v>
      </c>
      <c r="C758" s="190">
        <v>0</v>
      </c>
      <c r="D758" s="190">
        <v>46917.04</v>
      </c>
      <c r="E758" s="190">
        <v>0</v>
      </c>
      <c r="F758" s="190">
        <v>46917.04</v>
      </c>
      <c r="G758"/>
      <c r="H758"/>
    </row>
    <row r="759" spans="1:8" ht="15" customHeight="1" x14ac:dyDescent="0.35">
      <c r="A759">
        <v>46</v>
      </c>
      <c r="B759" t="s">
        <v>180</v>
      </c>
      <c r="C759" s="190">
        <v>0</v>
      </c>
      <c r="D759" s="190">
        <v>3252651.29</v>
      </c>
      <c r="E759" s="190">
        <v>2070191.76</v>
      </c>
      <c r="F759" s="190">
        <v>1182459.53</v>
      </c>
      <c r="G759"/>
      <c r="H759"/>
    </row>
    <row r="760" spans="1:8" ht="15" customHeight="1" x14ac:dyDescent="0.35">
      <c r="A760">
        <v>4601</v>
      </c>
      <c r="B760" t="s">
        <v>191</v>
      </c>
      <c r="C760" s="190">
        <v>0</v>
      </c>
      <c r="D760" s="190">
        <v>1373596.97</v>
      </c>
      <c r="E760" s="190">
        <v>1027732.95</v>
      </c>
      <c r="F760" s="190">
        <v>345864.02</v>
      </c>
      <c r="G760"/>
      <c r="H760"/>
    </row>
    <row r="761" spans="1:8" ht="15" customHeight="1" x14ac:dyDescent="0.35">
      <c r="A761">
        <v>460101</v>
      </c>
      <c r="B761" t="s">
        <v>491</v>
      </c>
      <c r="C761" s="190">
        <v>0</v>
      </c>
      <c r="D761" s="190">
        <v>96243.16</v>
      </c>
      <c r="E761" s="190">
        <v>94123.67</v>
      </c>
      <c r="F761" s="190">
        <v>2119.4899999999998</v>
      </c>
      <c r="G761"/>
      <c r="H761"/>
    </row>
    <row r="762" spans="1:8" ht="15" customHeight="1" x14ac:dyDescent="0.35">
      <c r="A762">
        <v>4601010</v>
      </c>
      <c r="B762" t="s">
        <v>491</v>
      </c>
      <c r="C762" s="190">
        <v>0</v>
      </c>
      <c r="D762" s="190">
        <v>96243.16</v>
      </c>
      <c r="E762" s="190">
        <v>94123.67</v>
      </c>
      <c r="F762" s="190">
        <v>2119.4899999999998</v>
      </c>
      <c r="G762"/>
      <c r="H762"/>
    </row>
    <row r="763" spans="1:8" ht="15" customHeight="1" x14ac:dyDescent="0.35">
      <c r="A763">
        <v>460101001</v>
      </c>
      <c r="B763" t="s">
        <v>321</v>
      </c>
      <c r="C763" s="190">
        <v>0</v>
      </c>
      <c r="D763" s="190">
        <v>96243.16</v>
      </c>
      <c r="E763" s="190">
        <v>94123.67</v>
      </c>
      <c r="F763" s="190">
        <v>2119.4899999999998</v>
      </c>
      <c r="G763"/>
      <c r="H763"/>
    </row>
    <row r="764" spans="1:8" ht="15" customHeight="1" x14ac:dyDescent="0.35">
      <c r="A764">
        <v>46010100101</v>
      </c>
      <c r="B764" t="s">
        <v>477</v>
      </c>
      <c r="C764" s="190">
        <v>0</v>
      </c>
      <c r="D764" s="190">
        <v>96032.77</v>
      </c>
      <c r="E764" s="190">
        <v>94123.67</v>
      </c>
      <c r="F764" s="190">
        <v>1909.1</v>
      </c>
      <c r="G764"/>
      <c r="H764"/>
    </row>
    <row r="765" spans="1:8" ht="15" customHeight="1" x14ac:dyDescent="0.35">
      <c r="A765">
        <v>4601010010101</v>
      </c>
      <c r="B765" t="s">
        <v>322</v>
      </c>
      <c r="C765" s="190">
        <v>0</v>
      </c>
      <c r="D765" s="190">
        <v>52165.05</v>
      </c>
      <c r="E765" s="190">
        <v>50255.95</v>
      </c>
      <c r="F765" s="190">
        <v>1909.1</v>
      </c>
      <c r="G765"/>
      <c r="H765"/>
    </row>
    <row r="766" spans="1:8" ht="15" customHeight="1" x14ac:dyDescent="0.35">
      <c r="A766">
        <v>46010100102</v>
      </c>
      <c r="B766" t="s">
        <v>480</v>
      </c>
      <c r="C766" s="190">
        <v>0</v>
      </c>
      <c r="D766" s="190">
        <v>210.39</v>
      </c>
      <c r="E766" s="190">
        <v>0</v>
      </c>
      <c r="F766" s="190">
        <v>210.39</v>
      </c>
      <c r="G766"/>
      <c r="H766"/>
    </row>
    <row r="767" spans="1:8" ht="15" customHeight="1" x14ac:dyDescent="0.35">
      <c r="A767">
        <v>4601010010201</v>
      </c>
      <c r="B767" t="s">
        <v>322</v>
      </c>
      <c r="C767" s="190">
        <v>0</v>
      </c>
      <c r="D767" s="190">
        <v>210.39</v>
      </c>
      <c r="E767" s="190">
        <v>0</v>
      </c>
      <c r="F767" s="190">
        <v>210.39</v>
      </c>
      <c r="G767"/>
      <c r="H767"/>
    </row>
    <row r="768" spans="1:8" ht="15" customHeight="1" x14ac:dyDescent="0.35">
      <c r="A768">
        <v>460102</v>
      </c>
      <c r="B768" t="s">
        <v>478</v>
      </c>
      <c r="C768" s="190">
        <v>0</v>
      </c>
      <c r="D768" s="190">
        <v>512767.76</v>
      </c>
      <c r="E768" s="190">
        <v>252981.08</v>
      </c>
      <c r="F768" s="190">
        <v>259786.68</v>
      </c>
      <c r="G768"/>
      <c r="H768"/>
    </row>
    <row r="769" spans="1:8" ht="15" customHeight="1" x14ac:dyDescent="0.35">
      <c r="A769">
        <v>4601020</v>
      </c>
      <c r="B769" t="s">
        <v>478</v>
      </c>
      <c r="C769" s="190">
        <v>0</v>
      </c>
      <c r="D769" s="190">
        <v>512767.76</v>
      </c>
      <c r="E769" s="190">
        <v>252981.08</v>
      </c>
      <c r="F769" s="190">
        <v>259786.68</v>
      </c>
      <c r="G769"/>
      <c r="H769"/>
    </row>
    <row r="770" spans="1:8" ht="15" customHeight="1" x14ac:dyDescent="0.35">
      <c r="A770">
        <v>460102001</v>
      </c>
      <c r="B770" t="s">
        <v>321</v>
      </c>
      <c r="C770" s="190">
        <v>0</v>
      </c>
      <c r="D770" s="190">
        <v>512767.76</v>
      </c>
      <c r="E770" s="190">
        <v>252981.08</v>
      </c>
      <c r="F770" s="190">
        <v>259786.68</v>
      </c>
      <c r="G770"/>
      <c r="H770"/>
    </row>
    <row r="771" spans="1:8" ht="15" customHeight="1" x14ac:dyDescent="0.35">
      <c r="A771">
        <v>46010200101</v>
      </c>
      <c r="B771" t="s">
        <v>477</v>
      </c>
      <c r="C771" s="190">
        <v>0</v>
      </c>
      <c r="D771" s="190">
        <v>512767.76</v>
      </c>
      <c r="E771" s="190">
        <v>252981.08</v>
      </c>
      <c r="F771" s="190">
        <v>259786.68</v>
      </c>
      <c r="G771"/>
      <c r="H771"/>
    </row>
    <row r="772" spans="1:8" ht="15" customHeight="1" x14ac:dyDescent="0.35">
      <c r="A772">
        <v>4601020010101</v>
      </c>
      <c r="B772" t="s">
        <v>324</v>
      </c>
      <c r="C772" s="190">
        <v>0</v>
      </c>
      <c r="D772" s="190">
        <v>259786.68</v>
      </c>
      <c r="E772" s="190">
        <v>0</v>
      </c>
      <c r="F772" s="190">
        <v>259786.68</v>
      </c>
      <c r="G772"/>
      <c r="H772"/>
    </row>
    <row r="773" spans="1:8" ht="15" customHeight="1" x14ac:dyDescent="0.35">
      <c r="A773">
        <v>460103</v>
      </c>
      <c r="B773" t="s">
        <v>479</v>
      </c>
      <c r="C773" s="190">
        <v>0</v>
      </c>
      <c r="D773" s="190">
        <v>764586.05</v>
      </c>
      <c r="E773" s="190">
        <v>680628.2</v>
      </c>
      <c r="F773" s="190">
        <v>83957.85</v>
      </c>
      <c r="G773"/>
      <c r="H773"/>
    </row>
    <row r="774" spans="1:8" ht="15" customHeight="1" x14ac:dyDescent="0.35">
      <c r="A774">
        <v>4601030</v>
      </c>
      <c r="B774" t="s">
        <v>479</v>
      </c>
      <c r="C774" s="190">
        <v>0</v>
      </c>
      <c r="D774" s="190">
        <v>764586.05</v>
      </c>
      <c r="E774" s="190">
        <v>680628.2</v>
      </c>
      <c r="F774" s="190">
        <v>83957.85</v>
      </c>
      <c r="G774"/>
      <c r="H774"/>
    </row>
    <row r="775" spans="1:8" ht="15" customHeight="1" x14ac:dyDescent="0.35">
      <c r="A775">
        <v>460103001</v>
      </c>
      <c r="B775" t="s">
        <v>321</v>
      </c>
      <c r="C775" s="190">
        <v>0</v>
      </c>
      <c r="D775" s="190">
        <v>753016.36</v>
      </c>
      <c r="E775" s="190">
        <v>669058.51</v>
      </c>
      <c r="F775" s="190">
        <v>83957.85</v>
      </c>
      <c r="G775"/>
      <c r="H775"/>
    </row>
    <row r="776" spans="1:8" ht="15" customHeight="1" x14ac:dyDescent="0.35">
      <c r="A776">
        <v>46010300101</v>
      </c>
      <c r="B776" t="s">
        <v>477</v>
      </c>
      <c r="C776" s="190">
        <v>0</v>
      </c>
      <c r="D776" s="190">
        <v>605332.72</v>
      </c>
      <c r="E776" s="190">
        <v>595126.59</v>
      </c>
      <c r="F776" s="190">
        <v>10206.129999999999</v>
      </c>
      <c r="G776"/>
      <c r="H776"/>
    </row>
    <row r="777" spans="1:8" ht="15" customHeight="1" x14ac:dyDescent="0.35">
      <c r="A777">
        <v>4601030010101</v>
      </c>
      <c r="B777" t="s">
        <v>327</v>
      </c>
      <c r="C777" s="190">
        <v>0</v>
      </c>
      <c r="D777" s="190">
        <v>365095.64</v>
      </c>
      <c r="E777" s="190">
        <v>356835.57</v>
      </c>
      <c r="F777" s="190">
        <v>8260.07</v>
      </c>
      <c r="G777"/>
      <c r="H777"/>
    </row>
    <row r="778" spans="1:8" ht="15" customHeight="1" x14ac:dyDescent="0.35">
      <c r="A778">
        <v>4601030010102</v>
      </c>
      <c r="B778" t="s">
        <v>328</v>
      </c>
      <c r="C778" s="190">
        <v>0</v>
      </c>
      <c r="D778" s="190">
        <v>240237.08</v>
      </c>
      <c r="E778" s="190">
        <v>238291.02</v>
      </c>
      <c r="F778" s="190">
        <v>1946.06</v>
      </c>
      <c r="G778"/>
      <c r="H778"/>
    </row>
    <row r="779" spans="1:8" ht="15" customHeight="1" x14ac:dyDescent="0.35">
      <c r="A779">
        <v>46010300102</v>
      </c>
      <c r="B779" t="s">
        <v>480</v>
      </c>
      <c r="C779" s="190">
        <v>0</v>
      </c>
      <c r="D779" s="190">
        <v>147683.64000000001</v>
      </c>
      <c r="E779" s="190">
        <v>73931.92</v>
      </c>
      <c r="F779" s="190">
        <v>73751.72</v>
      </c>
      <c r="G779"/>
      <c r="H779"/>
    </row>
    <row r="780" spans="1:8" ht="15" customHeight="1" x14ac:dyDescent="0.35">
      <c r="A780">
        <v>4601030010201</v>
      </c>
      <c r="B780" t="s">
        <v>327</v>
      </c>
      <c r="C780" s="190">
        <v>0</v>
      </c>
      <c r="D780" s="190">
        <v>80484.31</v>
      </c>
      <c r="E780" s="190">
        <v>73931.92</v>
      </c>
      <c r="F780" s="190">
        <v>6552.39</v>
      </c>
      <c r="G780"/>
      <c r="H780"/>
    </row>
    <row r="781" spans="1:8" ht="15" customHeight="1" x14ac:dyDescent="0.35">
      <c r="A781">
        <v>4601030010202</v>
      </c>
      <c r="B781" t="s">
        <v>328</v>
      </c>
      <c r="C781" s="190">
        <v>0</v>
      </c>
      <c r="D781" s="190">
        <v>67199.33</v>
      </c>
      <c r="E781" s="190">
        <v>0</v>
      </c>
      <c r="F781" s="190">
        <v>67199.33</v>
      </c>
      <c r="G781"/>
      <c r="H781"/>
    </row>
    <row r="782" spans="1:8" ht="15" customHeight="1" x14ac:dyDescent="0.35">
      <c r="A782">
        <v>460103002</v>
      </c>
      <c r="B782" t="s">
        <v>402</v>
      </c>
      <c r="C782" s="190">
        <v>0</v>
      </c>
      <c r="D782" s="190">
        <v>11569.69</v>
      </c>
      <c r="E782" s="190">
        <v>11569.69</v>
      </c>
      <c r="F782" s="190">
        <v>0</v>
      </c>
      <c r="G782"/>
      <c r="H782"/>
    </row>
    <row r="783" spans="1:8" ht="15" customHeight="1" x14ac:dyDescent="0.35">
      <c r="A783">
        <v>46010300201</v>
      </c>
      <c r="B783" t="s">
        <v>629</v>
      </c>
      <c r="C783" s="190">
        <v>0</v>
      </c>
      <c r="D783" s="190">
        <v>11569.69</v>
      </c>
      <c r="E783" s="190">
        <v>11569.69</v>
      </c>
      <c r="F783" s="190">
        <v>0</v>
      </c>
      <c r="G783"/>
      <c r="H783"/>
    </row>
    <row r="784" spans="1:8" ht="15" customHeight="1" x14ac:dyDescent="0.35">
      <c r="A784">
        <v>4602</v>
      </c>
      <c r="B784" t="s">
        <v>391</v>
      </c>
      <c r="C784" s="190">
        <v>0</v>
      </c>
      <c r="D784" s="190">
        <v>796774.71</v>
      </c>
      <c r="E784" s="190">
        <v>386610.94</v>
      </c>
      <c r="F784" s="190">
        <v>410163.77</v>
      </c>
      <c r="G784"/>
      <c r="H784"/>
    </row>
    <row r="785" spans="1:8" ht="15" customHeight="1" x14ac:dyDescent="0.35">
      <c r="A785">
        <v>460201</v>
      </c>
      <c r="B785" t="s">
        <v>330</v>
      </c>
      <c r="C785" s="190">
        <v>0</v>
      </c>
      <c r="D785" s="190">
        <v>796774.71</v>
      </c>
      <c r="E785" s="190">
        <v>386610.94</v>
      </c>
      <c r="F785" s="190">
        <v>410163.77</v>
      </c>
      <c r="G785"/>
      <c r="H785"/>
    </row>
    <row r="786" spans="1:8" ht="15" customHeight="1" x14ac:dyDescent="0.35">
      <c r="A786">
        <v>4602010</v>
      </c>
      <c r="B786" t="s">
        <v>330</v>
      </c>
      <c r="C786" s="190">
        <v>0</v>
      </c>
      <c r="D786" s="190">
        <v>796774.71</v>
      </c>
      <c r="E786" s="190">
        <v>386610.94</v>
      </c>
      <c r="F786" s="190">
        <v>410163.77</v>
      </c>
      <c r="G786"/>
      <c r="H786"/>
    </row>
    <row r="787" spans="1:8" ht="15" customHeight="1" x14ac:dyDescent="0.35">
      <c r="A787">
        <v>460201002</v>
      </c>
      <c r="B787" t="s">
        <v>402</v>
      </c>
      <c r="C787" s="190">
        <v>0</v>
      </c>
      <c r="D787" s="190">
        <v>796774.71</v>
      </c>
      <c r="E787" s="190">
        <v>386610.94</v>
      </c>
      <c r="F787" s="190">
        <v>410163.77</v>
      </c>
      <c r="G787"/>
      <c r="H787"/>
    </row>
    <row r="788" spans="1:8" ht="15" customHeight="1" x14ac:dyDescent="0.35">
      <c r="A788">
        <v>46020100201</v>
      </c>
      <c r="B788" t="s">
        <v>762</v>
      </c>
      <c r="C788" s="190">
        <v>0</v>
      </c>
      <c r="D788" s="190">
        <v>796774.71</v>
      </c>
      <c r="E788" s="190">
        <v>386610.94</v>
      </c>
      <c r="F788" s="190">
        <v>410163.77</v>
      </c>
      <c r="G788"/>
      <c r="H788"/>
    </row>
    <row r="789" spans="1:8" ht="15" customHeight="1" x14ac:dyDescent="0.35">
      <c r="A789">
        <v>4603</v>
      </c>
      <c r="B789" t="s">
        <v>492</v>
      </c>
      <c r="C789" s="190">
        <v>0</v>
      </c>
      <c r="D789" s="190">
        <v>1034249.83</v>
      </c>
      <c r="E789" s="190">
        <v>650813.51</v>
      </c>
      <c r="F789" s="190">
        <v>383436.32</v>
      </c>
      <c r="G789"/>
      <c r="H789"/>
    </row>
    <row r="790" spans="1:8" ht="15" customHeight="1" x14ac:dyDescent="0.35">
      <c r="A790">
        <v>460301</v>
      </c>
      <c r="B790" t="s">
        <v>332</v>
      </c>
      <c r="C790" s="190">
        <v>0</v>
      </c>
      <c r="D790" s="190">
        <v>664840.93999999994</v>
      </c>
      <c r="E790" s="190">
        <v>467742.66</v>
      </c>
      <c r="F790" s="190">
        <v>197098.28</v>
      </c>
      <c r="G790"/>
      <c r="H790"/>
    </row>
    <row r="791" spans="1:8" ht="15" customHeight="1" x14ac:dyDescent="0.35">
      <c r="A791">
        <v>4603010</v>
      </c>
      <c r="B791" t="s">
        <v>332</v>
      </c>
      <c r="C791" s="190">
        <v>0</v>
      </c>
      <c r="D791" s="190">
        <v>664840.93999999994</v>
      </c>
      <c r="E791" s="190">
        <v>467742.66</v>
      </c>
      <c r="F791" s="190">
        <v>197098.28</v>
      </c>
      <c r="G791"/>
      <c r="H791"/>
    </row>
    <row r="792" spans="1:8" ht="15" customHeight="1" x14ac:dyDescent="0.35">
      <c r="A792">
        <v>460301001</v>
      </c>
      <c r="B792" t="s">
        <v>321</v>
      </c>
      <c r="C792" s="190">
        <v>0</v>
      </c>
      <c r="D792" s="190">
        <v>570171.47</v>
      </c>
      <c r="E792" s="190">
        <v>465632.79</v>
      </c>
      <c r="F792" s="190">
        <v>104538.68</v>
      </c>
      <c r="G792"/>
      <c r="H792"/>
    </row>
    <row r="793" spans="1:8" ht="15" customHeight="1" x14ac:dyDescent="0.35">
      <c r="A793">
        <v>46030100101</v>
      </c>
      <c r="B793" t="s">
        <v>477</v>
      </c>
      <c r="C793" s="190">
        <v>0</v>
      </c>
      <c r="D793" s="190">
        <v>360135.97</v>
      </c>
      <c r="E793" s="190">
        <v>310646.46000000002</v>
      </c>
      <c r="F793" s="190">
        <v>49489.51</v>
      </c>
      <c r="G793"/>
      <c r="H793"/>
    </row>
    <row r="794" spans="1:8" ht="15" customHeight="1" x14ac:dyDescent="0.35">
      <c r="A794">
        <v>4603010010101</v>
      </c>
      <c r="B794" t="s">
        <v>334</v>
      </c>
      <c r="C794" s="190">
        <v>0</v>
      </c>
      <c r="D794" s="190">
        <v>71330.89</v>
      </c>
      <c r="E794" s="190">
        <v>53737.43</v>
      </c>
      <c r="F794" s="190">
        <v>17593.46</v>
      </c>
      <c r="G794"/>
      <c r="H794"/>
    </row>
    <row r="795" spans="1:8" ht="15" customHeight="1" x14ac:dyDescent="0.35">
      <c r="A795">
        <v>4603010010102</v>
      </c>
      <c r="B795" t="s">
        <v>335</v>
      </c>
      <c r="C795" s="190">
        <v>0</v>
      </c>
      <c r="D795" s="190">
        <v>232173.25</v>
      </c>
      <c r="E795" s="190">
        <v>200277.2</v>
      </c>
      <c r="F795" s="190">
        <v>31896.05</v>
      </c>
      <c r="G795"/>
      <c r="H795"/>
    </row>
    <row r="796" spans="1:8" ht="15" customHeight="1" x14ac:dyDescent="0.35">
      <c r="A796">
        <v>46030100102</v>
      </c>
      <c r="B796" t="s">
        <v>480</v>
      </c>
      <c r="C796" s="190">
        <v>0</v>
      </c>
      <c r="D796" s="190">
        <v>210035.5</v>
      </c>
      <c r="E796" s="190">
        <v>154986.32999999999</v>
      </c>
      <c r="F796" s="190">
        <v>55049.17</v>
      </c>
      <c r="G796"/>
      <c r="H796"/>
    </row>
    <row r="797" spans="1:8" ht="15" customHeight="1" x14ac:dyDescent="0.35">
      <c r="A797">
        <v>4603010010201</v>
      </c>
      <c r="B797" t="s">
        <v>334</v>
      </c>
      <c r="C797" s="190">
        <v>0</v>
      </c>
      <c r="D797" s="190">
        <v>36851.160000000003</v>
      </c>
      <c r="E797" s="190">
        <v>18978.87</v>
      </c>
      <c r="F797" s="190">
        <v>17872.29</v>
      </c>
      <c r="G797"/>
      <c r="H797"/>
    </row>
    <row r="798" spans="1:8" ht="15" customHeight="1" x14ac:dyDescent="0.35">
      <c r="A798">
        <v>4603010010202</v>
      </c>
      <c r="B798" t="s">
        <v>335</v>
      </c>
      <c r="C798" s="190">
        <v>0</v>
      </c>
      <c r="D798" s="190">
        <v>173184.34</v>
      </c>
      <c r="E798" s="190">
        <v>136007.46</v>
      </c>
      <c r="F798" s="190">
        <v>37176.879999999997</v>
      </c>
      <c r="G798"/>
      <c r="H798"/>
    </row>
    <row r="799" spans="1:8" ht="15" customHeight="1" x14ac:dyDescent="0.35">
      <c r="A799">
        <v>460301002</v>
      </c>
      <c r="B799" t="s">
        <v>402</v>
      </c>
      <c r="C799" s="190">
        <v>0</v>
      </c>
      <c r="D799" s="190">
        <v>94669.47</v>
      </c>
      <c r="E799" s="190">
        <v>2109.87</v>
      </c>
      <c r="F799" s="190">
        <v>92559.6</v>
      </c>
      <c r="G799"/>
      <c r="H799"/>
    </row>
    <row r="800" spans="1:8" ht="15" customHeight="1" x14ac:dyDescent="0.35">
      <c r="A800">
        <v>46030100202</v>
      </c>
      <c r="B800" t="s">
        <v>335</v>
      </c>
      <c r="C800" s="190">
        <v>0</v>
      </c>
      <c r="D800" s="190">
        <v>94669.47</v>
      </c>
      <c r="E800" s="190">
        <v>2109.87</v>
      </c>
      <c r="F800" s="190">
        <v>92559.6</v>
      </c>
      <c r="G800"/>
      <c r="H800"/>
    </row>
    <row r="801" spans="1:8" ht="15" customHeight="1" x14ac:dyDescent="0.35">
      <c r="A801">
        <v>460302</v>
      </c>
      <c r="B801" t="s">
        <v>336</v>
      </c>
      <c r="C801" s="190">
        <v>0</v>
      </c>
      <c r="D801" s="190">
        <v>369408.89</v>
      </c>
      <c r="E801" s="190">
        <v>183070.85</v>
      </c>
      <c r="F801" s="190">
        <v>186338.04</v>
      </c>
      <c r="G801"/>
      <c r="H801"/>
    </row>
    <row r="802" spans="1:8" ht="15" customHeight="1" x14ac:dyDescent="0.35">
      <c r="A802">
        <v>4603020</v>
      </c>
      <c r="B802" t="s">
        <v>336</v>
      </c>
      <c r="C802" s="190">
        <v>0</v>
      </c>
      <c r="D802" s="190">
        <v>369408.89</v>
      </c>
      <c r="E802" s="190">
        <v>183070.85</v>
      </c>
      <c r="F802" s="190">
        <v>186338.04</v>
      </c>
      <c r="G802"/>
      <c r="H802"/>
    </row>
    <row r="803" spans="1:8" ht="15" customHeight="1" x14ac:dyDescent="0.35">
      <c r="A803">
        <v>460302001</v>
      </c>
      <c r="B803" t="s">
        <v>321</v>
      </c>
      <c r="C803" s="190">
        <v>0</v>
      </c>
      <c r="D803" s="190">
        <v>369408.89</v>
      </c>
      <c r="E803" s="190">
        <v>183070.85</v>
      </c>
      <c r="F803" s="190">
        <v>186338.04</v>
      </c>
      <c r="G803"/>
      <c r="H803"/>
    </row>
    <row r="804" spans="1:8" ht="15" customHeight="1" x14ac:dyDescent="0.35">
      <c r="A804">
        <v>46030200101</v>
      </c>
      <c r="B804" t="s">
        <v>477</v>
      </c>
      <c r="C804" s="190">
        <v>0</v>
      </c>
      <c r="D804" s="190">
        <v>369408.89</v>
      </c>
      <c r="E804" s="190">
        <v>183070.85</v>
      </c>
      <c r="F804" s="190">
        <v>186338.04</v>
      </c>
      <c r="G804"/>
      <c r="H804"/>
    </row>
    <row r="805" spans="1:8" ht="15" customHeight="1" x14ac:dyDescent="0.35">
      <c r="A805">
        <v>4603020010101</v>
      </c>
      <c r="B805" t="s">
        <v>338</v>
      </c>
      <c r="C805" s="190">
        <v>0</v>
      </c>
      <c r="D805" s="190">
        <v>866.99</v>
      </c>
      <c r="E805" s="190">
        <v>0</v>
      </c>
      <c r="F805" s="190">
        <v>866.99</v>
      </c>
      <c r="G805"/>
      <c r="H805"/>
    </row>
    <row r="806" spans="1:8" ht="15" customHeight="1" x14ac:dyDescent="0.35">
      <c r="A806">
        <v>4603020010102</v>
      </c>
      <c r="B806" t="s">
        <v>339</v>
      </c>
      <c r="C806" s="190">
        <v>0</v>
      </c>
      <c r="D806" s="190">
        <v>185471.05</v>
      </c>
      <c r="E806" s="190">
        <v>0</v>
      </c>
      <c r="F806" s="190">
        <v>185471.05</v>
      </c>
      <c r="G806"/>
      <c r="H806"/>
    </row>
    <row r="807" spans="1:8" ht="15" customHeight="1" x14ac:dyDescent="0.35">
      <c r="A807">
        <v>4699</v>
      </c>
      <c r="B807" t="s">
        <v>206</v>
      </c>
      <c r="C807" s="190">
        <v>0</v>
      </c>
      <c r="D807" s="190">
        <v>48029.78</v>
      </c>
      <c r="E807" s="190">
        <v>5034.3599999999997</v>
      </c>
      <c r="F807" s="190">
        <v>42995.42</v>
      </c>
      <c r="G807"/>
      <c r="H807"/>
    </row>
    <row r="808" spans="1:8" ht="15" customHeight="1" x14ac:dyDescent="0.35">
      <c r="A808">
        <v>469901</v>
      </c>
      <c r="B808" t="s">
        <v>206</v>
      </c>
      <c r="C808" s="190">
        <v>0</v>
      </c>
      <c r="D808" s="190">
        <v>48029.78</v>
      </c>
      <c r="E808" s="190">
        <v>5034.3599999999997</v>
      </c>
      <c r="F808" s="190">
        <v>42995.42</v>
      </c>
      <c r="G808"/>
      <c r="H808"/>
    </row>
    <row r="809" spans="1:8" ht="15" customHeight="1" x14ac:dyDescent="0.35">
      <c r="A809">
        <v>4699010</v>
      </c>
      <c r="B809" t="s">
        <v>206</v>
      </c>
      <c r="C809" s="190">
        <v>0</v>
      </c>
      <c r="D809" s="190">
        <v>48029.78</v>
      </c>
      <c r="E809" s="190">
        <v>5034.3599999999997</v>
      </c>
      <c r="F809" s="190">
        <v>42995.42</v>
      </c>
      <c r="G809"/>
      <c r="H809"/>
    </row>
    <row r="810" spans="1:8" ht="15" customHeight="1" x14ac:dyDescent="0.35">
      <c r="A810">
        <v>469901010</v>
      </c>
      <c r="B810" t="s">
        <v>191</v>
      </c>
      <c r="C810" s="190">
        <v>0</v>
      </c>
      <c r="D810" s="190">
        <v>23809.95</v>
      </c>
      <c r="E810" s="190">
        <v>855.37</v>
      </c>
      <c r="F810" s="190">
        <v>22954.58</v>
      </c>
      <c r="G810"/>
      <c r="H810"/>
    </row>
    <row r="811" spans="1:8" ht="15" customHeight="1" x14ac:dyDescent="0.35">
      <c r="A811">
        <v>46990101020</v>
      </c>
      <c r="B811" t="s">
        <v>478</v>
      </c>
      <c r="C811" s="190">
        <v>0</v>
      </c>
      <c r="D811" s="190">
        <v>358.2</v>
      </c>
      <c r="E811" s="190">
        <v>0</v>
      </c>
      <c r="F811" s="190">
        <v>358.2</v>
      </c>
      <c r="G811"/>
      <c r="H811"/>
    </row>
    <row r="812" spans="1:8" ht="15" customHeight="1" x14ac:dyDescent="0.35">
      <c r="A812">
        <v>4699010102010100</v>
      </c>
      <c r="B812" t="s">
        <v>632</v>
      </c>
      <c r="C812" s="190">
        <v>0</v>
      </c>
      <c r="D812" s="190">
        <v>358.2</v>
      </c>
      <c r="E812" s="190">
        <v>0</v>
      </c>
      <c r="F812" s="190">
        <v>358.2</v>
      </c>
      <c r="G812"/>
      <c r="H812"/>
    </row>
    <row r="813" spans="1:8" ht="15" customHeight="1" x14ac:dyDescent="0.35">
      <c r="A813">
        <v>46990101030</v>
      </c>
      <c r="B813" t="s">
        <v>479</v>
      </c>
      <c r="C813" s="190">
        <v>0</v>
      </c>
      <c r="D813" s="190">
        <v>23451.75</v>
      </c>
      <c r="E813" s="190">
        <v>855.37</v>
      </c>
      <c r="F813" s="190">
        <v>22596.38</v>
      </c>
      <c r="G813"/>
      <c r="H813"/>
    </row>
    <row r="814" spans="1:8" ht="15" customHeight="1" x14ac:dyDescent="0.35">
      <c r="A814">
        <v>4699010103010100</v>
      </c>
      <c r="B814" t="s">
        <v>493</v>
      </c>
      <c r="C814" s="190">
        <v>0</v>
      </c>
      <c r="D814" s="190">
        <v>19215.7</v>
      </c>
      <c r="E814" s="190">
        <v>122.78</v>
      </c>
      <c r="F814" s="190">
        <v>19092.919999999998</v>
      </c>
      <c r="G814"/>
      <c r="H814"/>
    </row>
    <row r="815" spans="1:8" ht="15" customHeight="1" x14ac:dyDescent="0.35">
      <c r="A815">
        <v>4699010103010200</v>
      </c>
      <c r="B815" t="s">
        <v>494</v>
      </c>
      <c r="C815" s="190">
        <v>0</v>
      </c>
      <c r="D815" s="190">
        <v>4236.05</v>
      </c>
      <c r="E815" s="190">
        <v>732.59</v>
      </c>
      <c r="F815" s="190">
        <v>3503.46</v>
      </c>
      <c r="G815"/>
      <c r="H815"/>
    </row>
    <row r="816" spans="1:8" ht="15" customHeight="1" x14ac:dyDescent="0.35">
      <c r="A816">
        <v>46990103010</v>
      </c>
      <c r="B816" t="s">
        <v>492</v>
      </c>
      <c r="C816" s="190">
        <v>0</v>
      </c>
      <c r="D816" s="190">
        <v>24047.86</v>
      </c>
      <c r="E816" s="190">
        <v>4095.5</v>
      </c>
      <c r="F816" s="190">
        <v>19952.36</v>
      </c>
      <c r="G816"/>
      <c r="H816"/>
    </row>
    <row r="817" spans="1:8" ht="15" customHeight="1" x14ac:dyDescent="0.35">
      <c r="A817">
        <v>4699010301010</v>
      </c>
      <c r="B817" t="s">
        <v>334</v>
      </c>
      <c r="C817" s="190">
        <v>0</v>
      </c>
      <c r="D817" s="190">
        <v>24047.86</v>
      </c>
      <c r="E817" s="190">
        <v>4095.5</v>
      </c>
      <c r="F817" s="190">
        <v>19952.36</v>
      </c>
      <c r="G817"/>
      <c r="H817"/>
    </row>
    <row r="818" spans="1:8" ht="15" customHeight="1" x14ac:dyDescent="0.35">
      <c r="A818">
        <v>4699010301010100</v>
      </c>
      <c r="B818" t="s">
        <v>495</v>
      </c>
      <c r="C818" s="190">
        <v>0</v>
      </c>
      <c r="D818" s="190">
        <v>3754.22</v>
      </c>
      <c r="E818" s="190">
        <v>936.25</v>
      </c>
      <c r="F818" s="190">
        <v>2817.97</v>
      </c>
      <c r="G818"/>
      <c r="H818"/>
    </row>
    <row r="819" spans="1:8" ht="15" customHeight="1" x14ac:dyDescent="0.35">
      <c r="A819">
        <v>4699010301010100</v>
      </c>
      <c r="B819" t="s">
        <v>496</v>
      </c>
      <c r="C819" s="190">
        <v>0</v>
      </c>
      <c r="D819" s="190">
        <v>9239.08</v>
      </c>
      <c r="E819" s="190">
        <v>863.01</v>
      </c>
      <c r="F819" s="190">
        <v>8376.07</v>
      </c>
      <c r="G819"/>
      <c r="H819"/>
    </row>
    <row r="820" spans="1:8" ht="15" customHeight="1" x14ac:dyDescent="0.35">
      <c r="A820">
        <v>4699010301010200</v>
      </c>
      <c r="B820" t="s">
        <v>633</v>
      </c>
      <c r="C820" s="190">
        <v>0</v>
      </c>
      <c r="D820" s="190">
        <v>1939.56</v>
      </c>
      <c r="E820" s="190">
        <v>435.84</v>
      </c>
      <c r="F820" s="190">
        <v>1503.72</v>
      </c>
      <c r="G820"/>
      <c r="H820"/>
    </row>
    <row r="821" spans="1:8" ht="15" customHeight="1" x14ac:dyDescent="0.35">
      <c r="A821">
        <v>4699010301010200</v>
      </c>
      <c r="B821" t="s">
        <v>497</v>
      </c>
      <c r="C821" s="190">
        <v>0</v>
      </c>
      <c r="D821" s="190">
        <v>9115</v>
      </c>
      <c r="E821" s="190">
        <v>1860.4</v>
      </c>
      <c r="F821" s="190">
        <v>7254.6</v>
      </c>
      <c r="G821"/>
      <c r="H821"/>
    </row>
    <row r="822" spans="1:8" ht="15" customHeight="1" x14ac:dyDescent="0.35">
      <c r="A822">
        <v>46990103020</v>
      </c>
      <c r="B822" t="s">
        <v>336</v>
      </c>
      <c r="C822" s="190">
        <v>0</v>
      </c>
      <c r="D822" s="190">
        <v>171.97</v>
      </c>
      <c r="E822" s="190">
        <v>83.49</v>
      </c>
      <c r="F822" s="190">
        <v>88.48</v>
      </c>
      <c r="G822"/>
      <c r="H822"/>
    </row>
    <row r="823" spans="1:8" ht="15" customHeight="1" x14ac:dyDescent="0.35">
      <c r="A823">
        <v>4699010302010</v>
      </c>
      <c r="B823" t="s">
        <v>338</v>
      </c>
      <c r="C823" s="190">
        <v>0</v>
      </c>
      <c r="D823" s="190">
        <v>171.97</v>
      </c>
      <c r="E823" s="190">
        <v>83.49</v>
      </c>
      <c r="F823" s="190">
        <v>88.48</v>
      </c>
      <c r="G823"/>
      <c r="H823"/>
    </row>
    <row r="824" spans="1:8" ht="15" customHeight="1" x14ac:dyDescent="0.35">
      <c r="A824">
        <v>4699010302010100</v>
      </c>
      <c r="B824" t="s">
        <v>634</v>
      </c>
      <c r="C824" s="190">
        <v>0</v>
      </c>
      <c r="D824" s="190">
        <v>45.63</v>
      </c>
      <c r="E824" s="190">
        <v>0</v>
      </c>
      <c r="F824" s="190">
        <v>45.63</v>
      </c>
      <c r="G824"/>
      <c r="H824"/>
    </row>
    <row r="825" spans="1:8" ht="15" customHeight="1" x14ac:dyDescent="0.35">
      <c r="A825">
        <v>4699010302010100</v>
      </c>
      <c r="B825" t="s">
        <v>635</v>
      </c>
      <c r="C825" s="190">
        <v>0</v>
      </c>
      <c r="D825" s="190">
        <v>126.34</v>
      </c>
      <c r="E825" s="190">
        <v>83.49</v>
      </c>
      <c r="F825" s="190">
        <v>42.85</v>
      </c>
      <c r="G825"/>
      <c r="H825"/>
    </row>
    <row r="826" spans="1:8" ht="15" customHeight="1" x14ac:dyDescent="0.35">
      <c r="A826">
        <v>47</v>
      </c>
      <c r="B826" t="s">
        <v>10</v>
      </c>
      <c r="C826" s="190">
        <v>0</v>
      </c>
      <c r="D826" s="190">
        <v>2963769.95</v>
      </c>
      <c r="E826" s="190">
        <v>2084977.46</v>
      </c>
      <c r="F826" s="190">
        <v>878792.49</v>
      </c>
      <c r="G826"/>
      <c r="H826"/>
    </row>
    <row r="827" spans="1:8" ht="15" customHeight="1" x14ac:dyDescent="0.35">
      <c r="A827">
        <v>4701</v>
      </c>
      <c r="B827" t="s">
        <v>11</v>
      </c>
      <c r="C827" s="190">
        <v>0</v>
      </c>
      <c r="D827" s="190">
        <v>25507.439999999999</v>
      </c>
      <c r="E827" s="190">
        <v>0</v>
      </c>
      <c r="F827" s="190">
        <v>25507.439999999999</v>
      </c>
      <c r="G827"/>
      <c r="H827"/>
    </row>
    <row r="828" spans="1:8" ht="15" customHeight="1" x14ac:dyDescent="0.35">
      <c r="A828">
        <v>470101</v>
      </c>
      <c r="B828" t="s">
        <v>498</v>
      </c>
      <c r="C828" s="190">
        <v>0</v>
      </c>
      <c r="D828" s="190">
        <v>25507.439999999999</v>
      </c>
      <c r="E828" s="190">
        <v>0</v>
      </c>
      <c r="F828" s="190">
        <v>25507.439999999999</v>
      </c>
      <c r="G828"/>
      <c r="H828"/>
    </row>
    <row r="829" spans="1:8" ht="15" customHeight="1" x14ac:dyDescent="0.35">
      <c r="A829">
        <v>4701010</v>
      </c>
      <c r="B829" t="s">
        <v>498</v>
      </c>
      <c r="C829" s="190">
        <v>0</v>
      </c>
      <c r="D829" s="190">
        <v>25507.439999999999</v>
      </c>
      <c r="E829" s="190">
        <v>0</v>
      </c>
      <c r="F829" s="190">
        <v>25507.439999999999</v>
      </c>
      <c r="G829"/>
      <c r="H829"/>
    </row>
    <row r="830" spans="1:8" ht="15" customHeight="1" x14ac:dyDescent="0.35">
      <c r="A830">
        <v>470101001</v>
      </c>
      <c r="B830" t="s">
        <v>573</v>
      </c>
      <c r="C830" s="190">
        <v>0</v>
      </c>
      <c r="D830" s="190">
        <v>14.61</v>
      </c>
      <c r="E830" s="190">
        <v>0</v>
      </c>
      <c r="F830" s="190">
        <v>14.61</v>
      </c>
      <c r="G830"/>
      <c r="H830"/>
    </row>
    <row r="831" spans="1:8" ht="15" customHeight="1" x14ac:dyDescent="0.35">
      <c r="A831">
        <v>470101002</v>
      </c>
      <c r="B831" t="s">
        <v>499</v>
      </c>
      <c r="C831" s="190">
        <v>0</v>
      </c>
      <c r="D831" s="190">
        <v>25492.83</v>
      </c>
      <c r="E831" s="190">
        <v>0</v>
      </c>
      <c r="F831" s="190">
        <v>25492.83</v>
      </c>
      <c r="G831"/>
      <c r="H831"/>
    </row>
    <row r="832" spans="1:8" ht="15" customHeight="1" x14ac:dyDescent="0.35">
      <c r="A832">
        <v>4703</v>
      </c>
      <c r="B832" t="s">
        <v>724</v>
      </c>
      <c r="C832" s="190">
        <v>0</v>
      </c>
      <c r="D832" s="190">
        <v>485854.1</v>
      </c>
      <c r="E832" s="190">
        <v>0</v>
      </c>
      <c r="F832" s="190">
        <v>485854.1</v>
      </c>
      <c r="G832"/>
      <c r="H832"/>
    </row>
    <row r="833" spans="1:8" ht="15" customHeight="1" x14ac:dyDescent="0.35">
      <c r="A833">
        <v>470303</v>
      </c>
      <c r="B833" t="s">
        <v>725</v>
      </c>
      <c r="C833" s="190">
        <v>0</v>
      </c>
      <c r="D833" s="190">
        <v>485854.1</v>
      </c>
      <c r="E833" s="190">
        <v>0</v>
      </c>
      <c r="F833" s="190">
        <v>485854.1</v>
      </c>
      <c r="G833"/>
      <c r="H833"/>
    </row>
    <row r="834" spans="1:8" ht="15" customHeight="1" x14ac:dyDescent="0.35">
      <c r="A834">
        <v>4704</v>
      </c>
      <c r="B834" t="s">
        <v>500</v>
      </c>
      <c r="C834" s="190">
        <v>0</v>
      </c>
      <c r="D834" s="190">
        <v>2452408.41</v>
      </c>
      <c r="E834" s="190">
        <v>2084977.46</v>
      </c>
      <c r="F834" s="190">
        <v>367430.95</v>
      </c>
      <c r="G834"/>
      <c r="H834"/>
    </row>
    <row r="835" spans="1:8" ht="15" customHeight="1" x14ac:dyDescent="0.35">
      <c r="A835">
        <v>470403</v>
      </c>
      <c r="B835" t="s">
        <v>208</v>
      </c>
      <c r="C835" s="190">
        <v>0</v>
      </c>
      <c r="D835" s="190">
        <v>2452408.41</v>
      </c>
      <c r="E835" s="190">
        <v>2084977.46</v>
      </c>
      <c r="F835" s="190">
        <v>367430.95</v>
      </c>
      <c r="G835"/>
      <c r="H835"/>
    </row>
    <row r="836" spans="1:8" ht="15" customHeight="1" x14ac:dyDescent="0.35">
      <c r="A836">
        <v>4704030</v>
      </c>
      <c r="B836" t="s">
        <v>208</v>
      </c>
      <c r="C836" s="190">
        <v>0</v>
      </c>
      <c r="D836" s="190">
        <v>2452408.41</v>
      </c>
      <c r="E836" s="190">
        <v>2084977.46</v>
      </c>
      <c r="F836" s="190">
        <v>367430.95</v>
      </c>
      <c r="G836"/>
      <c r="H836"/>
    </row>
    <row r="837" spans="1:8" ht="15" customHeight="1" x14ac:dyDescent="0.35">
      <c r="A837">
        <v>470403001</v>
      </c>
      <c r="B837" t="s">
        <v>501</v>
      </c>
      <c r="C837" s="190">
        <v>0</v>
      </c>
      <c r="D837" s="190">
        <v>2452408.41</v>
      </c>
      <c r="E837" s="190">
        <v>2084977.46</v>
      </c>
      <c r="F837" s="190">
        <v>367430.95</v>
      </c>
      <c r="G837"/>
      <c r="H837"/>
    </row>
    <row r="838" spans="1:8" ht="15" customHeight="1" x14ac:dyDescent="0.35">
      <c r="A838">
        <v>48</v>
      </c>
      <c r="B838" t="s">
        <v>12</v>
      </c>
      <c r="C838" s="190">
        <v>0</v>
      </c>
      <c r="D838" s="190">
        <v>2240369.83</v>
      </c>
      <c r="E838" s="190">
        <v>952982.89</v>
      </c>
      <c r="F838" s="190">
        <v>1287386.94</v>
      </c>
      <c r="G838"/>
      <c r="H838"/>
    </row>
    <row r="839" spans="1:8" ht="15" customHeight="1" x14ac:dyDescent="0.35">
      <c r="A839">
        <v>4801</v>
      </c>
      <c r="B839" t="s">
        <v>66</v>
      </c>
      <c r="C839" s="190">
        <v>0</v>
      </c>
      <c r="D839" s="190">
        <v>947897.85</v>
      </c>
      <c r="E839" s="190">
        <v>473555.05</v>
      </c>
      <c r="F839" s="190">
        <v>474342.8</v>
      </c>
      <c r="G839"/>
      <c r="H839"/>
    </row>
    <row r="840" spans="1:8" ht="15" customHeight="1" x14ac:dyDescent="0.35">
      <c r="A840">
        <v>480101</v>
      </c>
      <c r="B840" t="s">
        <v>502</v>
      </c>
      <c r="C840" s="190">
        <v>0</v>
      </c>
      <c r="D840" s="190">
        <v>292955.01</v>
      </c>
      <c r="E840" s="190">
        <v>0</v>
      </c>
      <c r="F840" s="190">
        <v>292955.01</v>
      </c>
      <c r="G840"/>
      <c r="H840"/>
    </row>
    <row r="841" spans="1:8" ht="15" customHeight="1" x14ac:dyDescent="0.35">
      <c r="A841">
        <v>480103</v>
      </c>
      <c r="B841" t="s">
        <v>441</v>
      </c>
      <c r="C841" s="190">
        <v>0</v>
      </c>
      <c r="D841" s="190">
        <v>110156.32</v>
      </c>
      <c r="E841" s="190">
        <v>34681.730000000003</v>
      </c>
      <c r="F841" s="190">
        <v>75474.59</v>
      </c>
      <c r="G841"/>
      <c r="H841"/>
    </row>
    <row r="842" spans="1:8" ht="15" customHeight="1" x14ac:dyDescent="0.35">
      <c r="A842">
        <v>4801030</v>
      </c>
      <c r="B842" t="s">
        <v>441</v>
      </c>
      <c r="C842" s="190">
        <v>0</v>
      </c>
      <c r="D842" s="190">
        <v>110156.32</v>
      </c>
      <c r="E842" s="190">
        <v>34681.730000000003</v>
      </c>
      <c r="F842" s="190">
        <v>75474.59</v>
      </c>
      <c r="G842"/>
      <c r="H842"/>
    </row>
    <row r="843" spans="1:8" ht="15" customHeight="1" x14ac:dyDescent="0.35">
      <c r="A843">
        <v>480103001</v>
      </c>
      <c r="B843" t="s">
        <v>503</v>
      </c>
      <c r="C843" s="190">
        <v>0</v>
      </c>
      <c r="D843" s="190">
        <v>40308.870000000003</v>
      </c>
      <c r="E843" s="190">
        <v>14056.44</v>
      </c>
      <c r="F843" s="190">
        <v>26252.43</v>
      </c>
      <c r="G843"/>
      <c r="H843"/>
    </row>
    <row r="844" spans="1:8" ht="15" customHeight="1" x14ac:dyDescent="0.35">
      <c r="A844">
        <v>480103002</v>
      </c>
      <c r="B844" t="s">
        <v>443</v>
      </c>
      <c r="C844" s="190">
        <v>0</v>
      </c>
      <c r="D844" s="190">
        <v>69847.45</v>
      </c>
      <c r="E844" s="190">
        <v>20625.29</v>
      </c>
      <c r="F844" s="190">
        <v>49222.16</v>
      </c>
      <c r="G844"/>
      <c r="H844"/>
    </row>
    <row r="845" spans="1:8" ht="15" customHeight="1" x14ac:dyDescent="0.35">
      <c r="A845">
        <v>480104</v>
      </c>
      <c r="B845" t="s">
        <v>504</v>
      </c>
      <c r="C845" s="190">
        <v>0</v>
      </c>
      <c r="D845" s="190">
        <v>50759.64</v>
      </c>
      <c r="E845" s="190">
        <v>30597.26</v>
      </c>
      <c r="F845" s="190">
        <v>20162.38</v>
      </c>
      <c r="G845"/>
      <c r="H845"/>
    </row>
    <row r="846" spans="1:8" ht="15" customHeight="1" x14ac:dyDescent="0.35">
      <c r="A846">
        <v>480106</v>
      </c>
      <c r="B846" t="s">
        <v>505</v>
      </c>
      <c r="C846" s="190">
        <v>0</v>
      </c>
      <c r="D846" s="190">
        <v>437059.17</v>
      </c>
      <c r="E846" s="190">
        <v>408040</v>
      </c>
      <c r="F846" s="190">
        <v>29019.17</v>
      </c>
      <c r="G846"/>
      <c r="H846"/>
    </row>
    <row r="847" spans="1:8" ht="15" customHeight="1" x14ac:dyDescent="0.35">
      <c r="A847">
        <v>480108</v>
      </c>
      <c r="B847" t="s">
        <v>75</v>
      </c>
      <c r="C847" s="190">
        <v>0</v>
      </c>
      <c r="D847" s="190">
        <v>14493.99</v>
      </c>
      <c r="E847" s="190">
        <v>236.06</v>
      </c>
      <c r="F847" s="190">
        <v>14257.93</v>
      </c>
      <c r="G847"/>
      <c r="H847"/>
    </row>
    <row r="848" spans="1:8" ht="15" customHeight="1" x14ac:dyDescent="0.35">
      <c r="A848">
        <v>4801080</v>
      </c>
      <c r="B848" t="s">
        <v>75</v>
      </c>
      <c r="C848" s="190">
        <v>0</v>
      </c>
      <c r="D848" s="190">
        <v>14493.99</v>
      </c>
      <c r="E848" s="190">
        <v>236.06</v>
      </c>
      <c r="F848" s="190">
        <v>14257.93</v>
      </c>
      <c r="G848"/>
      <c r="H848"/>
    </row>
    <row r="849" spans="1:8" ht="15" customHeight="1" x14ac:dyDescent="0.35">
      <c r="A849">
        <v>480108001</v>
      </c>
      <c r="B849" t="s">
        <v>506</v>
      </c>
      <c r="C849" s="190">
        <v>0</v>
      </c>
      <c r="D849" s="190">
        <v>14493.99</v>
      </c>
      <c r="E849" s="190">
        <v>236.06</v>
      </c>
      <c r="F849" s="190">
        <v>14257.93</v>
      </c>
      <c r="G849"/>
      <c r="H849"/>
    </row>
    <row r="850" spans="1:8" ht="15" customHeight="1" x14ac:dyDescent="0.35">
      <c r="A850">
        <v>48010800101</v>
      </c>
      <c r="B850" t="s">
        <v>636</v>
      </c>
      <c r="C850" s="190">
        <v>0</v>
      </c>
      <c r="D850" s="190">
        <v>3000</v>
      </c>
      <c r="E850" s="190">
        <v>0</v>
      </c>
      <c r="F850" s="190">
        <v>3000</v>
      </c>
      <c r="G850"/>
      <c r="H850"/>
    </row>
    <row r="851" spans="1:8" ht="15" customHeight="1" x14ac:dyDescent="0.35">
      <c r="A851">
        <v>48010800109</v>
      </c>
      <c r="B851" t="s">
        <v>75</v>
      </c>
      <c r="C851" s="190">
        <v>0</v>
      </c>
      <c r="D851" s="190">
        <v>10743.99</v>
      </c>
      <c r="E851" s="190">
        <v>236.06</v>
      </c>
      <c r="F851" s="190">
        <v>10507.93</v>
      </c>
      <c r="G851"/>
      <c r="H851"/>
    </row>
    <row r="852" spans="1:8" ht="15" customHeight="1" x14ac:dyDescent="0.35">
      <c r="A852">
        <v>480109</v>
      </c>
      <c r="B852" t="s">
        <v>484</v>
      </c>
      <c r="C852" s="190">
        <v>0</v>
      </c>
      <c r="D852" s="190">
        <v>1201.68</v>
      </c>
      <c r="E852" s="190">
        <v>0</v>
      </c>
      <c r="F852" s="190">
        <v>1201.68</v>
      </c>
      <c r="G852"/>
      <c r="H852"/>
    </row>
    <row r="853" spans="1:8" ht="15" customHeight="1" x14ac:dyDescent="0.35">
      <c r="A853">
        <v>480110</v>
      </c>
      <c r="B853" t="s">
        <v>507</v>
      </c>
      <c r="C853" s="190">
        <v>0</v>
      </c>
      <c r="D853" s="190">
        <v>41272.04</v>
      </c>
      <c r="E853" s="190">
        <v>0</v>
      </c>
      <c r="F853" s="190">
        <v>41272.04</v>
      </c>
      <c r="G853"/>
      <c r="H853"/>
    </row>
    <row r="854" spans="1:8" ht="15" customHeight="1" x14ac:dyDescent="0.35">
      <c r="A854">
        <v>4801100</v>
      </c>
      <c r="B854" t="s">
        <v>507</v>
      </c>
      <c r="C854" s="190">
        <v>0</v>
      </c>
      <c r="D854" s="190">
        <v>41272.04</v>
      </c>
      <c r="E854" s="190">
        <v>0</v>
      </c>
      <c r="F854" s="190">
        <v>41272.04</v>
      </c>
      <c r="G854"/>
      <c r="H854"/>
    </row>
    <row r="855" spans="1:8" ht="15" customHeight="1" x14ac:dyDescent="0.35">
      <c r="A855">
        <v>480110001</v>
      </c>
      <c r="B855" t="s">
        <v>508</v>
      </c>
      <c r="C855" s="190">
        <v>0</v>
      </c>
      <c r="D855" s="190">
        <v>13260.37</v>
      </c>
      <c r="E855" s="190">
        <v>0</v>
      </c>
      <c r="F855" s="190">
        <v>13260.37</v>
      </c>
      <c r="G855"/>
      <c r="H855"/>
    </row>
    <row r="856" spans="1:8" ht="15" customHeight="1" x14ac:dyDescent="0.35">
      <c r="A856">
        <v>480110002</v>
      </c>
      <c r="B856" t="s">
        <v>509</v>
      </c>
      <c r="C856" s="190">
        <v>0</v>
      </c>
      <c r="D856" s="190">
        <v>28011.67</v>
      </c>
      <c r="E856" s="190">
        <v>0</v>
      </c>
      <c r="F856" s="190">
        <v>28011.67</v>
      </c>
      <c r="G856"/>
      <c r="H856"/>
    </row>
    <row r="857" spans="1:8" ht="15" customHeight="1" x14ac:dyDescent="0.35">
      <c r="A857">
        <v>4802</v>
      </c>
      <c r="B857" t="s">
        <v>209</v>
      </c>
      <c r="C857" s="190">
        <v>0</v>
      </c>
      <c r="D857" s="190">
        <v>20187.95</v>
      </c>
      <c r="E857" s="190">
        <v>7.22</v>
      </c>
      <c r="F857" s="190">
        <v>20180.73</v>
      </c>
      <c r="G857"/>
      <c r="H857"/>
    </row>
    <row r="858" spans="1:8" ht="15" customHeight="1" x14ac:dyDescent="0.35">
      <c r="A858">
        <v>480201</v>
      </c>
      <c r="B858" t="s">
        <v>510</v>
      </c>
      <c r="C858" s="190">
        <v>0</v>
      </c>
      <c r="D858" s="190">
        <v>19961.28</v>
      </c>
      <c r="E858" s="190">
        <v>0</v>
      </c>
      <c r="F858" s="190">
        <v>19961.28</v>
      </c>
      <c r="G858"/>
      <c r="H858"/>
    </row>
    <row r="859" spans="1:8" ht="15" customHeight="1" x14ac:dyDescent="0.35">
      <c r="A859">
        <v>480209</v>
      </c>
      <c r="B859" t="s">
        <v>511</v>
      </c>
      <c r="C859" s="190">
        <v>0</v>
      </c>
      <c r="D859" s="190">
        <v>226.67</v>
      </c>
      <c r="E859" s="190">
        <v>7.22</v>
      </c>
      <c r="F859" s="190">
        <v>219.45</v>
      </c>
      <c r="G859"/>
      <c r="H859"/>
    </row>
    <row r="860" spans="1:8" ht="15" customHeight="1" x14ac:dyDescent="0.35">
      <c r="A860">
        <v>4803</v>
      </c>
      <c r="B860" t="s">
        <v>13</v>
      </c>
      <c r="C860" s="190">
        <v>0</v>
      </c>
      <c r="D860" s="190">
        <v>387796.81</v>
      </c>
      <c r="E860" s="190">
        <v>64135.17</v>
      </c>
      <c r="F860" s="190">
        <v>323661.64</v>
      </c>
      <c r="G860"/>
      <c r="H860"/>
    </row>
    <row r="861" spans="1:8" ht="15" customHeight="1" x14ac:dyDescent="0.35">
      <c r="A861">
        <v>480302</v>
      </c>
      <c r="B861" t="s">
        <v>614</v>
      </c>
      <c r="C861" s="190">
        <v>0</v>
      </c>
      <c r="D861" s="190">
        <v>44.25</v>
      </c>
      <c r="E861" s="190">
        <v>0</v>
      </c>
      <c r="F861" s="190">
        <v>44.25</v>
      </c>
      <c r="G861"/>
      <c r="H861"/>
    </row>
    <row r="862" spans="1:8" ht="15" customHeight="1" x14ac:dyDescent="0.35">
      <c r="A862">
        <v>4803020</v>
      </c>
      <c r="B862" t="s">
        <v>614</v>
      </c>
      <c r="C862" s="190">
        <v>0</v>
      </c>
      <c r="D862" s="190">
        <v>44.25</v>
      </c>
      <c r="E862" s="190">
        <v>0</v>
      </c>
      <c r="F862" s="190">
        <v>44.25</v>
      </c>
      <c r="G862"/>
      <c r="H862"/>
    </row>
    <row r="863" spans="1:8" ht="15" customHeight="1" x14ac:dyDescent="0.35">
      <c r="A863">
        <v>480302001</v>
      </c>
      <c r="B863" t="s">
        <v>615</v>
      </c>
      <c r="C863" s="190">
        <v>0</v>
      </c>
      <c r="D863" s="190">
        <v>44.25</v>
      </c>
      <c r="E863" s="190">
        <v>0</v>
      </c>
      <c r="F863" s="190">
        <v>44.25</v>
      </c>
      <c r="G863"/>
      <c r="H863"/>
    </row>
    <row r="864" spans="1:8" ht="15" customHeight="1" x14ac:dyDescent="0.35">
      <c r="A864">
        <v>480303</v>
      </c>
      <c r="B864" t="s">
        <v>512</v>
      </c>
      <c r="C864" s="190">
        <v>0</v>
      </c>
      <c r="D864" s="190">
        <v>12437.96</v>
      </c>
      <c r="E864" s="190">
        <v>1923.72</v>
      </c>
      <c r="F864" s="190">
        <v>10514.24</v>
      </c>
      <c r="G864"/>
      <c r="H864"/>
    </row>
    <row r="865" spans="1:8" ht="15" customHeight="1" x14ac:dyDescent="0.35">
      <c r="A865">
        <v>4803030</v>
      </c>
      <c r="B865" t="s">
        <v>512</v>
      </c>
      <c r="C865" s="190">
        <v>0</v>
      </c>
      <c r="D865" s="190">
        <v>12437.96</v>
      </c>
      <c r="E865" s="190">
        <v>1923.72</v>
      </c>
      <c r="F865" s="190">
        <v>10514.24</v>
      </c>
      <c r="G865"/>
      <c r="H865"/>
    </row>
    <row r="866" spans="1:8" ht="15" customHeight="1" x14ac:dyDescent="0.35">
      <c r="A866">
        <v>480303001</v>
      </c>
      <c r="B866" t="s">
        <v>513</v>
      </c>
      <c r="C866" s="190">
        <v>0</v>
      </c>
      <c r="D866" s="190">
        <v>7243.89</v>
      </c>
      <c r="E866" s="190">
        <v>1923.72</v>
      </c>
      <c r="F866" s="190">
        <v>5320.17</v>
      </c>
      <c r="G866"/>
      <c r="H866"/>
    </row>
    <row r="867" spans="1:8" ht="15" customHeight="1" x14ac:dyDescent="0.35">
      <c r="A867">
        <v>480303003</v>
      </c>
      <c r="B867" t="s">
        <v>514</v>
      </c>
      <c r="C867" s="190">
        <v>0</v>
      </c>
      <c r="D867" s="190">
        <v>5194.07</v>
      </c>
      <c r="E867" s="190">
        <v>0</v>
      </c>
      <c r="F867" s="190">
        <v>5194.07</v>
      </c>
      <c r="G867"/>
      <c r="H867"/>
    </row>
    <row r="868" spans="1:8" ht="15" customHeight="1" x14ac:dyDescent="0.35">
      <c r="A868">
        <v>480305</v>
      </c>
      <c r="B868" t="s">
        <v>515</v>
      </c>
      <c r="C868" s="190">
        <v>0</v>
      </c>
      <c r="D868" s="190">
        <v>40936.35</v>
      </c>
      <c r="E868" s="190">
        <v>0</v>
      </c>
      <c r="F868" s="190">
        <v>40936.35</v>
      </c>
      <c r="G868"/>
      <c r="H868"/>
    </row>
    <row r="869" spans="1:8" ht="15" customHeight="1" x14ac:dyDescent="0.35">
      <c r="A869">
        <v>4803050</v>
      </c>
      <c r="B869" t="s">
        <v>515</v>
      </c>
      <c r="C869" s="190">
        <v>0</v>
      </c>
      <c r="D869" s="190">
        <v>40936.35</v>
      </c>
      <c r="E869" s="190">
        <v>0</v>
      </c>
      <c r="F869" s="190">
        <v>40936.35</v>
      </c>
      <c r="G869"/>
      <c r="H869"/>
    </row>
    <row r="870" spans="1:8" ht="15" customHeight="1" x14ac:dyDescent="0.35">
      <c r="A870">
        <v>480305010</v>
      </c>
      <c r="B870" t="s">
        <v>516</v>
      </c>
      <c r="C870" s="190">
        <v>0</v>
      </c>
      <c r="D870" s="190">
        <v>40936.35</v>
      </c>
      <c r="E870" s="190">
        <v>0</v>
      </c>
      <c r="F870" s="190">
        <v>40936.35</v>
      </c>
      <c r="G870"/>
      <c r="H870"/>
    </row>
    <row r="871" spans="1:8" ht="15" customHeight="1" x14ac:dyDescent="0.35">
      <c r="A871">
        <v>480306</v>
      </c>
      <c r="B871" t="s">
        <v>517</v>
      </c>
      <c r="C871" s="190">
        <v>0</v>
      </c>
      <c r="D871" s="190">
        <v>301256</v>
      </c>
      <c r="E871" s="190">
        <v>62205.45</v>
      </c>
      <c r="F871" s="190">
        <v>239050.55</v>
      </c>
      <c r="G871"/>
      <c r="H871"/>
    </row>
    <row r="872" spans="1:8" ht="15" customHeight="1" x14ac:dyDescent="0.35">
      <c r="A872">
        <v>4803060</v>
      </c>
      <c r="B872" t="s">
        <v>517</v>
      </c>
      <c r="C872" s="190">
        <v>0</v>
      </c>
      <c r="D872" s="190">
        <v>301256</v>
      </c>
      <c r="E872" s="190">
        <v>62205.45</v>
      </c>
      <c r="F872" s="190">
        <v>239050.55</v>
      </c>
      <c r="G872"/>
      <c r="H872"/>
    </row>
    <row r="873" spans="1:8" ht="15" customHeight="1" x14ac:dyDescent="0.35">
      <c r="A873">
        <v>480306001</v>
      </c>
      <c r="B873" t="s">
        <v>616</v>
      </c>
      <c r="C873" s="190">
        <v>0</v>
      </c>
      <c r="D873" s="190">
        <v>2760.17</v>
      </c>
      <c r="E873" s="190">
        <v>0</v>
      </c>
      <c r="F873" s="190">
        <v>2760.17</v>
      </c>
      <c r="G873"/>
      <c r="H873"/>
    </row>
    <row r="874" spans="1:8" ht="15" customHeight="1" x14ac:dyDescent="0.35">
      <c r="A874">
        <v>480306002</v>
      </c>
      <c r="B874" t="s">
        <v>637</v>
      </c>
      <c r="C874" s="190">
        <v>0</v>
      </c>
      <c r="D874" s="190">
        <v>10</v>
      </c>
      <c r="E874" s="190">
        <v>0</v>
      </c>
      <c r="F874" s="190">
        <v>10</v>
      </c>
      <c r="G874"/>
      <c r="H874"/>
    </row>
    <row r="875" spans="1:8" ht="15" customHeight="1" x14ac:dyDescent="0.35">
      <c r="A875">
        <v>480306003</v>
      </c>
      <c r="B875" t="s">
        <v>518</v>
      </c>
      <c r="C875" s="190">
        <v>0</v>
      </c>
      <c r="D875" s="190">
        <v>121109.06</v>
      </c>
      <c r="E875" s="190">
        <v>62205.45</v>
      </c>
      <c r="F875" s="190">
        <v>58903.61</v>
      </c>
      <c r="G875"/>
      <c r="H875"/>
    </row>
    <row r="876" spans="1:8" ht="15" customHeight="1" x14ac:dyDescent="0.35">
      <c r="A876">
        <v>480306004</v>
      </c>
      <c r="B876" t="s">
        <v>519</v>
      </c>
      <c r="C876" s="190">
        <v>0</v>
      </c>
      <c r="D876" s="190">
        <v>162021.04</v>
      </c>
      <c r="E876" s="190">
        <v>0</v>
      </c>
      <c r="F876" s="190">
        <v>162021.04</v>
      </c>
      <c r="G876"/>
      <c r="H876"/>
    </row>
    <row r="877" spans="1:8" ht="15" customHeight="1" x14ac:dyDescent="0.35">
      <c r="A877">
        <v>480306005</v>
      </c>
      <c r="B877" t="s">
        <v>520</v>
      </c>
      <c r="C877" s="190">
        <v>0</v>
      </c>
      <c r="D877" s="190">
        <v>15355.73</v>
      </c>
      <c r="E877" s="190">
        <v>0</v>
      </c>
      <c r="F877" s="190">
        <v>15355.73</v>
      </c>
      <c r="G877"/>
      <c r="H877"/>
    </row>
    <row r="878" spans="1:8" ht="15" customHeight="1" x14ac:dyDescent="0.35">
      <c r="A878">
        <v>480308</v>
      </c>
      <c r="B878" t="s">
        <v>521</v>
      </c>
      <c r="C878" s="190">
        <v>0</v>
      </c>
      <c r="D878" s="190">
        <v>15333.36</v>
      </c>
      <c r="E878" s="190">
        <v>0</v>
      </c>
      <c r="F878" s="190">
        <v>15333.36</v>
      </c>
      <c r="G878"/>
      <c r="H878"/>
    </row>
    <row r="879" spans="1:8" ht="15" customHeight="1" x14ac:dyDescent="0.35">
      <c r="A879">
        <v>4803080</v>
      </c>
      <c r="B879" t="s">
        <v>521</v>
      </c>
      <c r="C879" s="190">
        <v>0</v>
      </c>
      <c r="D879" s="190">
        <v>15333.36</v>
      </c>
      <c r="E879" s="190">
        <v>0</v>
      </c>
      <c r="F879" s="190">
        <v>15333.36</v>
      </c>
      <c r="G879"/>
      <c r="H879"/>
    </row>
    <row r="880" spans="1:8" ht="15" customHeight="1" x14ac:dyDescent="0.35">
      <c r="A880">
        <v>480308001</v>
      </c>
      <c r="B880" t="s">
        <v>522</v>
      </c>
      <c r="C880" s="190">
        <v>0</v>
      </c>
      <c r="D880" s="190">
        <v>10333.36</v>
      </c>
      <c r="E880" s="190">
        <v>0</v>
      </c>
      <c r="F880" s="190">
        <v>10333.36</v>
      </c>
      <c r="G880"/>
      <c r="H880"/>
    </row>
    <row r="881" spans="1:9" ht="15" customHeight="1" x14ac:dyDescent="0.35">
      <c r="A881">
        <v>480308002</v>
      </c>
      <c r="B881" t="s">
        <v>523</v>
      </c>
      <c r="C881" s="190">
        <v>0</v>
      </c>
      <c r="D881" s="190">
        <v>5000</v>
      </c>
      <c r="E881" s="190">
        <v>0</v>
      </c>
      <c r="F881" s="190">
        <v>5000</v>
      </c>
      <c r="G881"/>
      <c r="H881"/>
    </row>
    <row r="882" spans="1:9" ht="15" customHeight="1" x14ac:dyDescent="0.35">
      <c r="A882">
        <v>480309</v>
      </c>
      <c r="B882" t="s">
        <v>524</v>
      </c>
      <c r="C882" s="190">
        <v>0</v>
      </c>
      <c r="D882" s="190">
        <v>8451.77</v>
      </c>
      <c r="E882" s="190">
        <v>0</v>
      </c>
      <c r="F882" s="190">
        <v>8451.77</v>
      </c>
      <c r="G882"/>
      <c r="H882"/>
    </row>
    <row r="883" spans="1:9" ht="15" customHeight="1" x14ac:dyDescent="0.35">
      <c r="A883">
        <v>4803090</v>
      </c>
      <c r="B883" t="s">
        <v>524</v>
      </c>
      <c r="C883" s="190">
        <v>0</v>
      </c>
      <c r="D883" s="190">
        <v>8451.77</v>
      </c>
      <c r="E883" s="190">
        <v>0</v>
      </c>
      <c r="F883" s="190">
        <v>8451.77</v>
      </c>
      <c r="G883"/>
      <c r="H883"/>
    </row>
    <row r="884" spans="1:9" ht="15" customHeight="1" x14ac:dyDescent="0.35">
      <c r="A884">
        <v>480309001</v>
      </c>
      <c r="B884" t="s">
        <v>525</v>
      </c>
      <c r="C884" s="190">
        <v>0</v>
      </c>
      <c r="D884" s="190">
        <v>3126.77</v>
      </c>
      <c r="E884" s="190">
        <v>0</v>
      </c>
      <c r="F884" s="190">
        <v>3126.77</v>
      </c>
      <c r="G884"/>
      <c r="H884"/>
    </row>
    <row r="885" spans="1:9" ht="15" customHeight="1" x14ac:dyDescent="0.35">
      <c r="A885">
        <v>480309009</v>
      </c>
      <c r="B885" t="s">
        <v>526</v>
      </c>
      <c r="C885" s="190">
        <v>0</v>
      </c>
      <c r="D885" s="190">
        <v>5325</v>
      </c>
      <c r="E885" s="190">
        <v>0</v>
      </c>
      <c r="F885" s="190">
        <v>5325</v>
      </c>
      <c r="G885"/>
      <c r="H885"/>
    </row>
    <row r="886" spans="1:9" ht="15" customHeight="1" x14ac:dyDescent="0.35">
      <c r="A886">
        <v>480315</v>
      </c>
      <c r="B886" t="s">
        <v>527</v>
      </c>
      <c r="C886" s="190">
        <v>0</v>
      </c>
      <c r="D886" s="190">
        <v>9337.1200000000008</v>
      </c>
      <c r="E886" s="190">
        <v>6</v>
      </c>
      <c r="F886" s="190">
        <v>9331.1200000000008</v>
      </c>
      <c r="G886"/>
      <c r="H886"/>
    </row>
    <row r="887" spans="1:9" ht="15" customHeight="1" x14ac:dyDescent="0.35">
      <c r="A887">
        <v>4803150</v>
      </c>
      <c r="B887" t="s">
        <v>527</v>
      </c>
      <c r="C887" s="190">
        <v>0</v>
      </c>
      <c r="D887" s="190">
        <v>9337.1200000000008</v>
      </c>
      <c r="E887" s="190">
        <v>6</v>
      </c>
      <c r="F887" s="190">
        <v>9331.1200000000008</v>
      </c>
      <c r="G887"/>
      <c r="H887"/>
    </row>
    <row r="888" spans="1:9" ht="15" customHeight="1" x14ac:dyDescent="0.35">
      <c r="A888">
        <v>480315001</v>
      </c>
      <c r="B888" t="s">
        <v>527</v>
      </c>
      <c r="C888" s="190">
        <v>0</v>
      </c>
      <c r="D888" s="190">
        <v>9337.1200000000008</v>
      </c>
      <c r="E888" s="190">
        <v>6</v>
      </c>
      <c r="F888" s="190">
        <v>9331.1200000000008</v>
      </c>
      <c r="G888"/>
      <c r="H888"/>
    </row>
    <row r="889" spans="1:9" ht="15" customHeight="1" x14ac:dyDescent="0.35">
      <c r="A889">
        <v>4804</v>
      </c>
      <c r="B889" t="s">
        <v>67</v>
      </c>
      <c r="C889" s="190">
        <v>0</v>
      </c>
      <c r="D889" s="190">
        <v>24834.67</v>
      </c>
      <c r="E889" s="190">
        <v>0</v>
      </c>
      <c r="F889" s="190">
        <v>24834.67</v>
      </c>
      <c r="G889"/>
      <c r="H889"/>
    </row>
    <row r="890" spans="1:9" ht="15" customHeight="1" x14ac:dyDescent="0.35">
      <c r="A890">
        <v>480402</v>
      </c>
      <c r="B890" t="s">
        <v>528</v>
      </c>
      <c r="C890" s="190">
        <v>0</v>
      </c>
      <c r="D890" s="190">
        <v>1996.04</v>
      </c>
      <c r="E890" s="190">
        <v>0</v>
      </c>
      <c r="F890" s="190">
        <v>1996.04</v>
      </c>
      <c r="G890"/>
      <c r="H890"/>
    </row>
    <row r="891" spans="1:9" ht="15" customHeight="1" x14ac:dyDescent="0.35">
      <c r="A891">
        <v>4804020</v>
      </c>
      <c r="B891" t="s">
        <v>528</v>
      </c>
      <c r="C891" s="190">
        <v>0</v>
      </c>
      <c r="D891" s="190">
        <v>1996.04</v>
      </c>
      <c r="E891" s="190">
        <v>0</v>
      </c>
      <c r="F891" s="190">
        <v>1996.04</v>
      </c>
      <c r="G891"/>
      <c r="H891"/>
    </row>
    <row r="892" spans="1:9" ht="15" customHeight="1" x14ac:dyDescent="0.35">
      <c r="A892">
        <v>480402001</v>
      </c>
      <c r="B892" t="s">
        <v>365</v>
      </c>
      <c r="C892" s="190">
        <v>0</v>
      </c>
      <c r="D892" s="190">
        <v>728.61</v>
      </c>
      <c r="E892" s="190">
        <v>0</v>
      </c>
      <c r="F892" s="190">
        <v>728.61</v>
      </c>
      <c r="G892"/>
      <c r="H892"/>
    </row>
    <row r="893" spans="1:9" ht="15" customHeight="1" x14ac:dyDescent="0.35">
      <c r="A893">
        <v>480402002</v>
      </c>
      <c r="B893" t="s">
        <v>529</v>
      </c>
      <c r="C893" s="190">
        <v>0</v>
      </c>
      <c r="D893" s="190">
        <v>1267.43</v>
      </c>
      <c r="E893" s="190">
        <v>0</v>
      </c>
      <c r="F893" s="190">
        <v>1267.43</v>
      </c>
      <c r="G893"/>
      <c r="H893"/>
    </row>
    <row r="894" spans="1:9" ht="15" customHeight="1" x14ac:dyDescent="0.35">
      <c r="A894">
        <v>480403</v>
      </c>
      <c r="B894" t="s">
        <v>372</v>
      </c>
      <c r="C894" s="190">
        <v>0</v>
      </c>
      <c r="D894" s="190">
        <v>21654.63</v>
      </c>
      <c r="E894" s="190">
        <v>0</v>
      </c>
      <c r="F894" s="190">
        <v>21654.63</v>
      </c>
      <c r="G894"/>
      <c r="H894"/>
      <c r="I894" s="168"/>
    </row>
    <row r="895" spans="1:9" ht="15" customHeight="1" x14ac:dyDescent="0.35">
      <c r="A895">
        <v>480409</v>
      </c>
      <c r="B895" t="s">
        <v>617</v>
      </c>
      <c r="C895" s="190">
        <v>0</v>
      </c>
      <c r="D895" s="190">
        <v>1184</v>
      </c>
      <c r="E895" s="190">
        <v>0</v>
      </c>
      <c r="F895" s="190">
        <v>1184</v>
      </c>
      <c r="G895"/>
      <c r="H895"/>
    </row>
    <row r="896" spans="1:9" ht="15" customHeight="1" x14ac:dyDescent="0.35">
      <c r="A896">
        <v>4805</v>
      </c>
      <c r="B896" t="s">
        <v>14</v>
      </c>
      <c r="C896" s="190">
        <v>0</v>
      </c>
      <c r="D896" s="190">
        <v>691309.4</v>
      </c>
      <c r="E896" s="190">
        <v>271007.3</v>
      </c>
      <c r="F896" s="190">
        <v>420302.1</v>
      </c>
      <c r="G896"/>
      <c r="H896"/>
    </row>
    <row r="897" spans="1:8" ht="15" customHeight="1" x14ac:dyDescent="0.35">
      <c r="A897">
        <v>480501</v>
      </c>
      <c r="B897" t="s">
        <v>434</v>
      </c>
      <c r="C897" s="190">
        <v>0</v>
      </c>
      <c r="D897" s="190">
        <v>11265.99</v>
      </c>
      <c r="E897" s="190">
        <v>741.83</v>
      </c>
      <c r="F897" s="190">
        <v>10524.16</v>
      </c>
      <c r="G897"/>
      <c r="H897"/>
    </row>
    <row r="898" spans="1:8" ht="15" customHeight="1" x14ac:dyDescent="0.35">
      <c r="A898">
        <v>4805010</v>
      </c>
      <c r="B898" t="s">
        <v>434</v>
      </c>
      <c r="C898" s="190">
        <v>0</v>
      </c>
      <c r="D898" s="190">
        <v>11265.99</v>
      </c>
      <c r="E898" s="190">
        <v>741.83</v>
      </c>
      <c r="F898" s="190">
        <v>10524.16</v>
      </c>
      <c r="G898"/>
      <c r="H898"/>
    </row>
    <row r="899" spans="1:8" ht="15" customHeight="1" x14ac:dyDescent="0.35">
      <c r="A899">
        <v>480501001</v>
      </c>
      <c r="B899" t="s">
        <v>434</v>
      </c>
      <c r="C899" s="190">
        <v>0</v>
      </c>
      <c r="D899" s="190">
        <v>11265.99</v>
      </c>
      <c r="E899" s="190">
        <v>741.83</v>
      </c>
      <c r="F899" s="190">
        <v>10524.16</v>
      </c>
      <c r="G899"/>
      <c r="H899"/>
    </row>
    <row r="900" spans="1:8" ht="15" customHeight="1" x14ac:dyDescent="0.35">
      <c r="A900">
        <v>480502</v>
      </c>
      <c r="B900" t="s">
        <v>530</v>
      </c>
      <c r="C900" s="190">
        <v>0</v>
      </c>
      <c r="D900" s="190">
        <v>2254.6799999999998</v>
      </c>
      <c r="E900" s="190">
        <v>0</v>
      </c>
      <c r="F900" s="190">
        <v>2254.6799999999998</v>
      </c>
      <c r="G900"/>
      <c r="H900"/>
    </row>
    <row r="901" spans="1:8" ht="15" customHeight="1" x14ac:dyDescent="0.35">
      <c r="A901">
        <v>480504</v>
      </c>
      <c r="B901" t="s">
        <v>531</v>
      </c>
      <c r="C901" s="190">
        <v>0</v>
      </c>
      <c r="D901" s="190">
        <v>278041.86</v>
      </c>
      <c r="E901" s="190">
        <v>26688.94</v>
      </c>
      <c r="F901" s="190">
        <v>251352.92</v>
      </c>
      <c r="G901"/>
      <c r="H901"/>
    </row>
    <row r="902" spans="1:8" ht="15" customHeight="1" x14ac:dyDescent="0.35">
      <c r="A902">
        <v>480509</v>
      </c>
      <c r="B902" t="s">
        <v>436</v>
      </c>
      <c r="C902" s="190">
        <v>0</v>
      </c>
      <c r="D902" s="190">
        <v>399746.87</v>
      </c>
      <c r="E902" s="190">
        <v>243576.53</v>
      </c>
      <c r="F902" s="190">
        <v>156170.34</v>
      </c>
      <c r="G902"/>
      <c r="H902"/>
    </row>
    <row r="903" spans="1:8" ht="15" customHeight="1" x14ac:dyDescent="0.35">
      <c r="A903">
        <v>4805090</v>
      </c>
      <c r="B903" t="s">
        <v>436</v>
      </c>
      <c r="C903" s="190">
        <v>0</v>
      </c>
      <c r="D903" s="190">
        <v>399746.87</v>
      </c>
      <c r="E903" s="190">
        <v>243576.53</v>
      </c>
      <c r="F903" s="190">
        <v>156170.34</v>
      </c>
      <c r="G903"/>
      <c r="H903"/>
    </row>
    <row r="904" spans="1:8" ht="15" customHeight="1" x14ac:dyDescent="0.35">
      <c r="A904">
        <v>480509001</v>
      </c>
      <c r="B904" t="s">
        <v>532</v>
      </c>
      <c r="C904" s="190">
        <v>0</v>
      </c>
      <c r="D904" s="190">
        <v>54714.67</v>
      </c>
      <c r="E904" s="190">
        <v>2457.7399999999998</v>
      </c>
      <c r="F904" s="190">
        <v>52256.93</v>
      </c>
      <c r="G904"/>
      <c r="H904"/>
    </row>
    <row r="905" spans="1:8" ht="15" customHeight="1" x14ac:dyDescent="0.35">
      <c r="A905">
        <v>480509002</v>
      </c>
      <c r="B905" t="s">
        <v>533</v>
      </c>
      <c r="C905" s="190">
        <v>0</v>
      </c>
      <c r="D905" s="190">
        <v>103094</v>
      </c>
      <c r="E905" s="190">
        <v>680.59</v>
      </c>
      <c r="F905" s="190">
        <v>102413.41</v>
      </c>
      <c r="G905"/>
      <c r="H905"/>
    </row>
    <row r="906" spans="1:8" ht="15" customHeight="1" x14ac:dyDescent="0.35">
      <c r="A906">
        <v>480509003</v>
      </c>
      <c r="B906" t="s">
        <v>534</v>
      </c>
      <c r="C906" s="190">
        <v>0</v>
      </c>
      <c r="D906" s="190">
        <v>1500</v>
      </c>
      <c r="E906" s="190">
        <v>0</v>
      </c>
      <c r="F906" s="190">
        <v>1500</v>
      </c>
      <c r="G906"/>
      <c r="H906"/>
    </row>
    <row r="907" spans="1:8" ht="15" customHeight="1" x14ac:dyDescent="0.35">
      <c r="A907">
        <v>480509005</v>
      </c>
      <c r="B907" t="s">
        <v>437</v>
      </c>
      <c r="C907" s="190">
        <v>0</v>
      </c>
      <c r="D907" s="190">
        <v>240438.2</v>
      </c>
      <c r="E907" s="190">
        <v>240438.2</v>
      </c>
      <c r="F907" s="190">
        <v>0</v>
      </c>
      <c r="G907"/>
      <c r="H907"/>
    </row>
    <row r="908" spans="1:8" ht="15" customHeight="1" x14ac:dyDescent="0.35">
      <c r="A908">
        <v>4806</v>
      </c>
      <c r="B908" t="s">
        <v>68</v>
      </c>
      <c r="C908" s="190">
        <v>0</v>
      </c>
      <c r="D908" s="190">
        <v>26898.5</v>
      </c>
      <c r="E908" s="190">
        <v>12719.78</v>
      </c>
      <c r="F908" s="190">
        <v>14178.72</v>
      </c>
      <c r="G908"/>
      <c r="H908"/>
    </row>
    <row r="909" spans="1:8" ht="15" customHeight="1" x14ac:dyDescent="0.35">
      <c r="A909">
        <v>480602</v>
      </c>
      <c r="B909" t="s">
        <v>367</v>
      </c>
      <c r="C909" s="190">
        <v>0</v>
      </c>
      <c r="D909" s="190">
        <v>25995.11</v>
      </c>
      <c r="E909" s="190">
        <v>12719.78</v>
      </c>
      <c r="F909" s="190">
        <v>13275.33</v>
      </c>
      <c r="G909"/>
      <c r="H909"/>
    </row>
    <row r="910" spans="1:8" ht="15" customHeight="1" x14ac:dyDescent="0.35">
      <c r="A910">
        <v>4806020</v>
      </c>
      <c r="B910" t="s">
        <v>367</v>
      </c>
      <c r="C910" s="190">
        <v>0</v>
      </c>
      <c r="D910" s="190">
        <v>25995.11</v>
      </c>
      <c r="E910" s="190">
        <v>12719.78</v>
      </c>
      <c r="F910" s="190">
        <v>13275.33</v>
      </c>
      <c r="G910"/>
      <c r="H910"/>
    </row>
    <row r="911" spans="1:8" ht="15" customHeight="1" x14ac:dyDescent="0.35">
      <c r="A911">
        <v>480602001</v>
      </c>
      <c r="B911" t="s">
        <v>361</v>
      </c>
      <c r="C911" s="190">
        <v>0</v>
      </c>
      <c r="D911" s="190">
        <v>309.54000000000002</v>
      </c>
      <c r="E911" s="190">
        <v>132.68</v>
      </c>
      <c r="F911" s="190">
        <v>176.86</v>
      </c>
      <c r="G911"/>
      <c r="H911"/>
    </row>
    <row r="912" spans="1:8" ht="15" customHeight="1" x14ac:dyDescent="0.35">
      <c r="A912">
        <v>480602003</v>
      </c>
      <c r="B912" t="s">
        <v>369</v>
      </c>
      <c r="C912" s="190">
        <v>0</v>
      </c>
      <c r="D912" s="190">
        <v>21266.7</v>
      </c>
      <c r="E912" s="190">
        <v>9331.65</v>
      </c>
      <c r="F912" s="190">
        <v>11935.05</v>
      </c>
      <c r="G912"/>
      <c r="H912"/>
    </row>
    <row r="913" spans="1:8" ht="15" customHeight="1" x14ac:dyDescent="0.35">
      <c r="A913">
        <v>480602004</v>
      </c>
      <c r="B913" t="s">
        <v>364</v>
      </c>
      <c r="C913" s="190">
        <v>0</v>
      </c>
      <c r="D913" s="190">
        <v>4418.87</v>
      </c>
      <c r="E913" s="190">
        <v>3255.45</v>
      </c>
      <c r="F913" s="190">
        <v>1163.42</v>
      </c>
      <c r="G913"/>
      <c r="H913"/>
    </row>
    <row r="914" spans="1:8" ht="15" customHeight="1" x14ac:dyDescent="0.35">
      <c r="A914">
        <v>480603</v>
      </c>
      <c r="B914" t="s">
        <v>370</v>
      </c>
      <c r="C914" s="190">
        <v>0</v>
      </c>
      <c r="D914" s="190">
        <v>903.39</v>
      </c>
      <c r="E914" s="190">
        <v>0</v>
      </c>
      <c r="F914" s="190">
        <v>903.39</v>
      </c>
      <c r="G914"/>
      <c r="H914"/>
    </row>
    <row r="915" spans="1:8" ht="15" customHeight="1" x14ac:dyDescent="0.35">
      <c r="A915">
        <v>4806030</v>
      </c>
      <c r="B915" t="s">
        <v>370</v>
      </c>
      <c r="C915" s="190">
        <v>0</v>
      </c>
      <c r="D915" s="190">
        <v>903.39</v>
      </c>
      <c r="E915" s="190">
        <v>0</v>
      </c>
      <c r="F915" s="190">
        <v>903.39</v>
      </c>
      <c r="G915"/>
      <c r="H915"/>
    </row>
    <row r="916" spans="1:8" ht="15" customHeight="1" x14ac:dyDescent="0.35">
      <c r="A916">
        <v>480603001</v>
      </c>
      <c r="B916" t="s">
        <v>365</v>
      </c>
      <c r="C916" s="190">
        <v>0</v>
      </c>
      <c r="D916" s="190">
        <v>903.39</v>
      </c>
      <c r="E916" s="190">
        <v>0</v>
      </c>
      <c r="F916" s="190">
        <v>903.39</v>
      </c>
      <c r="G916"/>
      <c r="H916"/>
    </row>
    <row r="917" spans="1:8" ht="15" customHeight="1" x14ac:dyDescent="0.35">
      <c r="A917">
        <v>4808</v>
      </c>
      <c r="B917" t="s">
        <v>69</v>
      </c>
      <c r="C917" s="190">
        <v>0</v>
      </c>
      <c r="D917" s="190">
        <v>7577.68</v>
      </c>
      <c r="E917" s="190">
        <v>0</v>
      </c>
      <c r="F917" s="190">
        <v>7577.68</v>
      </c>
      <c r="G917"/>
      <c r="H917"/>
    </row>
    <row r="918" spans="1:8" ht="15" customHeight="1" x14ac:dyDescent="0.35">
      <c r="A918">
        <v>480801</v>
      </c>
      <c r="B918" t="s">
        <v>535</v>
      </c>
      <c r="C918" s="190">
        <v>0</v>
      </c>
      <c r="D918" s="190">
        <v>7577.68</v>
      </c>
      <c r="E918" s="190">
        <v>0</v>
      </c>
      <c r="F918" s="190">
        <v>7577.68</v>
      </c>
      <c r="G918"/>
      <c r="H918"/>
    </row>
    <row r="919" spans="1:8" ht="15" customHeight="1" x14ac:dyDescent="0.35">
      <c r="A919">
        <v>4808010</v>
      </c>
      <c r="B919" t="s">
        <v>535</v>
      </c>
      <c r="C919" s="190">
        <v>0</v>
      </c>
      <c r="D919" s="190">
        <v>7577.68</v>
      </c>
      <c r="E919" s="190">
        <v>0</v>
      </c>
      <c r="F919" s="190">
        <v>7577.68</v>
      </c>
      <c r="G919"/>
      <c r="H919"/>
    </row>
    <row r="920" spans="1:8" ht="15" customHeight="1" x14ac:dyDescent="0.35">
      <c r="A920">
        <v>480801001</v>
      </c>
      <c r="B920" t="s">
        <v>536</v>
      </c>
      <c r="C920" s="190">
        <v>0</v>
      </c>
      <c r="D920" s="190">
        <v>6809.78</v>
      </c>
      <c r="E920" s="190">
        <v>0</v>
      </c>
      <c r="F920" s="190">
        <v>6809.78</v>
      </c>
      <c r="G920"/>
      <c r="H920"/>
    </row>
    <row r="921" spans="1:8" ht="15" customHeight="1" x14ac:dyDescent="0.35">
      <c r="A921">
        <v>480801002</v>
      </c>
      <c r="B921" t="s">
        <v>537</v>
      </c>
      <c r="C921" s="190">
        <v>0</v>
      </c>
      <c r="D921" s="190">
        <v>767.9</v>
      </c>
      <c r="E921" s="190">
        <v>0</v>
      </c>
      <c r="F921" s="190">
        <v>767.9</v>
      </c>
      <c r="G921"/>
      <c r="H921"/>
    </row>
    <row r="922" spans="1:8" ht="15" customHeight="1" x14ac:dyDescent="0.35">
      <c r="A922">
        <v>4809</v>
      </c>
      <c r="B922" t="s">
        <v>15</v>
      </c>
      <c r="C922" s="190">
        <v>0</v>
      </c>
      <c r="D922" s="190">
        <v>133866.97</v>
      </c>
      <c r="E922" s="190">
        <v>131558.37</v>
      </c>
      <c r="F922" s="190">
        <v>2308.6</v>
      </c>
      <c r="G922"/>
      <c r="H922"/>
    </row>
    <row r="923" spans="1:8" ht="15" customHeight="1" x14ac:dyDescent="0.35">
      <c r="A923">
        <v>480901</v>
      </c>
      <c r="B923" t="s">
        <v>538</v>
      </c>
      <c r="C923" s="190">
        <v>0</v>
      </c>
      <c r="D923" s="190">
        <v>131527.44</v>
      </c>
      <c r="E923" s="190">
        <v>131527.44</v>
      </c>
      <c r="F923" s="190">
        <v>0</v>
      </c>
      <c r="G923"/>
      <c r="H923"/>
    </row>
    <row r="924" spans="1:8" ht="15" customHeight="1" x14ac:dyDescent="0.35">
      <c r="A924">
        <v>4809010</v>
      </c>
      <c r="B924" t="s">
        <v>538</v>
      </c>
      <c r="C924" s="190">
        <v>0</v>
      </c>
      <c r="D924" s="190">
        <v>131527.44</v>
      </c>
      <c r="E924" s="190">
        <v>131527.44</v>
      </c>
      <c r="F924" s="190">
        <v>0</v>
      </c>
      <c r="G924"/>
      <c r="H924"/>
    </row>
    <row r="925" spans="1:8" ht="15" customHeight="1" x14ac:dyDescent="0.35">
      <c r="A925">
        <v>480901001</v>
      </c>
      <c r="B925" t="s">
        <v>539</v>
      </c>
      <c r="C925" s="190">
        <v>0</v>
      </c>
      <c r="D925" s="190">
        <v>131527.44</v>
      </c>
      <c r="E925" s="190">
        <v>131527.44</v>
      </c>
      <c r="F925" s="190">
        <v>0</v>
      </c>
      <c r="G925"/>
      <c r="H925"/>
    </row>
    <row r="926" spans="1:8" ht="15" customHeight="1" x14ac:dyDescent="0.35">
      <c r="A926">
        <v>480902</v>
      </c>
      <c r="B926" t="s">
        <v>540</v>
      </c>
      <c r="C926" s="190">
        <v>0</v>
      </c>
      <c r="D926" s="190">
        <v>1403.18</v>
      </c>
      <c r="E926" s="190">
        <v>30.92</v>
      </c>
      <c r="F926" s="190">
        <v>1372.26</v>
      </c>
      <c r="G926"/>
      <c r="H926"/>
    </row>
    <row r="927" spans="1:8" ht="15" customHeight="1" x14ac:dyDescent="0.35">
      <c r="A927">
        <v>4809020</v>
      </c>
      <c r="B927" t="s">
        <v>540</v>
      </c>
      <c r="C927" s="190">
        <v>0</v>
      </c>
      <c r="D927" s="190">
        <v>1403.18</v>
      </c>
      <c r="E927" s="190">
        <v>30.92</v>
      </c>
      <c r="F927" s="190">
        <v>1372.26</v>
      </c>
      <c r="G927"/>
      <c r="H927"/>
    </row>
    <row r="928" spans="1:8" ht="15" customHeight="1" x14ac:dyDescent="0.35">
      <c r="A928">
        <v>480902001</v>
      </c>
      <c r="B928" t="s">
        <v>540</v>
      </c>
      <c r="C928" s="190">
        <v>0</v>
      </c>
      <c r="D928" s="190">
        <v>1403.18</v>
      </c>
      <c r="E928" s="190">
        <v>30.92</v>
      </c>
      <c r="F928" s="190">
        <v>1372.26</v>
      </c>
      <c r="G928"/>
      <c r="H928"/>
    </row>
    <row r="929" spans="1:9" ht="15" customHeight="1" x14ac:dyDescent="0.35">
      <c r="A929">
        <v>480909</v>
      </c>
      <c r="B929" t="s">
        <v>541</v>
      </c>
      <c r="C929" s="190">
        <v>0</v>
      </c>
      <c r="D929" s="190">
        <v>936.35</v>
      </c>
      <c r="E929" s="190">
        <v>0.01</v>
      </c>
      <c r="F929" s="190">
        <v>936.34</v>
      </c>
      <c r="G929"/>
      <c r="H929"/>
    </row>
    <row r="930" spans="1:9" ht="15" customHeight="1" x14ac:dyDescent="0.35">
      <c r="A930">
        <v>4809090</v>
      </c>
      <c r="B930" t="s">
        <v>541</v>
      </c>
      <c r="C930" s="190">
        <v>0</v>
      </c>
      <c r="D930" s="190">
        <v>936.35</v>
      </c>
      <c r="E930" s="190">
        <v>0.01</v>
      </c>
      <c r="F930" s="190">
        <v>936.34</v>
      </c>
      <c r="G930"/>
      <c r="H930"/>
    </row>
    <row r="931" spans="1:9" ht="15" customHeight="1" x14ac:dyDescent="0.35">
      <c r="A931">
        <v>480909009</v>
      </c>
      <c r="B931" t="s">
        <v>15</v>
      </c>
      <c r="C931" s="190">
        <v>0</v>
      </c>
      <c r="D931" s="190">
        <v>936.35</v>
      </c>
      <c r="E931" s="190">
        <v>0.01</v>
      </c>
      <c r="F931" s="190">
        <v>936.34</v>
      </c>
      <c r="G931"/>
      <c r="H931"/>
    </row>
    <row r="932" spans="1:9" ht="15" customHeight="1" x14ac:dyDescent="0.35">
      <c r="A932">
        <v>49</v>
      </c>
      <c r="B932" t="s">
        <v>16</v>
      </c>
      <c r="C932" s="190">
        <v>0</v>
      </c>
      <c r="D932" s="190">
        <v>9322792.6999999993</v>
      </c>
      <c r="E932" s="190">
        <v>9134475.2799999993</v>
      </c>
      <c r="F932" s="190">
        <v>188317.42</v>
      </c>
      <c r="G932"/>
      <c r="H932"/>
    </row>
    <row r="933" spans="1:9" ht="15" customHeight="1" x14ac:dyDescent="0.35">
      <c r="A933">
        <v>4901</v>
      </c>
      <c r="B933" t="s">
        <v>210</v>
      </c>
      <c r="C933" s="190">
        <v>0</v>
      </c>
      <c r="D933" s="190">
        <v>9263854.9100000001</v>
      </c>
      <c r="E933" s="190">
        <v>9120971.9299999997</v>
      </c>
      <c r="F933" s="190">
        <v>142882.98000000001</v>
      </c>
      <c r="G933"/>
      <c r="H933"/>
      <c r="I933" s="167"/>
    </row>
    <row r="934" spans="1:9" ht="15" customHeight="1" x14ac:dyDescent="0.35">
      <c r="A934">
        <v>490109</v>
      </c>
      <c r="B934" t="s">
        <v>542</v>
      </c>
      <c r="C934" s="190">
        <v>0</v>
      </c>
      <c r="D934" s="190">
        <v>9263854.9100000001</v>
      </c>
      <c r="E934" s="190">
        <v>9120971.9299999997</v>
      </c>
      <c r="F934" s="190">
        <v>142882.98000000001</v>
      </c>
      <c r="G934"/>
      <c r="H934"/>
    </row>
    <row r="935" spans="1:9" ht="15" customHeight="1" x14ac:dyDescent="0.35">
      <c r="A935">
        <v>4901090</v>
      </c>
      <c r="B935" t="s">
        <v>542</v>
      </c>
      <c r="C935" s="190">
        <v>0</v>
      </c>
      <c r="D935" s="190">
        <v>9263854.9100000001</v>
      </c>
      <c r="E935" s="190">
        <v>9120971.9299999997</v>
      </c>
      <c r="F935" s="190">
        <v>142882.98000000001</v>
      </c>
      <c r="G935"/>
      <c r="H935"/>
    </row>
    <row r="936" spans="1:9" ht="15" customHeight="1" x14ac:dyDescent="0.35">
      <c r="A936">
        <v>490109001</v>
      </c>
      <c r="B936" t="s">
        <v>543</v>
      </c>
      <c r="C936" s="190">
        <v>0</v>
      </c>
      <c r="D936" s="190">
        <v>16.64</v>
      </c>
      <c r="E936" s="190">
        <v>3.91</v>
      </c>
      <c r="F936" s="190">
        <v>12.73</v>
      </c>
      <c r="G936"/>
      <c r="H936"/>
    </row>
    <row r="937" spans="1:9" ht="15" customHeight="1" x14ac:dyDescent="0.35">
      <c r="A937">
        <v>490109002</v>
      </c>
      <c r="B937" t="s">
        <v>544</v>
      </c>
      <c r="C937" s="190">
        <v>0</v>
      </c>
      <c r="D937" s="190">
        <v>9121066.9900000002</v>
      </c>
      <c r="E937" s="190">
        <v>9120928.9000000004</v>
      </c>
      <c r="F937" s="190">
        <v>138.09</v>
      </c>
      <c r="G937"/>
      <c r="H937"/>
    </row>
    <row r="938" spans="1:9" ht="15" customHeight="1" x14ac:dyDescent="0.35">
      <c r="A938">
        <v>49010900201</v>
      </c>
      <c r="B938" t="s">
        <v>229</v>
      </c>
      <c r="C938" s="190">
        <v>0</v>
      </c>
      <c r="D938" s="190">
        <v>9120928.9000000004</v>
      </c>
      <c r="E938" s="190">
        <v>9120928.9000000004</v>
      </c>
      <c r="F938" s="190">
        <v>0</v>
      </c>
      <c r="G938"/>
      <c r="H938"/>
    </row>
    <row r="939" spans="1:9" ht="15" customHeight="1" x14ac:dyDescent="0.35">
      <c r="A939">
        <v>49010900207</v>
      </c>
      <c r="B939" t="s">
        <v>206</v>
      </c>
      <c r="C939" s="190">
        <v>0</v>
      </c>
      <c r="D939" s="190">
        <v>138.09</v>
      </c>
      <c r="E939" s="190">
        <v>0</v>
      </c>
      <c r="F939" s="190">
        <v>138.09</v>
      </c>
      <c r="G939"/>
      <c r="H939"/>
    </row>
    <row r="940" spans="1:9" ht="15" customHeight="1" x14ac:dyDescent="0.35">
      <c r="A940">
        <v>490109009</v>
      </c>
      <c r="B940" t="s">
        <v>206</v>
      </c>
      <c r="C940" s="190">
        <v>0</v>
      </c>
      <c r="D940" s="190">
        <v>142771.28</v>
      </c>
      <c r="E940" s="190">
        <v>39.119999999999997</v>
      </c>
      <c r="F940" s="190">
        <v>142732.16</v>
      </c>
      <c r="G940"/>
      <c r="H940"/>
    </row>
    <row r="941" spans="1:9" ht="15" customHeight="1" x14ac:dyDescent="0.35">
      <c r="A941">
        <v>49010900901</v>
      </c>
      <c r="B941" t="s">
        <v>545</v>
      </c>
      <c r="C941" s="190">
        <v>0</v>
      </c>
      <c r="D941" s="190">
        <v>142591.28</v>
      </c>
      <c r="E941" s="190">
        <v>39.119999999999997</v>
      </c>
      <c r="F941" s="190">
        <v>142552.16</v>
      </c>
      <c r="G941"/>
      <c r="H941"/>
    </row>
    <row r="942" spans="1:9" ht="15" customHeight="1" x14ac:dyDescent="0.35">
      <c r="A942">
        <v>49010900902</v>
      </c>
      <c r="B942" t="s">
        <v>768</v>
      </c>
      <c r="C942" s="190">
        <v>0</v>
      </c>
      <c r="D942" s="190">
        <v>180</v>
      </c>
      <c r="E942" s="190">
        <v>0</v>
      </c>
      <c r="F942" s="190">
        <v>180</v>
      </c>
      <c r="G942"/>
      <c r="H942"/>
    </row>
    <row r="943" spans="1:9" ht="15" customHeight="1" x14ac:dyDescent="0.35">
      <c r="A943">
        <v>4902</v>
      </c>
      <c r="B943" t="s">
        <v>17</v>
      </c>
      <c r="C943" s="190">
        <v>0</v>
      </c>
      <c r="D943" s="190">
        <v>58937.79</v>
      </c>
      <c r="E943" s="190">
        <v>13503.35</v>
      </c>
      <c r="F943" s="190">
        <v>45434.44</v>
      </c>
      <c r="G943"/>
      <c r="H943"/>
    </row>
    <row r="944" spans="1:9" ht="15" customHeight="1" x14ac:dyDescent="0.35">
      <c r="A944">
        <v>490209</v>
      </c>
      <c r="B944" t="s">
        <v>546</v>
      </c>
      <c r="C944" s="190">
        <v>0</v>
      </c>
      <c r="D944" s="190">
        <v>58937.79</v>
      </c>
      <c r="E944" s="190">
        <v>13503.35</v>
      </c>
      <c r="F944" s="190">
        <v>45434.44</v>
      </c>
      <c r="G944"/>
      <c r="H944"/>
    </row>
    <row r="945" spans="1:9" ht="15" customHeight="1" x14ac:dyDescent="0.35">
      <c r="A945">
        <v>4902090</v>
      </c>
      <c r="B945" t="s">
        <v>546</v>
      </c>
      <c r="C945" s="190">
        <v>0</v>
      </c>
      <c r="D945" s="190">
        <v>45434.79</v>
      </c>
      <c r="E945" s="190">
        <v>0.35</v>
      </c>
      <c r="F945" s="190">
        <v>45434.44</v>
      </c>
      <c r="G945"/>
      <c r="H945"/>
    </row>
    <row r="946" spans="1:9" ht="15" customHeight="1" x14ac:dyDescent="0.35">
      <c r="A946">
        <v>490209001</v>
      </c>
      <c r="B946" t="s">
        <v>546</v>
      </c>
      <c r="C946" s="190">
        <v>0</v>
      </c>
      <c r="D946" s="190">
        <v>45434.79</v>
      </c>
      <c r="E946" s="190">
        <v>0.35</v>
      </c>
      <c r="F946" s="190">
        <v>45434.44</v>
      </c>
      <c r="G946"/>
      <c r="H946"/>
    </row>
    <row r="947" spans="1:9" ht="15" customHeight="1" x14ac:dyDescent="0.35">
      <c r="A947">
        <v>5</v>
      </c>
      <c r="B947" t="s">
        <v>31</v>
      </c>
      <c r="C947" s="190">
        <v>0</v>
      </c>
      <c r="D947" s="190">
        <v>7373693.8700000001</v>
      </c>
      <c r="E947" s="190">
        <v>23981360.98</v>
      </c>
      <c r="F947" s="190">
        <v>-16607667.109999999</v>
      </c>
      <c r="G947"/>
      <c r="H947"/>
    </row>
    <row r="948" spans="1:9" ht="15" customHeight="1" x14ac:dyDescent="0.35">
      <c r="A948">
        <v>51</v>
      </c>
      <c r="B948" t="s">
        <v>183</v>
      </c>
      <c r="C948" s="190">
        <v>0</v>
      </c>
      <c r="D948" s="190">
        <v>2940288.2</v>
      </c>
      <c r="E948" s="190">
        <v>8811099.5899999999</v>
      </c>
      <c r="F948" s="190">
        <v>-5870811.3899999997</v>
      </c>
      <c r="G948"/>
      <c r="H948"/>
    </row>
    <row r="949" spans="1:9" ht="15" customHeight="1" x14ac:dyDescent="0.35">
      <c r="A949">
        <v>5101</v>
      </c>
      <c r="B949" t="s">
        <v>191</v>
      </c>
      <c r="C949" s="190">
        <v>0</v>
      </c>
      <c r="D949" s="190">
        <v>1437348.51</v>
      </c>
      <c r="E949" s="190">
        <v>4030980</v>
      </c>
      <c r="F949" s="190">
        <v>-2593631.4900000002</v>
      </c>
      <c r="G949"/>
      <c r="H949"/>
      <c r="I949" s="168"/>
    </row>
    <row r="950" spans="1:9" ht="15" customHeight="1" x14ac:dyDescent="0.35">
      <c r="A950">
        <v>510101</v>
      </c>
      <c r="B950" t="s">
        <v>461</v>
      </c>
      <c r="C950" s="190">
        <v>0</v>
      </c>
      <c r="D950" s="190">
        <v>273542.23</v>
      </c>
      <c r="E950" s="190">
        <v>500904.63</v>
      </c>
      <c r="F950" s="190">
        <v>-227362.4</v>
      </c>
      <c r="G950"/>
      <c r="H950"/>
    </row>
    <row r="951" spans="1:9" ht="15" customHeight="1" x14ac:dyDescent="0.35">
      <c r="A951">
        <v>5101010</v>
      </c>
      <c r="B951" t="s">
        <v>461</v>
      </c>
      <c r="C951" s="190">
        <v>0</v>
      </c>
      <c r="D951" s="190">
        <v>273542.23</v>
      </c>
      <c r="E951" s="190">
        <v>500904.63</v>
      </c>
      <c r="F951" s="190">
        <v>-227362.4</v>
      </c>
      <c r="G951"/>
      <c r="H951"/>
    </row>
    <row r="952" spans="1:9" ht="15" customHeight="1" x14ac:dyDescent="0.35">
      <c r="A952">
        <v>510101001</v>
      </c>
      <c r="B952" t="s">
        <v>408</v>
      </c>
      <c r="C952" s="190">
        <v>0</v>
      </c>
      <c r="D952" s="190">
        <v>273542.23</v>
      </c>
      <c r="E952" s="190">
        <v>500904.63</v>
      </c>
      <c r="F952" s="190">
        <v>-227362.4</v>
      </c>
      <c r="G952"/>
      <c r="H952"/>
    </row>
    <row r="953" spans="1:9" ht="15" customHeight="1" x14ac:dyDescent="0.35">
      <c r="A953">
        <v>51010100101</v>
      </c>
      <c r="B953" t="s">
        <v>477</v>
      </c>
      <c r="C953" s="190">
        <v>0</v>
      </c>
      <c r="D953" s="190">
        <v>273542.23</v>
      </c>
      <c r="E953" s="190">
        <v>500753.99</v>
      </c>
      <c r="F953" s="190">
        <v>-227211.76</v>
      </c>
      <c r="G953"/>
      <c r="H953"/>
      <c r="I953" s="167"/>
    </row>
    <row r="954" spans="1:9" ht="15" customHeight="1" x14ac:dyDescent="0.35">
      <c r="A954">
        <v>5101010010101</v>
      </c>
      <c r="B954" t="s">
        <v>602</v>
      </c>
      <c r="C954" s="190">
        <v>0</v>
      </c>
      <c r="D954" s="190">
        <v>56929.440000000002</v>
      </c>
      <c r="E954" s="190">
        <v>284141.2</v>
      </c>
      <c r="F954" s="190">
        <v>-227211.76</v>
      </c>
      <c r="G954"/>
      <c r="H954"/>
    </row>
    <row r="955" spans="1:9" ht="15" customHeight="1" x14ac:dyDescent="0.35">
      <c r="A955">
        <v>51010100102</v>
      </c>
      <c r="B955" t="s">
        <v>480</v>
      </c>
      <c r="C955" s="190">
        <v>0</v>
      </c>
      <c r="D955" s="190">
        <v>0</v>
      </c>
      <c r="E955" s="190">
        <v>150.63999999999999</v>
      </c>
      <c r="F955" s="190">
        <v>-150.63999999999999</v>
      </c>
      <c r="G955"/>
      <c r="H955"/>
      <c r="I955" s="167"/>
    </row>
    <row r="956" spans="1:9" ht="15" customHeight="1" x14ac:dyDescent="0.35">
      <c r="A956">
        <v>5101010010201</v>
      </c>
      <c r="B956" t="s">
        <v>769</v>
      </c>
      <c r="C956" s="190">
        <v>0</v>
      </c>
      <c r="D956" s="190">
        <v>0</v>
      </c>
      <c r="E956" s="190">
        <v>150.63999999999999</v>
      </c>
      <c r="F956" s="190">
        <v>-150.63999999999999</v>
      </c>
      <c r="G956"/>
      <c r="H956"/>
    </row>
    <row r="957" spans="1:9" ht="15" customHeight="1" x14ac:dyDescent="0.35">
      <c r="A957">
        <v>510102</v>
      </c>
      <c r="B957" t="s">
        <v>478</v>
      </c>
      <c r="C957" s="190">
        <v>0</v>
      </c>
      <c r="D957" s="190">
        <v>477026.92</v>
      </c>
      <c r="E957" s="190">
        <v>967000.57</v>
      </c>
      <c r="F957" s="190">
        <v>-489973.65</v>
      </c>
      <c r="G957"/>
      <c r="H957"/>
      <c r="I957" s="168"/>
    </row>
    <row r="958" spans="1:9" ht="15" customHeight="1" x14ac:dyDescent="0.35">
      <c r="A958">
        <v>5101020</v>
      </c>
      <c r="B958" t="s">
        <v>478</v>
      </c>
      <c r="C958" s="190">
        <v>0</v>
      </c>
      <c r="D958" s="190">
        <v>477026.92</v>
      </c>
      <c r="E958" s="190">
        <v>967000.57</v>
      </c>
      <c r="F958" s="190">
        <v>-489973.65</v>
      </c>
      <c r="G958"/>
      <c r="H958"/>
      <c r="I958" s="168"/>
    </row>
    <row r="959" spans="1:9" ht="15" customHeight="1" x14ac:dyDescent="0.35">
      <c r="A959">
        <v>510102001</v>
      </c>
      <c r="B959" t="s">
        <v>408</v>
      </c>
      <c r="C959" s="190">
        <v>0</v>
      </c>
      <c r="D959" s="190">
        <v>477026.92</v>
      </c>
      <c r="E959" s="190">
        <v>966240.67</v>
      </c>
      <c r="F959" s="190">
        <v>-489213.75</v>
      </c>
      <c r="G959"/>
      <c r="H959"/>
    </row>
    <row r="960" spans="1:9" ht="15" customHeight="1" x14ac:dyDescent="0.35">
      <c r="A960">
        <v>51010200101</v>
      </c>
      <c r="B960" t="s">
        <v>477</v>
      </c>
      <c r="C960" s="190">
        <v>0</v>
      </c>
      <c r="D960" s="190">
        <v>477026.92</v>
      </c>
      <c r="E960" s="190">
        <v>960640.18</v>
      </c>
      <c r="F960" s="190">
        <v>-483613.26</v>
      </c>
      <c r="G960"/>
      <c r="H960"/>
    </row>
    <row r="961" spans="1:9" ht="15" customHeight="1" x14ac:dyDescent="0.35">
      <c r="A961">
        <v>5101020010101</v>
      </c>
      <c r="B961" t="s">
        <v>324</v>
      </c>
      <c r="C961" s="190">
        <v>0</v>
      </c>
      <c r="D961" s="190">
        <v>0</v>
      </c>
      <c r="E961" s="190">
        <v>483613.26</v>
      </c>
      <c r="F961" s="190">
        <v>-483613.26</v>
      </c>
      <c r="G961"/>
      <c r="H961"/>
      <c r="I961" s="167"/>
    </row>
    <row r="962" spans="1:9" ht="15" customHeight="1" x14ac:dyDescent="0.35">
      <c r="A962">
        <v>51010200102</v>
      </c>
      <c r="B962" t="s">
        <v>480</v>
      </c>
      <c r="C962" s="190">
        <v>0</v>
      </c>
      <c r="D962" s="190">
        <v>0</v>
      </c>
      <c r="E962" s="190">
        <v>5600.49</v>
      </c>
      <c r="F962" s="190">
        <v>-5600.49</v>
      </c>
      <c r="G962"/>
      <c r="H962"/>
    </row>
    <row r="963" spans="1:9" ht="15" customHeight="1" x14ac:dyDescent="0.35">
      <c r="A963">
        <v>5101020010201</v>
      </c>
      <c r="B963" t="s">
        <v>324</v>
      </c>
      <c r="C963" s="190">
        <v>0</v>
      </c>
      <c r="D963" s="190">
        <v>0</v>
      </c>
      <c r="E963" s="190">
        <v>5600.49</v>
      </c>
      <c r="F963" s="190">
        <v>-5600.49</v>
      </c>
      <c r="G963"/>
      <c r="H963"/>
    </row>
    <row r="964" spans="1:9" ht="15" customHeight="1" x14ac:dyDescent="0.35">
      <c r="A964">
        <v>510102002</v>
      </c>
      <c r="B964" t="s">
        <v>411</v>
      </c>
      <c r="C964" s="190">
        <v>0</v>
      </c>
      <c r="D964" s="190">
        <v>0</v>
      </c>
      <c r="E964" s="190">
        <v>759.9</v>
      </c>
      <c r="F964" s="190">
        <v>-759.9</v>
      </c>
      <c r="G964"/>
      <c r="H964"/>
    </row>
    <row r="965" spans="1:9" ht="15" customHeight="1" x14ac:dyDescent="0.35">
      <c r="A965">
        <v>51010200202</v>
      </c>
      <c r="B965" t="s">
        <v>638</v>
      </c>
      <c r="C965" s="190">
        <v>0</v>
      </c>
      <c r="D965" s="190">
        <v>0</v>
      </c>
      <c r="E965" s="190">
        <v>759.9</v>
      </c>
      <c r="F965" s="190">
        <v>-759.9</v>
      </c>
      <c r="G965"/>
      <c r="H965"/>
    </row>
    <row r="966" spans="1:9" ht="15" customHeight="1" x14ac:dyDescent="0.35">
      <c r="A966">
        <v>510103</v>
      </c>
      <c r="B966" t="s">
        <v>325</v>
      </c>
      <c r="C966" s="190">
        <v>0</v>
      </c>
      <c r="D966" s="190">
        <v>686779.36</v>
      </c>
      <c r="E966" s="190">
        <v>2563074.7999999998</v>
      </c>
      <c r="F966" s="190">
        <v>-1876295.44</v>
      </c>
      <c r="G966"/>
      <c r="H966"/>
    </row>
    <row r="967" spans="1:9" ht="15" customHeight="1" x14ac:dyDescent="0.35">
      <c r="A967">
        <v>5101030</v>
      </c>
      <c r="B967" t="s">
        <v>325</v>
      </c>
      <c r="C967" s="190">
        <v>0</v>
      </c>
      <c r="D967" s="190">
        <v>686779.36</v>
      </c>
      <c r="E967" s="190">
        <v>2563074.7999999998</v>
      </c>
      <c r="F967" s="190">
        <v>-1876295.44</v>
      </c>
      <c r="G967"/>
      <c r="H967"/>
    </row>
    <row r="968" spans="1:9" ht="15" customHeight="1" x14ac:dyDescent="0.35">
      <c r="A968">
        <v>510103001</v>
      </c>
      <c r="B968" t="s">
        <v>408</v>
      </c>
      <c r="C968" s="190">
        <v>0</v>
      </c>
      <c r="D968" s="190">
        <v>675209.67</v>
      </c>
      <c r="E968" s="190">
        <v>2492057.61</v>
      </c>
      <c r="F968" s="190">
        <v>-1816847.94</v>
      </c>
      <c r="G968"/>
      <c r="H968"/>
    </row>
    <row r="969" spans="1:9" ht="15" customHeight="1" x14ac:dyDescent="0.35">
      <c r="A969">
        <v>51010300101</v>
      </c>
      <c r="B969" t="s">
        <v>477</v>
      </c>
      <c r="C969" s="190">
        <v>0</v>
      </c>
      <c r="D969" s="190">
        <v>601277.75</v>
      </c>
      <c r="E969" s="190">
        <v>1953653.41</v>
      </c>
      <c r="F969" s="190">
        <v>-1352375.66</v>
      </c>
      <c r="G969"/>
      <c r="H969"/>
    </row>
    <row r="970" spans="1:9" ht="15" customHeight="1" x14ac:dyDescent="0.35">
      <c r="A970">
        <v>5101030010101</v>
      </c>
      <c r="B970" t="s">
        <v>327</v>
      </c>
      <c r="C970" s="190">
        <v>0</v>
      </c>
      <c r="D970" s="190">
        <v>362986.73</v>
      </c>
      <c r="E970" s="190">
        <v>537351.59</v>
      </c>
      <c r="F970" s="190">
        <v>-174364.86</v>
      </c>
      <c r="G970"/>
      <c r="H970"/>
    </row>
    <row r="971" spans="1:9" ht="15" customHeight="1" x14ac:dyDescent="0.35">
      <c r="A971">
        <v>5101030010102</v>
      </c>
      <c r="B971" t="s">
        <v>328</v>
      </c>
      <c r="C971" s="190">
        <v>0</v>
      </c>
      <c r="D971" s="190">
        <v>238291.02</v>
      </c>
      <c r="E971" s="190">
        <v>1416301.82</v>
      </c>
      <c r="F971" s="190">
        <v>-1178010.8</v>
      </c>
      <c r="G971"/>
      <c r="H971"/>
    </row>
    <row r="972" spans="1:9" ht="15" customHeight="1" x14ac:dyDescent="0.35">
      <c r="A972">
        <v>51010300102</v>
      </c>
      <c r="B972" t="s">
        <v>480</v>
      </c>
      <c r="C972" s="190">
        <v>0</v>
      </c>
      <c r="D972" s="190">
        <v>73931.92</v>
      </c>
      <c r="E972" s="190">
        <v>538404.19999999995</v>
      </c>
      <c r="F972" s="190">
        <v>-464472.28</v>
      </c>
      <c r="G972"/>
      <c r="H972"/>
      <c r="I972" s="167"/>
    </row>
    <row r="973" spans="1:9" ht="15" customHeight="1" x14ac:dyDescent="0.35">
      <c r="A973">
        <v>5101030010201</v>
      </c>
      <c r="B973" t="s">
        <v>327</v>
      </c>
      <c r="C973" s="190">
        <v>0</v>
      </c>
      <c r="D973" s="190">
        <v>73931.92</v>
      </c>
      <c r="E973" s="190">
        <v>140585.01999999999</v>
      </c>
      <c r="F973" s="190">
        <v>-66653.100000000006</v>
      </c>
      <c r="G973"/>
      <c r="H973"/>
    </row>
    <row r="974" spans="1:9" ht="15" customHeight="1" x14ac:dyDescent="0.35">
      <c r="A974">
        <v>5101030010202</v>
      </c>
      <c r="B974" t="s">
        <v>328</v>
      </c>
      <c r="C974" s="190">
        <v>0</v>
      </c>
      <c r="D974" s="190">
        <v>0</v>
      </c>
      <c r="E974" s="190">
        <v>397819.18</v>
      </c>
      <c r="F974" s="190">
        <v>-397819.18</v>
      </c>
      <c r="G974"/>
      <c r="H974"/>
    </row>
    <row r="975" spans="1:9" ht="15" customHeight="1" x14ac:dyDescent="0.35">
      <c r="A975">
        <v>510103002</v>
      </c>
      <c r="B975" t="s">
        <v>411</v>
      </c>
      <c r="C975" s="190">
        <v>0</v>
      </c>
      <c r="D975" s="190">
        <v>11569.69</v>
      </c>
      <c r="E975" s="190">
        <v>71017.19</v>
      </c>
      <c r="F975" s="190">
        <v>-59447.5</v>
      </c>
      <c r="G975"/>
      <c r="H975"/>
    </row>
    <row r="976" spans="1:9" ht="15" customHeight="1" x14ac:dyDescent="0.35">
      <c r="A976">
        <v>51010300201</v>
      </c>
      <c r="B976" t="s">
        <v>629</v>
      </c>
      <c r="C976" s="190">
        <v>0</v>
      </c>
      <c r="D976" s="190">
        <v>11569.69</v>
      </c>
      <c r="E976" s="190">
        <v>11675.73</v>
      </c>
      <c r="F976" s="190">
        <v>-106.04</v>
      </c>
      <c r="G976"/>
      <c r="H976"/>
    </row>
    <row r="977" spans="1:9" ht="15" customHeight="1" x14ac:dyDescent="0.35">
      <c r="A977">
        <v>51010300202</v>
      </c>
      <c r="B977" t="s">
        <v>639</v>
      </c>
      <c r="C977" s="190">
        <v>0</v>
      </c>
      <c r="D977" s="190">
        <v>0</v>
      </c>
      <c r="E977" s="190">
        <v>59341.46</v>
      </c>
      <c r="F977" s="190">
        <v>-59341.46</v>
      </c>
      <c r="G977"/>
      <c r="H977"/>
    </row>
    <row r="978" spans="1:9" ht="15" customHeight="1" x14ac:dyDescent="0.35">
      <c r="A978">
        <v>5102</v>
      </c>
      <c r="B978" t="s">
        <v>391</v>
      </c>
      <c r="C978" s="190">
        <v>0</v>
      </c>
      <c r="D978" s="190">
        <v>404487.49</v>
      </c>
      <c r="E978" s="190">
        <v>461266.78</v>
      </c>
      <c r="F978" s="190">
        <v>-56779.29</v>
      </c>
      <c r="G978"/>
      <c r="H978"/>
    </row>
    <row r="979" spans="1:9" ht="15" customHeight="1" x14ac:dyDescent="0.35">
      <c r="A979">
        <v>510201</v>
      </c>
      <c r="B979" t="s">
        <v>330</v>
      </c>
      <c r="C979" s="190">
        <v>0</v>
      </c>
      <c r="D979" s="190">
        <v>404487.49</v>
      </c>
      <c r="E979" s="190">
        <v>461266.78</v>
      </c>
      <c r="F979" s="190">
        <v>-56779.29</v>
      </c>
      <c r="G979"/>
      <c r="H979"/>
    </row>
    <row r="980" spans="1:9" ht="15" customHeight="1" x14ac:dyDescent="0.35">
      <c r="A980">
        <v>5102010</v>
      </c>
      <c r="B980" t="s">
        <v>330</v>
      </c>
      <c r="C980" s="190">
        <v>0</v>
      </c>
      <c r="D980" s="190">
        <v>404487.49</v>
      </c>
      <c r="E980" s="190">
        <v>461266.78</v>
      </c>
      <c r="F980" s="190">
        <v>-56779.29</v>
      </c>
      <c r="G980"/>
      <c r="H980"/>
    </row>
    <row r="981" spans="1:9" ht="15" customHeight="1" x14ac:dyDescent="0.35">
      <c r="A981">
        <v>510201002</v>
      </c>
      <c r="B981" t="s">
        <v>411</v>
      </c>
      <c r="C981" s="190">
        <v>0</v>
      </c>
      <c r="D981" s="190">
        <v>404487.49</v>
      </c>
      <c r="E981" s="190">
        <v>461266.78</v>
      </c>
      <c r="F981" s="190">
        <v>-56779.29</v>
      </c>
      <c r="G981"/>
      <c r="H981"/>
    </row>
    <row r="982" spans="1:9" ht="15" customHeight="1" x14ac:dyDescent="0.35">
      <c r="A982">
        <v>51020100201</v>
      </c>
      <c r="B982" t="s">
        <v>547</v>
      </c>
      <c r="C982" s="190">
        <v>0</v>
      </c>
      <c r="D982" s="190">
        <v>391116.04</v>
      </c>
      <c r="E982" s="190">
        <v>447383.76</v>
      </c>
      <c r="F982" s="190">
        <v>-56267.72</v>
      </c>
      <c r="G982"/>
      <c r="H982"/>
    </row>
    <row r="983" spans="1:9" ht="15" customHeight="1" x14ac:dyDescent="0.35">
      <c r="A983">
        <v>5102010020101</v>
      </c>
      <c r="B983" t="s">
        <v>547</v>
      </c>
      <c r="C983" s="190">
        <v>0</v>
      </c>
      <c r="D983" s="190">
        <v>386610.94</v>
      </c>
      <c r="E983" s="190">
        <v>410776.04</v>
      </c>
      <c r="F983" s="190">
        <v>-24165.1</v>
      </c>
      <c r="G983"/>
      <c r="H983"/>
    </row>
    <row r="984" spans="1:9" ht="15" customHeight="1" x14ac:dyDescent="0.35">
      <c r="A984">
        <v>51020100202</v>
      </c>
      <c r="B984" t="s">
        <v>640</v>
      </c>
      <c r="C984" s="190">
        <v>0</v>
      </c>
      <c r="D984" s="190">
        <v>10076.780000000001</v>
      </c>
      <c r="E984" s="190">
        <v>10588.35</v>
      </c>
      <c r="F984" s="190">
        <v>-511.57</v>
      </c>
      <c r="G984"/>
      <c r="H984"/>
    </row>
    <row r="985" spans="1:9" ht="15" customHeight="1" x14ac:dyDescent="0.35">
      <c r="A985">
        <v>5102010020201</v>
      </c>
      <c r="B985" t="s">
        <v>547</v>
      </c>
      <c r="C985" s="190">
        <v>0</v>
      </c>
      <c r="D985" s="190">
        <v>9611.09</v>
      </c>
      <c r="E985" s="190">
        <v>9611.09</v>
      </c>
      <c r="F985" s="190">
        <v>0</v>
      </c>
      <c r="G985"/>
      <c r="H985"/>
    </row>
    <row r="986" spans="1:9" ht="15" customHeight="1" x14ac:dyDescent="0.35">
      <c r="A986">
        <v>5103</v>
      </c>
      <c r="B986" t="s">
        <v>548</v>
      </c>
      <c r="C986" s="190">
        <v>0</v>
      </c>
      <c r="D986" s="190">
        <v>973707.59</v>
      </c>
      <c r="E986" s="190">
        <v>3976559.74</v>
      </c>
      <c r="F986" s="190">
        <v>-3002852.15</v>
      </c>
      <c r="G986"/>
      <c r="H986"/>
      <c r="I986" s="167"/>
    </row>
    <row r="987" spans="1:9" ht="15" customHeight="1" x14ac:dyDescent="0.35">
      <c r="A987">
        <v>510301</v>
      </c>
      <c r="B987" t="s">
        <v>332</v>
      </c>
      <c r="C987" s="190">
        <v>0</v>
      </c>
      <c r="D987" s="190">
        <v>574334.62</v>
      </c>
      <c r="E987" s="190">
        <v>3101042.28</v>
      </c>
      <c r="F987" s="190">
        <v>-2526707.66</v>
      </c>
      <c r="G987"/>
      <c r="H987"/>
      <c r="I987" s="167"/>
    </row>
    <row r="988" spans="1:9" ht="15" customHeight="1" x14ac:dyDescent="0.35">
      <c r="A988">
        <v>5103010</v>
      </c>
      <c r="B988" t="s">
        <v>332</v>
      </c>
      <c r="C988" s="190">
        <v>0</v>
      </c>
      <c r="D988" s="190">
        <v>574334.62</v>
      </c>
      <c r="E988" s="190">
        <v>3101042.28</v>
      </c>
      <c r="F988" s="190">
        <v>-2526707.66</v>
      </c>
      <c r="G988"/>
      <c r="H988"/>
      <c r="I988" s="167"/>
    </row>
    <row r="989" spans="1:9" ht="15" customHeight="1" x14ac:dyDescent="0.35">
      <c r="A989">
        <v>510301001</v>
      </c>
      <c r="B989" t="s">
        <v>408</v>
      </c>
      <c r="C989" s="190">
        <v>0</v>
      </c>
      <c r="D989" s="190">
        <v>573810.91</v>
      </c>
      <c r="E989" s="190">
        <v>2527713.31</v>
      </c>
      <c r="F989" s="190">
        <v>-1953902.4</v>
      </c>
      <c r="G989"/>
      <c r="H989"/>
    </row>
    <row r="990" spans="1:9" ht="15" customHeight="1" x14ac:dyDescent="0.35">
      <c r="A990">
        <v>51030100101</v>
      </c>
      <c r="B990" t="s">
        <v>477</v>
      </c>
      <c r="C990" s="190">
        <v>0</v>
      </c>
      <c r="D990" s="190">
        <v>418824.58</v>
      </c>
      <c r="E990" s="190">
        <v>1775824.4</v>
      </c>
      <c r="F990" s="190">
        <v>-1356999.82</v>
      </c>
      <c r="G990"/>
      <c r="H990"/>
      <c r="I990" s="167"/>
    </row>
    <row r="991" spans="1:9" ht="15" customHeight="1" x14ac:dyDescent="0.35">
      <c r="A991">
        <v>5103010010101</v>
      </c>
      <c r="B991" t="s">
        <v>334</v>
      </c>
      <c r="C991" s="190">
        <v>0</v>
      </c>
      <c r="D991" s="190">
        <v>53737.43</v>
      </c>
      <c r="E991" s="190">
        <v>402492.95</v>
      </c>
      <c r="F991" s="190">
        <v>-348755.52</v>
      </c>
      <c r="G991"/>
      <c r="H991"/>
      <c r="I991" s="167"/>
    </row>
    <row r="992" spans="1:9" ht="15" customHeight="1" x14ac:dyDescent="0.35">
      <c r="A992">
        <v>5103010010102</v>
      </c>
      <c r="B992" t="s">
        <v>335</v>
      </c>
      <c r="C992" s="190">
        <v>0</v>
      </c>
      <c r="D992" s="190">
        <v>200277.2</v>
      </c>
      <c r="E992" s="190">
        <v>1208521.5</v>
      </c>
      <c r="F992" s="190">
        <v>-1008244.3</v>
      </c>
      <c r="G992"/>
      <c r="H992"/>
      <c r="I992" s="167"/>
    </row>
    <row r="993" spans="1:9" ht="15" customHeight="1" x14ac:dyDescent="0.35">
      <c r="A993">
        <v>51030100102</v>
      </c>
      <c r="B993" t="s">
        <v>480</v>
      </c>
      <c r="C993" s="190">
        <v>0</v>
      </c>
      <c r="D993" s="190">
        <v>154986.32999999999</v>
      </c>
      <c r="E993" s="190">
        <v>751888.91</v>
      </c>
      <c r="F993" s="190">
        <v>-596902.57999999996</v>
      </c>
      <c r="G993"/>
      <c r="H993"/>
      <c r="I993" s="167"/>
    </row>
    <row r="994" spans="1:9" ht="15" customHeight="1" x14ac:dyDescent="0.35">
      <c r="A994">
        <v>5103010010201</v>
      </c>
      <c r="B994" t="s">
        <v>334</v>
      </c>
      <c r="C994" s="190">
        <v>0</v>
      </c>
      <c r="D994" s="190">
        <v>18978.87</v>
      </c>
      <c r="E994" s="190">
        <v>209735.25</v>
      </c>
      <c r="F994" s="190">
        <v>-190756.38</v>
      </c>
      <c r="G994"/>
      <c r="H994"/>
      <c r="I994" s="167"/>
    </row>
    <row r="995" spans="1:9" ht="15" customHeight="1" x14ac:dyDescent="0.35">
      <c r="A995">
        <v>5103010010202</v>
      </c>
      <c r="B995" t="s">
        <v>335</v>
      </c>
      <c r="C995" s="190">
        <v>0</v>
      </c>
      <c r="D995" s="190">
        <v>136007.46</v>
      </c>
      <c r="E995" s="190">
        <v>542153.66</v>
      </c>
      <c r="F995" s="190">
        <v>-406146.2</v>
      </c>
      <c r="G995"/>
      <c r="H995"/>
    </row>
    <row r="996" spans="1:9" ht="15" customHeight="1" x14ac:dyDescent="0.35">
      <c r="A996">
        <v>510301002</v>
      </c>
      <c r="B996" t="s">
        <v>411</v>
      </c>
      <c r="C996" s="190">
        <v>0</v>
      </c>
      <c r="D996" s="190">
        <v>523.71</v>
      </c>
      <c r="E996" s="190">
        <v>573328.97</v>
      </c>
      <c r="F996" s="190">
        <v>-572805.26</v>
      </c>
      <c r="G996"/>
      <c r="H996"/>
    </row>
    <row r="997" spans="1:9" ht="15" customHeight="1" x14ac:dyDescent="0.35">
      <c r="A997">
        <v>51030100201</v>
      </c>
      <c r="B997" t="s">
        <v>641</v>
      </c>
      <c r="C997" s="190">
        <v>0</v>
      </c>
      <c r="D997" s="190">
        <v>523.71</v>
      </c>
      <c r="E997" s="190">
        <v>566687.23</v>
      </c>
      <c r="F997" s="190">
        <v>-566163.52</v>
      </c>
      <c r="G997"/>
      <c r="H997"/>
      <c r="I997" s="167"/>
    </row>
    <row r="998" spans="1:9" ht="15" customHeight="1" x14ac:dyDescent="0.35">
      <c r="A998">
        <v>51030100202</v>
      </c>
      <c r="B998" t="s">
        <v>641</v>
      </c>
      <c r="C998" s="190">
        <v>0</v>
      </c>
      <c r="D998" s="190">
        <v>0</v>
      </c>
      <c r="E998" s="190">
        <v>6641.74</v>
      </c>
      <c r="F998" s="190">
        <v>-6641.74</v>
      </c>
      <c r="G998"/>
      <c r="H998"/>
      <c r="I998" s="167"/>
    </row>
    <row r="999" spans="1:9" ht="15" customHeight="1" x14ac:dyDescent="0.35">
      <c r="A999">
        <v>510302</v>
      </c>
      <c r="B999" t="s">
        <v>336</v>
      </c>
      <c r="C999" s="190">
        <v>0</v>
      </c>
      <c r="D999" s="190">
        <v>399372.97</v>
      </c>
      <c r="E999" s="190">
        <v>875517.46</v>
      </c>
      <c r="F999" s="190">
        <v>-476144.49</v>
      </c>
      <c r="G999"/>
      <c r="H999"/>
      <c r="I999" s="167"/>
    </row>
    <row r="1000" spans="1:9" ht="15" customHeight="1" x14ac:dyDescent="0.35">
      <c r="A1000">
        <v>5103020</v>
      </c>
      <c r="B1000" t="s">
        <v>336</v>
      </c>
      <c r="C1000" s="190">
        <v>0</v>
      </c>
      <c r="D1000" s="190">
        <v>399372.97</v>
      </c>
      <c r="E1000" s="190">
        <v>875517.46</v>
      </c>
      <c r="F1000" s="190">
        <v>-476144.49</v>
      </c>
      <c r="G1000"/>
      <c r="H1000"/>
    </row>
    <row r="1001" spans="1:9" ht="15" customHeight="1" x14ac:dyDescent="0.35">
      <c r="A1001">
        <v>510302001</v>
      </c>
      <c r="B1001" t="s">
        <v>408</v>
      </c>
      <c r="C1001" s="190">
        <v>0</v>
      </c>
      <c r="D1001" s="190">
        <v>399372.97</v>
      </c>
      <c r="E1001" s="190">
        <v>875517.46</v>
      </c>
      <c r="F1001" s="190">
        <v>-476144.49</v>
      </c>
      <c r="G1001"/>
      <c r="H1001"/>
      <c r="I1001" s="167"/>
    </row>
    <row r="1002" spans="1:9" ht="15" customHeight="1" x14ac:dyDescent="0.35">
      <c r="A1002">
        <v>51030200101</v>
      </c>
      <c r="B1002" t="s">
        <v>477</v>
      </c>
      <c r="C1002" s="190">
        <v>0</v>
      </c>
      <c r="D1002" s="190">
        <v>399372.97</v>
      </c>
      <c r="E1002" s="190">
        <v>859641.92</v>
      </c>
      <c r="F1002" s="190">
        <v>-460268.95</v>
      </c>
      <c r="G1002"/>
      <c r="H1002"/>
      <c r="I1002" s="167"/>
    </row>
    <row r="1003" spans="1:9" ht="15" customHeight="1" x14ac:dyDescent="0.35">
      <c r="A1003">
        <v>5103020010101</v>
      </c>
      <c r="B1003" t="s">
        <v>338</v>
      </c>
      <c r="C1003" s="190">
        <v>0</v>
      </c>
      <c r="D1003" s="190">
        <v>0</v>
      </c>
      <c r="E1003" s="190">
        <v>187851.48</v>
      </c>
      <c r="F1003" s="190">
        <v>-187851.48</v>
      </c>
      <c r="G1003"/>
      <c r="H1003"/>
      <c r="I1003" s="167"/>
    </row>
    <row r="1004" spans="1:9" ht="15" customHeight="1" x14ac:dyDescent="0.35">
      <c r="A1004">
        <v>5103020010102</v>
      </c>
      <c r="B1004" t="s">
        <v>339</v>
      </c>
      <c r="C1004" s="190">
        <v>0</v>
      </c>
      <c r="D1004" s="190">
        <v>1586.16</v>
      </c>
      <c r="E1004" s="190">
        <v>274003.63</v>
      </c>
      <c r="F1004" s="190">
        <v>-272417.46999999997</v>
      </c>
      <c r="G1004"/>
      <c r="H1004"/>
    </row>
    <row r="1005" spans="1:9" ht="15" customHeight="1" x14ac:dyDescent="0.35">
      <c r="A1005">
        <v>51030200102</v>
      </c>
      <c r="B1005" t="s">
        <v>480</v>
      </c>
      <c r="C1005" s="190">
        <v>0</v>
      </c>
      <c r="D1005" s="190">
        <v>0</v>
      </c>
      <c r="E1005" s="190">
        <v>15875.54</v>
      </c>
      <c r="F1005" s="190">
        <v>-15875.54</v>
      </c>
      <c r="G1005"/>
      <c r="H1005"/>
    </row>
    <row r="1006" spans="1:9" ht="15" customHeight="1" x14ac:dyDescent="0.35">
      <c r="A1006">
        <v>5103020010202</v>
      </c>
      <c r="B1006" t="s">
        <v>339</v>
      </c>
      <c r="C1006" s="190">
        <v>0</v>
      </c>
      <c r="D1006" s="190">
        <v>0</v>
      </c>
      <c r="E1006" s="190">
        <v>15875.54</v>
      </c>
      <c r="F1006" s="190">
        <v>-15875.54</v>
      </c>
      <c r="G1006"/>
      <c r="H1006"/>
    </row>
    <row r="1007" spans="1:9" ht="15" customHeight="1" x14ac:dyDescent="0.35">
      <c r="A1007">
        <v>5104</v>
      </c>
      <c r="B1007" t="s">
        <v>198</v>
      </c>
      <c r="C1007" s="190">
        <v>0</v>
      </c>
      <c r="D1007" s="190">
        <v>4190.83</v>
      </c>
      <c r="E1007" s="190">
        <v>4190.83</v>
      </c>
      <c r="F1007" s="190">
        <v>0</v>
      </c>
      <c r="G1007"/>
      <c r="H1007"/>
    </row>
    <row r="1008" spans="1:9" ht="15" customHeight="1" x14ac:dyDescent="0.35">
      <c r="A1008">
        <v>510401</v>
      </c>
      <c r="B1008" t="s">
        <v>549</v>
      </c>
      <c r="C1008" s="190">
        <v>0</v>
      </c>
      <c r="D1008" s="190">
        <v>4190.83</v>
      </c>
      <c r="E1008" s="190">
        <v>4190.83</v>
      </c>
      <c r="F1008" s="190">
        <v>0</v>
      </c>
      <c r="G1008"/>
      <c r="H1008"/>
    </row>
    <row r="1009" spans="1:8" ht="15" customHeight="1" x14ac:dyDescent="0.35">
      <c r="A1009">
        <v>5104010</v>
      </c>
      <c r="B1009" t="s">
        <v>549</v>
      </c>
      <c r="C1009" s="190">
        <v>0</v>
      </c>
      <c r="D1009" s="190">
        <v>4190.83</v>
      </c>
      <c r="E1009" s="190">
        <v>4190.83</v>
      </c>
      <c r="F1009" s="190">
        <v>0</v>
      </c>
      <c r="G1009"/>
      <c r="H1009"/>
    </row>
    <row r="1010" spans="1:8" ht="15" customHeight="1" x14ac:dyDescent="0.35">
      <c r="A1010">
        <v>510401002</v>
      </c>
      <c r="B1010" t="s">
        <v>411</v>
      </c>
      <c r="C1010" s="190">
        <v>0</v>
      </c>
      <c r="D1010" s="190">
        <v>4190.83</v>
      </c>
      <c r="E1010" s="190">
        <v>4190.83</v>
      </c>
      <c r="F1010" s="190">
        <v>0</v>
      </c>
      <c r="G1010"/>
      <c r="H1010"/>
    </row>
    <row r="1011" spans="1:8" ht="15" customHeight="1" x14ac:dyDescent="0.35">
      <c r="A1011">
        <v>5199</v>
      </c>
      <c r="B1011" t="s">
        <v>206</v>
      </c>
      <c r="C1011" s="190">
        <v>0</v>
      </c>
      <c r="D1011" s="190">
        <v>120553.78</v>
      </c>
      <c r="E1011" s="190">
        <v>338102.24</v>
      </c>
      <c r="F1011" s="190">
        <v>-217548.46</v>
      </c>
      <c r="G1011"/>
      <c r="H1011"/>
    </row>
    <row r="1012" spans="1:8" ht="15" customHeight="1" x14ac:dyDescent="0.35">
      <c r="A1012">
        <v>519901</v>
      </c>
      <c r="B1012" t="s">
        <v>206</v>
      </c>
      <c r="C1012" s="190">
        <v>0</v>
      </c>
      <c r="D1012" s="190">
        <v>120553.78</v>
      </c>
      <c r="E1012" s="190">
        <v>338102.24</v>
      </c>
      <c r="F1012" s="190">
        <v>-217548.46</v>
      </c>
      <c r="G1012"/>
      <c r="H1012"/>
    </row>
    <row r="1013" spans="1:8" ht="15" customHeight="1" x14ac:dyDescent="0.35">
      <c r="A1013">
        <v>5199010</v>
      </c>
      <c r="B1013" t="s">
        <v>206</v>
      </c>
      <c r="C1013" s="190">
        <v>0</v>
      </c>
      <c r="D1013" s="190">
        <v>120553.78</v>
      </c>
      <c r="E1013" s="190">
        <v>338102.24</v>
      </c>
      <c r="F1013" s="190">
        <v>-217548.46</v>
      </c>
      <c r="G1013"/>
      <c r="H1013"/>
    </row>
    <row r="1014" spans="1:8" ht="15" customHeight="1" x14ac:dyDescent="0.35">
      <c r="A1014">
        <v>519901001</v>
      </c>
      <c r="B1014" t="s">
        <v>550</v>
      </c>
      <c r="C1014" s="190">
        <v>0</v>
      </c>
      <c r="D1014" s="190">
        <v>86764.34</v>
      </c>
      <c r="E1014" s="190">
        <v>158462.13</v>
      </c>
      <c r="F1014" s="190">
        <v>-71697.789999999994</v>
      </c>
      <c r="G1014"/>
      <c r="H1014"/>
    </row>
    <row r="1015" spans="1:8" ht="15" customHeight="1" x14ac:dyDescent="0.35">
      <c r="A1015">
        <v>51990100101</v>
      </c>
      <c r="B1015" t="s">
        <v>551</v>
      </c>
      <c r="C1015" s="190">
        <v>0</v>
      </c>
      <c r="D1015" s="190">
        <v>11243.08</v>
      </c>
      <c r="E1015" s="190">
        <v>22690.57</v>
      </c>
      <c r="F1015" s="190">
        <v>-11447.49</v>
      </c>
      <c r="G1015"/>
      <c r="H1015"/>
    </row>
    <row r="1016" spans="1:8" ht="15" customHeight="1" x14ac:dyDescent="0.35">
      <c r="A1016">
        <v>5199010010101</v>
      </c>
      <c r="B1016" t="s">
        <v>461</v>
      </c>
      <c r="C1016" s="190">
        <v>0</v>
      </c>
      <c r="D1016" s="190">
        <v>11243.08</v>
      </c>
      <c r="E1016" s="190">
        <v>22690.57</v>
      </c>
      <c r="F1016" s="190">
        <v>-11447.49</v>
      </c>
      <c r="G1016"/>
      <c r="H1016"/>
    </row>
    <row r="1017" spans="1:8" ht="15" customHeight="1" x14ac:dyDescent="0.35">
      <c r="A1017">
        <v>5199010010101010</v>
      </c>
      <c r="B1017" t="s">
        <v>770</v>
      </c>
      <c r="C1017" s="190">
        <v>0</v>
      </c>
      <c r="D1017" s="190">
        <v>0</v>
      </c>
      <c r="E1017" s="190">
        <v>11003.39</v>
      </c>
      <c r="F1017" s="190">
        <v>-11003.39</v>
      </c>
      <c r="G1017"/>
      <c r="H1017"/>
    </row>
    <row r="1018" spans="1:8" ht="15" customHeight="1" x14ac:dyDescent="0.35">
      <c r="A1018">
        <v>5199010010101020</v>
      </c>
      <c r="B1018" t="s">
        <v>771</v>
      </c>
      <c r="C1018" s="190">
        <v>0</v>
      </c>
      <c r="D1018" s="190">
        <v>0</v>
      </c>
      <c r="E1018" s="190">
        <v>444.1</v>
      </c>
      <c r="F1018" s="190">
        <v>-444.1</v>
      </c>
      <c r="G1018"/>
      <c r="H1018"/>
    </row>
    <row r="1019" spans="1:8" ht="15" customHeight="1" x14ac:dyDescent="0.35">
      <c r="A1019">
        <v>51990100102</v>
      </c>
      <c r="B1019" t="s">
        <v>325</v>
      </c>
      <c r="C1019" s="190">
        <v>0</v>
      </c>
      <c r="D1019" s="190">
        <v>39778.43</v>
      </c>
      <c r="E1019" s="190">
        <v>95599.53</v>
      </c>
      <c r="F1019" s="190">
        <v>-55821.1</v>
      </c>
      <c r="G1019"/>
      <c r="H1019"/>
    </row>
    <row r="1020" spans="1:8" ht="15" customHeight="1" x14ac:dyDescent="0.35">
      <c r="A1020">
        <v>5199010010201</v>
      </c>
      <c r="B1020" t="s">
        <v>325</v>
      </c>
      <c r="C1020" s="190">
        <v>0</v>
      </c>
      <c r="D1020" s="190">
        <v>39778.43</v>
      </c>
      <c r="E1020" s="190">
        <v>95599.53</v>
      </c>
      <c r="F1020" s="190">
        <v>-55821.1</v>
      </c>
      <c r="G1020"/>
      <c r="H1020"/>
    </row>
    <row r="1021" spans="1:8" ht="15" customHeight="1" x14ac:dyDescent="0.35">
      <c r="A1021">
        <v>5199010010201010</v>
      </c>
      <c r="B1021" t="s">
        <v>726</v>
      </c>
      <c r="C1021" s="190">
        <v>0</v>
      </c>
      <c r="D1021" s="190">
        <v>4843.04</v>
      </c>
      <c r="E1021" s="190">
        <v>24994.05</v>
      </c>
      <c r="F1021" s="190">
        <v>-20151.009999999998</v>
      </c>
      <c r="G1021"/>
      <c r="H1021"/>
    </row>
    <row r="1022" spans="1:8" ht="15" customHeight="1" x14ac:dyDescent="0.35">
      <c r="A1022">
        <v>5199010010201020</v>
      </c>
      <c r="B1022" t="s">
        <v>727</v>
      </c>
      <c r="C1022" s="190">
        <v>0</v>
      </c>
      <c r="D1022" s="190">
        <v>47.93</v>
      </c>
      <c r="E1022" s="190">
        <v>35718.019999999997</v>
      </c>
      <c r="F1022" s="190">
        <v>-35670.089999999997</v>
      </c>
      <c r="G1022"/>
      <c r="H1022"/>
    </row>
    <row r="1023" spans="1:8" ht="15" customHeight="1" x14ac:dyDescent="0.35">
      <c r="A1023">
        <v>5199010010301010</v>
      </c>
      <c r="B1023" t="s">
        <v>728</v>
      </c>
      <c r="C1023" s="190">
        <v>0</v>
      </c>
      <c r="D1023" s="190">
        <v>28755.13</v>
      </c>
      <c r="E1023" s="190">
        <v>31909.47</v>
      </c>
      <c r="F1023" s="190">
        <v>-3154.34</v>
      </c>
      <c r="G1023"/>
      <c r="H1023"/>
    </row>
    <row r="1024" spans="1:8" ht="15" customHeight="1" x14ac:dyDescent="0.35">
      <c r="A1024">
        <v>5199010010301020</v>
      </c>
      <c r="B1024" t="s">
        <v>729</v>
      </c>
      <c r="C1024" s="190">
        <v>0</v>
      </c>
      <c r="D1024" s="190">
        <v>6987.7</v>
      </c>
      <c r="E1024" s="190">
        <v>8262.56</v>
      </c>
      <c r="F1024" s="190">
        <v>-1274.8599999999999</v>
      </c>
      <c r="G1024"/>
      <c r="H1024"/>
    </row>
    <row r="1025" spans="1:8" ht="15" customHeight="1" x14ac:dyDescent="0.35">
      <c r="A1025">
        <v>519901003</v>
      </c>
      <c r="B1025" t="s">
        <v>548</v>
      </c>
      <c r="C1025" s="190">
        <v>0</v>
      </c>
      <c r="D1025" s="190">
        <v>33789.440000000002</v>
      </c>
      <c r="E1025" s="190">
        <v>179640.11</v>
      </c>
      <c r="F1025" s="190">
        <v>-145850.67000000001</v>
      </c>
      <c r="G1025"/>
      <c r="H1025"/>
    </row>
    <row r="1026" spans="1:8" ht="15" customHeight="1" x14ac:dyDescent="0.35">
      <c r="A1026">
        <v>51990100301</v>
      </c>
      <c r="B1026" t="s">
        <v>332</v>
      </c>
      <c r="C1026" s="190">
        <v>0</v>
      </c>
      <c r="D1026" s="190">
        <v>12769.73</v>
      </c>
      <c r="E1026" s="190">
        <v>133037.76000000001</v>
      </c>
      <c r="F1026" s="190">
        <v>-120268.03</v>
      </c>
      <c r="G1026"/>
      <c r="H1026"/>
    </row>
    <row r="1027" spans="1:8" ht="15" customHeight="1" x14ac:dyDescent="0.35">
      <c r="A1027">
        <v>5199010030101</v>
      </c>
      <c r="B1027" t="s">
        <v>332</v>
      </c>
      <c r="C1027" s="190">
        <v>0</v>
      </c>
      <c r="D1027" s="190">
        <v>12769.73</v>
      </c>
      <c r="E1027" s="190">
        <v>133037.76000000001</v>
      </c>
      <c r="F1027" s="190">
        <v>-120268.03</v>
      </c>
      <c r="G1027"/>
      <c r="H1027"/>
    </row>
    <row r="1028" spans="1:8" ht="15" customHeight="1" x14ac:dyDescent="0.35">
      <c r="A1028">
        <v>5199010030101010</v>
      </c>
      <c r="B1028" t="s">
        <v>477</v>
      </c>
      <c r="C1028" s="190">
        <v>0</v>
      </c>
      <c r="D1028" s="190">
        <v>1372.09</v>
      </c>
      <c r="E1028" s="190">
        <v>81909.08</v>
      </c>
      <c r="F1028" s="190">
        <v>-80536.990000000005</v>
      </c>
      <c r="G1028"/>
      <c r="H1028"/>
    </row>
    <row r="1029" spans="1:8" ht="15" customHeight="1" x14ac:dyDescent="0.35">
      <c r="A1029">
        <v>5199010030101020</v>
      </c>
      <c r="B1029" t="s">
        <v>480</v>
      </c>
      <c r="C1029" s="190">
        <v>0</v>
      </c>
      <c r="D1029" s="190">
        <v>2723.41</v>
      </c>
      <c r="E1029" s="190">
        <v>42454.45</v>
      </c>
      <c r="F1029" s="190">
        <v>-39731.040000000001</v>
      </c>
      <c r="G1029"/>
      <c r="H1029"/>
    </row>
    <row r="1030" spans="1:8" ht="15" customHeight="1" x14ac:dyDescent="0.35">
      <c r="A1030">
        <v>51990100302</v>
      </c>
      <c r="B1030" t="s">
        <v>336</v>
      </c>
      <c r="C1030" s="190">
        <v>0</v>
      </c>
      <c r="D1030" s="190">
        <v>21019.71</v>
      </c>
      <c r="E1030" s="190">
        <v>46602.35</v>
      </c>
      <c r="F1030" s="190">
        <v>-25582.639999999999</v>
      </c>
      <c r="G1030"/>
      <c r="H1030"/>
    </row>
    <row r="1031" spans="1:8" ht="15" customHeight="1" x14ac:dyDescent="0.35">
      <c r="A1031">
        <v>5199010030201</v>
      </c>
      <c r="B1031" t="s">
        <v>336</v>
      </c>
      <c r="C1031" s="190">
        <v>0</v>
      </c>
      <c r="D1031" s="190">
        <v>21019.71</v>
      </c>
      <c r="E1031" s="190">
        <v>46602.35</v>
      </c>
      <c r="F1031" s="190">
        <v>-25582.639999999999</v>
      </c>
      <c r="G1031"/>
      <c r="H1031"/>
    </row>
    <row r="1032" spans="1:8" ht="15" customHeight="1" x14ac:dyDescent="0.35">
      <c r="A1032">
        <v>5199010030201010</v>
      </c>
      <c r="B1032" t="s">
        <v>552</v>
      </c>
      <c r="C1032" s="190">
        <v>0</v>
      </c>
      <c r="D1032" s="190">
        <v>83.49</v>
      </c>
      <c r="E1032" s="190">
        <v>8365.09</v>
      </c>
      <c r="F1032" s="190">
        <v>-8281.6</v>
      </c>
      <c r="G1032"/>
      <c r="H1032"/>
    </row>
    <row r="1033" spans="1:8" ht="15" customHeight="1" x14ac:dyDescent="0.35">
      <c r="A1033">
        <v>5199010030201020</v>
      </c>
      <c r="B1033" t="s">
        <v>553</v>
      </c>
      <c r="C1033" s="190">
        <v>0</v>
      </c>
      <c r="D1033" s="190">
        <v>0</v>
      </c>
      <c r="E1033" s="190">
        <v>17301.04</v>
      </c>
      <c r="F1033" s="190">
        <v>-17301.04</v>
      </c>
      <c r="G1033"/>
      <c r="H1033"/>
    </row>
    <row r="1034" spans="1:8" ht="15" customHeight="1" x14ac:dyDescent="0.35">
      <c r="A1034">
        <v>52</v>
      </c>
      <c r="B1034" t="s">
        <v>554</v>
      </c>
      <c r="C1034" s="190">
        <v>0</v>
      </c>
      <c r="D1034" s="190">
        <v>3324221.79</v>
      </c>
      <c r="E1034" s="190">
        <v>11231129.859999999</v>
      </c>
      <c r="F1034" s="190">
        <v>-7906908.0700000003</v>
      </c>
      <c r="G1034"/>
      <c r="H1034"/>
    </row>
    <row r="1035" spans="1:8" ht="15" customHeight="1" x14ac:dyDescent="0.35">
      <c r="A1035">
        <v>5201</v>
      </c>
      <c r="B1035" t="s">
        <v>191</v>
      </c>
      <c r="C1035" s="190">
        <v>0</v>
      </c>
      <c r="D1035" s="190">
        <v>388021.27</v>
      </c>
      <c r="E1035" s="190">
        <v>727489.39</v>
      </c>
      <c r="F1035" s="190">
        <v>-339468.12</v>
      </c>
      <c r="G1035"/>
      <c r="H1035"/>
    </row>
    <row r="1036" spans="1:8" ht="15" customHeight="1" x14ac:dyDescent="0.35">
      <c r="A1036">
        <v>520101</v>
      </c>
      <c r="B1036" t="s">
        <v>470</v>
      </c>
      <c r="C1036" s="190">
        <v>0</v>
      </c>
      <c r="D1036" s="190">
        <v>1901.36</v>
      </c>
      <c r="E1036" s="190">
        <v>4631.4799999999996</v>
      </c>
      <c r="F1036" s="190">
        <v>-2730.12</v>
      </c>
      <c r="G1036"/>
      <c r="H1036"/>
    </row>
    <row r="1037" spans="1:8" ht="15" customHeight="1" x14ac:dyDescent="0.35">
      <c r="A1037">
        <v>5201010</v>
      </c>
      <c r="B1037" t="s">
        <v>470</v>
      </c>
      <c r="C1037" s="190">
        <v>0</v>
      </c>
      <c r="D1037" s="190">
        <v>1901.36</v>
      </c>
      <c r="E1037" s="190">
        <v>4631.4799999999996</v>
      </c>
      <c r="F1037" s="190">
        <v>-2730.12</v>
      </c>
      <c r="G1037"/>
      <c r="H1037"/>
    </row>
    <row r="1038" spans="1:8" ht="15" customHeight="1" x14ac:dyDescent="0.35">
      <c r="A1038">
        <v>520101001</v>
      </c>
      <c r="B1038" t="s">
        <v>321</v>
      </c>
      <c r="C1038" s="190">
        <v>0</v>
      </c>
      <c r="D1038" s="190">
        <v>1901.36</v>
      </c>
      <c r="E1038" s="190">
        <v>4631.4799999999996</v>
      </c>
      <c r="F1038" s="190">
        <v>-2730.12</v>
      </c>
      <c r="G1038"/>
      <c r="H1038"/>
    </row>
    <row r="1039" spans="1:8" ht="15" customHeight="1" x14ac:dyDescent="0.35">
      <c r="A1039">
        <v>52010100101</v>
      </c>
      <c r="B1039" t="s">
        <v>400</v>
      </c>
      <c r="C1039" s="190">
        <v>0</v>
      </c>
      <c r="D1039" s="190">
        <v>0</v>
      </c>
      <c r="E1039" s="190">
        <v>2730.12</v>
      </c>
      <c r="F1039" s="190">
        <v>-2730.12</v>
      </c>
      <c r="G1039"/>
      <c r="H1039"/>
    </row>
    <row r="1040" spans="1:8" ht="15" customHeight="1" x14ac:dyDescent="0.35">
      <c r="A1040">
        <v>520102</v>
      </c>
      <c r="B1040" t="s">
        <v>555</v>
      </c>
      <c r="C1040" s="190">
        <v>0</v>
      </c>
      <c r="D1040" s="190">
        <v>3145.96</v>
      </c>
      <c r="E1040" s="190">
        <v>7887.33</v>
      </c>
      <c r="F1040" s="190">
        <v>-4741.37</v>
      </c>
      <c r="G1040"/>
      <c r="H1040"/>
    </row>
    <row r="1041" spans="1:8" ht="15" customHeight="1" x14ac:dyDescent="0.35">
      <c r="A1041">
        <v>5201020</v>
      </c>
      <c r="B1041" t="s">
        <v>555</v>
      </c>
      <c r="C1041" s="190">
        <v>0</v>
      </c>
      <c r="D1041" s="190">
        <v>3145.96</v>
      </c>
      <c r="E1041" s="190">
        <v>7887.33</v>
      </c>
      <c r="F1041" s="190">
        <v>-4741.37</v>
      </c>
      <c r="G1041"/>
      <c r="H1041"/>
    </row>
    <row r="1042" spans="1:8" ht="15" customHeight="1" x14ac:dyDescent="0.35">
      <c r="A1042">
        <v>520102001</v>
      </c>
      <c r="B1042" t="s">
        <v>321</v>
      </c>
      <c r="C1042" s="190">
        <v>0</v>
      </c>
      <c r="D1042" s="190">
        <v>2902.82</v>
      </c>
      <c r="E1042" s="190">
        <v>7233.73</v>
      </c>
      <c r="F1042" s="190">
        <v>-4330.91</v>
      </c>
      <c r="G1042"/>
      <c r="H1042"/>
    </row>
    <row r="1043" spans="1:8" ht="15" customHeight="1" x14ac:dyDescent="0.35">
      <c r="A1043">
        <v>52010200101</v>
      </c>
      <c r="B1043" t="s">
        <v>324</v>
      </c>
      <c r="C1043" s="190">
        <v>0</v>
      </c>
      <c r="D1043" s="190">
        <v>1849.36</v>
      </c>
      <c r="E1043" s="190">
        <v>6180.27</v>
      </c>
      <c r="F1043" s="190">
        <v>-4330.91</v>
      </c>
      <c r="G1043"/>
      <c r="H1043"/>
    </row>
    <row r="1044" spans="1:8" ht="15" customHeight="1" x14ac:dyDescent="0.35">
      <c r="A1044">
        <v>520102002</v>
      </c>
      <c r="B1044" t="s">
        <v>618</v>
      </c>
      <c r="C1044" s="190">
        <v>0</v>
      </c>
      <c r="D1044" s="190">
        <v>243.14</v>
      </c>
      <c r="E1044" s="190">
        <v>653.6</v>
      </c>
      <c r="F1044" s="190">
        <v>-410.46</v>
      </c>
      <c r="G1044"/>
      <c r="H1044"/>
    </row>
    <row r="1045" spans="1:8" ht="15" customHeight="1" x14ac:dyDescent="0.35">
      <c r="A1045">
        <v>52010200201</v>
      </c>
      <c r="B1045" t="s">
        <v>403</v>
      </c>
      <c r="C1045" s="190">
        <v>0</v>
      </c>
      <c r="D1045" s="190">
        <v>243.14</v>
      </c>
      <c r="E1045" s="190">
        <v>653.6</v>
      </c>
      <c r="F1045" s="190">
        <v>-410.46</v>
      </c>
      <c r="G1045"/>
      <c r="H1045"/>
    </row>
    <row r="1046" spans="1:8" ht="15" customHeight="1" x14ac:dyDescent="0.35">
      <c r="A1046">
        <v>520103</v>
      </c>
      <c r="B1046" t="s">
        <v>556</v>
      </c>
      <c r="C1046" s="190">
        <v>0</v>
      </c>
      <c r="D1046" s="190">
        <v>382973.95</v>
      </c>
      <c r="E1046" s="190">
        <v>714970.58</v>
      </c>
      <c r="F1046" s="190">
        <v>-331996.63</v>
      </c>
      <c r="G1046"/>
      <c r="H1046"/>
    </row>
    <row r="1047" spans="1:8" ht="15" customHeight="1" x14ac:dyDescent="0.35">
      <c r="A1047">
        <v>5201030</v>
      </c>
      <c r="B1047" t="s">
        <v>556</v>
      </c>
      <c r="C1047" s="190">
        <v>0</v>
      </c>
      <c r="D1047" s="190">
        <v>382973.95</v>
      </c>
      <c r="E1047" s="190">
        <v>714970.58</v>
      </c>
      <c r="F1047" s="190">
        <v>-331996.63</v>
      </c>
      <c r="G1047"/>
      <c r="H1047"/>
    </row>
    <row r="1048" spans="1:8" ht="15" customHeight="1" x14ac:dyDescent="0.35">
      <c r="A1048">
        <v>520103001</v>
      </c>
      <c r="B1048" t="s">
        <v>321</v>
      </c>
      <c r="C1048" s="190">
        <v>0</v>
      </c>
      <c r="D1048" s="190">
        <v>345684.5</v>
      </c>
      <c r="E1048" s="190">
        <v>669044.68000000005</v>
      </c>
      <c r="F1048" s="190">
        <v>-323360.18</v>
      </c>
      <c r="G1048"/>
      <c r="H1048"/>
    </row>
    <row r="1049" spans="1:8" ht="15" customHeight="1" x14ac:dyDescent="0.35">
      <c r="A1049">
        <v>52010300101</v>
      </c>
      <c r="B1049" t="s">
        <v>557</v>
      </c>
      <c r="C1049" s="190">
        <v>0</v>
      </c>
      <c r="D1049" s="190">
        <v>115815.09</v>
      </c>
      <c r="E1049" s="190">
        <v>439175.27</v>
      </c>
      <c r="F1049" s="190">
        <v>-323360.18</v>
      </c>
      <c r="G1049"/>
      <c r="H1049"/>
    </row>
    <row r="1050" spans="1:8" ht="15" customHeight="1" x14ac:dyDescent="0.35">
      <c r="A1050">
        <v>520103002</v>
      </c>
      <c r="B1050" t="s">
        <v>402</v>
      </c>
      <c r="C1050" s="190">
        <v>0</v>
      </c>
      <c r="D1050" s="190">
        <v>37289.449999999997</v>
      </c>
      <c r="E1050" s="190">
        <v>45925.9</v>
      </c>
      <c r="F1050" s="190">
        <v>-8636.4500000000007</v>
      </c>
      <c r="G1050"/>
      <c r="H1050"/>
    </row>
    <row r="1051" spans="1:8" ht="15" customHeight="1" x14ac:dyDescent="0.35">
      <c r="A1051">
        <v>52010300201</v>
      </c>
      <c r="B1051" t="s">
        <v>621</v>
      </c>
      <c r="C1051" s="190">
        <v>0</v>
      </c>
      <c r="D1051" s="190">
        <v>37289.449999999997</v>
      </c>
      <c r="E1051" s="190">
        <v>45925.9</v>
      </c>
      <c r="F1051" s="190">
        <v>-8636.4500000000007</v>
      </c>
      <c r="G1051"/>
      <c r="H1051"/>
    </row>
    <row r="1052" spans="1:8" ht="15" customHeight="1" x14ac:dyDescent="0.35">
      <c r="A1052">
        <v>5203</v>
      </c>
      <c r="B1052" t="s">
        <v>211</v>
      </c>
      <c r="C1052" s="190">
        <v>0</v>
      </c>
      <c r="D1052" s="190">
        <v>1254084.6100000001</v>
      </c>
      <c r="E1052" s="190">
        <v>3100836.5</v>
      </c>
      <c r="F1052" s="190">
        <v>-1846751.89</v>
      </c>
      <c r="G1052"/>
      <c r="H1052"/>
    </row>
    <row r="1053" spans="1:8" ht="15" customHeight="1" x14ac:dyDescent="0.35">
      <c r="A1053">
        <v>520301</v>
      </c>
      <c r="B1053" t="s">
        <v>332</v>
      </c>
      <c r="C1053" s="190">
        <v>0</v>
      </c>
      <c r="D1053" s="190">
        <v>1246629.1599999999</v>
      </c>
      <c r="E1053" s="190">
        <v>3075951.71</v>
      </c>
      <c r="F1053" s="190">
        <v>-1829322.55</v>
      </c>
      <c r="G1053"/>
      <c r="H1053"/>
    </row>
    <row r="1054" spans="1:8" ht="15" customHeight="1" x14ac:dyDescent="0.35">
      <c r="A1054">
        <v>5203010</v>
      </c>
      <c r="B1054" t="s">
        <v>332</v>
      </c>
      <c r="C1054" s="190">
        <v>0</v>
      </c>
      <c r="D1054" s="190">
        <v>1246629.1599999999</v>
      </c>
      <c r="E1054" s="190">
        <v>3075951.71</v>
      </c>
      <c r="F1054" s="190">
        <v>-1829322.55</v>
      </c>
      <c r="G1054"/>
      <c r="H1054"/>
    </row>
    <row r="1055" spans="1:8" ht="15" customHeight="1" x14ac:dyDescent="0.35">
      <c r="A1055">
        <v>520301001</v>
      </c>
      <c r="B1055" t="s">
        <v>321</v>
      </c>
      <c r="C1055" s="190">
        <v>0</v>
      </c>
      <c r="D1055" s="190">
        <v>943667.71</v>
      </c>
      <c r="E1055" s="190">
        <v>2704035.82</v>
      </c>
      <c r="F1055" s="190">
        <v>-1760368.11</v>
      </c>
      <c r="G1055"/>
      <c r="H1055"/>
    </row>
    <row r="1056" spans="1:8" ht="15" customHeight="1" x14ac:dyDescent="0.35">
      <c r="A1056">
        <v>52030100101</v>
      </c>
      <c r="B1056" t="s">
        <v>558</v>
      </c>
      <c r="C1056" s="190">
        <v>0</v>
      </c>
      <c r="D1056" s="190">
        <v>75080.73</v>
      </c>
      <c r="E1056" s="190">
        <v>396394.74</v>
      </c>
      <c r="F1056" s="190">
        <v>-321314.01</v>
      </c>
      <c r="G1056"/>
      <c r="H1056"/>
    </row>
    <row r="1057" spans="1:8" ht="15" customHeight="1" x14ac:dyDescent="0.35">
      <c r="A1057">
        <v>52030100102</v>
      </c>
      <c r="B1057" t="s">
        <v>335</v>
      </c>
      <c r="C1057" s="190">
        <v>0</v>
      </c>
      <c r="D1057" s="190">
        <v>453571.89</v>
      </c>
      <c r="E1057" s="190">
        <v>1892625.99</v>
      </c>
      <c r="F1057" s="190">
        <v>-1439054.1</v>
      </c>
      <c r="G1057"/>
      <c r="H1057"/>
    </row>
    <row r="1058" spans="1:8" ht="15" customHeight="1" x14ac:dyDescent="0.35">
      <c r="A1058">
        <v>520301002</v>
      </c>
      <c r="B1058" t="s">
        <v>402</v>
      </c>
      <c r="C1058" s="190">
        <v>0</v>
      </c>
      <c r="D1058" s="190">
        <v>302961.45</v>
      </c>
      <c r="E1058" s="190">
        <v>371915.89</v>
      </c>
      <c r="F1058" s="190">
        <v>-68954.44</v>
      </c>
      <c r="G1058"/>
      <c r="H1058"/>
    </row>
    <row r="1059" spans="1:8" ht="15" customHeight="1" x14ac:dyDescent="0.35">
      <c r="A1059">
        <v>52030100202</v>
      </c>
      <c r="B1059" t="s">
        <v>622</v>
      </c>
      <c r="C1059" s="190">
        <v>0</v>
      </c>
      <c r="D1059" s="190">
        <v>302961.45</v>
      </c>
      <c r="E1059" s="190">
        <v>371915.89</v>
      </c>
      <c r="F1059" s="190">
        <v>-68954.44</v>
      </c>
      <c r="G1059"/>
      <c r="H1059"/>
    </row>
    <row r="1060" spans="1:8" ht="15" customHeight="1" x14ac:dyDescent="0.35">
      <c r="A1060">
        <v>520302</v>
      </c>
      <c r="B1060" t="s">
        <v>336</v>
      </c>
      <c r="C1060" s="190">
        <v>0</v>
      </c>
      <c r="D1060" s="190">
        <v>7455.45</v>
      </c>
      <c r="E1060" s="190">
        <v>24884.79</v>
      </c>
      <c r="F1060" s="190">
        <v>-17429.34</v>
      </c>
      <c r="G1060"/>
      <c r="H1060"/>
    </row>
    <row r="1061" spans="1:8" ht="15" customHeight="1" x14ac:dyDescent="0.35">
      <c r="A1061">
        <v>5203020</v>
      </c>
      <c r="B1061" t="s">
        <v>336</v>
      </c>
      <c r="C1061" s="190">
        <v>0</v>
      </c>
      <c r="D1061" s="190">
        <v>7455.45</v>
      </c>
      <c r="E1061" s="190">
        <v>24884.79</v>
      </c>
      <c r="F1061" s="190">
        <v>-17429.34</v>
      </c>
      <c r="G1061"/>
      <c r="H1061"/>
    </row>
    <row r="1062" spans="1:8" ht="15" customHeight="1" x14ac:dyDescent="0.35">
      <c r="A1062">
        <v>520302001</v>
      </c>
      <c r="B1062" t="s">
        <v>321</v>
      </c>
      <c r="C1062" s="190">
        <v>0</v>
      </c>
      <c r="D1062" s="190">
        <v>7455.45</v>
      </c>
      <c r="E1062" s="190">
        <v>24884.79</v>
      </c>
      <c r="F1062" s="190">
        <v>-17429.34</v>
      </c>
      <c r="G1062"/>
      <c r="H1062"/>
    </row>
    <row r="1063" spans="1:8" ht="15" customHeight="1" x14ac:dyDescent="0.35">
      <c r="A1063">
        <v>52030200101</v>
      </c>
      <c r="B1063" t="s">
        <v>338</v>
      </c>
      <c r="C1063" s="190">
        <v>0</v>
      </c>
      <c r="D1063" s="190">
        <v>1367.54</v>
      </c>
      <c r="E1063" s="190">
        <v>1680.4</v>
      </c>
      <c r="F1063" s="190">
        <v>-312.86</v>
      </c>
      <c r="G1063"/>
      <c r="H1063"/>
    </row>
    <row r="1064" spans="1:8" ht="15" customHeight="1" x14ac:dyDescent="0.35">
      <c r="A1064">
        <v>52030200102</v>
      </c>
      <c r="B1064" t="s">
        <v>339</v>
      </c>
      <c r="C1064" s="190">
        <v>0</v>
      </c>
      <c r="D1064" s="190">
        <v>2751.22</v>
      </c>
      <c r="E1064" s="190">
        <v>19867.7</v>
      </c>
      <c r="F1064" s="190">
        <v>-17116.48</v>
      </c>
      <c r="G1064"/>
      <c r="H1064"/>
    </row>
    <row r="1065" spans="1:8" ht="15" customHeight="1" x14ac:dyDescent="0.35">
      <c r="A1065">
        <v>5209</v>
      </c>
      <c r="B1065" t="s">
        <v>204</v>
      </c>
      <c r="C1065" s="190">
        <v>0</v>
      </c>
      <c r="D1065" s="190">
        <v>1682115.91</v>
      </c>
      <c r="E1065" s="190">
        <v>7402803.9699999997</v>
      </c>
      <c r="F1065" s="190">
        <v>-5720688.0599999996</v>
      </c>
      <c r="G1065"/>
      <c r="H1065"/>
    </row>
    <row r="1066" spans="1:8" ht="15" customHeight="1" x14ac:dyDescent="0.35">
      <c r="A1066">
        <v>520901</v>
      </c>
      <c r="B1066" t="s">
        <v>191</v>
      </c>
      <c r="C1066" s="190">
        <v>0</v>
      </c>
      <c r="D1066" s="190">
        <v>215860.48000000001</v>
      </c>
      <c r="E1066" s="190">
        <v>416588.42</v>
      </c>
      <c r="F1066" s="190">
        <v>-200727.94</v>
      </c>
      <c r="G1066"/>
      <c r="H1066"/>
    </row>
    <row r="1067" spans="1:8" ht="15" customHeight="1" x14ac:dyDescent="0.35">
      <c r="A1067">
        <v>5209010</v>
      </c>
      <c r="B1067" t="s">
        <v>191</v>
      </c>
      <c r="C1067" s="190">
        <v>0</v>
      </c>
      <c r="D1067" s="190">
        <v>215860.48000000001</v>
      </c>
      <c r="E1067" s="190">
        <v>416588.42</v>
      </c>
      <c r="F1067" s="190">
        <v>-200727.94</v>
      </c>
      <c r="G1067"/>
      <c r="H1067"/>
    </row>
    <row r="1068" spans="1:8" ht="15" customHeight="1" x14ac:dyDescent="0.35">
      <c r="A1068">
        <v>520901001</v>
      </c>
      <c r="B1068" t="s">
        <v>408</v>
      </c>
      <c r="C1068" s="190">
        <v>0</v>
      </c>
      <c r="D1068" s="190">
        <v>212030.16</v>
      </c>
      <c r="E1068" s="190">
        <v>212330.16</v>
      </c>
      <c r="F1068" s="190">
        <v>-300</v>
      </c>
      <c r="G1068"/>
      <c r="H1068"/>
    </row>
    <row r="1069" spans="1:8" ht="15" customHeight="1" x14ac:dyDescent="0.35">
      <c r="A1069">
        <v>52090100101</v>
      </c>
      <c r="B1069" t="s">
        <v>604</v>
      </c>
      <c r="C1069" s="190">
        <v>0</v>
      </c>
      <c r="D1069" s="190">
        <v>0</v>
      </c>
      <c r="E1069" s="190">
        <v>300</v>
      </c>
      <c r="F1069" s="190">
        <v>-300</v>
      </c>
      <c r="G1069"/>
      <c r="H1069"/>
    </row>
    <row r="1070" spans="1:8" ht="15" customHeight="1" x14ac:dyDescent="0.35">
      <c r="A1070">
        <v>52090100102</v>
      </c>
      <c r="B1070" t="s">
        <v>474</v>
      </c>
      <c r="C1070" s="190">
        <v>0</v>
      </c>
      <c r="D1070" s="190">
        <v>476.34</v>
      </c>
      <c r="E1070" s="190">
        <v>476.34</v>
      </c>
      <c r="F1070" s="190">
        <v>0</v>
      </c>
      <c r="G1070"/>
      <c r="H1070"/>
    </row>
    <row r="1071" spans="1:8" ht="15" customHeight="1" x14ac:dyDescent="0.35">
      <c r="A1071">
        <v>52090100103</v>
      </c>
      <c r="B1071" t="s">
        <v>475</v>
      </c>
      <c r="C1071" s="190">
        <v>0</v>
      </c>
      <c r="D1071" s="190">
        <v>178040.32000000001</v>
      </c>
      <c r="E1071" s="190">
        <v>178040.32000000001</v>
      </c>
      <c r="F1071" s="190">
        <v>0</v>
      </c>
      <c r="G1071"/>
      <c r="H1071"/>
    </row>
    <row r="1072" spans="1:8" ht="15" customHeight="1" x14ac:dyDescent="0.35">
      <c r="A1072">
        <v>520901002</v>
      </c>
      <c r="B1072" t="s">
        <v>411</v>
      </c>
      <c r="C1072" s="190">
        <v>0</v>
      </c>
      <c r="D1072" s="190">
        <v>3830.32</v>
      </c>
      <c r="E1072" s="190">
        <v>3830.32</v>
      </c>
      <c r="F1072" s="190">
        <v>0</v>
      </c>
      <c r="G1072"/>
      <c r="H1072"/>
    </row>
    <row r="1073" spans="1:8" ht="15" customHeight="1" x14ac:dyDescent="0.35">
      <c r="A1073">
        <v>52090100201</v>
      </c>
      <c r="B1073" t="s">
        <v>605</v>
      </c>
      <c r="C1073" s="190">
        <v>0</v>
      </c>
      <c r="D1073" s="190">
        <v>3830.32</v>
      </c>
      <c r="E1073" s="190">
        <v>3830.32</v>
      </c>
      <c r="F1073" s="190">
        <v>0</v>
      </c>
      <c r="G1073"/>
      <c r="H1073"/>
    </row>
    <row r="1074" spans="1:8" ht="15" customHeight="1" x14ac:dyDescent="0.35">
      <c r="A1074">
        <v>520901003</v>
      </c>
      <c r="B1074" t="s">
        <v>325</v>
      </c>
      <c r="C1074" s="190">
        <v>0</v>
      </c>
      <c r="D1074" s="190">
        <v>0</v>
      </c>
      <c r="E1074" s="190">
        <v>200427.94</v>
      </c>
      <c r="F1074" s="190">
        <v>-200427.94</v>
      </c>
      <c r="G1074"/>
      <c r="H1074"/>
    </row>
    <row r="1075" spans="1:8" ht="15" customHeight="1" x14ac:dyDescent="0.35">
      <c r="A1075">
        <v>52090100301</v>
      </c>
      <c r="B1075" t="s">
        <v>559</v>
      </c>
      <c r="C1075" s="190">
        <v>0</v>
      </c>
      <c r="D1075" s="190">
        <v>0</v>
      </c>
      <c r="E1075" s="190">
        <v>18274.22</v>
      </c>
      <c r="F1075" s="190">
        <v>-18274.22</v>
      </c>
      <c r="G1075"/>
      <c r="H1075"/>
    </row>
    <row r="1076" spans="1:8" ht="15" customHeight="1" x14ac:dyDescent="0.35">
      <c r="A1076">
        <v>52090100302</v>
      </c>
      <c r="B1076" t="s">
        <v>328</v>
      </c>
      <c r="C1076" s="190">
        <v>0</v>
      </c>
      <c r="D1076" s="190">
        <v>0</v>
      </c>
      <c r="E1076" s="190">
        <v>182153.72</v>
      </c>
      <c r="F1076" s="190">
        <v>-182153.72</v>
      </c>
      <c r="G1076"/>
      <c r="H1076"/>
    </row>
    <row r="1077" spans="1:8" ht="15" customHeight="1" x14ac:dyDescent="0.35">
      <c r="A1077">
        <v>520902</v>
      </c>
      <c r="B1077" t="s">
        <v>391</v>
      </c>
      <c r="C1077" s="190">
        <v>0</v>
      </c>
      <c r="D1077" s="190">
        <v>1466255.43</v>
      </c>
      <c r="E1077" s="190">
        <v>6968307.2000000002</v>
      </c>
      <c r="F1077" s="190">
        <v>-5502051.7699999996</v>
      </c>
      <c r="G1077"/>
      <c r="H1077"/>
    </row>
    <row r="1078" spans="1:8" ht="15" customHeight="1" x14ac:dyDescent="0.35">
      <c r="A1078">
        <v>5209020</v>
      </c>
      <c r="B1078" t="s">
        <v>391</v>
      </c>
      <c r="C1078" s="190">
        <v>0</v>
      </c>
      <c r="D1078" s="190">
        <v>1466255.43</v>
      </c>
      <c r="E1078" s="190">
        <v>6968307.2000000002</v>
      </c>
      <c r="F1078" s="190">
        <v>-5502051.7699999996</v>
      </c>
      <c r="G1078"/>
      <c r="H1078"/>
    </row>
    <row r="1079" spans="1:8" ht="15" customHeight="1" x14ac:dyDescent="0.35">
      <c r="A1079">
        <v>520902002</v>
      </c>
      <c r="B1079" t="s">
        <v>411</v>
      </c>
      <c r="C1079" s="190">
        <v>0</v>
      </c>
      <c r="D1079" s="190">
        <v>1466255.43</v>
      </c>
      <c r="E1079" s="190">
        <v>6968307.2000000002</v>
      </c>
      <c r="F1079" s="190">
        <v>-5502051.7699999996</v>
      </c>
      <c r="G1079"/>
      <c r="H1079"/>
    </row>
    <row r="1080" spans="1:8" ht="15" customHeight="1" x14ac:dyDescent="0.35">
      <c r="A1080">
        <v>52090200201</v>
      </c>
      <c r="B1080" t="s">
        <v>413</v>
      </c>
      <c r="C1080" s="190">
        <v>0</v>
      </c>
      <c r="D1080" s="190">
        <v>0</v>
      </c>
      <c r="E1080" s="190">
        <v>5502051.7699999996</v>
      </c>
      <c r="F1080" s="190">
        <v>-5502051.7699999996</v>
      </c>
      <c r="G1080"/>
      <c r="H1080"/>
    </row>
    <row r="1081" spans="1:8" ht="15" customHeight="1" x14ac:dyDescent="0.35">
      <c r="A1081">
        <v>520903</v>
      </c>
      <c r="B1081" t="s">
        <v>394</v>
      </c>
      <c r="C1081" s="190">
        <v>0</v>
      </c>
      <c r="D1081" s="190">
        <v>0</v>
      </c>
      <c r="E1081" s="190">
        <v>17908.349999999999</v>
      </c>
      <c r="F1081" s="190">
        <v>-17908.349999999999</v>
      </c>
      <c r="G1081"/>
      <c r="H1081"/>
    </row>
    <row r="1082" spans="1:8" ht="15" customHeight="1" x14ac:dyDescent="0.35">
      <c r="A1082">
        <v>5209030</v>
      </c>
      <c r="B1082" t="s">
        <v>394</v>
      </c>
      <c r="C1082" s="190">
        <v>0</v>
      </c>
      <c r="D1082" s="190">
        <v>0</v>
      </c>
      <c r="E1082" s="190">
        <v>17908.349999999999</v>
      </c>
      <c r="F1082" s="190">
        <v>-17908.349999999999</v>
      </c>
      <c r="G1082"/>
      <c r="H1082"/>
    </row>
    <row r="1083" spans="1:8" ht="15" customHeight="1" x14ac:dyDescent="0.35">
      <c r="A1083">
        <v>520903001</v>
      </c>
      <c r="B1083" t="s">
        <v>332</v>
      </c>
      <c r="C1083" s="190">
        <v>0</v>
      </c>
      <c r="D1083" s="190">
        <v>0</v>
      </c>
      <c r="E1083" s="190">
        <v>3241.81</v>
      </c>
      <c r="F1083" s="190">
        <v>-3241.81</v>
      </c>
      <c r="G1083"/>
      <c r="H1083"/>
    </row>
    <row r="1084" spans="1:8" ht="15" customHeight="1" x14ac:dyDescent="0.35">
      <c r="A1084">
        <v>52090300102</v>
      </c>
      <c r="B1084" t="s">
        <v>335</v>
      </c>
      <c r="C1084" s="190">
        <v>0</v>
      </c>
      <c r="D1084" s="190">
        <v>0</v>
      </c>
      <c r="E1084" s="190">
        <v>3241.81</v>
      </c>
      <c r="F1084" s="190">
        <v>-3241.81</v>
      </c>
      <c r="G1084"/>
      <c r="H1084"/>
    </row>
    <row r="1085" spans="1:8" ht="15" customHeight="1" x14ac:dyDescent="0.35">
      <c r="A1085">
        <v>520903002</v>
      </c>
      <c r="B1085" t="s">
        <v>336</v>
      </c>
      <c r="C1085" s="190">
        <v>0</v>
      </c>
      <c r="D1085" s="190">
        <v>0</v>
      </c>
      <c r="E1085" s="190">
        <v>14666.54</v>
      </c>
      <c r="F1085" s="190">
        <v>-14666.54</v>
      </c>
      <c r="G1085"/>
      <c r="H1085"/>
    </row>
    <row r="1086" spans="1:8" ht="15" customHeight="1" x14ac:dyDescent="0.35">
      <c r="A1086">
        <v>52090300201</v>
      </c>
      <c r="B1086" t="s">
        <v>338</v>
      </c>
      <c r="C1086" s="190">
        <v>0</v>
      </c>
      <c r="D1086" s="190">
        <v>0</v>
      </c>
      <c r="E1086" s="190">
        <v>14529.79</v>
      </c>
      <c r="F1086" s="190">
        <v>-14529.79</v>
      </c>
      <c r="G1086"/>
      <c r="H1086"/>
    </row>
    <row r="1087" spans="1:8" ht="15" customHeight="1" x14ac:dyDescent="0.35">
      <c r="A1087">
        <v>52090300202</v>
      </c>
      <c r="B1087" t="s">
        <v>339</v>
      </c>
      <c r="C1087" s="190">
        <v>0</v>
      </c>
      <c r="D1087" s="190">
        <v>0</v>
      </c>
      <c r="E1087" s="190">
        <v>136.75</v>
      </c>
      <c r="F1087" s="190">
        <v>-136.75</v>
      </c>
      <c r="G1087"/>
      <c r="H1087"/>
    </row>
    <row r="1088" spans="1:8" ht="15" customHeight="1" x14ac:dyDescent="0.35">
      <c r="A1088">
        <v>54</v>
      </c>
      <c r="B1088" t="s">
        <v>76</v>
      </c>
      <c r="C1088" s="190">
        <v>0</v>
      </c>
      <c r="D1088" s="190">
        <v>522574.35</v>
      </c>
      <c r="E1088" s="190">
        <v>1441865.2</v>
      </c>
      <c r="F1088" s="190">
        <v>-919290.85</v>
      </c>
      <c r="G1088"/>
      <c r="H1088"/>
    </row>
    <row r="1089" spans="1:8" ht="15" customHeight="1" x14ac:dyDescent="0.35">
      <c r="A1089">
        <v>5401</v>
      </c>
      <c r="B1089" t="s">
        <v>191</v>
      </c>
      <c r="C1089" s="190">
        <v>0</v>
      </c>
      <c r="D1089" s="190">
        <v>404585.67</v>
      </c>
      <c r="E1089" s="190">
        <v>994128.5</v>
      </c>
      <c r="F1089" s="190">
        <v>-589542.82999999996</v>
      </c>
      <c r="G1089"/>
      <c r="H1089"/>
    </row>
    <row r="1090" spans="1:8" ht="15" customHeight="1" x14ac:dyDescent="0.35">
      <c r="A1090">
        <v>540103</v>
      </c>
      <c r="B1090" t="s">
        <v>325</v>
      </c>
      <c r="C1090" s="190">
        <v>0</v>
      </c>
      <c r="D1090" s="190">
        <v>404585.67</v>
      </c>
      <c r="E1090" s="190">
        <v>994128.5</v>
      </c>
      <c r="F1090" s="190">
        <v>-589542.82999999996</v>
      </c>
      <c r="G1090"/>
      <c r="H1090"/>
    </row>
    <row r="1091" spans="1:8" ht="15" customHeight="1" x14ac:dyDescent="0.35">
      <c r="A1091">
        <v>5401030</v>
      </c>
      <c r="B1091" t="s">
        <v>325</v>
      </c>
      <c r="C1091" s="190">
        <v>0</v>
      </c>
      <c r="D1091" s="190">
        <v>404585.67</v>
      </c>
      <c r="E1091" s="190">
        <v>994128.5</v>
      </c>
      <c r="F1091" s="190">
        <v>-589542.82999999996</v>
      </c>
      <c r="G1091"/>
      <c r="H1091"/>
    </row>
    <row r="1092" spans="1:8" ht="15" customHeight="1" x14ac:dyDescent="0.35">
      <c r="A1092">
        <v>540103004</v>
      </c>
      <c r="B1092" t="s">
        <v>560</v>
      </c>
      <c r="C1092" s="190">
        <v>0</v>
      </c>
      <c r="D1092" s="190">
        <v>404585.67</v>
      </c>
      <c r="E1092" s="190">
        <v>994128.5</v>
      </c>
      <c r="F1092" s="190">
        <v>-589542.82999999996</v>
      </c>
      <c r="G1092"/>
      <c r="H1092"/>
    </row>
    <row r="1093" spans="1:8" ht="15" customHeight="1" x14ac:dyDescent="0.35">
      <c r="A1093">
        <v>54010300401</v>
      </c>
      <c r="B1093" t="s">
        <v>561</v>
      </c>
      <c r="C1093" s="190">
        <v>0</v>
      </c>
      <c r="D1093" s="190">
        <v>383885.47</v>
      </c>
      <c r="E1093" s="190">
        <v>973428.3</v>
      </c>
      <c r="F1093" s="190">
        <v>-589542.82999999996</v>
      </c>
      <c r="G1093"/>
      <c r="H1093"/>
    </row>
    <row r="1094" spans="1:8" ht="15" customHeight="1" x14ac:dyDescent="0.35">
      <c r="A1094">
        <v>5401030040101</v>
      </c>
      <c r="B1094" t="s">
        <v>327</v>
      </c>
      <c r="C1094" s="190">
        <v>0</v>
      </c>
      <c r="D1094" s="190">
        <v>308349.46000000002</v>
      </c>
      <c r="E1094" s="190">
        <v>402522.94</v>
      </c>
      <c r="F1094" s="190">
        <v>-94173.48</v>
      </c>
      <c r="G1094"/>
      <c r="H1094"/>
    </row>
    <row r="1095" spans="1:8" ht="15" customHeight="1" x14ac:dyDescent="0.35">
      <c r="A1095">
        <v>5401030040102</v>
      </c>
      <c r="B1095" t="s">
        <v>328</v>
      </c>
      <c r="C1095" s="190">
        <v>0</v>
      </c>
      <c r="D1095" s="190">
        <v>75536.009999999995</v>
      </c>
      <c r="E1095" s="190">
        <v>570905.36</v>
      </c>
      <c r="F1095" s="190">
        <v>-495369.35</v>
      </c>
      <c r="G1095"/>
      <c r="H1095"/>
    </row>
    <row r="1096" spans="1:8" ht="15" customHeight="1" x14ac:dyDescent="0.35">
      <c r="A1096">
        <v>5402</v>
      </c>
      <c r="B1096" t="s">
        <v>391</v>
      </c>
      <c r="C1096" s="190">
        <v>0</v>
      </c>
      <c r="D1096" s="190">
        <v>41982.99</v>
      </c>
      <c r="E1096" s="190">
        <v>222463.23</v>
      </c>
      <c r="F1096" s="190">
        <v>-180480.24</v>
      </c>
      <c r="G1096"/>
      <c r="H1096"/>
    </row>
    <row r="1097" spans="1:8" ht="15" customHeight="1" x14ac:dyDescent="0.35">
      <c r="A1097">
        <v>540201</v>
      </c>
      <c r="B1097" t="s">
        <v>330</v>
      </c>
      <c r="C1097" s="190">
        <v>0</v>
      </c>
      <c r="D1097" s="190">
        <v>41982.99</v>
      </c>
      <c r="E1097" s="190">
        <v>222463.23</v>
      </c>
      <c r="F1097" s="190">
        <v>-180480.24</v>
      </c>
      <c r="G1097"/>
      <c r="H1097"/>
    </row>
    <row r="1098" spans="1:8" ht="15" customHeight="1" x14ac:dyDescent="0.35">
      <c r="A1098">
        <v>5402010</v>
      </c>
      <c r="B1098" t="s">
        <v>330</v>
      </c>
      <c r="C1098" s="190">
        <v>0</v>
      </c>
      <c r="D1098" s="190">
        <v>41982.99</v>
      </c>
      <c r="E1098" s="190">
        <v>222463.23</v>
      </c>
      <c r="F1098" s="190">
        <v>-180480.24</v>
      </c>
      <c r="G1098"/>
      <c r="H1098"/>
    </row>
    <row r="1099" spans="1:8" ht="15" customHeight="1" x14ac:dyDescent="0.35">
      <c r="A1099">
        <v>540201004</v>
      </c>
      <c r="B1099" t="s">
        <v>560</v>
      </c>
      <c r="C1099" s="190">
        <v>0</v>
      </c>
      <c r="D1099" s="190">
        <v>35728.370000000003</v>
      </c>
      <c r="E1099" s="190">
        <v>35728.370000000003</v>
      </c>
      <c r="F1099" s="190">
        <v>0</v>
      </c>
      <c r="G1099"/>
      <c r="H1099"/>
    </row>
    <row r="1100" spans="1:8" ht="15" customHeight="1" x14ac:dyDescent="0.35">
      <c r="A1100">
        <v>54020100401</v>
      </c>
      <c r="B1100" t="s">
        <v>561</v>
      </c>
      <c r="C1100" s="190">
        <v>0</v>
      </c>
      <c r="D1100" s="190">
        <v>27922.27</v>
      </c>
      <c r="E1100" s="190">
        <v>27922.27</v>
      </c>
      <c r="F1100" s="190">
        <v>0</v>
      </c>
      <c r="G1100"/>
      <c r="H1100"/>
    </row>
    <row r="1101" spans="1:8" ht="15" customHeight="1" x14ac:dyDescent="0.35">
      <c r="A1101">
        <v>5402010040101</v>
      </c>
      <c r="B1101" t="s">
        <v>772</v>
      </c>
      <c r="C1101" s="190">
        <v>0</v>
      </c>
      <c r="D1101" s="190">
        <v>27922.27</v>
      </c>
      <c r="E1101" s="190">
        <v>27922.27</v>
      </c>
      <c r="F1101" s="190">
        <v>0</v>
      </c>
      <c r="G1101"/>
      <c r="H1101"/>
    </row>
    <row r="1102" spans="1:8" ht="15" customHeight="1" x14ac:dyDescent="0.35">
      <c r="A1102">
        <v>540201005</v>
      </c>
      <c r="B1102" t="s">
        <v>562</v>
      </c>
      <c r="C1102" s="190">
        <v>0</v>
      </c>
      <c r="D1102" s="190">
        <v>6254.62</v>
      </c>
      <c r="E1102" s="190">
        <v>186734.86</v>
      </c>
      <c r="F1102" s="190">
        <v>-180480.24</v>
      </c>
      <c r="G1102"/>
      <c r="H1102"/>
    </row>
    <row r="1103" spans="1:8" ht="15" customHeight="1" x14ac:dyDescent="0.35">
      <c r="A1103">
        <v>54020100501</v>
      </c>
      <c r="B1103" t="s">
        <v>563</v>
      </c>
      <c r="C1103" s="190">
        <v>0</v>
      </c>
      <c r="D1103" s="190">
        <v>6254.62</v>
      </c>
      <c r="E1103" s="190">
        <v>186734.86</v>
      </c>
      <c r="F1103" s="190">
        <v>-180480.24</v>
      </c>
      <c r="G1103"/>
      <c r="H1103"/>
    </row>
    <row r="1104" spans="1:8" ht="15" customHeight="1" x14ac:dyDescent="0.35">
      <c r="A1104">
        <v>5403</v>
      </c>
      <c r="B1104" t="s">
        <v>394</v>
      </c>
      <c r="C1104" s="190">
        <v>0</v>
      </c>
      <c r="D1104" s="190">
        <v>76005.69</v>
      </c>
      <c r="E1104" s="190">
        <v>225273.47</v>
      </c>
      <c r="F1104" s="190">
        <v>-149267.78</v>
      </c>
      <c r="G1104"/>
      <c r="H1104"/>
    </row>
    <row r="1105" spans="1:8" ht="15" customHeight="1" x14ac:dyDescent="0.35">
      <c r="A1105">
        <v>540301</v>
      </c>
      <c r="B1105" t="s">
        <v>332</v>
      </c>
      <c r="C1105" s="190">
        <v>0</v>
      </c>
      <c r="D1105" s="190">
        <v>47068.6</v>
      </c>
      <c r="E1105" s="190">
        <v>168820.57</v>
      </c>
      <c r="F1105" s="190">
        <v>-121751.97</v>
      </c>
      <c r="G1105"/>
      <c r="H1105"/>
    </row>
    <row r="1106" spans="1:8" ht="15" customHeight="1" x14ac:dyDescent="0.35">
      <c r="A1106">
        <v>5403010</v>
      </c>
      <c r="B1106" t="s">
        <v>332</v>
      </c>
      <c r="C1106" s="190">
        <v>0</v>
      </c>
      <c r="D1106" s="190">
        <v>47068.6</v>
      </c>
      <c r="E1106" s="190">
        <v>168820.57</v>
      </c>
      <c r="F1106" s="190">
        <v>-121751.97</v>
      </c>
      <c r="G1106"/>
      <c r="H1106"/>
    </row>
    <row r="1107" spans="1:8" ht="15" customHeight="1" x14ac:dyDescent="0.35">
      <c r="A1107">
        <v>540301004</v>
      </c>
      <c r="B1107" t="s">
        <v>560</v>
      </c>
      <c r="C1107" s="190">
        <v>0</v>
      </c>
      <c r="D1107" s="190">
        <v>47068.6</v>
      </c>
      <c r="E1107" s="190">
        <v>168820.57</v>
      </c>
      <c r="F1107" s="190">
        <v>-121751.97</v>
      </c>
      <c r="G1107"/>
      <c r="H1107"/>
    </row>
    <row r="1108" spans="1:8" ht="15" customHeight="1" x14ac:dyDescent="0.35">
      <c r="A1108">
        <v>54030100401</v>
      </c>
      <c r="B1108" t="s">
        <v>561</v>
      </c>
      <c r="C1108" s="190">
        <v>0</v>
      </c>
      <c r="D1108" s="190">
        <v>47068.6</v>
      </c>
      <c r="E1108" s="190">
        <v>168820.57</v>
      </c>
      <c r="F1108" s="190">
        <v>-121751.97</v>
      </c>
      <c r="G1108"/>
      <c r="H1108"/>
    </row>
    <row r="1109" spans="1:8" ht="15" customHeight="1" x14ac:dyDescent="0.35">
      <c r="A1109">
        <v>5403010040101</v>
      </c>
      <c r="B1109" t="s">
        <v>763</v>
      </c>
      <c r="C1109" s="190">
        <v>0</v>
      </c>
      <c r="D1109" s="190">
        <v>0</v>
      </c>
      <c r="E1109" s="190">
        <v>33283.769999999997</v>
      </c>
      <c r="F1109" s="190">
        <v>-33283.769999999997</v>
      </c>
      <c r="G1109"/>
      <c r="H1109"/>
    </row>
    <row r="1110" spans="1:8" ht="15" customHeight="1" x14ac:dyDescent="0.35">
      <c r="A1110">
        <v>5403010040102</v>
      </c>
      <c r="B1110" t="s">
        <v>606</v>
      </c>
      <c r="C1110" s="190">
        <v>0</v>
      </c>
      <c r="D1110" s="190">
        <v>47068.6</v>
      </c>
      <c r="E1110" s="190">
        <v>135536.79999999999</v>
      </c>
      <c r="F1110" s="190">
        <v>-88468.2</v>
      </c>
      <c r="G1110"/>
      <c r="H1110"/>
    </row>
    <row r="1111" spans="1:8" ht="15" customHeight="1" x14ac:dyDescent="0.35">
      <c r="A1111">
        <v>540302</v>
      </c>
      <c r="B1111" t="s">
        <v>336</v>
      </c>
      <c r="C1111" s="190">
        <v>0</v>
      </c>
      <c r="D1111" s="190">
        <v>28937.09</v>
      </c>
      <c r="E1111" s="190">
        <v>56452.9</v>
      </c>
      <c r="F1111" s="190">
        <v>-27515.81</v>
      </c>
      <c r="G1111"/>
      <c r="H1111"/>
    </row>
    <row r="1112" spans="1:8" ht="15" customHeight="1" x14ac:dyDescent="0.35">
      <c r="A1112">
        <v>5403020</v>
      </c>
      <c r="B1112" t="s">
        <v>336</v>
      </c>
      <c r="C1112" s="190">
        <v>0</v>
      </c>
      <c r="D1112" s="190">
        <v>28937.09</v>
      </c>
      <c r="E1112" s="190">
        <v>56452.9</v>
      </c>
      <c r="F1112" s="190">
        <v>-27515.81</v>
      </c>
      <c r="G1112"/>
      <c r="H1112"/>
    </row>
    <row r="1113" spans="1:8" ht="15" customHeight="1" x14ac:dyDescent="0.35">
      <c r="A1113">
        <v>540302004</v>
      </c>
      <c r="B1113" t="s">
        <v>560</v>
      </c>
      <c r="C1113" s="190">
        <v>0</v>
      </c>
      <c r="D1113" s="190">
        <v>28937.09</v>
      </c>
      <c r="E1113" s="190">
        <v>56452.9</v>
      </c>
      <c r="F1113" s="190">
        <v>-27515.81</v>
      </c>
      <c r="G1113"/>
      <c r="H1113"/>
    </row>
    <row r="1114" spans="1:8" ht="15" customHeight="1" x14ac:dyDescent="0.35">
      <c r="A1114">
        <v>54030200401</v>
      </c>
      <c r="B1114" t="s">
        <v>561</v>
      </c>
      <c r="C1114" s="190">
        <v>0</v>
      </c>
      <c r="D1114" s="190">
        <v>17297.22</v>
      </c>
      <c r="E1114" s="190">
        <v>44813.03</v>
      </c>
      <c r="F1114" s="190">
        <v>-27515.81</v>
      </c>
      <c r="G1114"/>
      <c r="H1114"/>
    </row>
    <row r="1115" spans="1:8" ht="15" customHeight="1" x14ac:dyDescent="0.35">
      <c r="A1115">
        <v>5403020040101</v>
      </c>
      <c r="B1115" t="s">
        <v>338</v>
      </c>
      <c r="C1115" s="190">
        <v>0</v>
      </c>
      <c r="D1115" s="190">
        <v>3308.06</v>
      </c>
      <c r="E1115" s="190">
        <v>3308.06</v>
      </c>
      <c r="F1115" s="190">
        <v>0</v>
      </c>
      <c r="G1115"/>
      <c r="H1115"/>
    </row>
    <row r="1116" spans="1:8" ht="15" customHeight="1" x14ac:dyDescent="0.35">
      <c r="A1116">
        <v>5403020040102</v>
      </c>
      <c r="B1116" t="s">
        <v>339</v>
      </c>
      <c r="C1116" s="190">
        <v>0</v>
      </c>
      <c r="D1116" s="190">
        <v>13989.16</v>
      </c>
      <c r="E1116" s="190">
        <v>41504.97</v>
      </c>
      <c r="F1116" s="190">
        <v>-27515.81</v>
      </c>
      <c r="G1116"/>
      <c r="H1116"/>
    </row>
    <row r="1117" spans="1:8" ht="15" customHeight="1" x14ac:dyDescent="0.35">
      <c r="A1117">
        <v>55</v>
      </c>
      <c r="B1117" t="s">
        <v>564</v>
      </c>
      <c r="C1117" s="190">
        <v>0</v>
      </c>
      <c r="D1117" s="190">
        <v>417607.44</v>
      </c>
      <c r="E1117" s="190">
        <v>809537.82</v>
      </c>
      <c r="F1117" s="190">
        <v>-391930.38</v>
      </c>
      <c r="G1117"/>
      <c r="H1117"/>
    </row>
    <row r="1118" spans="1:8" ht="15" customHeight="1" x14ac:dyDescent="0.35">
      <c r="A1118">
        <v>5501</v>
      </c>
      <c r="B1118" t="s">
        <v>191</v>
      </c>
      <c r="C1118" s="190">
        <v>0</v>
      </c>
      <c r="D1118" s="190">
        <v>403670.03</v>
      </c>
      <c r="E1118" s="190">
        <v>766480.77</v>
      </c>
      <c r="F1118" s="190">
        <v>-362810.74</v>
      </c>
      <c r="G1118"/>
      <c r="H1118"/>
    </row>
    <row r="1119" spans="1:8" ht="15" customHeight="1" x14ac:dyDescent="0.35">
      <c r="A1119">
        <v>550101</v>
      </c>
      <c r="B1119" t="s">
        <v>565</v>
      </c>
      <c r="C1119" s="190">
        <v>0</v>
      </c>
      <c r="D1119" s="190">
        <v>0</v>
      </c>
      <c r="E1119" s="190">
        <v>0</v>
      </c>
      <c r="F1119" s="190">
        <v>0</v>
      </c>
      <c r="G1119"/>
      <c r="H1119"/>
    </row>
    <row r="1120" spans="1:8" ht="15" customHeight="1" x14ac:dyDescent="0.35">
      <c r="A1120">
        <v>5501010</v>
      </c>
      <c r="B1120" t="s">
        <v>565</v>
      </c>
      <c r="C1120" s="190">
        <v>0</v>
      </c>
      <c r="D1120" s="190">
        <v>0</v>
      </c>
      <c r="E1120" s="190">
        <v>0</v>
      </c>
      <c r="F1120" s="190">
        <v>0</v>
      </c>
      <c r="G1120"/>
      <c r="H1120"/>
    </row>
    <row r="1121" spans="1:8" ht="15" customHeight="1" x14ac:dyDescent="0.35">
      <c r="A1121">
        <v>550101001</v>
      </c>
      <c r="B1121" t="s">
        <v>566</v>
      </c>
      <c r="C1121" s="190">
        <v>0</v>
      </c>
      <c r="D1121" s="190">
        <v>0</v>
      </c>
      <c r="E1121" s="190">
        <v>0</v>
      </c>
      <c r="F1121" s="190">
        <v>0</v>
      </c>
      <c r="G1121"/>
      <c r="H1121"/>
    </row>
    <row r="1122" spans="1:8" ht="15" customHeight="1" x14ac:dyDescent="0.35">
      <c r="A1122">
        <v>55010100104</v>
      </c>
      <c r="B1122" t="s">
        <v>560</v>
      </c>
      <c r="C1122" s="190">
        <v>0</v>
      </c>
      <c r="D1122" s="190">
        <v>0</v>
      </c>
      <c r="E1122" s="190">
        <v>0</v>
      </c>
      <c r="F1122" s="190">
        <v>0</v>
      </c>
      <c r="G1122"/>
      <c r="H1122"/>
    </row>
    <row r="1123" spans="1:8" ht="15" customHeight="1" x14ac:dyDescent="0.35">
      <c r="A1123">
        <v>5501010010401</v>
      </c>
      <c r="B1123" t="s">
        <v>322</v>
      </c>
      <c r="C1123" s="190">
        <v>0</v>
      </c>
      <c r="D1123" s="190">
        <v>0</v>
      </c>
      <c r="E1123" s="190">
        <v>0</v>
      </c>
      <c r="F1123" s="190">
        <v>0</v>
      </c>
      <c r="G1123"/>
      <c r="H1123"/>
    </row>
    <row r="1124" spans="1:8" ht="15" customHeight="1" x14ac:dyDescent="0.35">
      <c r="A1124">
        <v>550102</v>
      </c>
      <c r="B1124" t="s">
        <v>478</v>
      </c>
      <c r="C1124" s="190">
        <v>0</v>
      </c>
      <c r="D1124" s="190">
        <v>0</v>
      </c>
      <c r="E1124" s="190">
        <v>0</v>
      </c>
      <c r="F1124" s="190">
        <v>0</v>
      </c>
      <c r="G1124"/>
      <c r="H1124"/>
    </row>
    <row r="1125" spans="1:8" ht="15" customHeight="1" x14ac:dyDescent="0.35">
      <c r="A1125">
        <v>5501020</v>
      </c>
      <c r="B1125" t="s">
        <v>478</v>
      </c>
      <c r="C1125" s="190">
        <v>0</v>
      </c>
      <c r="D1125" s="190">
        <v>0</v>
      </c>
      <c r="E1125" s="190">
        <v>0</v>
      </c>
      <c r="F1125" s="190">
        <v>0</v>
      </c>
      <c r="G1125"/>
      <c r="H1125"/>
    </row>
    <row r="1126" spans="1:8" ht="15" customHeight="1" x14ac:dyDescent="0.35">
      <c r="A1126">
        <v>550102001</v>
      </c>
      <c r="B1126" t="s">
        <v>465</v>
      </c>
      <c r="C1126" s="190">
        <v>0</v>
      </c>
      <c r="D1126" s="190">
        <v>0</v>
      </c>
      <c r="E1126" s="190">
        <v>0</v>
      </c>
      <c r="F1126" s="190">
        <v>0</v>
      </c>
      <c r="G1126"/>
      <c r="H1126"/>
    </row>
    <row r="1127" spans="1:8" ht="15" customHeight="1" x14ac:dyDescent="0.35">
      <c r="A1127">
        <v>55010200104</v>
      </c>
      <c r="B1127" t="s">
        <v>560</v>
      </c>
      <c r="C1127" s="190">
        <v>0</v>
      </c>
      <c r="D1127" s="190">
        <v>0</v>
      </c>
      <c r="E1127" s="190">
        <v>0</v>
      </c>
      <c r="F1127" s="190">
        <v>0</v>
      </c>
      <c r="G1127"/>
      <c r="H1127"/>
    </row>
    <row r="1128" spans="1:8" ht="15" customHeight="1" x14ac:dyDescent="0.35">
      <c r="A1128">
        <v>5501020010401</v>
      </c>
      <c r="B1128" t="s">
        <v>410</v>
      </c>
      <c r="C1128" s="190">
        <v>0</v>
      </c>
      <c r="D1128" s="190">
        <v>0</v>
      </c>
      <c r="E1128" s="190">
        <v>0</v>
      </c>
      <c r="F1128" s="190">
        <v>0</v>
      </c>
      <c r="G1128"/>
      <c r="H1128"/>
    </row>
    <row r="1129" spans="1:8" ht="15" customHeight="1" x14ac:dyDescent="0.35">
      <c r="A1129">
        <v>55010200105</v>
      </c>
      <c r="B1129" t="s">
        <v>562</v>
      </c>
      <c r="C1129" s="190">
        <v>0</v>
      </c>
      <c r="D1129" s="190">
        <v>0</v>
      </c>
      <c r="E1129" s="190">
        <v>0</v>
      </c>
      <c r="F1129" s="190">
        <v>0</v>
      </c>
      <c r="G1129"/>
      <c r="H1129"/>
    </row>
    <row r="1130" spans="1:8" ht="15" customHeight="1" x14ac:dyDescent="0.35">
      <c r="A1130">
        <v>5501020010501</v>
      </c>
      <c r="B1130" t="s">
        <v>562</v>
      </c>
      <c r="C1130" s="190">
        <v>0</v>
      </c>
      <c r="D1130" s="190">
        <v>0</v>
      </c>
      <c r="E1130" s="190">
        <v>0</v>
      </c>
      <c r="F1130" s="190">
        <v>0</v>
      </c>
      <c r="G1130"/>
      <c r="H1130"/>
    </row>
    <row r="1131" spans="1:8" ht="15" customHeight="1" x14ac:dyDescent="0.35">
      <c r="A1131">
        <v>550103</v>
      </c>
      <c r="B1131" t="s">
        <v>325</v>
      </c>
      <c r="C1131" s="190">
        <v>0</v>
      </c>
      <c r="D1131" s="190">
        <v>403670.03</v>
      </c>
      <c r="E1131" s="190">
        <v>766480.77</v>
      </c>
      <c r="F1131" s="190">
        <v>-362810.74</v>
      </c>
      <c r="G1131"/>
      <c r="H1131"/>
    </row>
    <row r="1132" spans="1:8" ht="15" customHeight="1" x14ac:dyDescent="0.35">
      <c r="A1132">
        <v>5501030</v>
      </c>
      <c r="B1132" t="s">
        <v>325</v>
      </c>
      <c r="C1132" s="190">
        <v>0</v>
      </c>
      <c r="D1132" s="190">
        <v>403670.03</v>
      </c>
      <c r="E1132" s="190">
        <v>766480.77</v>
      </c>
      <c r="F1132" s="190">
        <v>-362810.74</v>
      </c>
      <c r="G1132"/>
      <c r="H1132"/>
    </row>
    <row r="1133" spans="1:8" ht="15" customHeight="1" x14ac:dyDescent="0.35">
      <c r="A1133">
        <v>550103001</v>
      </c>
      <c r="B1133" t="s">
        <v>567</v>
      </c>
      <c r="C1133" s="190">
        <v>0</v>
      </c>
      <c r="D1133" s="190">
        <v>403670.03</v>
      </c>
      <c r="E1133" s="190">
        <v>766480.77</v>
      </c>
      <c r="F1133" s="190">
        <v>-362810.74</v>
      </c>
      <c r="G1133"/>
      <c r="H1133"/>
    </row>
    <row r="1134" spans="1:8" ht="15" customHeight="1" x14ac:dyDescent="0.35">
      <c r="A1134">
        <v>55010300104</v>
      </c>
      <c r="B1134" t="s">
        <v>560</v>
      </c>
      <c r="C1134" s="190">
        <v>0</v>
      </c>
      <c r="D1134" s="190">
        <v>403670.03</v>
      </c>
      <c r="E1134" s="190">
        <v>766480.77</v>
      </c>
      <c r="F1134" s="190">
        <v>-362810.74</v>
      </c>
      <c r="G1134"/>
      <c r="H1134"/>
    </row>
    <row r="1135" spans="1:8" ht="15" customHeight="1" x14ac:dyDescent="0.35">
      <c r="A1135">
        <v>5501030010401</v>
      </c>
      <c r="B1135" t="s">
        <v>327</v>
      </c>
      <c r="C1135" s="190">
        <v>0</v>
      </c>
      <c r="D1135" s="190">
        <v>83142.03</v>
      </c>
      <c r="E1135" s="190">
        <v>126753.91</v>
      </c>
      <c r="F1135" s="190">
        <v>-43611.88</v>
      </c>
      <c r="G1135"/>
      <c r="H1135"/>
    </row>
    <row r="1136" spans="1:8" ht="15" customHeight="1" x14ac:dyDescent="0.35">
      <c r="A1136">
        <v>5501030010402</v>
      </c>
      <c r="B1136" t="s">
        <v>328</v>
      </c>
      <c r="C1136" s="190">
        <v>0</v>
      </c>
      <c r="D1136" s="190">
        <v>131666.69</v>
      </c>
      <c r="E1136" s="190">
        <v>450865.55</v>
      </c>
      <c r="F1136" s="190">
        <v>-319198.86</v>
      </c>
      <c r="G1136"/>
      <c r="H1136"/>
    </row>
    <row r="1137" spans="1:8" ht="15" customHeight="1" x14ac:dyDescent="0.35">
      <c r="A1137">
        <v>5502</v>
      </c>
      <c r="B1137" t="s">
        <v>391</v>
      </c>
      <c r="C1137" s="190">
        <v>0</v>
      </c>
      <c r="D1137" s="190">
        <v>89.76</v>
      </c>
      <c r="E1137" s="190">
        <v>17069.29</v>
      </c>
      <c r="F1137" s="190">
        <v>-16979.53</v>
      </c>
      <c r="G1137"/>
      <c r="H1137"/>
    </row>
    <row r="1138" spans="1:8" ht="15" customHeight="1" x14ac:dyDescent="0.35">
      <c r="A1138">
        <v>550201</v>
      </c>
      <c r="B1138" t="s">
        <v>330</v>
      </c>
      <c r="C1138" s="190">
        <v>0</v>
      </c>
      <c r="D1138" s="190">
        <v>89.76</v>
      </c>
      <c r="E1138" s="190">
        <v>17069.29</v>
      </c>
      <c r="F1138" s="190">
        <v>-16979.53</v>
      </c>
      <c r="G1138"/>
      <c r="H1138"/>
    </row>
    <row r="1139" spans="1:8" ht="15" customHeight="1" x14ac:dyDescent="0.35">
      <c r="A1139">
        <v>5502010</v>
      </c>
      <c r="B1139" t="s">
        <v>330</v>
      </c>
      <c r="C1139" s="190">
        <v>0</v>
      </c>
      <c r="D1139" s="190">
        <v>89.76</v>
      </c>
      <c r="E1139" s="190">
        <v>17069.29</v>
      </c>
      <c r="F1139" s="190">
        <v>-16979.53</v>
      </c>
      <c r="G1139"/>
      <c r="H1139"/>
    </row>
    <row r="1140" spans="1:8" ht="15" customHeight="1" x14ac:dyDescent="0.35">
      <c r="A1140">
        <v>550201001</v>
      </c>
      <c r="B1140" t="s">
        <v>568</v>
      </c>
      <c r="C1140" s="190">
        <v>0</v>
      </c>
      <c r="D1140" s="190">
        <v>89.76</v>
      </c>
      <c r="E1140" s="190">
        <v>17069.29</v>
      </c>
      <c r="F1140" s="190">
        <v>-16979.53</v>
      </c>
      <c r="G1140"/>
      <c r="H1140"/>
    </row>
    <row r="1141" spans="1:8" ht="15" customHeight="1" x14ac:dyDescent="0.35">
      <c r="A1141">
        <v>55020100104</v>
      </c>
      <c r="B1141" t="s">
        <v>560</v>
      </c>
      <c r="C1141" s="190">
        <v>0</v>
      </c>
      <c r="D1141" s="190">
        <v>57.42</v>
      </c>
      <c r="E1141" s="190">
        <v>57.42</v>
      </c>
      <c r="F1141" s="190">
        <v>0</v>
      </c>
      <c r="G1141"/>
      <c r="H1141"/>
    </row>
    <row r="1142" spans="1:8" ht="15" customHeight="1" x14ac:dyDescent="0.35">
      <c r="A1142">
        <v>5502010010401</v>
      </c>
      <c r="B1142" t="s">
        <v>773</v>
      </c>
      <c r="C1142" s="190">
        <v>0</v>
      </c>
      <c r="D1142" s="190">
        <v>23.58</v>
      </c>
      <c r="E1142" s="190">
        <v>23.58</v>
      </c>
      <c r="F1142" s="190">
        <v>0</v>
      </c>
      <c r="G1142"/>
      <c r="H1142"/>
    </row>
    <row r="1143" spans="1:8" ht="15" customHeight="1" x14ac:dyDescent="0.35">
      <c r="A1143">
        <v>55020100105</v>
      </c>
      <c r="B1143" t="s">
        <v>569</v>
      </c>
      <c r="C1143" s="190">
        <v>0</v>
      </c>
      <c r="D1143" s="190">
        <v>32.340000000000003</v>
      </c>
      <c r="E1143" s="190">
        <v>17011.87</v>
      </c>
      <c r="F1143" s="190">
        <v>-16979.53</v>
      </c>
      <c r="G1143"/>
      <c r="H1143"/>
    </row>
    <row r="1144" spans="1:8" ht="15" customHeight="1" x14ac:dyDescent="0.35">
      <c r="A1144">
        <v>5502010010501</v>
      </c>
      <c r="B1144" t="s">
        <v>619</v>
      </c>
      <c r="C1144" s="190">
        <v>0</v>
      </c>
      <c r="D1144" s="190">
        <v>32.340000000000003</v>
      </c>
      <c r="E1144" s="190">
        <v>17011.87</v>
      </c>
      <c r="F1144" s="190">
        <v>-16979.53</v>
      </c>
      <c r="G1144"/>
      <c r="H1144"/>
    </row>
    <row r="1145" spans="1:8" ht="15" customHeight="1" x14ac:dyDescent="0.35">
      <c r="A1145">
        <v>5503</v>
      </c>
      <c r="B1145" t="s">
        <v>394</v>
      </c>
      <c r="C1145" s="190">
        <v>0</v>
      </c>
      <c r="D1145" s="190">
        <v>13847.65</v>
      </c>
      <c r="E1145" s="190">
        <v>25987.759999999998</v>
      </c>
      <c r="F1145" s="190">
        <v>-12140.11</v>
      </c>
      <c r="G1145"/>
      <c r="H1145"/>
    </row>
    <row r="1146" spans="1:8" ht="15" customHeight="1" x14ac:dyDescent="0.35">
      <c r="A1146">
        <v>550301</v>
      </c>
      <c r="B1146" t="s">
        <v>332</v>
      </c>
      <c r="C1146" s="190">
        <v>0</v>
      </c>
      <c r="D1146" s="190">
        <v>0</v>
      </c>
      <c r="E1146" s="190">
        <v>0</v>
      </c>
      <c r="F1146" s="190">
        <v>0</v>
      </c>
      <c r="G1146"/>
      <c r="H1146"/>
    </row>
    <row r="1147" spans="1:8" ht="15" customHeight="1" x14ac:dyDescent="0.35">
      <c r="A1147">
        <v>5503010</v>
      </c>
      <c r="B1147" t="s">
        <v>332</v>
      </c>
      <c r="C1147" s="190">
        <v>0</v>
      </c>
      <c r="D1147" s="190">
        <v>0</v>
      </c>
      <c r="E1147" s="190">
        <v>0</v>
      </c>
      <c r="F1147" s="190">
        <v>0</v>
      </c>
      <c r="G1147"/>
      <c r="H1147"/>
    </row>
    <row r="1148" spans="1:8" ht="15" customHeight="1" x14ac:dyDescent="0.35">
      <c r="A1148">
        <v>550301001</v>
      </c>
      <c r="B1148" t="s">
        <v>570</v>
      </c>
      <c r="C1148" s="190">
        <v>0</v>
      </c>
      <c r="D1148" s="190">
        <v>0</v>
      </c>
      <c r="E1148" s="190">
        <v>0</v>
      </c>
      <c r="F1148" s="190">
        <v>0</v>
      </c>
      <c r="G1148"/>
      <c r="H1148"/>
    </row>
    <row r="1149" spans="1:8" ht="15" customHeight="1" x14ac:dyDescent="0.35">
      <c r="A1149">
        <v>55030100104</v>
      </c>
      <c r="B1149" t="s">
        <v>560</v>
      </c>
      <c r="C1149" s="190">
        <v>0</v>
      </c>
      <c r="D1149" s="190">
        <v>0</v>
      </c>
      <c r="E1149" s="190">
        <v>0</v>
      </c>
      <c r="F1149" s="190">
        <v>0</v>
      </c>
      <c r="G1149"/>
      <c r="H1149"/>
    </row>
    <row r="1150" spans="1:8" ht="15" customHeight="1" x14ac:dyDescent="0.35">
      <c r="A1150">
        <v>5503010010402</v>
      </c>
      <c r="B1150" t="s">
        <v>335</v>
      </c>
      <c r="C1150" s="190">
        <v>0</v>
      </c>
      <c r="D1150" s="190">
        <v>0</v>
      </c>
      <c r="E1150" s="190">
        <v>0</v>
      </c>
      <c r="F1150" s="190">
        <v>0</v>
      </c>
      <c r="G1150"/>
      <c r="H1150"/>
    </row>
    <row r="1151" spans="1:8" ht="15" customHeight="1" x14ac:dyDescent="0.35">
      <c r="A1151">
        <v>550302</v>
      </c>
      <c r="B1151" t="s">
        <v>336</v>
      </c>
      <c r="C1151" s="190">
        <v>0</v>
      </c>
      <c r="D1151" s="190">
        <v>13847.65</v>
      </c>
      <c r="E1151" s="190">
        <v>25987.759999999998</v>
      </c>
      <c r="F1151" s="190">
        <v>-12140.11</v>
      </c>
      <c r="G1151"/>
      <c r="H1151"/>
    </row>
    <row r="1152" spans="1:8" ht="15" customHeight="1" x14ac:dyDescent="0.35">
      <c r="A1152">
        <v>5503020</v>
      </c>
      <c r="B1152" t="s">
        <v>336</v>
      </c>
      <c r="C1152" s="190">
        <v>0</v>
      </c>
      <c r="D1152" s="190">
        <v>13847.65</v>
      </c>
      <c r="E1152" s="190">
        <v>25987.759999999998</v>
      </c>
      <c r="F1152" s="190">
        <v>-12140.11</v>
      </c>
      <c r="G1152"/>
      <c r="H1152"/>
    </row>
    <row r="1153" spans="1:8" ht="15" customHeight="1" x14ac:dyDescent="0.35">
      <c r="A1153">
        <v>550302001</v>
      </c>
      <c r="B1153" t="s">
        <v>571</v>
      </c>
      <c r="C1153" s="190">
        <v>0</v>
      </c>
      <c r="D1153" s="190">
        <v>13847.65</v>
      </c>
      <c r="E1153" s="190">
        <v>25987.759999999998</v>
      </c>
      <c r="F1153" s="190">
        <v>-12140.11</v>
      </c>
      <c r="G1153"/>
      <c r="H1153"/>
    </row>
    <row r="1154" spans="1:8" ht="15" customHeight="1" x14ac:dyDescent="0.35">
      <c r="A1154">
        <v>55030200104</v>
      </c>
      <c r="B1154" t="s">
        <v>560</v>
      </c>
      <c r="C1154" s="190">
        <v>0</v>
      </c>
      <c r="D1154" s="190">
        <v>13847.65</v>
      </c>
      <c r="E1154" s="190">
        <v>25987.759999999998</v>
      </c>
      <c r="F1154" s="190">
        <v>-12140.11</v>
      </c>
      <c r="G1154"/>
      <c r="H1154"/>
    </row>
    <row r="1155" spans="1:8" ht="15" customHeight="1" x14ac:dyDescent="0.35">
      <c r="A1155">
        <v>5503020010401</v>
      </c>
      <c r="B1155" t="s">
        <v>338</v>
      </c>
      <c r="C1155" s="190">
        <v>0</v>
      </c>
      <c r="D1155" s="190">
        <v>413.43</v>
      </c>
      <c r="E1155" s="190">
        <v>575.9</v>
      </c>
      <c r="F1155" s="190">
        <v>-162.47</v>
      </c>
      <c r="G1155"/>
      <c r="H1155"/>
    </row>
    <row r="1156" spans="1:8" ht="15" customHeight="1" x14ac:dyDescent="0.35">
      <c r="A1156">
        <v>5503020010402</v>
      </c>
      <c r="B1156" t="s">
        <v>339</v>
      </c>
      <c r="C1156" s="190">
        <v>0</v>
      </c>
      <c r="D1156" s="190">
        <v>4299.3599999999997</v>
      </c>
      <c r="E1156" s="190">
        <v>16277</v>
      </c>
      <c r="F1156" s="190">
        <v>-11977.64</v>
      </c>
      <c r="G1156"/>
      <c r="H1156"/>
    </row>
    <row r="1157" spans="1:8" ht="15" customHeight="1" x14ac:dyDescent="0.35">
      <c r="A1157">
        <v>57</v>
      </c>
      <c r="B1157" t="s">
        <v>32</v>
      </c>
      <c r="C1157" s="190">
        <v>0</v>
      </c>
      <c r="D1157" s="190">
        <v>77152.13</v>
      </c>
      <c r="E1157" s="190">
        <v>932744.35</v>
      </c>
      <c r="F1157" s="190">
        <v>-855592.22</v>
      </c>
      <c r="G1157"/>
      <c r="H1157"/>
    </row>
    <row r="1158" spans="1:8" ht="15" customHeight="1" x14ac:dyDescent="0.35">
      <c r="A1158">
        <v>5701</v>
      </c>
      <c r="B1158" t="s">
        <v>33</v>
      </c>
      <c r="C1158" s="190">
        <v>0</v>
      </c>
      <c r="D1158" s="190">
        <v>22819.77</v>
      </c>
      <c r="E1158" s="190">
        <v>184979.74</v>
      </c>
      <c r="F1158" s="190">
        <v>-162159.97</v>
      </c>
      <c r="G1158"/>
      <c r="H1158"/>
    </row>
    <row r="1159" spans="1:8" ht="15" customHeight="1" x14ac:dyDescent="0.35">
      <c r="A1159">
        <v>570101</v>
      </c>
      <c r="B1159" t="s">
        <v>572</v>
      </c>
      <c r="C1159" s="190">
        <v>0</v>
      </c>
      <c r="D1159" s="190">
        <v>22819.77</v>
      </c>
      <c r="E1159" s="190">
        <v>184979.74</v>
      </c>
      <c r="F1159" s="190">
        <v>-162159.97</v>
      </c>
      <c r="G1159"/>
      <c r="H1159"/>
    </row>
    <row r="1160" spans="1:8" ht="15" customHeight="1" x14ac:dyDescent="0.35">
      <c r="A1160">
        <v>5701010</v>
      </c>
      <c r="B1160" t="s">
        <v>572</v>
      </c>
      <c r="C1160" s="190">
        <v>0</v>
      </c>
      <c r="D1160" s="190">
        <v>22819.77</v>
      </c>
      <c r="E1160" s="190">
        <v>184979.74</v>
      </c>
      <c r="F1160" s="190">
        <v>-162159.97</v>
      </c>
      <c r="G1160"/>
      <c r="H1160"/>
    </row>
    <row r="1161" spans="1:8" ht="15" customHeight="1" x14ac:dyDescent="0.35">
      <c r="A1161">
        <v>570101001</v>
      </c>
      <c r="B1161" t="s">
        <v>573</v>
      </c>
      <c r="C1161" s="190">
        <v>0</v>
      </c>
      <c r="D1161" s="190">
        <v>22819.77</v>
      </c>
      <c r="E1161" s="190">
        <v>178150.75</v>
      </c>
      <c r="F1161" s="190">
        <v>-155330.98000000001</v>
      </c>
      <c r="G1161"/>
      <c r="H1161"/>
    </row>
    <row r="1162" spans="1:8" ht="15" customHeight="1" x14ac:dyDescent="0.35">
      <c r="A1162">
        <v>57010100101</v>
      </c>
      <c r="B1162" t="s">
        <v>574</v>
      </c>
      <c r="C1162" s="190">
        <v>0</v>
      </c>
      <c r="D1162" s="190">
        <v>0</v>
      </c>
      <c r="E1162" s="190">
        <v>18254.759999999998</v>
      </c>
      <c r="F1162" s="190">
        <v>-18254.759999999998</v>
      </c>
      <c r="G1162"/>
      <c r="H1162"/>
    </row>
    <row r="1163" spans="1:8" ht="15" customHeight="1" x14ac:dyDescent="0.35">
      <c r="A1163">
        <v>57010100102</v>
      </c>
      <c r="B1163" t="s">
        <v>575</v>
      </c>
      <c r="C1163" s="190">
        <v>0</v>
      </c>
      <c r="D1163" s="190">
        <v>22819.77</v>
      </c>
      <c r="E1163" s="190">
        <v>159895.99</v>
      </c>
      <c r="F1163" s="190">
        <v>-137076.22</v>
      </c>
      <c r="G1163"/>
      <c r="H1163"/>
    </row>
    <row r="1164" spans="1:8" ht="15" customHeight="1" x14ac:dyDescent="0.35">
      <c r="A1164">
        <v>570101002</v>
      </c>
      <c r="B1164" t="s">
        <v>206</v>
      </c>
      <c r="C1164" s="190">
        <v>0</v>
      </c>
      <c r="D1164" s="190">
        <v>0</v>
      </c>
      <c r="E1164" s="190">
        <v>6828.99</v>
      </c>
      <c r="F1164" s="190">
        <v>-6828.99</v>
      </c>
      <c r="G1164"/>
      <c r="H1164"/>
    </row>
    <row r="1165" spans="1:8" ht="15" customHeight="1" x14ac:dyDescent="0.35">
      <c r="A1165">
        <v>57010100201</v>
      </c>
      <c r="B1165" t="s">
        <v>576</v>
      </c>
      <c r="C1165" s="190">
        <v>0</v>
      </c>
      <c r="D1165" s="190">
        <v>0</v>
      </c>
      <c r="E1165" s="190">
        <v>6828.99</v>
      </c>
      <c r="F1165" s="190">
        <v>-6828.99</v>
      </c>
      <c r="G1165"/>
      <c r="H1165"/>
    </row>
    <row r="1166" spans="1:8" ht="15" customHeight="1" x14ac:dyDescent="0.35">
      <c r="A1166">
        <v>5702</v>
      </c>
      <c r="B1166" t="s">
        <v>34</v>
      </c>
      <c r="C1166" s="190">
        <v>0</v>
      </c>
      <c r="D1166" s="190">
        <v>48205.31</v>
      </c>
      <c r="E1166" s="190">
        <v>551485.26</v>
      </c>
      <c r="F1166" s="190">
        <v>-503279.95</v>
      </c>
      <c r="G1166"/>
      <c r="H1166"/>
    </row>
    <row r="1167" spans="1:8" ht="15" customHeight="1" x14ac:dyDescent="0.35">
      <c r="A1167">
        <v>570201</v>
      </c>
      <c r="B1167" t="s">
        <v>577</v>
      </c>
      <c r="C1167" s="190">
        <v>0</v>
      </c>
      <c r="D1167" s="190">
        <v>6197.92</v>
      </c>
      <c r="E1167" s="190">
        <v>111456.39</v>
      </c>
      <c r="F1167" s="190">
        <v>-105258.47</v>
      </c>
      <c r="G1167"/>
      <c r="H1167"/>
    </row>
    <row r="1168" spans="1:8" ht="15" customHeight="1" x14ac:dyDescent="0.35">
      <c r="A1168">
        <v>570201101</v>
      </c>
      <c r="B1168" t="s">
        <v>578</v>
      </c>
      <c r="C1168" s="190">
        <v>0</v>
      </c>
      <c r="D1168" s="190">
        <v>6197.92</v>
      </c>
      <c r="E1168" s="190">
        <v>111456.39</v>
      </c>
      <c r="F1168" s="190">
        <v>-105258.47</v>
      </c>
      <c r="G1168"/>
      <c r="H1168"/>
    </row>
    <row r="1169" spans="1:8" ht="15" customHeight="1" x14ac:dyDescent="0.35">
      <c r="A1169">
        <v>57020110102</v>
      </c>
      <c r="B1169" t="s">
        <v>261</v>
      </c>
      <c r="C1169" s="190">
        <v>0</v>
      </c>
      <c r="D1169" s="190">
        <v>3437.5</v>
      </c>
      <c r="E1169" s="190">
        <v>75878.149999999994</v>
      </c>
      <c r="F1169" s="190">
        <v>-72440.649999999994</v>
      </c>
      <c r="G1169"/>
      <c r="H1169"/>
    </row>
    <row r="1170" spans="1:8" ht="15" customHeight="1" x14ac:dyDescent="0.35">
      <c r="A1170">
        <v>57020110104</v>
      </c>
      <c r="B1170" t="s">
        <v>260</v>
      </c>
      <c r="C1170" s="190">
        <v>0</v>
      </c>
      <c r="D1170" s="190">
        <v>2760.42</v>
      </c>
      <c r="E1170" s="190">
        <v>35578.239999999998</v>
      </c>
      <c r="F1170" s="190">
        <v>-32817.82</v>
      </c>
      <c r="G1170"/>
      <c r="H1170"/>
    </row>
    <row r="1171" spans="1:8" ht="15" customHeight="1" x14ac:dyDescent="0.35">
      <c r="A1171">
        <v>570202</v>
      </c>
      <c r="B1171" t="s">
        <v>579</v>
      </c>
      <c r="C1171" s="190">
        <v>0</v>
      </c>
      <c r="D1171" s="190">
        <v>26509.31</v>
      </c>
      <c r="E1171" s="190">
        <v>196828.66</v>
      </c>
      <c r="F1171" s="190">
        <v>-170319.35</v>
      </c>
      <c r="G1171"/>
      <c r="H1171"/>
    </row>
    <row r="1172" spans="1:8" ht="15" customHeight="1" x14ac:dyDescent="0.35">
      <c r="A1172">
        <v>570202101</v>
      </c>
      <c r="B1172" t="s">
        <v>578</v>
      </c>
      <c r="C1172" s="190">
        <v>0</v>
      </c>
      <c r="D1172" s="190">
        <v>26509.31</v>
      </c>
      <c r="E1172" s="190">
        <v>196828.66</v>
      </c>
      <c r="F1172" s="190">
        <v>-170319.35</v>
      </c>
      <c r="G1172"/>
      <c r="H1172"/>
    </row>
    <row r="1173" spans="1:8" ht="15" customHeight="1" x14ac:dyDescent="0.35">
      <c r="A1173">
        <v>57020210102</v>
      </c>
      <c r="B1173" t="s">
        <v>580</v>
      </c>
      <c r="C1173" s="190">
        <v>0</v>
      </c>
      <c r="D1173" s="190">
        <v>26509.31</v>
      </c>
      <c r="E1173" s="190">
        <v>196828.66</v>
      </c>
      <c r="F1173" s="190">
        <v>-170319.35</v>
      </c>
      <c r="G1173"/>
      <c r="H1173"/>
    </row>
    <row r="1174" spans="1:8" ht="15" customHeight="1" x14ac:dyDescent="0.35">
      <c r="A1174">
        <v>570204</v>
      </c>
      <c r="B1174" t="s">
        <v>581</v>
      </c>
      <c r="C1174" s="190">
        <v>0</v>
      </c>
      <c r="D1174" s="190">
        <v>0</v>
      </c>
      <c r="E1174" s="190">
        <v>4869.3</v>
      </c>
      <c r="F1174" s="190">
        <v>-4869.3</v>
      </c>
      <c r="G1174"/>
      <c r="H1174"/>
    </row>
    <row r="1175" spans="1:8" ht="15" customHeight="1" x14ac:dyDescent="0.35">
      <c r="A1175">
        <v>570204101</v>
      </c>
      <c r="B1175" t="s">
        <v>578</v>
      </c>
      <c r="C1175" s="190">
        <v>0</v>
      </c>
      <c r="D1175" s="190">
        <v>0</v>
      </c>
      <c r="E1175" s="190">
        <v>4869.3</v>
      </c>
      <c r="F1175" s="190">
        <v>-4869.3</v>
      </c>
      <c r="G1175"/>
      <c r="H1175"/>
    </row>
    <row r="1176" spans="1:8" ht="15" customHeight="1" x14ac:dyDescent="0.35">
      <c r="A1176">
        <v>570205</v>
      </c>
      <c r="B1176" t="s">
        <v>582</v>
      </c>
      <c r="C1176" s="190">
        <v>0</v>
      </c>
      <c r="D1176" s="190">
        <v>14046.89</v>
      </c>
      <c r="E1176" s="190">
        <v>219205.18</v>
      </c>
      <c r="F1176" s="190">
        <v>-205158.29</v>
      </c>
      <c r="G1176"/>
      <c r="H1176"/>
    </row>
    <row r="1177" spans="1:8" ht="15" customHeight="1" x14ac:dyDescent="0.35">
      <c r="A1177">
        <v>570205101</v>
      </c>
      <c r="B1177" t="s">
        <v>583</v>
      </c>
      <c r="C1177" s="190">
        <v>0</v>
      </c>
      <c r="D1177" s="190">
        <v>14046.89</v>
      </c>
      <c r="E1177" s="190">
        <v>219205.18</v>
      </c>
      <c r="F1177" s="190">
        <v>-205158.29</v>
      </c>
      <c r="G1177"/>
      <c r="H1177"/>
    </row>
    <row r="1178" spans="1:8" ht="15" customHeight="1" x14ac:dyDescent="0.35">
      <c r="A1178">
        <v>570206</v>
      </c>
      <c r="B1178" t="s">
        <v>642</v>
      </c>
      <c r="C1178" s="190">
        <v>0</v>
      </c>
      <c r="D1178" s="190">
        <v>1451.19</v>
      </c>
      <c r="E1178" s="190">
        <v>19125.73</v>
      </c>
      <c r="F1178" s="190">
        <v>-17674.54</v>
      </c>
      <c r="G1178"/>
      <c r="H1178"/>
    </row>
    <row r="1179" spans="1:8" ht="15" customHeight="1" x14ac:dyDescent="0.35">
      <c r="A1179">
        <v>5702061</v>
      </c>
      <c r="B1179" t="s">
        <v>730</v>
      </c>
      <c r="C1179" s="190">
        <v>0</v>
      </c>
      <c r="D1179" s="190">
        <v>0</v>
      </c>
      <c r="E1179" s="190">
        <v>17674.54</v>
      </c>
      <c r="F1179" s="190">
        <v>-17674.54</v>
      </c>
      <c r="G1179"/>
      <c r="H1179"/>
    </row>
    <row r="1180" spans="1:8" ht="15" customHeight="1" x14ac:dyDescent="0.35">
      <c r="A1180">
        <v>570206101</v>
      </c>
      <c r="B1180" t="s">
        <v>578</v>
      </c>
      <c r="C1180" s="190">
        <v>0</v>
      </c>
      <c r="D1180" s="190">
        <v>0</v>
      </c>
      <c r="E1180" s="190">
        <v>17674.54</v>
      </c>
      <c r="F1180" s="190">
        <v>-17674.54</v>
      </c>
      <c r="G1180"/>
      <c r="H1180"/>
    </row>
    <row r="1181" spans="1:8" ht="15" customHeight="1" x14ac:dyDescent="0.35">
      <c r="A1181">
        <v>570206201</v>
      </c>
      <c r="B1181" t="s">
        <v>643</v>
      </c>
      <c r="C1181" s="190">
        <v>0</v>
      </c>
      <c r="D1181" s="190">
        <v>1451.19</v>
      </c>
      <c r="E1181" s="190">
        <v>1451.19</v>
      </c>
      <c r="F1181" s="190">
        <v>0</v>
      </c>
      <c r="G1181"/>
      <c r="H1181"/>
    </row>
    <row r="1182" spans="1:8" ht="15" customHeight="1" x14ac:dyDescent="0.35">
      <c r="A1182">
        <v>5703</v>
      </c>
      <c r="B1182" t="s">
        <v>212</v>
      </c>
      <c r="C1182" s="190">
        <v>0</v>
      </c>
      <c r="D1182" s="190">
        <v>6125.28</v>
      </c>
      <c r="E1182" s="190">
        <v>188315.64</v>
      </c>
      <c r="F1182" s="190">
        <v>-182190.36</v>
      </c>
      <c r="G1182"/>
      <c r="H1182"/>
    </row>
    <row r="1183" spans="1:8" ht="15" customHeight="1" x14ac:dyDescent="0.35">
      <c r="A1183">
        <v>570301</v>
      </c>
      <c r="B1183" t="s">
        <v>584</v>
      </c>
      <c r="C1183" s="190">
        <v>0</v>
      </c>
      <c r="D1183" s="190">
        <v>6125.28</v>
      </c>
      <c r="E1183" s="190">
        <v>188315.64</v>
      </c>
      <c r="F1183" s="190">
        <v>-182190.36</v>
      </c>
      <c r="G1183"/>
      <c r="H1183"/>
    </row>
    <row r="1184" spans="1:8" ht="15" customHeight="1" x14ac:dyDescent="0.35">
      <c r="A1184">
        <v>57030100100</v>
      </c>
      <c r="B1184" t="s">
        <v>573</v>
      </c>
      <c r="C1184" s="190">
        <v>0</v>
      </c>
      <c r="D1184" s="190">
        <v>6125.28</v>
      </c>
      <c r="E1184" s="190">
        <v>188315.64</v>
      </c>
      <c r="F1184" s="190">
        <v>-182190.36</v>
      </c>
      <c r="G1184"/>
      <c r="H1184"/>
    </row>
    <row r="1185" spans="1:8" ht="15" customHeight="1" x14ac:dyDescent="0.35">
      <c r="A1185">
        <v>5703010010010100</v>
      </c>
      <c r="B1185" t="s">
        <v>313</v>
      </c>
      <c r="C1185" s="190">
        <v>0</v>
      </c>
      <c r="D1185" s="190">
        <v>0</v>
      </c>
      <c r="E1185" s="190">
        <v>53183.78</v>
      </c>
      <c r="F1185" s="190">
        <v>-53183.78</v>
      </c>
      <c r="G1185"/>
      <c r="H1185"/>
    </row>
    <row r="1186" spans="1:8" ht="15" customHeight="1" x14ac:dyDescent="0.35">
      <c r="A1186">
        <v>5703010010010200</v>
      </c>
      <c r="B1186" t="s">
        <v>315</v>
      </c>
      <c r="C1186" s="190">
        <v>0</v>
      </c>
      <c r="D1186" s="190">
        <v>466.37</v>
      </c>
      <c r="E1186" s="190">
        <v>35797.31</v>
      </c>
      <c r="F1186" s="190">
        <v>-35330.94</v>
      </c>
      <c r="G1186"/>
      <c r="H1186"/>
    </row>
    <row r="1187" spans="1:8" ht="15" customHeight="1" x14ac:dyDescent="0.35">
      <c r="A1187">
        <v>5703010010010300</v>
      </c>
      <c r="B1187" t="s">
        <v>314</v>
      </c>
      <c r="C1187" s="190">
        <v>0</v>
      </c>
      <c r="D1187" s="190">
        <v>5658.91</v>
      </c>
      <c r="E1187" s="190">
        <v>45180.82</v>
      </c>
      <c r="F1187" s="190">
        <v>-39521.910000000003</v>
      </c>
      <c r="G1187"/>
      <c r="H1187"/>
    </row>
    <row r="1188" spans="1:8" ht="15" customHeight="1" x14ac:dyDescent="0.35">
      <c r="A1188">
        <v>5703010010010400</v>
      </c>
      <c r="B1188" t="s">
        <v>316</v>
      </c>
      <c r="C1188" s="190">
        <v>0</v>
      </c>
      <c r="D1188" s="190">
        <v>0</v>
      </c>
      <c r="E1188" s="190">
        <v>21583.71</v>
      </c>
      <c r="F1188" s="190">
        <v>-21583.71</v>
      </c>
      <c r="G1188"/>
      <c r="H1188"/>
    </row>
    <row r="1189" spans="1:8" ht="15" customHeight="1" x14ac:dyDescent="0.35">
      <c r="A1189">
        <v>5703010010010500</v>
      </c>
      <c r="B1189" t="s">
        <v>317</v>
      </c>
      <c r="C1189" s="190">
        <v>0</v>
      </c>
      <c r="D1189" s="190">
        <v>0</v>
      </c>
      <c r="E1189" s="190">
        <v>32570.02</v>
      </c>
      <c r="F1189" s="190">
        <v>-32570.02</v>
      </c>
      <c r="G1189"/>
      <c r="H1189"/>
    </row>
    <row r="1190" spans="1:8" ht="15" customHeight="1" x14ac:dyDescent="0.35">
      <c r="A1190">
        <v>5704</v>
      </c>
      <c r="B1190" t="s">
        <v>607</v>
      </c>
      <c r="C1190" s="190">
        <v>0</v>
      </c>
      <c r="D1190" s="190">
        <v>0</v>
      </c>
      <c r="E1190" s="190">
        <v>30</v>
      </c>
      <c r="F1190" s="190">
        <v>-30</v>
      </c>
      <c r="G1190"/>
      <c r="H1190"/>
    </row>
    <row r="1191" spans="1:8" ht="15" customHeight="1" x14ac:dyDescent="0.35">
      <c r="A1191">
        <v>570402</v>
      </c>
      <c r="B1191" t="s">
        <v>608</v>
      </c>
      <c r="C1191" s="190">
        <v>0</v>
      </c>
      <c r="D1191" s="190">
        <v>0</v>
      </c>
      <c r="E1191" s="190">
        <v>30</v>
      </c>
      <c r="F1191" s="190">
        <v>-30</v>
      </c>
      <c r="G1191"/>
      <c r="H1191"/>
    </row>
    <row r="1192" spans="1:8" ht="15" customHeight="1" x14ac:dyDescent="0.35">
      <c r="A1192">
        <v>570402101</v>
      </c>
      <c r="B1192" t="s">
        <v>578</v>
      </c>
      <c r="C1192" s="190">
        <v>0</v>
      </c>
      <c r="D1192" s="190">
        <v>0</v>
      </c>
      <c r="E1192" s="190">
        <v>30</v>
      </c>
      <c r="F1192" s="190">
        <v>-30</v>
      </c>
      <c r="G1192"/>
      <c r="H1192"/>
    </row>
    <row r="1193" spans="1:8" ht="15" customHeight="1" x14ac:dyDescent="0.35">
      <c r="A1193">
        <v>5706</v>
      </c>
      <c r="B1193" t="s">
        <v>62</v>
      </c>
      <c r="C1193" s="190">
        <v>0</v>
      </c>
      <c r="D1193" s="190">
        <v>1.77</v>
      </c>
      <c r="E1193" s="190">
        <v>7933.71</v>
      </c>
      <c r="F1193" s="190">
        <v>-7931.94</v>
      </c>
      <c r="G1193"/>
      <c r="H1193"/>
    </row>
    <row r="1194" spans="1:8" ht="15" customHeight="1" x14ac:dyDescent="0.35">
      <c r="A1194">
        <v>570601</v>
      </c>
      <c r="B1194" t="s">
        <v>585</v>
      </c>
      <c r="C1194" s="190">
        <v>0</v>
      </c>
      <c r="D1194" s="190">
        <v>0</v>
      </c>
      <c r="E1194" s="190">
        <v>7829.88</v>
      </c>
      <c r="F1194" s="190">
        <v>-7829.88</v>
      </c>
      <c r="G1194"/>
      <c r="H1194"/>
    </row>
    <row r="1195" spans="1:8" ht="15" customHeight="1" x14ac:dyDescent="0.35">
      <c r="A1195">
        <v>5706010</v>
      </c>
      <c r="B1195" t="s">
        <v>585</v>
      </c>
      <c r="C1195" s="190">
        <v>0</v>
      </c>
      <c r="D1195" s="190">
        <v>0</v>
      </c>
      <c r="E1195" s="190">
        <v>7829.88</v>
      </c>
      <c r="F1195" s="190">
        <v>-7829.88</v>
      </c>
      <c r="G1195"/>
      <c r="H1195"/>
    </row>
    <row r="1196" spans="1:8" ht="15" customHeight="1" x14ac:dyDescent="0.35">
      <c r="A1196">
        <v>570601003</v>
      </c>
      <c r="B1196" t="s">
        <v>586</v>
      </c>
      <c r="C1196" s="190">
        <v>0</v>
      </c>
      <c r="D1196" s="190">
        <v>0</v>
      </c>
      <c r="E1196" s="190">
        <v>7829.88</v>
      </c>
      <c r="F1196" s="190">
        <v>-7829.88</v>
      </c>
      <c r="G1196"/>
      <c r="H1196"/>
    </row>
    <row r="1197" spans="1:8" ht="15" customHeight="1" x14ac:dyDescent="0.35">
      <c r="A1197">
        <v>57060100301</v>
      </c>
      <c r="B1197" t="s">
        <v>587</v>
      </c>
      <c r="C1197" s="190">
        <v>0</v>
      </c>
      <c r="D1197" s="190">
        <v>0</v>
      </c>
      <c r="E1197" s="190">
        <v>7829.88</v>
      </c>
      <c r="F1197" s="190">
        <v>-7829.88</v>
      </c>
      <c r="G1197"/>
      <c r="H1197"/>
    </row>
    <row r="1198" spans="1:8" ht="15" customHeight="1" x14ac:dyDescent="0.35">
      <c r="A1198">
        <v>570603</v>
      </c>
      <c r="B1198" t="s">
        <v>588</v>
      </c>
      <c r="C1198" s="190">
        <v>0</v>
      </c>
      <c r="D1198" s="190">
        <v>1.77</v>
      </c>
      <c r="E1198" s="190">
        <v>103.83</v>
      </c>
      <c r="F1198" s="190">
        <v>-102.06</v>
      </c>
      <c r="G1198"/>
      <c r="H1198"/>
    </row>
    <row r="1199" spans="1:8" ht="15" customHeight="1" x14ac:dyDescent="0.35">
      <c r="A1199">
        <v>58</v>
      </c>
      <c r="B1199" t="s">
        <v>184</v>
      </c>
      <c r="C1199" s="190">
        <v>0</v>
      </c>
      <c r="D1199" s="190">
        <v>236.45</v>
      </c>
      <c r="E1199" s="190">
        <v>655799</v>
      </c>
      <c r="F1199" s="190">
        <v>-655562.55000000005</v>
      </c>
      <c r="G1199"/>
      <c r="H1199"/>
    </row>
    <row r="1200" spans="1:8" ht="15" customHeight="1" x14ac:dyDescent="0.35">
      <c r="A1200">
        <v>5802</v>
      </c>
      <c r="B1200" t="s">
        <v>213</v>
      </c>
      <c r="C1200" s="190">
        <v>0</v>
      </c>
      <c r="D1200" s="190">
        <v>236.45</v>
      </c>
      <c r="E1200" s="190">
        <v>655799</v>
      </c>
      <c r="F1200" s="190">
        <v>-655562.55000000005</v>
      </c>
      <c r="G1200"/>
      <c r="H1200"/>
    </row>
    <row r="1201" spans="1:8" ht="15" customHeight="1" x14ac:dyDescent="0.35">
      <c r="A1201">
        <v>580201</v>
      </c>
      <c r="B1201" t="s">
        <v>764</v>
      </c>
      <c r="C1201" s="190">
        <v>0</v>
      </c>
      <c r="D1201" s="190">
        <v>0</v>
      </c>
      <c r="E1201" s="190">
        <v>485854.1</v>
      </c>
      <c r="F1201" s="190">
        <v>-485854.1</v>
      </c>
      <c r="G1201"/>
      <c r="H1201"/>
    </row>
    <row r="1202" spans="1:8" ht="15" customHeight="1" x14ac:dyDescent="0.35">
      <c r="A1202">
        <v>580209</v>
      </c>
      <c r="B1202" t="s">
        <v>214</v>
      </c>
      <c r="C1202" s="190">
        <v>0</v>
      </c>
      <c r="D1202" s="190">
        <v>236.45</v>
      </c>
      <c r="E1202" s="190">
        <v>169944.9</v>
      </c>
      <c r="F1202" s="190">
        <v>-169708.45</v>
      </c>
      <c r="G1202"/>
      <c r="H1202"/>
    </row>
    <row r="1203" spans="1:8" ht="15" customHeight="1" x14ac:dyDescent="0.35">
      <c r="A1203">
        <v>5802090</v>
      </c>
      <c r="B1203" t="s">
        <v>214</v>
      </c>
      <c r="C1203" s="190">
        <v>0</v>
      </c>
      <c r="D1203" s="190">
        <v>236.45</v>
      </c>
      <c r="E1203" s="190">
        <v>169944.9</v>
      </c>
      <c r="F1203" s="190">
        <v>-169708.45</v>
      </c>
      <c r="G1203"/>
      <c r="H1203"/>
    </row>
    <row r="1204" spans="1:8" ht="15" customHeight="1" x14ac:dyDescent="0.35">
      <c r="A1204">
        <v>580209001</v>
      </c>
      <c r="B1204" t="s">
        <v>589</v>
      </c>
      <c r="C1204" s="190">
        <v>0</v>
      </c>
      <c r="D1204" s="190">
        <v>236.45</v>
      </c>
      <c r="E1204" s="190">
        <v>169944.9</v>
      </c>
      <c r="F1204" s="190">
        <v>-169708.45</v>
      </c>
      <c r="G1204"/>
      <c r="H1204"/>
    </row>
    <row r="1205" spans="1:8" ht="15" customHeight="1" x14ac:dyDescent="0.35">
      <c r="A1205">
        <v>59</v>
      </c>
      <c r="B1205" t="s">
        <v>35</v>
      </c>
      <c r="C1205" s="190">
        <v>0</v>
      </c>
      <c r="D1205" s="190">
        <v>91613.51</v>
      </c>
      <c r="E1205" s="190">
        <v>99185.16</v>
      </c>
      <c r="F1205" s="190">
        <v>-7571.65</v>
      </c>
      <c r="G1205"/>
      <c r="H1205"/>
    </row>
    <row r="1206" spans="1:8" ht="15" customHeight="1" x14ac:dyDescent="0.35">
      <c r="A1206">
        <v>5901</v>
      </c>
      <c r="B1206" t="s">
        <v>36</v>
      </c>
      <c r="C1206" s="190">
        <v>0</v>
      </c>
      <c r="D1206" s="190">
        <v>91613.51</v>
      </c>
      <c r="E1206" s="190">
        <v>91613.51</v>
      </c>
      <c r="F1206" s="190">
        <v>0</v>
      </c>
      <c r="G1206"/>
      <c r="H1206"/>
    </row>
    <row r="1207" spans="1:8" ht="15" customHeight="1" x14ac:dyDescent="0.35">
      <c r="A1207">
        <v>590109</v>
      </c>
      <c r="B1207" t="s">
        <v>215</v>
      </c>
      <c r="C1207" s="190">
        <v>0</v>
      </c>
      <c r="D1207" s="190">
        <v>91613.51</v>
      </c>
      <c r="E1207" s="190">
        <v>91613.51</v>
      </c>
      <c r="F1207" s="190">
        <v>0</v>
      </c>
      <c r="G1207"/>
      <c r="H1207"/>
    </row>
    <row r="1208" spans="1:8" ht="15" customHeight="1" x14ac:dyDescent="0.35">
      <c r="A1208">
        <v>5902</v>
      </c>
      <c r="B1208" t="s">
        <v>37</v>
      </c>
      <c r="C1208" s="190">
        <v>0</v>
      </c>
      <c r="D1208" s="190">
        <v>0</v>
      </c>
      <c r="E1208" s="190">
        <v>7571.65</v>
      </c>
      <c r="F1208" s="190">
        <v>-7571.65</v>
      </c>
      <c r="G1208"/>
      <c r="H1208"/>
    </row>
    <row r="1209" spans="1:8" ht="15" customHeight="1" x14ac:dyDescent="0.35">
      <c r="A1209">
        <v>590209</v>
      </c>
      <c r="B1209" t="s">
        <v>590</v>
      </c>
      <c r="C1209" s="190">
        <v>0</v>
      </c>
      <c r="D1209" s="190">
        <v>0</v>
      </c>
      <c r="E1209" s="190">
        <v>7571.65</v>
      </c>
      <c r="F1209" s="190">
        <v>-7571.65</v>
      </c>
      <c r="G1209"/>
      <c r="H1209"/>
    </row>
    <row r="1210" spans="1:8" ht="15" customHeight="1" x14ac:dyDescent="0.35">
      <c r="A1210">
        <v>6</v>
      </c>
      <c r="B1210" t="s">
        <v>216</v>
      </c>
      <c r="C1210" s="190">
        <v>1533872112.79</v>
      </c>
      <c r="D1210" s="190">
        <v>599428554.80999994</v>
      </c>
      <c r="E1210" s="190">
        <v>987042416.76999998</v>
      </c>
      <c r="F1210" s="190">
        <v>1146258250.8299999</v>
      </c>
      <c r="G1210"/>
      <c r="H1210"/>
    </row>
    <row r="1211" spans="1:8" ht="15" customHeight="1" x14ac:dyDescent="0.35">
      <c r="A1211">
        <v>61</v>
      </c>
      <c r="B1211" t="s">
        <v>181</v>
      </c>
      <c r="C1211" s="190">
        <v>1533872112.79</v>
      </c>
      <c r="D1211" s="190">
        <v>599428554.80999994</v>
      </c>
      <c r="E1211" s="190">
        <v>987042416.76999998</v>
      </c>
      <c r="F1211" s="190">
        <v>1146258250.8299999</v>
      </c>
      <c r="G1211"/>
      <c r="H1211"/>
    </row>
    <row r="1212" spans="1:8" ht="15" customHeight="1" x14ac:dyDescent="0.35">
      <c r="A1212">
        <v>6101</v>
      </c>
      <c r="B1212" t="s">
        <v>591</v>
      </c>
      <c r="C1212" s="190">
        <v>1235352141.4000001</v>
      </c>
      <c r="D1212" s="190">
        <v>447267312.39999998</v>
      </c>
      <c r="E1212" s="190">
        <v>669600011.46000004</v>
      </c>
      <c r="F1212" s="190">
        <v>1013019442.34</v>
      </c>
      <c r="G1212"/>
      <c r="H1212"/>
    </row>
    <row r="1213" spans="1:8" ht="15" customHeight="1" x14ac:dyDescent="0.35">
      <c r="A1213">
        <v>610101</v>
      </c>
      <c r="B1213" t="s">
        <v>191</v>
      </c>
      <c r="C1213" s="190">
        <v>536006880.05000001</v>
      </c>
      <c r="D1213" s="190">
        <v>74374566.299999997</v>
      </c>
      <c r="E1213" s="190">
        <v>413309733.39999998</v>
      </c>
      <c r="F1213" s="190">
        <v>197071712.94999999</v>
      </c>
      <c r="G1213"/>
      <c r="H1213"/>
    </row>
    <row r="1214" spans="1:8" ht="15" customHeight="1" x14ac:dyDescent="0.35">
      <c r="A1214">
        <v>6101011</v>
      </c>
      <c r="B1214" t="s">
        <v>340</v>
      </c>
      <c r="C1214" s="190">
        <v>536006880.05000001</v>
      </c>
      <c r="D1214" s="190">
        <v>74374566.299999997</v>
      </c>
      <c r="E1214" s="190">
        <v>413309733.39999998</v>
      </c>
      <c r="F1214" s="190">
        <v>197071712.94999999</v>
      </c>
      <c r="G1214"/>
      <c r="H1214"/>
    </row>
    <row r="1215" spans="1:8" ht="15" customHeight="1" x14ac:dyDescent="0.35">
      <c r="A1215">
        <v>610101101</v>
      </c>
      <c r="B1215" t="s">
        <v>551</v>
      </c>
      <c r="C1215" s="190">
        <v>4089500</v>
      </c>
      <c r="D1215" s="190">
        <v>10388640</v>
      </c>
      <c r="E1215" s="190">
        <v>2980117</v>
      </c>
      <c r="F1215" s="190">
        <v>11498023</v>
      </c>
      <c r="G1215"/>
      <c r="H1215"/>
    </row>
    <row r="1216" spans="1:8" ht="15" customHeight="1" x14ac:dyDescent="0.35">
      <c r="A1216">
        <v>61010110101</v>
      </c>
      <c r="B1216" t="s">
        <v>592</v>
      </c>
      <c r="C1216" s="190">
        <v>3076000</v>
      </c>
      <c r="D1216" s="190">
        <v>9528640</v>
      </c>
      <c r="E1216" s="190">
        <v>2578640</v>
      </c>
      <c r="F1216" s="190">
        <v>10026000</v>
      </c>
      <c r="G1216"/>
      <c r="H1216"/>
    </row>
    <row r="1217" spans="1:8" ht="15" customHeight="1" x14ac:dyDescent="0.35">
      <c r="A1217">
        <v>61010110102</v>
      </c>
      <c r="B1217" t="s">
        <v>324</v>
      </c>
      <c r="C1217" s="190">
        <v>1013500</v>
      </c>
      <c r="D1217" s="190">
        <v>860000</v>
      </c>
      <c r="E1217" s="190">
        <v>401477</v>
      </c>
      <c r="F1217" s="190">
        <v>1472023</v>
      </c>
      <c r="G1217"/>
      <c r="H1217"/>
    </row>
    <row r="1218" spans="1:8" ht="15" customHeight="1" x14ac:dyDescent="0.35">
      <c r="A1218">
        <v>610101103</v>
      </c>
      <c r="B1218" t="s">
        <v>325</v>
      </c>
      <c r="C1218" s="190">
        <v>531917380.05000001</v>
      </c>
      <c r="D1218" s="190">
        <v>63985926.299999997</v>
      </c>
      <c r="E1218" s="190">
        <v>410329616.39999998</v>
      </c>
      <c r="F1218" s="190">
        <v>185573689.94999999</v>
      </c>
      <c r="G1218"/>
      <c r="H1218"/>
    </row>
    <row r="1219" spans="1:8" ht="15" customHeight="1" x14ac:dyDescent="0.35">
      <c r="A1219">
        <v>61010110301</v>
      </c>
      <c r="B1219" t="s">
        <v>327</v>
      </c>
      <c r="C1219" s="190">
        <v>227628716.44</v>
      </c>
      <c r="D1219" s="190">
        <v>63610453.340000004</v>
      </c>
      <c r="E1219" s="190">
        <v>105665479.83</v>
      </c>
      <c r="F1219" s="190">
        <v>185573689.94999999</v>
      </c>
      <c r="G1219"/>
      <c r="H1219"/>
    </row>
    <row r="1220" spans="1:8" ht="15" customHeight="1" x14ac:dyDescent="0.35">
      <c r="A1220">
        <v>61010110302</v>
      </c>
      <c r="B1220" t="s">
        <v>328</v>
      </c>
      <c r="C1220" s="190">
        <v>304288663.61000001</v>
      </c>
      <c r="D1220" s="190">
        <v>375472.96</v>
      </c>
      <c r="E1220" s="190">
        <v>304664136.56999999</v>
      </c>
      <c r="F1220" s="190">
        <v>0</v>
      </c>
      <c r="G1220"/>
      <c r="H1220"/>
    </row>
    <row r="1221" spans="1:8" ht="15" customHeight="1" x14ac:dyDescent="0.35">
      <c r="A1221">
        <v>610103</v>
      </c>
      <c r="B1221" t="s">
        <v>593</v>
      </c>
      <c r="C1221" s="190">
        <v>699345261.35000002</v>
      </c>
      <c r="D1221" s="190">
        <v>372892746.10000002</v>
      </c>
      <c r="E1221" s="190">
        <v>256290278.06</v>
      </c>
      <c r="F1221" s="190">
        <v>815947729.38999999</v>
      </c>
      <c r="G1221"/>
      <c r="H1221"/>
    </row>
    <row r="1222" spans="1:8" ht="15" customHeight="1" x14ac:dyDescent="0.35">
      <c r="A1222">
        <v>6101031</v>
      </c>
      <c r="B1222" t="s">
        <v>594</v>
      </c>
      <c r="C1222" s="190">
        <v>699345261.35000002</v>
      </c>
      <c r="D1222" s="190">
        <v>372892746.10000002</v>
      </c>
      <c r="E1222" s="190">
        <v>256290278.06</v>
      </c>
      <c r="F1222" s="190">
        <v>815947729.38999999</v>
      </c>
      <c r="G1222"/>
      <c r="H1222"/>
    </row>
    <row r="1223" spans="1:8" ht="15" customHeight="1" x14ac:dyDescent="0.35">
      <c r="A1223">
        <v>610103101</v>
      </c>
      <c r="B1223" t="s">
        <v>332</v>
      </c>
      <c r="C1223" s="190">
        <v>688794261.35000002</v>
      </c>
      <c r="D1223" s="190">
        <v>368532721.10000002</v>
      </c>
      <c r="E1223" s="190">
        <v>246043253.06</v>
      </c>
      <c r="F1223" s="190">
        <v>811283729.38999999</v>
      </c>
      <c r="G1223"/>
      <c r="H1223"/>
    </row>
    <row r="1224" spans="1:8" ht="15" customHeight="1" x14ac:dyDescent="0.35">
      <c r="A1224">
        <v>61010310101</v>
      </c>
      <c r="B1224" t="s">
        <v>558</v>
      </c>
      <c r="C1224" s="190">
        <v>141702761.34999999</v>
      </c>
      <c r="D1224" s="190">
        <v>83016771.099999994</v>
      </c>
      <c r="E1224" s="190">
        <v>6200703.0599999996</v>
      </c>
      <c r="F1224" s="190">
        <v>218518829.38999999</v>
      </c>
      <c r="G1224"/>
      <c r="H1224"/>
    </row>
    <row r="1225" spans="1:8" ht="15" customHeight="1" x14ac:dyDescent="0.35">
      <c r="A1225">
        <v>61010310102</v>
      </c>
      <c r="B1225" t="s">
        <v>335</v>
      </c>
      <c r="C1225" s="190">
        <v>547091500</v>
      </c>
      <c r="D1225" s="190">
        <v>285515950</v>
      </c>
      <c r="E1225" s="190">
        <v>239842550</v>
      </c>
      <c r="F1225" s="190">
        <v>592764900</v>
      </c>
      <c r="G1225"/>
      <c r="H1225"/>
    </row>
    <row r="1226" spans="1:8" ht="15" customHeight="1" x14ac:dyDescent="0.35">
      <c r="A1226">
        <v>610103102</v>
      </c>
      <c r="B1226" t="s">
        <v>336</v>
      </c>
      <c r="C1226" s="190">
        <v>10551000</v>
      </c>
      <c r="D1226" s="190">
        <v>4360025</v>
      </c>
      <c r="E1226" s="190">
        <v>10247025</v>
      </c>
      <c r="F1226" s="190">
        <v>4664000</v>
      </c>
      <c r="G1226"/>
      <c r="H1226"/>
    </row>
    <row r="1227" spans="1:8" ht="15" customHeight="1" x14ac:dyDescent="0.35">
      <c r="A1227">
        <v>61010310201</v>
      </c>
      <c r="B1227" t="s">
        <v>338</v>
      </c>
      <c r="C1227" s="190">
        <v>125000</v>
      </c>
      <c r="D1227" s="190">
        <v>212500</v>
      </c>
      <c r="E1227" s="190">
        <v>137500</v>
      </c>
      <c r="F1227" s="190">
        <v>200000</v>
      </c>
      <c r="G1227"/>
      <c r="H1227"/>
    </row>
    <row r="1228" spans="1:8" ht="15" customHeight="1" x14ac:dyDescent="0.35">
      <c r="A1228">
        <v>61010310202</v>
      </c>
      <c r="B1228" t="s">
        <v>339</v>
      </c>
      <c r="C1228" s="190">
        <v>10426000</v>
      </c>
      <c r="D1228" s="190">
        <v>4147525</v>
      </c>
      <c r="E1228" s="190">
        <v>10109525</v>
      </c>
      <c r="F1228" s="190">
        <v>4464000</v>
      </c>
      <c r="G1228"/>
      <c r="H1228"/>
    </row>
    <row r="1229" spans="1:8" ht="15" customHeight="1" x14ac:dyDescent="0.35">
      <c r="A1229">
        <v>6103</v>
      </c>
      <c r="B1229" t="s">
        <v>644</v>
      </c>
      <c r="C1229" s="190">
        <v>0</v>
      </c>
      <c r="D1229" s="190">
        <v>28211942.699999999</v>
      </c>
      <c r="E1229" s="190">
        <v>0</v>
      </c>
      <c r="F1229" s="190">
        <v>28211942.699999999</v>
      </c>
      <c r="G1229"/>
      <c r="H1229"/>
    </row>
    <row r="1230" spans="1:8" ht="15" customHeight="1" x14ac:dyDescent="0.35">
      <c r="A1230">
        <v>610301</v>
      </c>
      <c r="B1230" t="s">
        <v>191</v>
      </c>
      <c r="C1230" s="190">
        <v>0</v>
      </c>
      <c r="D1230" s="190">
        <v>13963817.699999999</v>
      </c>
      <c r="E1230" s="190">
        <v>0</v>
      </c>
      <c r="F1230" s="190">
        <v>13963817.699999999</v>
      </c>
      <c r="G1230"/>
      <c r="H1230"/>
    </row>
    <row r="1231" spans="1:8" ht="15" customHeight="1" x14ac:dyDescent="0.35">
      <c r="A1231">
        <v>6103011</v>
      </c>
      <c r="B1231" t="s">
        <v>340</v>
      </c>
      <c r="C1231" s="190">
        <v>0</v>
      </c>
      <c r="D1231" s="190">
        <v>13963817.699999999</v>
      </c>
      <c r="E1231" s="190">
        <v>0</v>
      </c>
      <c r="F1231" s="190">
        <v>13963817.699999999</v>
      </c>
      <c r="G1231"/>
      <c r="H1231"/>
    </row>
    <row r="1232" spans="1:8" ht="15" customHeight="1" x14ac:dyDescent="0.35">
      <c r="A1232">
        <v>610301101</v>
      </c>
      <c r="B1232" t="s">
        <v>551</v>
      </c>
      <c r="C1232" s="190">
        <v>0</v>
      </c>
      <c r="D1232" s="190">
        <v>100000</v>
      </c>
      <c r="E1232" s="190">
        <v>0</v>
      </c>
      <c r="F1232" s="190">
        <v>100000</v>
      </c>
      <c r="G1232"/>
      <c r="H1232"/>
    </row>
    <row r="1233" spans="1:8" ht="15" customHeight="1" x14ac:dyDescent="0.35">
      <c r="A1233">
        <v>61030110101</v>
      </c>
      <c r="B1233" t="s">
        <v>342</v>
      </c>
      <c r="C1233" s="190">
        <v>0</v>
      </c>
      <c r="D1233" s="190">
        <v>50000</v>
      </c>
      <c r="E1233" s="190">
        <v>0</v>
      </c>
      <c r="F1233" s="190">
        <v>50000</v>
      </c>
      <c r="G1233"/>
      <c r="H1233"/>
    </row>
    <row r="1234" spans="1:8" ht="15" customHeight="1" x14ac:dyDescent="0.35">
      <c r="A1234">
        <v>61030110102</v>
      </c>
      <c r="B1234" t="s">
        <v>324</v>
      </c>
      <c r="C1234" s="190">
        <v>0</v>
      </c>
      <c r="D1234" s="190">
        <v>50000</v>
      </c>
      <c r="E1234" s="190">
        <v>0</v>
      </c>
      <c r="F1234" s="190">
        <v>50000</v>
      </c>
      <c r="G1234"/>
      <c r="H1234"/>
    </row>
    <row r="1235" spans="1:8" ht="15" customHeight="1" x14ac:dyDescent="0.35">
      <c r="A1235">
        <v>610301103</v>
      </c>
      <c r="B1235" t="s">
        <v>325</v>
      </c>
      <c r="C1235" s="190">
        <v>0</v>
      </c>
      <c r="D1235" s="190">
        <v>13863817.699999999</v>
      </c>
      <c r="E1235" s="190">
        <v>0</v>
      </c>
      <c r="F1235" s="190">
        <v>13863817.699999999</v>
      </c>
      <c r="G1235"/>
      <c r="H1235"/>
    </row>
    <row r="1236" spans="1:8" ht="15" customHeight="1" x14ac:dyDescent="0.35">
      <c r="A1236">
        <v>61030110301</v>
      </c>
      <c r="B1236" t="s">
        <v>629</v>
      </c>
      <c r="C1236" s="190">
        <v>0</v>
      </c>
      <c r="D1236" s="190">
        <v>13863817.699999999</v>
      </c>
      <c r="E1236" s="190">
        <v>0</v>
      </c>
      <c r="F1236" s="190">
        <v>13863817.699999999</v>
      </c>
      <c r="G1236"/>
      <c r="H1236"/>
    </row>
    <row r="1237" spans="1:8" ht="15" customHeight="1" x14ac:dyDescent="0.35">
      <c r="A1237">
        <v>610303</v>
      </c>
      <c r="B1237" t="s">
        <v>593</v>
      </c>
      <c r="C1237" s="190">
        <v>0</v>
      </c>
      <c r="D1237" s="190">
        <v>14248125</v>
      </c>
      <c r="E1237" s="190">
        <v>0</v>
      </c>
      <c r="F1237" s="190">
        <v>14248125</v>
      </c>
      <c r="G1237"/>
      <c r="H1237"/>
    </row>
    <row r="1238" spans="1:8" ht="15" customHeight="1" x14ac:dyDescent="0.35">
      <c r="A1238">
        <v>6103031</v>
      </c>
      <c r="B1238" t="s">
        <v>594</v>
      </c>
      <c r="C1238" s="190">
        <v>0</v>
      </c>
      <c r="D1238" s="190">
        <v>14248125</v>
      </c>
      <c r="E1238" s="190">
        <v>0</v>
      </c>
      <c r="F1238" s="190">
        <v>14248125</v>
      </c>
      <c r="G1238"/>
      <c r="H1238"/>
    </row>
    <row r="1239" spans="1:8" ht="15" customHeight="1" x14ac:dyDescent="0.35">
      <c r="A1239">
        <v>610303101</v>
      </c>
      <c r="B1239" t="s">
        <v>596</v>
      </c>
      <c r="C1239" s="190">
        <v>0</v>
      </c>
      <c r="D1239" s="190">
        <v>14248125</v>
      </c>
      <c r="E1239" s="190">
        <v>0</v>
      </c>
      <c r="F1239" s="190">
        <v>14248125</v>
      </c>
      <c r="G1239"/>
      <c r="H1239"/>
    </row>
    <row r="1240" spans="1:8" ht="15" customHeight="1" x14ac:dyDescent="0.35">
      <c r="A1240">
        <v>61030310102</v>
      </c>
      <c r="B1240" t="s">
        <v>335</v>
      </c>
      <c r="C1240" s="190">
        <v>0</v>
      </c>
      <c r="D1240" s="190">
        <v>14248125</v>
      </c>
      <c r="E1240" s="190">
        <v>0</v>
      </c>
      <c r="F1240" s="190">
        <v>14248125</v>
      </c>
      <c r="G1240"/>
      <c r="H1240"/>
    </row>
    <row r="1241" spans="1:8" ht="15" customHeight="1" x14ac:dyDescent="0.35">
      <c r="A1241">
        <v>6106</v>
      </c>
      <c r="B1241" t="s">
        <v>595</v>
      </c>
      <c r="C1241" s="190">
        <v>298519971.38999999</v>
      </c>
      <c r="D1241" s="190">
        <v>123859299.70999999</v>
      </c>
      <c r="E1241" s="190">
        <v>317442405.31</v>
      </c>
      <c r="F1241" s="190">
        <v>104936865.79000001</v>
      </c>
      <c r="G1241"/>
      <c r="H1241"/>
    </row>
    <row r="1242" spans="1:8" ht="15" customHeight="1" x14ac:dyDescent="0.35">
      <c r="A1242">
        <v>610601</v>
      </c>
      <c r="B1242" t="s">
        <v>191</v>
      </c>
      <c r="C1242" s="190">
        <v>291587021.38999999</v>
      </c>
      <c r="D1242" s="190">
        <v>75666249.709999993</v>
      </c>
      <c r="E1242" s="190">
        <v>264648405.31</v>
      </c>
      <c r="F1242" s="190">
        <v>102604865.79000001</v>
      </c>
      <c r="G1242"/>
      <c r="H1242"/>
    </row>
    <row r="1243" spans="1:8" ht="15" customHeight="1" x14ac:dyDescent="0.35">
      <c r="A1243">
        <v>6106011</v>
      </c>
      <c r="B1243" t="s">
        <v>340</v>
      </c>
      <c r="C1243" s="190">
        <v>291587021.38999999</v>
      </c>
      <c r="D1243" s="190">
        <v>75666249.709999993</v>
      </c>
      <c r="E1243" s="190">
        <v>264648405.31</v>
      </c>
      <c r="F1243" s="190">
        <v>102604865.79000001</v>
      </c>
      <c r="G1243"/>
      <c r="H1243"/>
    </row>
    <row r="1244" spans="1:8" ht="15" customHeight="1" x14ac:dyDescent="0.35">
      <c r="A1244">
        <v>610601101</v>
      </c>
      <c r="B1244" t="s">
        <v>551</v>
      </c>
      <c r="C1244" s="190">
        <v>2820300</v>
      </c>
      <c r="D1244" s="190">
        <v>7127720.7000000002</v>
      </c>
      <c r="E1244" s="190">
        <v>45000</v>
      </c>
      <c r="F1244" s="190">
        <v>9903020.6999999993</v>
      </c>
      <c r="G1244"/>
      <c r="H1244"/>
    </row>
    <row r="1245" spans="1:8" ht="15" customHeight="1" x14ac:dyDescent="0.35">
      <c r="A1245">
        <v>61060110101</v>
      </c>
      <c r="B1245" t="s">
        <v>342</v>
      </c>
      <c r="C1245" s="190">
        <v>2820300</v>
      </c>
      <c r="D1245" s="190">
        <v>6315900</v>
      </c>
      <c r="E1245" s="190">
        <v>0</v>
      </c>
      <c r="F1245" s="190">
        <v>9136200</v>
      </c>
      <c r="G1245"/>
      <c r="H1245"/>
    </row>
    <row r="1246" spans="1:8" ht="15" customHeight="1" x14ac:dyDescent="0.35">
      <c r="A1246">
        <v>61060110102</v>
      </c>
      <c r="B1246" t="s">
        <v>324</v>
      </c>
      <c r="C1246" s="190">
        <v>0</v>
      </c>
      <c r="D1246" s="190">
        <v>811820.7</v>
      </c>
      <c r="E1246" s="190">
        <v>45000</v>
      </c>
      <c r="F1246" s="190">
        <v>766820.7</v>
      </c>
      <c r="G1246"/>
      <c r="H1246"/>
    </row>
    <row r="1247" spans="1:8" ht="15" customHeight="1" x14ac:dyDescent="0.35">
      <c r="A1247">
        <v>610601103</v>
      </c>
      <c r="B1247" t="s">
        <v>325</v>
      </c>
      <c r="C1247" s="190">
        <v>288766721.38999999</v>
      </c>
      <c r="D1247" s="190">
        <v>68538529.010000005</v>
      </c>
      <c r="E1247" s="190">
        <v>264603405.31</v>
      </c>
      <c r="F1247" s="190">
        <v>92701845.090000004</v>
      </c>
      <c r="G1247"/>
      <c r="H1247"/>
    </row>
    <row r="1248" spans="1:8" ht="15" customHeight="1" x14ac:dyDescent="0.35">
      <c r="A1248">
        <v>61060110301</v>
      </c>
      <c r="B1248" t="s">
        <v>327</v>
      </c>
      <c r="C1248" s="190">
        <v>116909909.47</v>
      </c>
      <c r="D1248" s="190">
        <v>68350792.530000001</v>
      </c>
      <c r="E1248" s="190">
        <v>92558856.909999996</v>
      </c>
      <c r="F1248" s="190">
        <v>92701845.090000004</v>
      </c>
      <c r="G1248"/>
      <c r="H1248"/>
    </row>
    <row r="1249" spans="1:8" ht="15" customHeight="1" x14ac:dyDescent="0.35">
      <c r="A1249">
        <v>61060110302</v>
      </c>
      <c r="B1249" t="s">
        <v>328</v>
      </c>
      <c r="C1249" s="190">
        <v>171856811.91999999</v>
      </c>
      <c r="D1249" s="190">
        <v>187736.48</v>
      </c>
      <c r="E1249" s="190">
        <v>172044548.40000001</v>
      </c>
      <c r="F1249" s="190">
        <v>0</v>
      </c>
      <c r="G1249"/>
      <c r="H1249"/>
    </row>
    <row r="1250" spans="1:8" ht="15" customHeight="1" x14ac:dyDescent="0.35">
      <c r="A1250">
        <v>610603</v>
      </c>
      <c r="B1250" t="s">
        <v>593</v>
      </c>
      <c r="C1250" s="190">
        <v>6932950</v>
      </c>
      <c r="D1250" s="190">
        <v>48193050</v>
      </c>
      <c r="E1250" s="190">
        <v>52794000</v>
      </c>
      <c r="F1250" s="190">
        <v>2332000</v>
      </c>
      <c r="G1250"/>
      <c r="H1250"/>
    </row>
    <row r="1251" spans="1:8" ht="15" customHeight="1" x14ac:dyDescent="0.35">
      <c r="A1251">
        <v>6106031</v>
      </c>
      <c r="B1251" t="s">
        <v>594</v>
      </c>
      <c r="C1251" s="190">
        <v>6932950</v>
      </c>
      <c r="D1251" s="190">
        <v>48193050</v>
      </c>
      <c r="E1251" s="190">
        <v>52794000</v>
      </c>
      <c r="F1251" s="190">
        <v>2332000</v>
      </c>
      <c r="G1251"/>
      <c r="H1251"/>
    </row>
    <row r="1252" spans="1:8" ht="15" customHeight="1" x14ac:dyDescent="0.35">
      <c r="A1252">
        <v>610603101</v>
      </c>
      <c r="B1252" t="s">
        <v>596</v>
      </c>
      <c r="C1252" s="190">
        <v>435000</v>
      </c>
      <c r="D1252" s="190">
        <v>47995050</v>
      </c>
      <c r="E1252" s="190">
        <v>48430050</v>
      </c>
      <c r="F1252" s="190">
        <v>0</v>
      </c>
      <c r="G1252"/>
      <c r="H1252"/>
    </row>
    <row r="1253" spans="1:8" ht="15" customHeight="1" x14ac:dyDescent="0.35">
      <c r="A1253">
        <v>61060310101</v>
      </c>
      <c r="B1253" t="s">
        <v>558</v>
      </c>
      <c r="C1253" s="190">
        <v>400000</v>
      </c>
      <c r="D1253" s="190">
        <v>0</v>
      </c>
      <c r="E1253" s="190">
        <v>400000</v>
      </c>
      <c r="F1253" s="190">
        <v>0</v>
      </c>
      <c r="G1253"/>
      <c r="H1253"/>
    </row>
    <row r="1254" spans="1:8" ht="15" customHeight="1" x14ac:dyDescent="0.35">
      <c r="A1254">
        <v>61060310102</v>
      </c>
      <c r="B1254" t="s">
        <v>335</v>
      </c>
      <c r="C1254" s="190">
        <v>35000</v>
      </c>
      <c r="D1254" s="190">
        <v>47995050</v>
      </c>
      <c r="E1254" s="190">
        <v>48030050</v>
      </c>
      <c r="F1254" s="190">
        <v>0</v>
      </c>
      <c r="G1254"/>
      <c r="H1254"/>
    </row>
    <row r="1255" spans="1:8" ht="15" customHeight="1" x14ac:dyDescent="0.35">
      <c r="A1255">
        <v>610603102</v>
      </c>
      <c r="B1255" t="s">
        <v>336</v>
      </c>
      <c r="C1255" s="190">
        <v>6497950</v>
      </c>
      <c r="D1255" s="190">
        <v>198000</v>
      </c>
      <c r="E1255" s="190">
        <v>4363950</v>
      </c>
      <c r="F1255" s="190">
        <v>2332000</v>
      </c>
      <c r="G1255"/>
      <c r="H1255"/>
    </row>
    <row r="1256" spans="1:8" ht="15" customHeight="1" x14ac:dyDescent="0.35">
      <c r="A1256">
        <v>61060310201</v>
      </c>
      <c r="B1256" t="s">
        <v>338</v>
      </c>
      <c r="C1256" s="190">
        <v>62500</v>
      </c>
      <c r="D1256" s="190">
        <v>75000</v>
      </c>
      <c r="E1256" s="190">
        <v>37500</v>
      </c>
      <c r="F1256" s="190">
        <v>100000</v>
      </c>
      <c r="G1256"/>
      <c r="H1256"/>
    </row>
    <row r="1257" spans="1:8" ht="15" customHeight="1" x14ac:dyDescent="0.35">
      <c r="A1257">
        <v>61060310202</v>
      </c>
      <c r="B1257" t="s">
        <v>339</v>
      </c>
      <c r="C1257" s="190">
        <v>6435450</v>
      </c>
      <c r="D1257" s="190">
        <v>123000</v>
      </c>
      <c r="E1257" s="190">
        <v>4326450</v>
      </c>
      <c r="F1257" s="190">
        <v>2232000</v>
      </c>
      <c r="G1257"/>
      <c r="H1257"/>
    </row>
    <row r="1258" spans="1:8" ht="15" customHeight="1" x14ac:dyDescent="0.35">
      <c r="A1258">
        <v>6111</v>
      </c>
      <c r="B1258" t="s">
        <v>645</v>
      </c>
      <c r="C1258" s="190">
        <v>0</v>
      </c>
      <c r="D1258" s="190">
        <v>90000</v>
      </c>
      <c r="E1258" s="190">
        <v>0</v>
      </c>
      <c r="F1258" s="190">
        <v>90000</v>
      </c>
      <c r="G1258"/>
      <c r="H1258"/>
    </row>
    <row r="1259" spans="1:8" ht="15" customHeight="1" x14ac:dyDescent="0.35">
      <c r="A1259">
        <v>611101</v>
      </c>
      <c r="B1259" t="s">
        <v>191</v>
      </c>
      <c r="C1259" s="190">
        <v>0</v>
      </c>
      <c r="D1259" s="190">
        <v>90000</v>
      </c>
      <c r="E1259" s="190">
        <v>0</v>
      </c>
      <c r="F1259" s="190">
        <v>90000</v>
      </c>
      <c r="G1259"/>
      <c r="H1259"/>
    </row>
    <row r="1260" spans="1:8" ht="15" customHeight="1" x14ac:dyDescent="0.35">
      <c r="A1260">
        <v>6111011</v>
      </c>
      <c r="B1260" t="s">
        <v>340</v>
      </c>
      <c r="C1260" s="190">
        <v>0</v>
      </c>
      <c r="D1260" s="190">
        <v>90000</v>
      </c>
      <c r="E1260" s="190">
        <v>0</v>
      </c>
      <c r="F1260" s="190">
        <v>90000</v>
      </c>
      <c r="G1260"/>
      <c r="H1260"/>
    </row>
    <row r="1261" spans="1:8" ht="15" customHeight="1" x14ac:dyDescent="0.35">
      <c r="A1261">
        <v>611101101</v>
      </c>
      <c r="B1261" t="s">
        <v>551</v>
      </c>
      <c r="C1261" s="190">
        <v>0</v>
      </c>
      <c r="D1261" s="190">
        <v>90000</v>
      </c>
      <c r="E1261" s="190">
        <v>0</v>
      </c>
      <c r="F1261" s="190">
        <v>90000</v>
      </c>
      <c r="G1261"/>
      <c r="H1261"/>
    </row>
    <row r="1262" spans="1:8" ht="15" customHeight="1" x14ac:dyDescent="0.35">
      <c r="A1262">
        <v>61110110102</v>
      </c>
      <c r="B1262" t="s">
        <v>324</v>
      </c>
      <c r="C1262" s="190">
        <v>0</v>
      </c>
      <c r="D1262" s="190">
        <v>90000</v>
      </c>
      <c r="E1262" s="190">
        <v>0</v>
      </c>
      <c r="F1262" s="190">
        <v>90000</v>
      </c>
      <c r="G1262"/>
      <c r="H1262"/>
    </row>
    <row r="1263" spans="1:8" ht="15" customHeight="1" x14ac:dyDescent="0.35">
      <c r="A1263">
        <v>7</v>
      </c>
      <c r="B1263" t="s">
        <v>217</v>
      </c>
      <c r="C1263" s="190">
        <v>-1533872112.79</v>
      </c>
      <c r="D1263" s="190">
        <v>837827195.97000003</v>
      </c>
      <c r="E1263" s="190">
        <v>450213334.00999999</v>
      </c>
      <c r="F1263" s="190">
        <v>-1146258250.8299999</v>
      </c>
      <c r="G1263"/>
      <c r="H1263"/>
    </row>
    <row r="1264" spans="1:8" ht="15" customHeight="1" x14ac:dyDescent="0.35">
      <c r="A1264">
        <v>71</v>
      </c>
      <c r="B1264" t="s">
        <v>217</v>
      </c>
      <c r="C1264" s="190">
        <v>-1533872112.79</v>
      </c>
      <c r="D1264" s="190">
        <v>837827195.97000003</v>
      </c>
      <c r="E1264" s="190">
        <v>450213334.00999999</v>
      </c>
      <c r="F1264" s="190">
        <v>-1146258250.8299999</v>
      </c>
      <c r="G1264"/>
      <c r="H1264"/>
    </row>
    <row r="1265" spans="1:8" ht="15" customHeight="1" x14ac:dyDescent="0.35">
      <c r="A1265">
        <v>8</v>
      </c>
      <c r="B1265" t="s">
        <v>38</v>
      </c>
      <c r="C1265" s="190">
        <v>9962403.1199999992</v>
      </c>
      <c r="D1265" s="190">
        <v>4215951.24</v>
      </c>
      <c r="E1265" s="190">
        <v>6600506.0199999996</v>
      </c>
      <c r="F1265" s="190">
        <v>7577848.3399999999</v>
      </c>
      <c r="G1265"/>
      <c r="H1265"/>
    </row>
    <row r="1266" spans="1:8" ht="15" customHeight="1" x14ac:dyDescent="0.35">
      <c r="A1266">
        <v>81</v>
      </c>
      <c r="B1266" t="s">
        <v>39</v>
      </c>
      <c r="C1266" s="190">
        <v>9962403.1199999992</v>
      </c>
      <c r="D1266" s="190">
        <v>4215951.24</v>
      </c>
      <c r="E1266" s="190">
        <v>6600506.0199999996</v>
      </c>
      <c r="F1266" s="190">
        <v>7577848.3399999999</v>
      </c>
      <c r="G1266"/>
      <c r="H1266"/>
    </row>
    <row r="1267" spans="1:8" ht="15" customHeight="1" x14ac:dyDescent="0.35">
      <c r="A1267">
        <v>8103</v>
      </c>
      <c r="B1267" t="s">
        <v>40</v>
      </c>
      <c r="C1267" s="190">
        <v>9962403.1199999992</v>
      </c>
      <c r="D1267" s="190">
        <v>4215951.24</v>
      </c>
      <c r="E1267" s="190">
        <v>6600506.0199999996</v>
      </c>
      <c r="F1267" s="190">
        <v>7577848.3399999999</v>
      </c>
      <c r="G1267"/>
      <c r="H1267"/>
    </row>
    <row r="1268" spans="1:8" ht="15" customHeight="1" x14ac:dyDescent="0.35">
      <c r="A1268">
        <v>810301</v>
      </c>
      <c r="B1268" t="s">
        <v>220</v>
      </c>
      <c r="C1268" s="190">
        <v>9962403.1199999992</v>
      </c>
      <c r="D1268" s="190">
        <v>4215951.24</v>
      </c>
      <c r="E1268" s="190">
        <v>6600506.0199999996</v>
      </c>
      <c r="F1268" s="190">
        <v>7577848.3399999999</v>
      </c>
      <c r="G1268"/>
      <c r="H1268"/>
    </row>
    <row r="1269" spans="1:8" ht="15" customHeight="1" x14ac:dyDescent="0.35">
      <c r="A1269">
        <v>8103010</v>
      </c>
      <c r="B1269" t="s">
        <v>220</v>
      </c>
      <c r="C1269" s="190">
        <v>9962403.1199999992</v>
      </c>
      <c r="D1269" s="190">
        <v>4215951.24</v>
      </c>
      <c r="E1269" s="190">
        <v>6600506.0199999996</v>
      </c>
      <c r="F1269" s="190">
        <v>7577848.3399999999</v>
      </c>
      <c r="G1269"/>
      <c r="H1269"/>
    </row>
    <row r="1270" spans="1:8" ht="15" customHeight="1" x14ac:dyDescent="0.35">
      <c r="A1270">
        <v>810301001</v>
      </c>
      <c r="B1270" t="s">
        <v>597</v>
      </c>
      <c r="C1270" s="190">
        <v>9962403.1199999992</v>
      </c>
      <c r="D1270" s="190">
        <v>4215951.24</v>
      </c>
      <c r="E1270" s="190">
        <v>6600506.0199999996</v>
      </c>
      <c r="F1270" s="190">
        <v>7577848.3399999999</v>
      </c>
      <c r="G1270"/>
      <c r="H1270"/>
    </row>
    <row r="1271" spans="1:8" ht="15" customHeight="1" x14ac:dyDescent="0.35">
      <c r="A1271">
        <v>9</v>
      </c>
      <c r="B1271" t="s">
        <v>41</v>
      </c>
      <c r="C1271" s="190">
        <v>-9962403.1199999992</v>
      </c>
      <c r="D1271" s="190">
        <v>6100506.0199999996</v>
      </c>
      <c r="E1271" s="190">
        <v>3715951.24</v>
      </c>
      <c r="F1271" s="190">
        <v>-7577848.3399999999</v>
      </c>
      <c r="G1271"/>
      <c r="H1271"/>
    </row>
    <row r="1272" spans="1:8" ht="15" customHeight="1" x14ac:dyDescent="0.35">
      <c r="A1272">
        <v>90</v>
      </c>
      <c r="B1272" t="s">
        <v>41</v>
      </c>
      <c r="C1272" s="190">
        <v>-9962403.1199999992</v>
      </c>
      <c r="D1272" s="190">
        <v>6100506.0199999996</v>
      </c>
      <c r="E1272" s="190">
        <v>3715951.24</v>
      </c>
      <c r="F1272" s="190">
        <v>-7577848.3399999999</v>
      </c>
      <c r="G1272"/>
      <c r="H1272"/>
    </row>
    <row r="1273" spans="1:8" ht="15" customHeight="1" x14ac:dyDescent="0.35">
      <c r="B1273"/>
      <c r="C1273" s="189"/>
      <c r="D1273" s="189"/>
      <c r="E1273" s="189"/>
      <c r="F1273" s="189"/>
      <c r="G1273"/>
      <c r="H1273"/>
    </row>
    <row r="1274" spans="1:8" ht="15" customHeight="1" x14ac:dyDescent="0.35">
      <c r="B1274"/>
      <c r="C1274" s="189"/>
      <c r="D1274" s="189"/>
      <c r="E1274" s="189"/>
      <c r="F1274" s="189"/>
      <c r="G1274"/>
      <c r="H1274"/>
    </row>
    <row r="1275" spans="1:8" ht="15" customHeight="1" x14ac:dyDescent="0.35">
      <c r="B1275"/>
      <c r="C1275" s="189"/>
      <c r="D1275" s="189"/>
      <c r="E1275" s="189"/>
      <c r="F1275" s="189"/>
      <c r="G1275"/>
      <c r="H1275"/>
    </row>
    <row r="1276" spans="1:8" ht="15" customHeight="1" x14ac:dyDescent="0.35">
      <c r="B1276"/>
      <c r="C1276" s="189"/>
      <c r="D1276" s="189"/>
      <c r="E1276" s="189"/>
      <c r="F1276" s="189"/>
      <c r="G1276"/>
      <c r="H1276"/>
    </row>
    <row r="1277" spans="1:8" ht="15" customHeight="1" x14ac:dyDescent="0.35">
      <c r="B1277"/>
      <c r="C1277" s="189"/>
      <c r="D1277" s="189"/>
      <c r="E1277" s="189"/>
      <c r="F1277" s="189"/>
      <c r="G1277"/>
      <c r="H1277"/>
    </row>
    <row r="1278" spans="1:8" ht="15" customHeight="1" x14ac:dyDescent="0.35">
      <c r="B1278" s="130"/>
      <c r="C1278" s="131"/>
      <c r="D1278" s="131"/>
      <c r="E1278" s="131"/>
      <c r="F1278" s="131"/>
    </row>
    <row r="1279" spans="1:8" ht="15" customHeight="1" x14ac:dyDescent="0.35">
      <c r="B1279" s="130"/>
      <c r="C1279" s="131"/>
      <c r="D1279" s="131"/>
      <c r="E1279" s="131"/>
      <c r="F1279" s="131"/>
    </row>
    <row r="1280" spans="1:8" ht="15" customHeight="1" x14ac:dyDescent="0.35">
      <c r="B1280" s="130"/>
      <c r="C1280" s="131"/>
      <c r="D1280" s="131"/>
      <c r="E1280" s="131"/>
      <c r="F1280" s="131"/>
    </row>
    <row r="1281" spans="2:6" ht="15" customHeight="1" x14ac:dyDescent="0.35">
      <c r="B1281" s="130"/>
      <c r="C1281" s="131"/>
      <c r="D1281" s="131"/>
      <c r="E1281" s="131"/>
      <c r="F1281" s="131"/>
    </row>
    <row r="1282" spans="2:6" ht="15" customHeight="1" x14ac:dyDescent="0.35">
      <c r="B1282" s="130"/>
      <c r="C1282" s="131"/>
      <c r="D1282" s="131"/>
      <c r="E1282" s="131"/>
      <c r="F1282" s="131"/>
    </row>
    <row r="1283" spans="2:6" ht="15" customHeight="1" x14ac:dyDescent="0.35">
      <c r="B1283" s="130"/>
      <c r="C1283" s="131"/>
      <c r="D1283" s="131"/>
      <c r="E1283" s="131"/>
      <c r="F1283" s="131"/>
    </row>
    <row r="1284" spans="2:6" ht="15" customHeight="1" x14ac:dyDescent="0.35">
      <c r="B1284" s="130"/>
      <c r="C1284" s="131"/>
      <c r="D1284" s="131"/>
      <c r="E1284" s="131"/>
      <c r="F1284" s="131"/>
    </row>
    <row r="1285" spans="2:6" ht="15" customHeight="1" x14ac:dyDescent="0.35">
      <c r="B1285" s="130"/>
      <c r="C1285" s="131"/>
      <c r="D1285" s="131"/>
      <c r="E1285" s="131"/>
      <c r="F1285" s="131"/>
    </row>
    <row r="1286" spans="2:6" ht="15" customHeight="1" x14ac:dyDescent="0.35">
      <c r="B1286" s="130"/>
      <c r="C1286" s="131"/>
      <c r="D1286" s="131"/>
      <c r="E1286" s="131"/>
      <c r="F1286" s="131"/>
    </row>
    <row r="1287" spans="2:6" ht="15" customHeight="1" x14ac:dyDescent="0.35">
      <c r="B1287" s="130"/>
      <c r="C1287" s="131"/>
      <c r="D1287" s="131"/>
      <c r="E1287" s="131"/>
      <c r="F1287" s="131"/>
    </row>
    <row r="1288" spans="2:6" ht="15" customHeight="1" x14ac:dyDescent="0.35">
      <c r="B1288" s="130"/>
      <c r="C1288" s="131"/>
      <c r="D1288" s="131"/>
      <c r="E1288" s="131"/>
      <c r="F1288" s="131"/>
    </row>
    <row r="1289" spans="2:6" ht="15" customHeight="1" x14ac:dyDescent="0.35">
      <c r="B1289" s="130"/>
      <c r="C1289" s="131"/>
      <c r="D1289" s="131"/>
      <c r="E1289" s="131"/>
      <c r="F1289" s="131"/>
    </row>
    <row r="1290" spans="2:6" ht="15" customHeight="1" x14ac:dyDescent="0.35">
      <c r="B1290" s="130"/>
      <c r="C1290" s="131"/>
      <c r="D1290" s="131"/>
      <c r="E1290" s="131"/>
      <c r="F1290" s="131"/>
    </row>
    <row r="1291" spans="2:6" ht="15" customHeight="1" x14ac:dyDescent="0.35">
      <c r="B1291" s="130"/>
      <c r="C1291" s="131"/>
      <c r="D1291" s="131"/>
      <c r="E1291" s="131"/>
      <c r="F1291" s="131"/>
    </row>
    <row r="1292" spans="2:6" ht="15" customHeight="1" x14ac:dyDescent="0.35">
      <c r="B1292" s="130"/>
      <c r="C1292" s="131"/>
      <c r="D1292" s="131"/>
      <c r="E1292" s="131"/>
      <c r="F1292" s="131"/>
    </row>
    <row r="1293" spans="2:6" ht="15" customHeight="1" x14ac:dyDescent="0.35">
      <c r="B1293" s="130"/>
      <c r="C1293" s="131"/>
      <c r="D1293" s="131"/>
      <c r="E1293" s="131"/>
      <c r="F1293" s="131"/>
    </row>
    <row r="1294" spans="2:6" ht="15" customHeight="1" x14ac:dyDescent="0.35">
      <c r="B1294" s="130"/>
      <c r="C1294" s="131"/>
      <c r="D1294" s="131"/>
      <c r="E1294" s="131"/>
      <c r="F1294" s="131"/>
    </row>
    <row r="1295" spans="2:6" ht="15" customHeight="1" x14ac:dyDescent="0.35">
      <c r="B1295" s="130"/>
      <c r="C1295" s="131"/>
      <c r="D1295" s="131"/>
      <c r="E1295" s="131"/>
      <c r="F1295" s="131"/>
    </row>
    <row r="1296" spans="2:6" ht="15" customHeight="1" x14ac:dyDescent="0.35">
      <c r="B1296" s="130"/>
      <c r="C1296" s="131"/>
      <c r="D1296" s="131"/>
      <c r="E1296" s="131"/>
      <c r="F1296" s="131"/>
    </row>
    <row r="1297" spans="2:6" ht="15" customHeight="1" x14ac:dyDescent="0.35">
      <c r="B1297" s="130"/>
      <c r="C1297" s="131"/>
      <c r="D1297" s="131"/>
      <c r="E1297" s="131"/>
      <c r="F1297" s="131"/>
    </row>
    <row r="1298" spans="2:6" ht="15" customHeight="1" x14ac:dyDescent="0.35">
      <c r="B1298" s="130"/>
      <c r="C1298" s="131"/>
      <c r="D1298" s="131"/>
      <c r="E1298" s="131"/>
      <c r="F1298" s="131"/>
    </row>
    <row r="1299" spans="2:6" ht="15" customHeight="1" x14ac:dyDescent="0.35">
      <c r="B1299" s="130"/>
      <c r="C1299" s="131"/>
      <c r="D1299" s="131"/>
      <c r="E1299" s="131"/>
      <c r="F1299" s="131"/>
    </row>
    <row r="1300" spans="2:6" ht="15" customHeight="1" x14ac:dyDescent="0.35">
      <c r="B1300" s="130"/>
      <c r="C1300" s="131"/>
      <c r="D1300" s="131"/>
      <c r="E1300" s="131"/>
      <c r="F1300" s="131"/>
    </row>
    <row r="1301" spans="2:6" ht="15" customHeight="1" x14ac:dyDescent="0.35">
      <c r="B1301" s="130"/>
      <c r="C1301" s="131"/>
      <c r="D1301" s="131"/>
      <c r="E1301" s="131"/>
      <c r="F1301" s="131"/>
    </row>
    <row r="1302" spans="2:6" ht="15" customHeight="1" x14ac:dyDescent="0.35">
      <c r="B1302" s="130"/>
      <c r="C1302" s="131"/>
      <c r="D1302" s="131"/>
      <c r="E1302" s="131"/>
      <c r="F1302" s="131"/>
    </row>
    <row r="1303" spans="2:6" ht="15" customHeight="1" x14ac:dyDescent="0.35">
      <c r="B1303" s="130"/>
      <c r="C1303" s="131"/>
      <c r="D1303" s="131"/>
      <c r="E1303" s="131"/>
      <c r="F1303" s="131"/>
    </row>
    <row r="1304" spans="2:6" ht="15" customHeight="1" x14ac:dyDescent="0.35">
      <c r="B1304" s="130"/>
      <c r="C1304" s="131"/>
      <c r="D1304" s="131"/>
      <c r="E1304" s="131"/>
      <c r="F1304" s="131"/>
    </row>
    <row r="1305" spans="2:6" ht="15" customHeight="1" x14ac:dyDescent="0.35">
      <c r="B1305" s="130"/>
      <c r="C1305" s="131"/>
      <c r="D1305" s="131"/>
      <c r="E1305" s="131"/>
      <c r="F1305" s="131"/>
    </row>
    <row r="1306" spans="2:6" ht="15" customHeight="1" x14ac:dyDescent="0.35">
      <c r="B1306" s="130"/>
      <c r="C1306" s="131"/>
      <c r="D1306" s="131"/>
      <c r="E1306" s="131"/>
      <c r="F1306" s="131"/>
    </row>
    <row r="1307" spans="2:6" ht="15" customHeight="1" x14ac:dyDescent="0.35">
      <c r="B1307" s="130"/>
      <c r="C1307" s="131"/>
      <c r="D1307" s="131"/>
      <c r="E1307" s="131"/>
      <c r="F1307" s="131"/>
    </row>
    <row r="1308" spans="2:6" ht="15" customHeight="1" x14ac:dyDescent="0.35">
      <c r="B1308" s="130"/>
      <c r="C1308" s="131"/>
      <c r="D1308" s="131"/>
      <c r="E1308" s="131"/>
      <c r="F1308" s="131"/>
    </row>
    <row r="1309" spans="2:6" ht="15" customHeight="1" x14ac:dyDescent="0.35">
      <c r="B1309" s="130"/>
      <c r="C1309" s="131"/>
      <c r="D1309" s="131"/>
      <c r="E1309" s="131"/>
      <c r="F1309" s="131"/>
    </row>
    <row r="1310" spans="2:6" ht="15" customHeight="1" x14ac:dyDescent="0.35">
      <c r="B1310" s="130"/>
      <c r="C1310" s="131"/>
      <c r="D1310" s="131"/>
      <c r="E1310" s="131"/>
      <c r="F1310" s="131"/>
    </row>
    <row r="1311" spans="2:6" ht="15" customHeight="1" x14ac:dyDescent="0.35">
      <c r="B1311" s="130"/>
      <c r="C1311" s="131"/>
      <c r="D1311" s="131"/>
      <c r="E1311" s="131"/>
      <c r="F1311" s="131"/>
    </row>
    <row r="1312" spans="2:6" ht="15" customHeight="1" x14ac:dyDescent="0.35">
      <c r="B1312" s="130"/>
      <c r="C1312" s="131"/>
      <c r="D1312" s="131"/>
      <c r="E1312" s="131"/>
      <c r="F1312" s="131"/>
    </row>
    <row r="1313" spans="2:6" ht="15" customHeight="1" x14ac:dyDescent="0.35">
      <c r="B1313" s="130"/>
      <c r="C1313" s="131"/>
      <c r="D1313" s="131"/>
      <c r="E1313" s="131"/>
      <c r="F1313" s="131"/>
    </row>
    <row r="1314" spans="2:6" ht="15" customHeight="1" x14ac:dyDescent="0.35">
      <c r="B1314" s="130"/>
      <c r="C1314" s="131"/>
      <c r="D1314" s="131"/>
      <c r="E1314" s="131"/>
      <c r="F1314" s="131"/>
    </row>
    <row r="1315" spans="2:6" ht="15" customHeight="1" x14ac:dyDescent="0.35">
      <c r="B1315" s="130"/>
      <c r="C1315" s="131"/>
      <c r="D1315" s="131"/>
      <c r="E1315" s="131"/>
      <c r="F1315" s="131"/>
    </row>
    <row r="1316" spans="2:6" ht="15" customHeight="1" x14ac:dyDescent="0.35">
      <c r="B1316" s="130"/>
      <c r="C1316" s="131"/>
      <c r="D1316" s="131"/>
      <c r="E1316" s="131"/>
      <c r="F1316" s="131"/>
    </row>
    <row r="1317" spans="2:6" ht="15" customHeight="1" x14ac:dyDescent="0.35">
      <c r="B1317" s="130"/>
      <c r="C1317" s="131"/>
      <c r="D1317" s="131"/>
      <c r="E1317" s="131"/>
      <c r="F1317" s="131"/>
    </row>
    <row r="1318" spans="2:6" ht="15" customHeight="1" x14ac:dyDescent="0.35">
      <c r="B1318" s="130"/>
      <c r="C1318" s="131"/>
      <c r="D1318" s="131"/>
      <c r="E1318" s="131"/>
      <c r="F1318" s="131"/>
    </row>
    <row r="1319" spans="2:6" ht="15" customHeight="1" x14ac:dyDescent="0.35">
      <c r="B1319" s="130"/>
      <c r="C1319" s="131"/>
      <c r="D1319" s="131"/>
      <c r="E1319" s="131"/>
      <c r="F1319" s="131"/>
    </row>
    <row r="1320" spans="2:6" ht="15" customHeight="1" x14ac:dyDescent="0.35">
      <c r="B1320" s="130"/>
      <c r="C1320" s="131"/>
      <c r="D1320" s="131"/>
      <c r="E1320" s="131"/>
      <c r="F1320" s="131"/>
    </row>
    <row r="1321" spans="2:6" ht="15" customHeight="1" x14ac:dyDescent="0.35">
      <c r="B1321" s="130"/>
      <c r="C1321" s="131"/>
      <c r="D1321" s="131"/>
      <c r="E1321" s="131"/>
      <c r="F1321" s="131"/>
    </row>
    <row r="1322" spans="2:6" ht="15" customHeight="1" x14ac:dyDescent="0.35">
      <c r="B1322" s="130"/>
      <c r="C1322" s="131"/>
      <c r="D1322" s="131"/>
      <c r="E1322" s="131"/>
      <c r="F1322" s="131"/>
    </row>
    <row r="1323" spans="2:6" ht="15" customHeight="1" x14ac:dyDescent="0.35">
      <c r="B1323" s="130"/>
      <c r="C1323" s="131"/>
      <c r="D1323" s="131"/>
      <c r="E1323" s="131"/>
      <c r="F1323" s="131"/>
    </row>
    <row r="1324" spans="2:6" ht="15" customHeight="1" x14ac:dyDescent="0.35">
      <c r="B1324" s="130"/>
      <c r="C1324" s="131"/>
      <c r="D1324" s="131"/>
      <c r="E1324" s="131"/>
      <c r="F1324" s="131"/>
    </row>
    <row r="1325" spans="2:6" ht="15" customHeight="1" x14ac:dyDescent="0.35">
      <c r="B1325" s="130"/>
      <c r="C1325" s="131"/>
      <c r="D1325" s="131"/>
      <c r="E1325" s="131"/>
      <c r="F1325" s="131"/>
    </row>
    <row r="1326" spans="2:6" ht="15" customHeight="1" x14ac:dyDescent="0.35">
      <c r="B1326" s="130"/>
      <c r="C1326" s="131"/>
      <c r="D1326" s="131"/>
      <c r="E1326" s="131"/>
      <c r="F1326" s="131"/>
    </row>
    <row r="1327" spans="2:6" ht="15" customHeight="1" x14ac:dyDescent="0.35">
      <c r="B1327" s="130"/>
      <c r="C1327" s="131"/>
      <c r="D1327" s="131"/>
      <c r="E1327" s="131"/>
      <c r="F1327" s="131"/>
    </row>
    <row r="1328" spans="2:6" ht="15" customHeight="1" x14ac:dyDescent="0.35">
      <c r="B1328" s="130"/>
      <c r="C1328" s="131"/>
      <c r="D1328" s="131"/>
      <c r="E1328" s="131"/>
      <c r="F1328" s="131"/>
    </row>
    <row r="1329" spans="2:6" ht="15" customHeight="1" x14ac:dyDescent="0.35">
      <c r="B1329" s="130"/>
      <c r="C1329" s="131"/>
      <c r="D1329" s="131"/>
      <c r="E1329" s="131"/>
      <c r="F1329" s="131"/>
    </row>
    <row r="1330" spans="2:6" ht="15" customHeight="1" x14ac:dyDescent="0.35">
      <c r="B1330" s="130"/>
      <c r="C1330" s="131"/>
      <c r="D1330" s="131"/>
      <c r="E1330" s="131"/>
      <c r="F1330" s="131"/>
    </row>
    <row r="1331" spans="2:6" ht="15" customHeight="1" x14ac:dyDescent="0.35">
      <c r="B1331" s="130"/>
      <c r="C1331" s="131"/>
      <c r="D1331" s="131"/>
      <c r="E1331" s="131"/>
      <c r="F1331" s="131"/>
    </row>
    <row r="1332" spans="2:6" ht="15" customHeight="1" x14ac:dyDescent="0.35">
      <c r="B1332" s="130"/>
      <c r="C1332" s="131"/>
      <c r="D1332" s="131"/>
      <c r="E1332" s="131"/>
      <c r="F1332" s="131"/>
    </row>
    <row r="1333" spans="2:6" ht="15" customHeight="1" x14ac:dyDescent="0.35">
      <c r="B1333" s="130"/>
      <c r="C1333" s="131"/>
      <c r="D1333" s="131"/>
      <c r="E1333" s="131"/>
      <c r="F1333" s="131"/>
    </row>
    <row r="1334" spans="2:6" ht="15" customHeight="1" x14ac:dyDescent="0.35">
      <c r="B1334" s="130"/>
      <c r="C1334" s="131"/>
      <c r="D1334" s="131"/>
      <c r="E1334" s="131"/>
      <c r="F1334" s="131"/>
    </row>
    <row r="1335" spans="2:6" ht="15" customHeight="1" x14ac:dyDescent="0.35">
      <c r="B1335" s="130"/>
      <c r="C1335" s="131"/>
      <c r="D1335" s="131"/>
      <c r="E1335" s="131"/>
      <c r="F1335" s="131"/>
    </row>
    <row r="1336" spans="2:6" ht="15" customHeight="1" x14ac:dyDescent="0.35">
      <c r="B1336" s="130"/>
      <c r="C1336" s="131"/>
      <c r="D1336" s="131"/>
      <c r="E1336" s="131"/>
      <c r="F1336" s="131"/>
    </row>
    <row r="1337" spans="2:6" ht="15" customHeight="1" x14ac:dyDescent="0.35">
      <c r="B1337" s="130"/>
      <c r="C1337" s="131"/>
      <c r="D1337" s="131"/>
      <c r="E1337" s="131"/>
      <c r="F1337" s="131"/>
    </row>
    <row r="1338" spans="2:6" ht="15" customHeight="1" x14ac:dyDescent="0.35">
      <c r="B1338" s="130"/>
      <c r="C1338" s="131"/>
      <c r="D1338" s="131"/>
      <c r="E1338" s="131"/>
      <c r="F1338" s="131"/>
    </row>
    <row r="1339" spans="2:6" ht="15" customHeight="1" x14ac:dyDescent="0.35">
      <c r="B1339" s="130"/>
      <c r="C1339" s="131"/>
      <c r="D1339" s="131"/>
      <c r="E1339" s="131"/>
      <c r="F1339" s="131"/>
    </row>
    <row r="1340" spans="2:6" ht="15" customHeight="1" x14ac:dyDescent="0.35">
      <c r="B1340" s="130"/>
      <c r="C1340" s="131"/>
      <c r="D1340" s="131"/>
      <c r="E1340" s="131"/>
      <c r="F1340" s="131"/>
    </row>
    <row r="1341" spans="2:6" ht="15" customHeight="1" x14ac:dyDescent="0.35">
      <c r="B1341" s="130"/>
      <c r="C1341" s="131"/>
      <c r="D1341" s="131"/>
      <c r="E1341" s="131"/>
      <c r="F1341" s="131"/>
    </row>
    <row r="1342" spans="2:6" ht="15" customHeight="1" x14ac:dyDescent="0.35">
      <c r="B1342" s="130"/>
      <c r="C1342" s="131"/>
      <c r="D1342" s="131"/>
      <c r="E1342" s="131"/>
      <c r="F1342" s="131"/>
    </row>
    <row r="1343" spans="2:6" ht="15" customHeight="1" x14ac:dyDescent="0.35">
      <c r="B1343" s="130"/>
      <c r="C1343" s="131"/>
      <c r="D1343" s="131"/>
      <c r="E1343" s="131"/>
      <c r="F1343" s="131"/>
    </row>
    <row r="1344" spans="2:6" ht="15" customHeight="1" x14ac:dyDescent="0.35">
      <c r="B1344" s="130"/>
      <c r="C1344" s="131"/>
      <c r="D1344" s="131"/>
      <c r="E1344" s="131"/>
      <c r="F1344" s="131"/>
    </row>
    <row r="1345" spans="2:6" ht="15" customHeight="1" x14ac:dyDescent="0.35">
      <c r="B1345" s="130"/>
      <c r="C1345" s="131"/>
      <c r="D1345" s="131"/>
      <c r="E1345" s="131"/>
      <c r="F1345" s="131"/>
    </row>
    <row r="1346" spans="2:6" ht="15" customHeight="1" x14ac:dyDescent="0.35">
      <c r="B1346" s="130"/>
      <c r="C1346" s="131"/>
      <c r="D1346" s="131"/>
      <c r="E1346" s="131"/>
      <c r="F1346" s="131"/>
    </row>
    <row r="1347" spans="2:6" ht="15" customHeight="1" x14ac:dyDescent="0.35">
      <c r="B1347" s="130"/>
      <c r="C1347" s="131"/>
      <c r="D1347" s="131"/>
      <c r="E1347" s="131"/>
      <c r="F1347" s="131"/>
    </row>
    <row r="1348" spans="2:6" ht="15" customHeight="1" x14ac:dyDescent="0.35">
      <c r="B1348" s="130"/>
      <c r="C1348" s="131"/>
      <c r="D1348" s="131"/>
      <c r="E1348" s="131"/>
      <c r="F1348" s="131"/>
    </row>
    <row r="1349" spans="2:6" ht="15" customHeight="1" x14ac:dyDescent="0.35">
      <c r="B1349" s="130"/>
      <c r="C1349" s="131"/>
      <c r="D1349" s="131"/>
      <c r="E1349" s="131"/>
      <c r="F1349" s="131"/>
    </row>
    <row r="1350" spans="2:6" ht="15" customHeight="1" x14ac:dyDescent="0.35">
      <c r="B1350" s="130"/>
      <c r="C1350" s="131"/>
      <c r="D1350" s="131"/>
      <c r="E1350" s="131"/>
      <c r="F1350" s="131"/>
    </row>
    <row r="1351" spans="2:6" ht="15" customHeight="1" x14ac:dyDescent="0.35">
      <c r="B1351" s="130"/>
      <c r="C1351" s="131"/>
      <c r="D1351" s="131"/>
      <c r="E1351" s="131"/>
      <c r="F1351" s="131"/>
    </row>
    <row r="1352" spans="2:6" ht="15" customHeight="1" x14ac:dyDescent="0.35">
      <c r="B1352" s="130"/>
      <c r="C1352" s="131"/>
      <c r="D1352" s="131"/>
      <c r="E1352" s="131"/>
      <c r="F1352" s="131"/>
    </row>
    <row r="1353" spans="2:6" ht="15" customHeight="1" x14ac:dyDescent="0.35">
      <c r="B1353" s="130"/>
      <c r="C1353" s="131"/>
      <c r="D1353" s="131"/>
      <c r="E1353" s="131"/>
      <c r="F1353" s="131"/>
    </row>
    <row r="1354" spans="2:6" ht="15" customHeight="1" x14ac:dyDescent="0.35">
      <c r="B1354" s="130"/>
      <c r="C1354" s="131"/>
      <c r="D1354" s="131"/>
      <c r="E1354" s="131"/>
      <c r="F1354" s="131"/>
    </row>
    <row r="1355" spans="2:6" ht="15" customHeight="1" x14ac:dyDescent="0.35">
      <c r="B1355" s="130"/>
      <c r="C1355" s="131"/>
      <c r="D1355" s="131"/>
      <c r="E1355" s="131"/>
      <c r="F1355" s="131"/>
    </row>
    <row r="1356" spans="2:6" ht="15" customHeight="1" x14ac:dyDescent="0.35">
      <c r="B1356" s="130"/>
      <c r="C1356" s="131"/>
      <c r="D1356" s="131"/>
      <c r="E1356" s="131"/>
      <c r="F1356" s="131"/>
    </row>
    <row r="1357" spans="2:6" ht="15" customHeight="1" x14ac:dyDescent="0.35">
      <c r="B1357" s="130"/>
      <c r="C1357" s="131"/>
      <c r="D1357" s="131"/>
      <c r="E1357" s="131"/>
      <c r="F1357" s="131"/>
    </row>
    <row r="1358" spans="2:6" ht="15" customHeight="1" x14ac:dyDescent="0.35">
      <c r="B1358" s="130"/>
      <c r="C1358" s="131"/>
      <c r="D1358" s="131"/>
      <c r="E1358" s="131"/>
      <c r="F1358" s="131"/>
    </row>
    <row r="1359" spans="2:6" ht="15" customHeight="1" x14ac:dyDescent="0.35">
      <c r="B1359" s="130"/>
      <c r="C1359" s="131"/>
      <c r="D1359" s="131"/>
      <c r="E1359" s="131"/>
      <c r="F1359" s="131"/>
    </row>
    <row r="1360" spans="2:6" ht="15" customHeight="1" x14ac:dyDescent="0.35">
      <c r="B1360" s="130"/>
      <c r="C1360" s="131"/>
      <c r="D1360" s="131"/>
      <c r="E1360" s="131"/>
      <c r="F1360" s="131"/>
    </row>
    <row r="1361" spans="2:6" ht="15" customHeight="1" x14ac:dyDescent="0.35">
      <c r="B1361" s="130"/>
      <c r="C1361" s="131"/>
      <c r="D1361" s="131"/>
      <c r="E1361" s="131"/>
      <c r="F1361" s="131"/>
    </row>
    <row r="1362" spans="2:6" ht="15" customHeight="1" x14ac:dyDescent="0.35">
      <c r="B1362" s="130"/>
      <c r="C1362" s="131"/>
      <c r="D1362" s="131"/>
      <c r="E1362" s="131"/>
      <c r="F1362" s="131"/>
    </row>
    <row r="1363" spans="2:6" ht="15" customHeight="1" x14ac:dyDescent="0.35">
      <c r="B1363" s="130"/>
      <c r="C1363" s="131"/>
      <c r="D1363" s="131"/>
      <c r="E1363" s="131"/>
      <c r="F1363" s="131"/>
    </row>
    <row r="1364" spans="2:6" ht="15" customHeight="1" x14ac:dyDescent="0.35">
      <c r="B1364" s="130"/>
      <c r="C1364" s="131"/>
      <c r="D1364" s="131"/>
      <c r="E1364" s="131"/>
      <c r="F1364" s="131"/>
    </row>
    <row r="1365" spans="2:6" ht="15" customHeight="1" x14ac:dyDescent="0.35">
      <c r="B1365" s="130"/>
      <c r="C1365" s="131"/>
      <c r="D1365" s="131"/>
      <c r="E1365" s="131"/>
      <c r="F1365" s="131"/>
    </row>
    <row r="1366" spans="2:6" ht="15" customHeight="1" x14ac:dyDescent="0.35">
      <c r="B1366" s="130"/>
      <c r="C1366" s="131"/>
      <c r="D1366" s="131"/>
      <c r="E1366" s="131"/>
      <c r="F1366" s="131"/>
    </row>
    <row r="1367" spans="2:6" ht="15" customHeight="1" x14ac:dyDescent="0.35">
      <c r="B1367" s="130"/>
      <c r="C1367" s="131"/>
      <c r="D1367" s="131"/>
      <c r="E1367" s="131"/>
      <c r="F1367" s="131"/>
    </row>
    <row r="1368" spans="2:6" ht="15" customHeight="1" x14ac:dyDescent="0.35">
      <c r="B1368" s="130"/>
      <c r="C1368" s="131"/>
      <c r="D1368" s="131"/>
      <c r="E1368" s="131"/>
      <c r="F1368" s="131"/>
    </row>
    <row r="1369" spans="2:6" ht="15" customHeight="1" x14ac:dyDescent="0.35">
      <c r="B1369" s="130"/>
      <c r="C1369" s="131"/>
      <c r="D1369" s="131"/>
      <c r="E1369" s="131"/>
      <c r="F1369" s="131"/>
    </row>
    <row r="1370" spans="2:6" ht="15" customHeight="1" x14ac:dyDescent="0.35">
      <c r="B1370" s="130"/>
      <c r="C1370" s="131"/>
      <c r="D1370" s="131"/>
      <c r="E1370" s="131"/>
      <c r="F1370" s="131"/>
    </row>
    <row r="1371" spans="2:6" ht="15" customHeight="1" x14ac:dyDescent="0.35">
      <c r="B1371" s="130"/>
      <c r="C1371" s="131"/>
      <c r="D1371" s="131"/>
      <c r="E1371" s="131"/>
      <c r="F1371" s="131"/>
    </row>
    <row r="1372" spans="2:6" ht="15" customHeight="1" x14ac:dyDescent="0.35">
      <c r="B1372" s="130"/>
      <c r="C1372" s="131"/>
      <c r="D1372" s="131"/>
      <c r="E1372" s="131"/>
      <c r="F1372" s="131"/>
    </row>
    <row r="1373" spans="2:6" ht="15" customHeight="1" x14ac:dyDescent="0.35">
      <c r="B1373" s="130"/>
      <c r="C1373" s="131"/>
      <c r="D1373" s="131"/>
      <c r="E1373" s="131"/>
      <c r="F1373" s="131"/>
    </row>
    <row r="1374" spans="2:6" ht="15" customHeight="1" x14ac:dyDescent="0.35">
      <c r="B1374" s="130"/>
      <c r="C1374" s="131"/>
      <c r="D1374" s="131"/>
      <c r="E1374" s="131"/>
      <c r="F1374" s="131"/>
    </row>
    <row r="1375" spans="2:6" ht="15" customHeight="1" x14ac:dyDescent="0.35">
      <c r="B1375" s="130"/>
      <c r="C1375" s="131"/>
      <c r="D1375" s="131"/>
      <c r="E1375" s="131"/>
      <c r="F1375" s="131"/>
    </row>
    <row r="1376" spans="2:6" ht="15" customHeight="1" x14ac:dyDescent="0.35">
      <c r="B1376" s="130"/>
      <c r="C1376" s="131"/>
      <c r="D1376" s="131"/>
      <c r="E1376" s="131"/>
      <c r="F1376" s="131"/>
    </row>
    <row r="1377" spans="2:6" ht="15" customHeight="1" x14ac:dyDescent="0.35">
      <c r="B1377" s="130"/>
      <c r="C1377" s="131"/>
      <c r="D1377" s="131"/>
      <c r="E1377" s="131"/>
      <c r="F1377" s="131"/>
    </row>
    <row r="1378" spans="2:6" ht="15" customHeight="1" x14ac:dyDescent="0.35">
      <c r="B1378" s="130"/>
      <c r="C1378" s="131"/>
      <c r="D1378" s="131"/>
      <c r="E1378" s="131"/>
      <c r="F1378" s="131"/>
    </row>
    <row r="1379" spans="2:6" ht="15" customHeight="1" x14ac:dyDescent="0.35">
      <c r="B1379" s="130"/>
      <c r="C1379" s="131"/>
      <c r="D1379" s="131"/>
      <c r="E1379" s="131"/>
      <c r="F1379" s="131"/>
    </row>
    <row r="1380" spans="2:6" ht="15" customHeight="1" x14ac:dyDescent="0.35">
      <c r="B1380" s="130"/>
      <c r="C1380" s="131"/>
      <c r="D1380" s="131"/>
      <c r="E1380" s="131"/>
      <c r="F1380" s="131"/>
    </row>
    <row r="1381" spans="2:6" ht="15" customHeight="1" x14ac:dyDescent="0.35">
      <c r="B1381" s="130"/>
      <c r="C1381" s="131"/>
      <c r="D1381" s="131"/>
      <c r="E1381" s="131"/>
      <c r="F1381" s="131"/>
    </row>
    <row r="1382" spans="2:6" ht="15" customHeight="1" x14ac:dyDescent="0.35">
      <c r="B1382" s="130"/>
      <c r="C1382" s="131"/>
      <c r="D1382" s="131"/>
      <c r="E1382" s="131"/>
      <c r="F1382" s="131"/>
    </row>
    <row r="1383" spans="2:6" ht="15" customHeight="1" x14ac:dyDescent="0.35">
      <c r="B1383" s="130"/>
      <c r="C1383" s="131"/>
      <c r="D1383" s="131"/>
      <c r="E1383" s="131"/>
      <c r="F1383" s="131"/>
    </row>
    <row r="1384" spans="2:6" ht="15" customHeight="1" x14ac:dyDescent="0.35">
      <c r="B1384" s="130"/>
      <c r="C1384" s="131"/>
      <c r="D1384" s="131"/>
      <c r="E1384" s="131"/>
      <c r="F1384" s="131"/>
    </row>
    <row r="1385" spans="2:6" ht="15" customHeight="1" x14ac:dyDescent="0.35">
      <c r="B1385" s="130"/>
      <c r="C1385" s="131"/>
      <c r="D1385" s="131"/>
      <c r="E1385" s="131"/>
      <c r="F1385" s="131"/>
    </row>
    <row r="1386" spans="2:6" ht="15" customHeight="1" x14ac:dyDescent="0.35">
      <c r="B1386" s="130"/>
      <c r="C1386" s="131"/>
      <c r="D1386" s="131"/>
      <c r="E1386" s="131"/>
      <c r="F1386" s="131"/>
    </row>
    <row r="1387" spans="2:6" ht="15" customHeight="1" x14ac:dyDescent="0.35">
      <c r="B1387" s="130"/>
      <c r="C1387" s="131"/>
      <c r="D1387" s="131"/>
      <c r="E1387" s="131"/>
      <c r="F1387" s="131"/>
    </row>
    <row r="1388" spans="2:6" ht="15" customHeight="1" x14ac:dyDescent="0.35">
      <c r="B1388" s="130"/>
      <c r="C1388" s="131"/>
      <c r="D1388" s="131"/>
      <c r="E1388" s="131"/>
      <c r="F1388" s="131"/>
    </row>
    <row r="1389" spans="2:6" ht="15" customHeight="1" x14ac:dyDescent="0.35">
      <c r="B1389" s="130"/>
      <c r="C1389" s="131"/>
      <c r="D1389" s="131"/>
      <c r="E1389" s="131"/>
      <c r="F1389" s="131"/>
    </row>
    <row r="1390" spans="2:6" ht="15" customHeight="1" x14ac:dyDescent="0.35">
      <c r="B1390" s="130"/>
      <c r="C1390" s="131"/>
      <c r="D1390" s="131"/>
      <c r="E1390" s="131"/>
      <c r="F1390" s="131"/>
    </row>
    <row r="1391" spans="2:6" ht="15" customHeight="1" x14ac:dyDescent="0.35">
      <c r="B1391" s="130"/>
      <c r="C1391" s="131"/>
      <c r="D1391" s="131"/>
      <c r="E1391" s="131"/>
      <c r="F1391" s="131"/>
    </row>
    <row r="1392" spans="2:6" ht="15" customHeight="1" x14ac:dyDescent="0.35">
      <c r="B1392" s="130"/>
      <c r="C1392" s="131"/>
      <c r="D1392" s="131"/>
      <c r="E1392" s="131"/>
      <c r="F1392" s="131"/>
    </row>
    <row r="1393" spans="2:6" ht="15" customHeight="1" x14ac:dyDescent="0.35">
      <c r="B1393" s="130"/>
      <c r="C1393" s="131"/>
      <c r="D1393" s="131"/>
      <c r="E1393" s="131"/>
      <c r="F1393" s="131"/>
    </row>
    <row r="1394" spans="2:6" ht="15" customHeight="1" x14ac:dyDescent="0.35">
      <c r="B1394" s="130"/>
      <c r="C1394" s="131"/>
      <c r="D1394" s="131"/>
      <c r="E1394" s="131"/>
      <c r="F1394" s="131"/>
    </row>
    <row r="1395" spans="2:6" ht="15" customHeight="1" x14ac:dyDescent="0.35">
      <c r="B1395" s="130"/>
      <c r="C1395" s="131"/>
      <c r="D1395" s="131"/>
      <c r="E1395" s="131"/>
      <c r="F1395" s="131"/>
    </row>
    <row r="1396" spans="2:6" ht="15" customHeight="1" x14ac:dyDescent="0.35">
      <c r="B1396" s="130"/>
      <c r="C1396" s="131"/>
      <c r="D1396" s="131"/>
      <c r="E1396" s="131"/>
      <c r="F1396" s="131"/>
    </row>
    <row r="1397" spans="2:6" ht="15" customHeight="1" x14ac:dyDescent="0.35">
      <c r="B1397" s="130"/>
      <c r="C1397" s="131"/>
      <c r="D1397" s="131"/>
      <c r="E1397" s="131"/>
      <c r="F1397" s="131"/>
    </row>
    <row r="1398" spans="2:6" ht="15" customHeight="1" x14ac:dyDescent="0.35">
      <c r="B1398" s="130"/>
      <c r="C1398" s="131"/>
      <c r="D1398" s="131"/>
      <c r="E1398" s="131"/>
      <c r="F1398" s="131"/>
    </row>
    <row r="1399" spans="2:6" ht="15" customHeight="1" x14ac:dyDescent="0.35">
      <c r="B1399" s="130"/>
      <c r="C1399" s="131"/>
      <c r="D1399" s="131"/>
      <c r="E1399" s="131"/>
      <c r="F1399" s="131"/>
    </row>
    <row r="1400" spans="2:6" ht="15" customHeight="1" x14ac:dyDescent="0.35">
      <c r="B1400" s="130"/>
      <c r="C1400" s="131"/>
      <c r="D1400" s="131"/>
      <c r="E1400" s="131"/>
      <c r="F1400" s="131"/>
    </row>
    <row r="1401" spans="2:6" ht="15" customHeight="1" x14ac:dyDescent="0.35">
      <c r="B1401" s="130"/>
      <c r="C1401" s="131"/>
      <c r="D1401" s="131"/>
      <c r="E1401" s="131"/>
      <c r="F1401" s="131"/>
    </row>
    <row r="1402" spans="2:6" ht="15" customHeight="1" x14ac:dyDescent="0.35">
      <c r="B1402" s="130"/>
      <c r="C1402" s="131"/>
      <c r="D1402" s="131"/>
      <c r="E1402" s="131"/>
      <c r="F1402" s="131"/>
    </row>
    <row r="1403" spans="2:6" ht="15" customHeight="1" x14ac:dyDescent="0.35">
      <c r="B1403" s="130"/>
      <c r="C1403" s="131"/>
      <c r="D1403" s="131"/>
      <c r="E1403" s="131"/>
      <c r="F1403" s="131"/>
    </row>
    <row r="1404" spans="2:6" ht="15" customHeight="1" x14ac:dyDescent="0.35">
      <c r="B1404" s="130"/>
      <c r="C1404" s="131"/>
      <c r="D1404" s="131"/>
      <c r="E1404" s="131"/>
      <c r="F1404" s="131"/>
    </row>
    <row r="1405" spans="2:6" ht="15" customHeight="1" x14ac:dyDescent="0.35">
      <c r="B1405" s="130"/>
      <c r="C1405" s="131"/>
      <c r="D1405" s="131"/>
      <c r="E1405" s="131"/>
      <c r="F1405" s="131"/>
    </row>
    <row r="1406" spans="2:6" ht="15" customHeight="1" x14ac:dyDescent="0.35">
      <c r="B1406" s="130"/>
      <c r="C1406" s="131"/>
      <c r="D1406" s="131"/>
      <c r="E1406" s="131"/>
      <c r="F1406" s="131"/>
    </row>
    <row r="1407" spans="2:6" ht="15" customHeight="1" x14ac:dyDescent="0.35">
      <c r="B1407" s="130"/>
      <c r="C1407" s="131"/>
      <c r="D1407" s="131"/>
      <c r="E1407" s="131"/>
      <c r="F1407" s="131"/>
    </row>
    <row r="1408" spans="2:6" ht="15" customHeight="1" x14ac:dyDescent="0.35">
      <c r="B1408" s="130"/>
      <c r="C1408" s="131"/>
      <c r="D1408" s="131"/>
      <c r="E1408" s="131"/>
      <c r="F1408" s="131"/>
    </row>
    <row r="1409" spans="2:6" ht="15" customHeight="1" x14ac:dyDescent="0.35">
      <c r="B1409" s="130"/>
      <c r="C1409" s="131"/>
      <c r="D1409" s="131"/>
      <c r="E1409" s="131"/>
      <c r="F1409" s="131"/>
    </row>
    <row r="1410" spans="2:6" ht="15" customHeight="1" x14ac:dyDescent="0.35">
      <c r="B1410" s="130"/>
      <c r="C1410" s="131"/>
      <c r="D1410" s="131"/>
      <c r="E1410" s="131"/>
      <c r="F1410" s="131"/>
    </row>
    <row r="1411" spans="2:6" ht="15" customHeight="1" x14ac:dyDescent="0.35">
      <c r="B1411" s="130"/>
      <c r="C1411" s="131"/>
      <c r="D1411" s="131"/>
      <c r="E1411" s="131"/>
      <c r="F1411" s="131"/>
    </row>
    <row r="1412" spans="2:6" ht="15" customHeight="1" x14ac:dyDescent="0.35">
      <c r="B1412" s="130"/>
      <c r="C1412" s="131"/>
      <c r="D1412" s="131"/>
      <c r="E1412" s="131"/>
      <c r="F1412" s="131"/>
    </row>
    <row r="1413" spans="2:6" ht="15" customHeight="1" x14ac:dyDescent="0.35">
      <c r="B1413" s="130"/>
      <c r="C1413" s="131"/>
      <c r="D1413" s="131"/>
      <c r="E1413" s="131"/>
      <c r="F1413" s="131"/>
    </row>
    <row r="1414" spans="2:6" ht="15" customHeight="1" x14ac:dyDescent="0.35">
      <c r="B1414" s="130"/>
      <c r="C1414" s="131"/>
      <c r="D1414" s="131"/>
      <c r="E1414" s="131"/>
      <c r="F1414" s="131"/>
    </row>
    <row r="1415" spans="2:6" ht="15" customHeight="1" x14ac:dyDescent="0.35">
      <c r="B1415" s="130"/>
      <c r="C1415" s="131"/>
      <c r="D1415" s="131"/>
      <c r="E1415" s="131"/>
      <c r="F1415" s="131"/>
    </row>
    <row r="1416" spans="2:6" ht="15" customHeight="1" x14ac:dyDescent="0.35">
      <c r="B1416" s="130"/>
      <c r="C1416" s="131"/>
      <c r="D1416" s="131"/>
      <c r="E1416" s="131"/>
      <c r="F1416" s="131"/>
    </row>
    <row r="1417" spans="2:6" ht="15" customHeight="1" x14ac:dyDescent="0.35">
      <c r="B1417" s="130"/>
      <c r="C1417" s="131"/>
      <c r="D1417" s="131"/>
      <c r="E1417" s="131"/>
      <c r="F1417" s="131"/>
    </row>
    <row r="1418" spans="2:6" ht="15" customHeight="1" x14ac:dyDescent="0.35">
      <c r="B1418" s="130"/>
      <c r="C1418" s="131"/>
      <c r="D1418" s="131"/>
      <c r="E1418" s="131"/>
      <c r="F1418" s="131"/>
    </row>
    <row r="1419" spans="2:6" ht="15" customHeight="1" x14ac:dyDescent="0.35">
      <c r="B1419" s="130"/>
      <c r="C1419" s="131"/>
      <c r="D1419" s="131"/>
      <c r="E1419" s="131"/>
      <c r="F1419" s="131"/>
    </row>
    <row r="1420" spans="2:6" ht="15" customHeight="1" x14ac:dyDescent="0.35">
      <c r="B1420" s="130"/>
      <c r="C1420" s="131"/>
      <c r="D1420" s="131"/>
      <c r="E1420" s="131"/>
      <c r="F1420" s="131"/>
    </row>
    <row r="1421" spans="2:6" ht="15" customHeight="1" x14ac:dyDescent="0.35">
      <c r="B1421" s="130"/>
      <c r="C1421" s="131"/>
      <c r="D1421" s="131"/>
      <c r="E1421" s="131"/>
      <c r="F1421" s="131"/>
    </row>
    <row r="1422" spans="2:6" ht="15" customHeight="1" x14ac:dyDescent="0.35">
      <c r="B1422" s="130"/>
      <c r="C1422" s="131"/>
      <c r="D1422" s="131"/>
      <c r="E1422" s="131"/>
      <c r="F1422" s="131"/>
    </row>
    <row r="1423" spans="2:6" ht="15" customHeight="1" x14ac:dyDescent="0.35">
      <c r="B1423" s="130"/>
      <c r="C1423" s="131"/>
      <c r="D1423" s="131"/>
      <c r="E1423" s="131"/>
      <c r="F1423" s="131"/>
    </row>
    <row r="1424" spans="2:6" ht="15" customHeight="1" x14ac:dyDescent="0.35">
      <c r="B1424" s="130"/>
      <c r="C1424" s="131"/>
      <c r="D1424" s="131"/>
      <c r="E1424" s="131"/>
      <c r="F1424" s="131"/>
    </row>
    <row r="1425" spans="2:6" ht="15" customHeight="1" x14ac:dyDescent="0.35">
      <c r="B1425" s="130"/>
      <c r="C1425" s="131"/>
      <c r="D1425" s="131"/>
      <c r="E1425" s="131"/>
      <c r="F1425" s="131"/>
    </row>
    <row r="1426" spans="2:6" ht="15" customHeight="1" x14ac:dyDescent="0.35">
      <c r="B1426" s="130"/>
      <c r="C1426" s="131"/>
      <c r="D1426" s="131"/>
      <c r="E1426" s="131"/>
      <c r="F1426" s="131"/>
    </row>
    <row r="1427" spans="2:6" ht="15" customHeight="1" x14ac:dyDescent="0.35">
      <c r="B1427" s="130"/>
      <c r="C1427" s="131"/>
      <c r="D1427" s="131"/>
      <c r="E1427" s="131"/>
      <c r="F1427" s="131"/>
    </row>
    <row r="1428" spans="2:6" ht="15" customHeight="1" x14ac:dyDescent="0.35">
      <c r="B1428" s="130"/>
      <c r="C1428" s="131"/>
      <c r="D1428" s="131"/>
      <c r="E1428" s="131"/>
      <c r="F1428" s="131"/>
    </row>
    <row r="1429" spans="2:6" ht="15" customHeight="1" x14ac:dyDescent="0.35">
      <c r="B1429" s="130"/>
      <c r="C1429" s="131"/>
      <c r="D1429" s="131"/>
      <c r="E1429" s="131"/>
      <c r="F1429" s="131"/>
    </row>
    <row r="1430" spans="2:6" ht="15" customHeight="1" x14ac:dyDescent="0.35">
      <c r="B1430" s="130"/>
      <c r="C1430" s="131"/>
      <c r="D1430" s="131"/>
      <c r="E1430" s="131"/>
      <c r="F1430" s="131"/>
    </row>
    <row r="1431" spans="2:6" ht="15" customHeight="1" x14ac:dyDescent="0.35">
      <c r="B1431" s="130"/>
      <c r="C1431" s="131"/>
      <c r="D1431" s="131"/>
      <c r="E1431" s="131"/>
      <c r="F1431" s="131"/>
    </row>
    <row r="1432" spans="2:6" ht="15" customHeight="1" x14ac:dyDescent="0.35">
      <c r="B1432" s="130"/>
      <c r="C1432" s="131"/>
      <c r="D1432" s="131"/>
      <c r="E1432" s="131"/>
      <c r="F1432" s="131"/>
    </row>
    <row r="1433" spans="2:6" ht="15" customHeight="1" x14ac:dyDescent="0.35">
      <c r="B1433" s="130"/>
      <c r="C1433" s="131"/>
      <c r="D1433" s="131"/>
      <c r="E1433" s="131"/>
      <c r="F1433" s="131"/>
    </row>
    <row r="1434" spans="2:6" ht="15" customHeight="1" x14ac:dyDescent="0.35">
      <c r="B1434" s="130"/>
      <c r="C1434" s="131"/>
      <c r="D1434" s="131"/>
      <c r="E1434" s="131"/>
      <c r="F1434" s="131"/>
    </row>
    <row r="1435" spans="2:6" ht="15" customHeight="1" x14ac:dyDescent="0.35">
      <c r="B1435" s="130"/>
      <c r="C1435" s="131"/>
      <c r="D1435" s="131"/>
      <c r="E1435" s="131"/>
      <c r="F1435" s="131"/>
    </row>
    <row r="1436" spans="2:6" ht="15" customHeight="1" x14ac:dyDescent="0.35">
      <c r="B1436" s="130"/>
      <c r="C1436" s="131"/>
      <c r="D1436" s="131"/>
      <c r="E1436" s="131"/>
      <c r="F1436" s="131"/>
    </row>
    <row r="1437" spans="2:6" ht="15" customHeight="1" x14ac:dyDescent="0.35">
      <c r="B1437" s="130"/>
      <c r="C1437" s="131"/>
      <c r="D1437" s="131"/>
      <c r="E1437" s="131"/>
      <c r="F1437" s="131"/>
    </row>
    <row r="1438" spans="2:6" ht="15" customHeight="1" x14ac:dyDescent="0.35">
      <c r="B1438" s="130"/>
      <c r="C1438" s="131"/>
      <c r="D1438" s="131"/>
      <c r="E1438" s="131"/>
      <c r="F1438" s="131"/>
    </row>
    <row r="1439" spans="2:6" ht="15" customHeight="1" x14ac:dyDescent="0.35">
      <c r="B1439" s="130"/>
      <c r="C1439" s="131"/>
      <c r="D1439" s="131"/>
      <c r="E1439" s="131"/>
      <c r="F1439" s="131"/>
    </row>
    <row r="1440" spans="2:6" ht="15" customHeight="1" x14ac:dyDescent="0.35">
      <c r="B1440" s="130"/>
      <c r="C1440" s="131"/>
      <c r="D1440" s="131"/>
      <c r="E1440" s="131"/>
      <c r="F1440" s="131"/>
    </row>
    <row r="1441" spans="2:6" ht="15" customHeight="1" x14ac:dyDescent="0.35">
      <c r="B1441" s="130"/>
      <c r="C1441" s="131"/>
      <c r="D1441" s="131"/>
      <c r="E1441" s="131"/>
      <c r="F1441" s="131"/>
    </row>
    <row r="1442" spans="2:6" ht="15" customHeight="1" x14ac:dyDescent="0.35">
      <c r="B1442" s="130"/>
      <c r="C1442" s="131"/>
      <c r="D1442" s="131"/>
      <c r="E1442" s="131"/>
      <c r="F1442" s="131"/>
    </row>
    <row r="1443" spans="2:6" ht="15" customHeight="1" x14ac:dyDescent="0.35">
      <c r="B1443" s="130"/>
      <c r="C1443" s="131"/>
      <c r="D1443" s="131"/>
      <c r="E1443" s="131"/>
      <c r="F1443" s="131"/>
    </row>
    <row r="1444" spans="2:6" ht="15" customHeight="1" x14ac:dyDescent="0.35">
      <c r="B1444" s="130"/>
      <c r="C1444" s="131"/>
      <c r="D1444" s="131"/>
      <c r="E1444" s="131"/>
      <c r="F1444" s="131"/>
    </row>
    <row r="1445" spans="2:6" ht="15" customHeight="1" x14ac:dyDescent="0.35">
      <c r="B1445" s="130"/>
      <c r="C1445" s="131"/>
      <c r="D1445" s="131"/>
      <c r="E1445" s="131"/>
      <c r="F1445" s="131"/>
    </row>
    <row r="1446" spans="2:6" ht="15" customHeight="1" x14ac:dyDescent="0.35">
      <c r="B1446" s="130"/>
      <c r="C1446" s="131"/>
      <c r="D1446" s="131"/>
      <c r="E1446" s="131"/>
      <c r="F1446" s="131"/>
    </row>
    <row r="1447" spans="2:6" ht="15" customHeight="1" x14ac:dyDescent="0.35">
      <c r="B1447" s="130"/>
      <c r="C1447" s="131"/>
      <c r="D1447" s="131"/>
      <c r="E1447" s="131"/>
      <c r="F1447" s="131"/>
    </row>
    <row r="1448" spans="2:6" ht="15" customHeight="1" x14ac:dyDescent="0.35">
      <c r="B1448" s="130"/>
      <c r="C1448" s="131"/>
      <c r="D1448" s="131"/>
      <c r="E1448" s="131"/>
      <c r="F1448" s="131"/>
    </row>
    <row r="1449" spans="2:6" ht="15" customHeight="1" x14ac:dyDescent="0.35">
      <c r="B1449" s="130"/>
      <c r="C1449" s="131"/>
      <c r="D1449" s="131"/>
      <c r="E1449" s="131"/>
      <c r="F1449" s="131"/>
    </row>
    <row r="1450" spans="2:6" ht="15" customHeight="1" x14ac:dyDescent="0.35">
      <c r="B1450" s="130"/>
      <c r="C1450" s="131"/>
      <c r="D1450" s="131"/>
      <c r="E1450" s="131"/>
      <c r="F1450" s="131"/>
    </row>
    <row r="1451" spans="2:6" ht="15" customHeight="1" x14ac:dyDescent="0.35">
      <c r="B1451" s="130"/>
      <c r="C1451" s="131"/>
      <c r="D1451" s="131"/>
      <c r="E1451" s="131"/>
      <c r="F1451" s="131"/>
    </row>
    <row r="1452" spans="2:6" ht="15" customHeight="1" x14ac:dyDescent="0.35">
      <c r="B1452" s="130"/>
      <c r="C1452" s="131"/>
      <c r="D1452" s="131"/>
      <c r="E1452" s="131"/>
      <c r="F1452" s="131"/>
    </row>
    <row r="1453" spans="2:6" ht="15" customHeight="1" x14ac:dyDescent="0.35">
      <c r="B1453" s="130"/>
      <c r="C1453" s="131"/>
      <c r="D1453" s="131"/>
      <c r="E1453" s="131"/>
      <c r="F1453" s="131"/>
    </row>
    <row r="1454" spans="2:6" ht="15" customHeight="1" x14ac:dyDescent="0.35">
      <c r="B1454" s="130"/>
      <c r="C1454" s="131"/>
      <c r="D1454" s="131"/>
      <c r="E1454" s="131"/>
      <c r="F1454" s="131"/>
    </row>
    <row r="1455" spans="2:6" ht="15" customHeight="1" x14ac:dyDescent="0.35">
      <c r="B1455" s="130"/>
      <c r="C1455" s="131"/>
      <c r="D1455" s="131"/>
      <c r="E1455" s="131"/>
      <c r="F1455" s="131"/>
    </row>
    <row r="1456" spans="2:6" ht="15" customHeight="1" x14ac:dyDescent="0.35">
      <c r="B1456" s="130"/>
      <c r="C1456" s="131"/>
      <c r="D1456" s="131"/>
      <c r="E1456" s="131"/>
      <c r="F1456" s="131"/>
    </row>
    <row r="1457" spans="2:6" ht="15" customHeight="1" x14ac:dyDescent="0.35">
      <c r="B1457" s="130"/>
      <c r="C1457" s="131"/>
      <c r="D1457" s="131"/>
      <c r="E1457" s="131"/>
      <c r="F1457" s="131"/>
    </row>
    <row r="1458" spans="2:6" ht="15" customHeight="1" x14ac:dyDescent="0.35">
      <c r="B1458" s="130"/>
      <c r="C1458" s="131"/>
      <c r="D1458" s="131"/>
      <c r="E1458" s="131"/>
      <c r="F1458" s="131"/>
    </row>
    <row r="1459" spans="2:6" ht="15" customHeight="1" x14ac:dyDescent="0.35">
      <c r="B1459" s="130"/>
      <c r="C1459" s="131"/>
      <c r="D1459" s="131"/>
      <c r="E1459" s="131"/>
      <c r="F1459" s="131"/>
    </row>
    <row r="1460" spans="2:6" ht="15" customHeight="1" x14ac:dyDescent="0.35">
      <c r="B1460" s="130"/>
      <c r="C1460" s="131"/>
      <c r="D1460" s="131"/>
      <c r="E1460" s="131"/>
      <c r="F1460" s="131"/>
    </row>
    <row r="1461" spans="2:6" ht="15" customHeight="1" x14ac:dyDescent="0.35">
      <c r="B1461" s="130"/>
      <c r="C1461" s="131"/>
      <c r="D1461" s="131"/>
      <c r="E1461" s="131"/>
      <c r="F1461" s="131"/>
    </row>
    <row r="1462" spans="2:6" ht="15" customHeight="1" x14ac:dyDescent="0.35">
      <c r="B1462" s="130"/>
      <c r="C1462" s="131"/>
      <c r="D1462" s="131"/>
      <c r="E1462" s="131"/>
      <c r="F1462" s="131"/>
    </row>
    <row r="1463" spans="2:6" ht="15" customHeight="1" x14ac:dyDescent="0.35">
      <c r="B1463" s="130"/>
      <c r="C1463" s="131"/>
      <c r="D1463" s="131"/>
      <c r="E1463" s="131"/>
      <c r="F1463" s="131"/>
    </row>
    <row r="1464" spans="2:6" ht="15" customHeight="1" x14ac:dyDescent="0.35">
      <c r="B1464" s="130"/>
      <c r="C1464" s="131"/>
      <c r="D1464" s="131"/>
      <c r="E1464" s="131"/>
      <c r="F1464" s="131"/>
    </row>
    <row r="1465" spans="2:6" ht="15" customHeight="1" x14ac:dyDescent="0.35">
      <c r="B1465" s="130"/>
      <c r="C1465" s="131"/>
      <c r="D1465" s="131"/>
      <c r="E1465" s="131"/>
      <c r="F1465" s="131"/>
    </row>
    <row r="1466" spans="2:6" ht="15" customHeight="1" x14ac:dyDescent="0.35">
      <c r="B1466" s="130"/>
      <c r="C1466" s="131"/>
      <c r="D1466" s="131"/>
      <c r="E1466" s="131"/>
      <c r="F1466" s="131"/>
    </row>
    <row r="1467" spans="2:6" ht="15" customHeight="1" x14ac:dyDescent="0.35">
      <c r="B1467" s="130"/>
      <c r="C1467" s="131"/>
      <c r="D1467" s="131"/>
      <c r="E1467" s="131"/>
      <c r="F1467" s="131"/>
    </row>
    <row r="1468" spans="2:6" ht="15" customHeight="1" x14ac:dyDescent="0.35">
      <c r="B1468" s="130"/>
      <c r="C1468" s="131"/>
      <c r="D1468" s="131"/>
      <c r="E1468" s="131"/>
      <c r="F1468" s="131"/>
    </row>
    <row r="1469" spans="2:6" ht="15" customHeight="1" x14ac:dyDescent="0.35">
      <c r="B1469" s="130"/>
      <c r="C1469" s="131"/>
      <c r="D1469" s="131"/>
      <c r="E1469" s="131"/>
      <c r="F1469" s="131"/>
    </row>
    <row r="1470" spans="2:6" ht="15" customHeight="1" x14ac:dyDescent="0.35">
      <c r="B1470" s="130"/>
      <c r="C1470" s="131"/>
      <c r="D1470" s="131"/>
      <c r="E1470" s="131"/>
      <c r="F1470" s="131"/>
    </row>
    <row r="1471" spans="2:6" ht="15" customHeight="1" x14ac:dyDescent="0.35">
      <c r="B1471" s="130"/>
      <c r="C1471" s="131"/>
      <c r="D1471" s="131"/>
      <c r="E1471" s="131"/>
      <c r="F1471" s="131"/>
    </row>
    <row r="1472" spans="2:6" ht="15" customHeight="1" x14ac:dyDescent="0.35">
      <c r="B1472" s="130"/>
      <c r="C1472" s="131"/>
      <c r="D1472" s="131"/>
      <c r="E1472" s="131"/>
      <c r="F1472" s="131"/>
    </row>
    <row r="1473" spans="2:6" ht="15" customHeight="1" x14ac:dyDescent="0.35">
      <c r="B1473" s="130"/>
      <c r="C1473" s="131"/>
      <c r="D1473" s="131"/>
      <c r="E1473" s="131"/>
      <c r="F1473" s="131"/>
    </row>
    <row r="1474" spans="2:6" ht="15" customHeight="1" x14ac:dyDescent="0.35">
      <c r="B1474" s="130"/>
      <c r="C1474" s="131"/>
      <c r="D1474" s="131"/>
      <c r="E1474" s="131"/>
      <c r="F1474" s="131"/>
    </row>
    <row r="1475" spans="2:6" ht="15" customHeight="1" x14ac:dyDescent="0.35">
      <c r="B1475" s="130"/>
      <c r="C1475" s="131"/>
      <c r="D1475" s="131"/>
      <c r="E1475" s="131"/>
      <c r="F1475" s="131"/>
    </row>
    <row r="1476" spans="2:6" ht="15" customHeight="1" x14ac:dyDescent="0.35">
      <c r="B1476" s="130"/>
      <c r="C1476" s="131"/>
      <c r="D1476" s="131"/>
      <c r="E1476" s="131"/>
      <c r="F1476" s="131"/>
    </row>
    <row r="1477" spans="2:6" ht="15" customHeight="1" x14ac:dyDescent="0.35">
      <c r="B1477" s="130"/>
      <c r="C1477" s="131"/>
      <c r="D1477" s="131"/>
      <c r="E1477" s="131"/>
      <c r="F1477" s="131"/>
    </row>
    <row r="1478" spans="2:6" ht="15" customHeight="1" x14ac:dyDescent="0.35">
      <c r="B1478" s="130"/>
      <c r="C1478" s="131"/>
      <c r="D1478" s="131"/>
      <c r="E1478" s="131"/>
      <c r="F1478" s="131"/>
    </row>
    <row r="1479" spans="2:6" ht="15" customHeight="1" x14ac:dyDescent="0.35">
      <c r="B1479" s="130"/>
      <c r="C1479" s="131"/>
      <c r="D1479" s="131"/>
      <c r="E1479" s="131"/>
      <c r="F1479" s="131"/>
    </row>
    <row r="1480" spans="2:6" ht="15" customHeight="1" x14ac:dyDescent="0.35">
      <c r="B1480" s="130"/>
      <c r="C1480" s="131"/>
      <c r="D1480" s="131"/>
      <c r="E1480" s="131"/>
      <c r="F1480" s="131"/>
    </row>
    <row r="1481" spans="2:6" ht="15" customHeight="1" x14ac:dyDescent="0.35">
      <c r="B1481" s="130"/>
      <c r="C1481" s="131"/>
      <c r="D1481" s="131"/>
      <c r="E1481" s="131"/>
      <c r="F1481" s="131"/>
    </row>
    <row r="1482" spans="2:6" ht="15" customHeight="1" x14ac:dyDescent="0.35">
      <c r="B1482" s="130"/>
      <c r="C1482" s="131"/>
      <c r="D1482" s="131"/>
      <c r="E1482" s="131"/>
      <c r="F1482" s="131"/>
    </row>
    <row r="1483" spans="2:6" ht="15" customHeight="1" x14ac:dyDescent="0.35">
      <c r="B1483" s="130"/>
      <c r="C1483" s="131"/>
      <c r="D1483" s="131"/>
      <c r="E1483" s="131"/>
      <c r="F1483" s="131"/>
    </row>
    <row r="1484" spans="2:6" ht="15" customHeight="1" x14ac:dyDescent="0.35">
      <c r="B1484" s="130"/>
      <c r="C1484" s="131"/>
      <c r="D1484" s="131"/>
      <c r="E1484" s="131"/>
      <c r="F1484" s="131"/>
    </row>
    <row r="1485" spans="2:6" ht="15" customHeight="1" x14ac:dyDescent="0.35">
      <c r="B1485" s="130"/>
      <c r="C1485" s="131"/>
      <c r="D1485" s="131"/>
      <c r="E1485" s="131"/>
      <c r="F1485" s="131"/>
    </row>
    <row r="1486" spans="2:6" ht="15" customHeight="1" x14ac:dyDescent="0.35">
      <c r="B1486" s="130"/>
      <c r="C1486" s="131"/>
      <c r="D1486" s="131"/>
      <c r="E1486" s="131"/>
      <c r="F1486" s="131"/>
    </row>
    <row r="1487" spans="2:6" ht="15" customHeight="1" x14ac:dyDescent="0.35">
      <c r="B1487" s="130"/>
      <c r="C1487" s="131"/>
      <c r="D1487" s="131"/>
      <c r="E1487" s="131"/>
      <c r="F1487" s="131"/>
    </row>
    <row r="1488" spans="2:6" ht="15" customHeight="1" x14ac:dyDescent="0.35">
      <c r="B1488" s="130"/>
      <c r="C1488" s="131"/>
      <c r="D1488" s="131"/>
      <c r="E1488" s="131"/>
      <c r="F1488" s="131"/>
    </row>
    <row r="1489" spans="2:6" ht="15" customHeight="1" x14ac:dyDescent="0.35">
      <c r="B1489" s="130"/>
      <c r="C1489" s="131"/>
      <c r="D1489" s="131"/>
      <c r="E1489" s="131"/>
      <c r="F1489" s="131"/>
    </row>
    <row r="1490" spans="2:6" ht="15" customHeight="1" x14ac:dyDescent="0.35">
      <c r="B1490" s="130"/>
      <c r="C1490" s="131"/>
      <c r="D1490" s="131"/>
      <c r="E1490" s="131"/>
      <c r="F1490" s="131"/>
    </row>
    <row r="1491" spans="2:6" ht="15" customHeight="1" x14ac:dyDescent="0.35">
      <c r="B1491" s="130"/>
      <c r="C1491" s="131"/>
      <c r="D1491" s="131"/>
      <c r="E1491" s="131"/>
      <c r="F1491" s="131"/>
    </row>
    <row r="1492" spans="2:6" ht="15" customHeight="1" x14ac:dyDescent="0.35">
      <c r="B1492" s="130"/>
      <c r="C1492" s="131"/>
      <c r="D1492" s="131"/>
      <c r="E1492" s="131"/>
      <c r="F1492" s="131"/>
    </row>
    <row r="1493" spans="2:6" ht="15" customHeight="1" x14ac:dyDescent="0.35">
      <c r="B1493" s="130"/>
      <c r="C1493" s="131"/>
      <c r="D1493" s="131"/>
      <c r="E1493" s="131"/>
      <c r="F1493" s="131"/>
    </row>
    <row r="1494" spans="2:6" ht="15" customHeight="1" x14ac:dyDescent="0.35">
      <c r="B1494" s="130"/>
      <c r="C1494" s="131"/>
      <c r="D1494" s="131"/>
      <c r="E1494" s="131"/>
      <c r="F1494" s="131"/>
    </row>
    <row r="1495" spans="2:6" ht="15" customHeight="1" x14ac:dyDescent="0.35">
      <c r="B1495" s="130"/>
      <c r="C1495" s="131"/>
      <c r="D1495" s="131"/>
      <c r="E1495" s="131"/>
      <c r="F1495" s="131"/>
    </row>
    <row r="1496" spans="2:6" ht="15" customHeight="1" x14ac:dyDescent="0.35">
      <c r="B1496" s="130"/>
      <c r="C1496" s="131"/>
      <c r="D1496" s="131"/>
      <c r="E1496" s="131"/>
      <c r="F1496" s="131"/>
    </row>
    <row r="1497" spans="2:6" ht="15" customHeight="1" x14ac:dyDescent="0.35">
      <c r="B1497" s="130"/>
      <c r="C1497" s="131"/>
      <c r="D1497" s="131"/>
      <c r="E1497" s="131"/>
      <c r="F1497" s="131"/>
    </row>
    <row r="1498" spans="2:6" ht="15" customHeight="1" x14ac:dyDescent="0.35">
      <c r="B1498" s="130"/>
      <c r="C1498" s="131"/>
      <c r="D1498" s="131"/>
      <c r="E1498" s="131"/>
      <c r="F1498" s="131"/>
    </row>
    <row r="1499" spans="2:6" ht="15" customHeight="1" x14ac:dyDescent="0.35">
      <c r="B1499" s="130"/>
      <c r="C1499" s="131"/>
      <c r="D1499" s="131"/>
      <c r="E1499" s="131"/>
      <c r="F1499" s="131"/>
    </row>
    <row r="1500" spans="2:6" ht="15" customHeight="1" x14ac:dyDescent="0.35">
      <c r="B1500" s="130"/>
      <c r="C1500" s="131"/>
      <c r="D1500" s="131"/>
      <c r="E1500" s="131"/>
      <c r="F1500" s="131"/>
    </row>
    <row r="1501" spans="2:6" ht="15" customHeight="1" x14ac:dyDescent="0.35">
      <c r="B1501" s="130"/>
      <c r="C1501" s="131"/>
      <c r="D1501" s="131"/>
      <c r="E1501" s="131"/>
      <c r="F1501" s="131"/>
    </row>
    <row r="1502" spans="2:6" ht="15" customHeight="1" x14ac:dyDescent="0.35">
      <c r="B1502" s="130"/>
      <c r="C1502" s="131"/>
      <c r="D1502" s="131"/>
      <c r="E1502" s="131"/>
      <c r="F1502" s="131"/>
    </row>
    <row r="1503" spans="2:6" ht="15" customHeight="1" x14ac:dyDescent="0.35">
      <c r="B1503" s="130"/>
      <c r="C1503" s="131"/>
      <c r="D1503" s="131"/>
      <c r="E1503" s="131"/>
      <c r="F1503" s="131"/>
    </row>
    <row r="1504" spans="2:6" ht="15" customHeight="1" x14ac:dyDescent="0.35">
      <c r="B1504" s="130"/>
      <c r="C1504" s="131"/>
      <c r="D1504" s="131"/>
      <c r="E1504" s="131"/>
      <c r="F1504" s="131"/>
    </row>
    <row r="1505" spans="2:6" ht="15" customHeight="1" x14ac:dyDescent="0.35">
      <c r="B1505" s="130"/>
      <c r="C1505" s="131"/>
      <c r="D1505" s="131"/>
      <c r="E1505" s="131"/>
      <c r="F1505" s="131"/>
    </row>
    <row r="1506" spans="2:6" ht="15" customHeight="1" x14ac:dyDescent="0.35">
      <c r="B1506" s="130"/>
      <c r="C1506" s="131"/>
      <c r="D1506" s="131"/>
      <c r="E1506" s="131"/>
      <c r="F1506" s="131"/>
    </row>
    <row r="1507" spans="2:6" ht="15" customHeight="1" x14ac:dyDescent="0.35">
      <c r="B1507" s="130"/>
      <c r="C1507" s="131"/>
      <c r="D1507" s="131"/>
      <c r="E1507" s="131"/>
      <c r="F1507" s="131"/>
    </row>
    <row r="1508" spans="2:6" ht="15" customHeight="1" x14ac:dyDescent="0.35">
      <c r="B1508" s="130"/>
      <c r="C1508" s="131"/>
      <c r="D1508" s="131"/>
      <c r="E1508" s="131"/>
      <c r="F1508" s="131"/>
    </row>
    <row r="1509" spans="2:6" ht="15" customHeight="1" x14ac:dyDescent="0.35">
      <c r="B1509" s="130"/>
      <c r="C1509" s="131"/>
      <c r="D1509" s="131"/>
      <c r="E1509" s="131"/>
      <c r="F1509" s="131"/>
    </row>
    <row r="1510" spans="2:6" ht="15" customHeight="1" x14ac:dyDescent="0.35">
      <c r="B1510" s="130"/>
      <c r="C1510" s="131"/>
      <c r="D1510" s="131"/>
      <c r="E1510" s="131"/>
      <c r="F1510" s="131"/>
    </row>
    <row r="1511" spans="2:6" ht="15" customHeight="1" x14ac:dyDescent="0.35">
      <c r="B1511" s="130"/>
      <c r="C1511" s="131"/>
      <c r="D1511" s="131"/>
      <c r="E1511" s="131"/>
      <c r="F1511" s="131"/>
    </row>
    <row r="1512" spans="2:6" ht="15" customHeight="1" x14ac:dyDescent="0.35">
      <c r="B1512" s="130"/>
      <c r="C1512" s="131"/>
      <c r="D1512" s="131"/>
      <c r="E1512" s="131"/>
      <c r="F1512" s="131"/>
    </row>
    <row r="1513" spans="2:6" ht="15" customHeight="1" x14ac:dyDescent="0.35">
      <c r="B1513" s="130"/>
      <c r="C1513" s="131"/>
      <c r="D1513" s="131"/>
      <c r="E1513" s="131"/>
      <c r="F1513" s="131"/>
    </row>
    <row r="1514" spans="2:6" ht="15" customHeight="1" x14ac:dyDescent="0.35">
      <c r="B1514" s="130"/>
      <c r="C1514" s="131"/>
      <c r="D1514" s="131"/>
      <c r="E1514" s="131"/>
      <c r="F1514" s="131"/>
    </row>
    <row r="1515" spans="2:6" ht="15" customHeight="1" x14ac:dyDescent="0.35">
      <c r="B1515" s="130"/>
      <c r="C1515" s="131"/>
      <c r="D1515" s="131"/>
      <c r="E1515" s="131"/>
      <c r="F1515" s="131"/>
    </row>
    <row r="1516" spans="2:6" ht="15" customHeight="1" x14ac:dyDescent="0.35">
      <c r="B1516" s="130"/>
      <c r="C1516" s="131"/>
      <c r="D1516" s="131"/>
      <c r="E1516" s="131"/>
      <c r="F1516" s="131"/>
    </row>
    <row r="1517" spans="2:6" ht="15" customHeight="1" x14ac:dyDescent="0.35">
      <c r="B1517" s="130"/>
      <c r="C1517" s="131"/>
      <c r="D1517" s="131"/>
      <c r="E1517" s="131"/>
      <c r="F1517" s="131"/>
    </row>
    <row r="1518" spans="2:6" ht="15" customHeight="1" x14ac:dyDescent="0.35">
      <c r="B1518" s="130"/>
      <c r="C1518" s="131"/>
      <c r="D1518" s="131"/>
      <c r="E1518" s="131"/>
      <c r="F1518" s="131"/>
    </row>
    <row r="1519" spans="2:6" ht="15" customHeight="1" x14ac:dyDescent="0.35">
      <c r="B1519" s="130"/>
      <c r="C1519" s="131"/>
      <c r="D1519" s="131"/>
      <c r="E1519" s="131"/>
      <c r="F1519" s="131"/>
    </row>
    <row r="1520" spans="2:6" ht="15" customHeight="1" x14ac:dyDescent="0.35">
      <c r="B1520" s="130"/>
      <c r="C1520" s="131"/>
      <c r="D1520" s="131"/>
      <c r="E1520" s="131"/>
      <c r="F1520" s="131"/>
    </row>
    <row r="1521" spans="2:6" ht="15" customHeight="1" x14ac:dyDescent="0.35">
      <c r="B1521" s="130"/>
      <c r="C1521" s="131"/>
      <c r="D1521" s="131"/>
      <c r="E1521" s="131"/>
      <c r="F1521" s="131"/>
    </row>
    <row r="1522" spans="2:6" ht="15" customHeight="1" x14ac:dyDescent="0.35">
      <c r="B1522" s="130"/>
      <c r="C1522" s="131"/>
      <c r="D1522" s="131"/>
      <c r="E1522" s="131"/>
      <c r="F1522" s="131"/>
    </row>
    <row r="1523" spans="2:6" ht="15" customHeight="1" x14ac:dyDescent="0.35">
      <c r="B1523" s="130"/>
      <c r="C1523" s="131"/>
      <c r="D1523" s="131"/>
      <c r="E1523" s="131"/>
      <c r="F1523" s="131"/>
    </row>
    <row r="1524" spans="2:6" ht="15" customHeight="1" x14ac:dyDescent="0.35">
      <c r="B1524" s="130"/>
      <c r="C1524" s="131"/>
      <c r="D1524" s="131"/>
      <c r="E1524" s="131"/>
      <c r="F1524" s="131"/>
    </row>
    <row r="1525" spans="2:6" ht="15" customHeight="1" x14ac:dyDescent="0.35">
      <c r="B1525" s="130"/>
      <c r="C1525" s="131"/>
      <c r="D1525" s="131"/>
      <c r="E1525" s="131"/>
      <c r="F1525" s="131"/>
    </row>
    <row r="1526" spans="2:6" ht="15" customHeight="1" x14ac:dyDescent="0.35">
      <c r="B1526" s="130"/>
      <c r="C1526" s="131"/>
      <c r="D1526" s="131"/>
      <c r="E1526" s="131"/>
      <c r="F1526" s="131"/>
    </row>
    <row r="1527" spans="2:6" ht="15" customHeight="1" x14ac:dyDescent="0.35">
      <c r="B1527" s="130"/>
      <c r="C1527" s="131"/>
      <c r="D1527" s="131"/>
      <c r="E1527" s="131"/>
      <c r="F1527" s="131"/>
    </row>
    <row r="1528" spans="2:6" ht="15" customHeight="1" x14ac:dyDescent="0.35">
      <c r="B1528" s="130"/>
      <c r="C1528" s="131"/>
      <c r="D1528" s="131"/>
      <c r="E1528" s="131"/>
      <c r="F1528" s="131"/>
    </row>
    <row r="1529" spans="2:6" ht="15" customHeight="1" x14ac:dyDescent="0.35">
      <c r="B1529" s="130"/>
      <c r="C1529" s="131"/>
      <c r="D1529" s="131"/>
      <c r="E1529" s="131"/>
      <c r="F1529" s="131"/>
    </row>
    <row r="1530" spans="2:6" ht="15" customHeight="1" x14ac:dyDescent="0.35">
      <c r="B1530" s="130"/>
      <c r="C1530" s="131"/>
      <c r="D1530" s="131"/>
      <c r="E1530" s="131"/>
      <c r="F1530" s="131"/>
    </row>
    <row r="1531" spans="2:6" ht="15" customHeight="1" x14ac:dyDescent="0.35">
      <c r="B1531" s="130"/>
      <c r="C1531" s="131"/>
      <c r="D1531" s="131"/>
      <c r="E1531" s="131"/>
      <c r="F1531" s="131"/>
    </row>
    <row r="1532" spans="2:6" ht="15" customHeight="1" x14ac:dyDescent="0.35">
      <c r="B1532" s="130"/>
      <c r="C1532" s="131"/>
      <c r="D1532" s="131"/>
      <c r="E1532" s="131"/>
      <c r="F1532" s="131"/>
    </row>
    <row r="1533" spans="2:6" ht="15" customHeight="1" x14ac:dyDescent="0.35">
      <c r="B1533" s="130"/>
      <c r="C1533" s="131"/>
      <c r="D1533" s="131"/>
      <c r="E1533" s="131"/>
      <c r="F1533" s="131"/>
    </row>
    <row r="1534" spans="2:6" ht="15" customHeight="1" x14ac:dyDescent="0.35">
      <c r="B1534" s="130"/>
      <c r="C1534" s="131"/>
      <c r="D1534" s="131"/>
      <c r="E1534" s="131"/>
      <c r="F1534" s="131"/>
    </row>
    <row r="1535" spans="2:6" ht="15" customHeight="1" x14ac:dyDescent="0.35">
      <c r="B1535" s="130"/>
      <c r="C1535" s="131"/>
      <c r="D1535" s="131"/>
      <c r="E1535" s="131"/>
      <c r="F1535" s="131"/>
    </row>
    <row r="1536" spans="2:6" ht="15" customHeight="1" x14ac:dyDescent="0.35">
      <c r="B1536" s="130"/>
      <c r="C1536" s="131"/>
      <c r="D1536" s="131"/>
      <c r="E1536" s="131"/>
      <c r="F1536" s="131"/>
    </row>
    <row r="1537" spans="2:6" ht="15" customHeight="1" x14ac:dyDescent="0.35">
      <c r="B1537" s="130"/>
      <c r="C1537" s="131"/>
      <c r="D1537" s="131"/>
      <c r="E1537" s="131"/>
      <c r="F1537" s="131"/>
    </row>
    <row r="1538" spans="2:6" ht="15" customHeight="1" x14ac:dyDescent="0.35">
      <c r="B1538" s="130"/>
      <c r="C1538" s="131"/>
      <c r="D1538" s="131"/>
      <c r="E1538" s="131"/>
      <c r="F1538" s="131"/>
    </row>
    <row r="1539" spans="2:6" ht="15" customHeight="1" x14ac:dyDescent="0.35">
      <c r="B1539" s="130"/>
      <c r="C1539" s="131"/>
      <c r="D1539" s="131"/>
      <c r="E1539" s="131"/>
      <c r="F1539" s="131"/>
    </row>
    <row r="1540" spans="2:6" ht="15" customHeight="1" x14ac:dyDescent="0.35">
      <c r="B1540" s="130"/>
      <c r="C1540" s="131"/>
      <c r="D1540" s="131"/>
      <c r="E1540" s="131"/>
      <c r="F1540" s="131"/>
    </row>
    <row r="1541" spans="2:6" ht="15" customHeight="1" x14ac:dyDescent="0.35">
      <c r="B1541" s="130"/>
      <c r="C1541" s="131"/>
      <c r="D1541" s="131"/>
      <c r="E1541" s="131"/>
      <c r="F1541" s="131"/>
    </row>
    <row r="1542" spans="2:6" ht="15" customHeight="1" x14ac:dyDescent="0.35">
      <c r="B1542" s="130"/>
      <c r="C1542" s="131"/>
      <c r="D1542" s="131"/>
      <c r="E1542" s="131"/>
      <c r="F1542" s="131"/>
    </row>
    <row r="1543" spans="2:6" ht="15" customHeight="1" x14ac:dyDescent="0.35">
      <c r="B1543" s="130"/>
      <c r="C1543" s="131"/>
      <c r="D1543" s="131"/>
      <c r="E1543" s="131"/>
      <c r="F1543" s="131"/>
    </row>
    <row r="1544" spans="2:6" ht="15" customHeight="1" x14ac:dyDescent="0.35">
      <c r="B1544" s="130"/>
      <c r="C1544" s="131"/>
      <c r="D1544" s="131"/>
      <c r="E1544" s="131"/>
      <c r="F1544" s="131"/>
    </row>
    <row r="1545" spans="2:6" ht="15" customHeight="1" x14ac:dyDescent="0.35">
      <c r="B1545" s="130"/>
      <c r="C1545" s="131"/>
      <c r="D1545" s="131"/>
      <c r="E1545" s="131"/>
      <c r="F1545" s="131"/>
    </row>
    <row r="1546" spans="2:6" ht="15" customHeight="1" x14ac:dyDescent="0.35">
      <c r="B1546" s="130"/>
      <c r="C1546" s="131"/>
      <c r="D1546" s="131"/>
      <c r="E1546" s="131"/>
      <c r="F1546" s="131"/>
    </row>
    <row r="1547" spans="2:6" ht="15" customHeight="1" x14ac:dyDescent="0.35">
      <c r="B1547" s="130"/>
      <c r="C1547" s="131"/>
      <c r="D1547" s="131"/>
      <c r="E1547" s="131"/>
      <c r="F1547" s="131"/>
    </row>
    <row r="1548" spans="2:6" ht="15" customHeight="1" x14ac:dyDescent="0.35">
      <c r="B1548" s="130"/>
      <c r="C1548" s="131"/>
      <c r="D1548" s="131"/>
      <c r="E1548" s="131"/>
      <c r="F1548" s="131"/>
    </row>
    <row r="1549" spans="2:6" ht="15" customHeight="1" x14ac:dyDescent="0.35">
      <c r="B1549" s="130"/>
      <c r="C1549" s="131"/>
      <c r="D1549" s="131"/>
      <c r="E1549" s="131"/>
      <c r="F1549" s="131"/>
    </row>
    <row r="1550" spans="2:6" ht="15" customHeight="1" x14ac:dyDescent="0.35">
      <c r="B1550" s="130"/>
      <c r="C1550" s="131"/>
      <c r="D1550" s="131"/>
      <c r="E1550" s="131"/>
      <c r="F1550" s="131"/>
    </row>
    <row r="1551" spans="2:6" ht="15" customHeight="1" x14ac:dyDescent="0.35">
      <c r="B1551" s="130"/>
      <c r="C1551" s="131"/>
      <c r="D1551" s="131"/>
      <c r="E1551" s="131"/>
      <c r="F1551" s="131"/>
    </row>
    <row r="1552" spans="2:6" ht="15" customHeight="1" x14ac:dyDescent="0.35">
      <c r="B1552" s="130"/>
      <c r="C1552" s="131"/>
      <c r="D1552" s="131"/>
      <c r="E1552" s="131"/>
      <c r="F1552" s="131"/>
    </row>
    <row r="1553" spans="1:6" ht="15" customHeight="1" x14ac:dyDescent="0.35">
      <c r="B1553" s="130"/>
      <c r="C1553" s="131"/>
      <c r="D1553" s="131"/>
      <c r="E1553" s="131"/>
      <c r="F1553" s="131"/>
    </row>
    <row r="1554" spans="1:6" ht="15" customHeight="1" x14ac:dyDescent="0.35">
      <c r="B1554" s="130"/>
      <c r="C1554" s="131"/>
      <c r="D1554" s="131"/>
      <c r="E1554" s="131"/>
      <c r="F1554" s="131"/>
    </row>
    <row r="1555" spans="1:6" ht="15" customHeight="1" x14ac:dyDescent="0.35">
      <c r="B1555" s="130"/>
      <c r="C1555" s="131"/>
      <c r="D1555" s="131"/>
      <c r="E1555" s="131"/>
      <c r="F1555" s="131"/>
    </row>
    <row r="1556" spans="1:6" ht="15" customHeight="1" x14ac:dyDescent="0.35">
      <c r="B1556" s="130"/>
      <c r="C1556" s="131"/>
      <c r="D1556" s="131"/>
      <c r="E1556" s="131"/>
      <c r="F1556" s="131"/>
    </row>
    <row r="1557" spans="1:6" ht="15" customHeight="1" x14ac:dyDescent="0.35">
      <c r="B1557" s="130"/>
      <c r="C1557" s="131"/>
      <c r="D1557" s="131"/>
      <c r="E1557" s="131"/>
      <c r="F1557" s="131"/>
    </row>
    <row r="1558" spans="1:6" ht="15" customHeight="1" x14ac:dyDescent="0.35">
      <c r="B1558" s="130"/>
      <c r="C1558" s="131"/>
      <c r="D1558" s="131"/>
      <c r="E1558" s="131"/>
      <c r="F1558" s="131"/>
    </row>
    <row r="1559" spans="1:6" ht="15" customHeight="1" x14ac:dyDescent="0.35">
      <c r="B1559" s="130"/>
      <c r="C1559" s="131"/>
      <c r="D1559" s="131"/>
      <c r="E1559" s="131"/>
      <c r="F1559" s="131"/>
    </row>
    <row r="1560" spans="1:6" ht="15" customHeight="1" x14ac:dyDescent="0.35">
      <c r="B1560" s="130"/>
      <c r="C1560" s="131"/>
      <c r="D1560" s="131"/>
      <c r="E1560" s="131"/>
      <c r="F1560" s="131"/>
    </row>
    <row r="1561" spans="1:6" ht="15" customHeight="1" x14ac:dyDescent="0.35">
      <c r="B1561" s="130"/>
      <c r="C1561" s="131"/>
      <c r="D1561" s="131"/>
      <c r="E1561" s="131"/>
      <c r="F1561" s="131"/>
    </row>
    <row r="1562" spans="1:6" ht="15" customHeight="1" x14ac:dyDescent="0.35">
      <c r="B1562" s="130"/>
      <c r="C1562" s="131"/>
      <c r="D1562" s="131"/>
      <c r="E1562" s="131"/>
      <c r="F1562" s="131"/>
    </row>
    <row r="1563" spans="1:6" ht="15" customHeight="1" x14ac:dyDescent="0.35">
      <c r="B1563" s="130"/>
      <c r="C1563" s="131"/>
      <c r="D1563" s="131"/>
      <c r="E1563" s="131"/>
      <c r="F1563" s="131"/>
    </row>
    <row r="1564" spans="1:6" ht="15" customHeight="1" x14ac:dyDescent="0.35">
      <c r="B1564" s="130"/>
      <c r="C1564" s="131"/>
      <c r="D1564" s="131"/>
      <c r="E1564" s="131"/>
      <c r="F1564" s="131"/>
    </row>
    <row r="1565" spans="1:6" ht="15" customHeight="1" x14ac:dyDescent="0.35">
      <c r="B1565" s="130"/>
      <c r="C1565" s="131"/>
      <c r="D1565" s="131"/>
      <c r="E1565" s="131"/>
      <c r="F1565" s="131"/>
    </row>
    <row r="1566" spans="1:6" ht="15" customHeight="1" x14ac:dyDescent="0.35">
      <c r="A1566" s="1"/>
    </row>
    <row r="1569" spans="1:1" ht="15" customHeight="1" x14ac:dyDescent="0.35">
      <c r="A1569" s="86">
        <v>1104</v>
      </c>
    </row>
    <row r="1570" spans="1:1" ht="15" customHeight="1" x14ac:dyDescent="0.35">
      <c r="A1570" s="86">
        <v>1904</v>
      </c>
    </row>
    <row r="1571" spans="1:1" ht="15" customHeight="1" x14ac:dyDescent="0.35">
      <c r="A1571" s="86">
        <v>1905</v>
      </c>
    </row>
    <row r="1572" spans="1:1" ht="15" customHeight="1" x14ac:dyDescent="0.35">
      <c r="A1572" s="86">
        <v>1999020</v>
      </c>
    </row>
    <row r="1573" spans="1:1" ht="15" customHeight="1" x14ac:dyDescent="0.35">
      <c r="A1573" s="86">
        <v>1999010</v>
      </c>
    </row>
    <row r="1574" spans="1:1" ht="15" customHeight="1" x14ac:dyDescent="0.35">
      <c r="A1574" s="86">
        <v>17</v>
      </c>
    </row>
    <row r="1575" spans="1:1" ht="15" customHeight="1" x14ac:dyDescent="0.35">
      <c r="A1575" s="86">
        <v>220101</v>
      </c>
    </row>
    <row r="1576" spans="1:1" ht="15" customHeight="1" x14ac:dyDescent="0.35">
      <c r="A1576" s="86">
        <v>2202</v>
      </c>
    </row>
    <row r="1577" spans="1:1" ht="15" customHeight="1" x14ac:dyDescent="0.35">
      <c r="A1577" s="86">
        <v>2204</v>
      </c>
    </row>
    <row r="1578" spans="1:1" ht="15" customHeight="1" x14ac:dyDescent="0.35">
      <c r="A1578" s="86">
        <v>2205</v>
      </c>
    </row>
    <row r="1579" spans="1:1" ht="15" customHeight="1" x14ac:dyDescent="0.35">
      <c r="A1579" s="86">
        <v>2206</v>
      </c>
    </row>
    <row r="1580" spans="1:1" ht="15" customHeight="1" x14ac:dyDescent="0.35">
      <c r="A1580" s="86">
        <v>2207</v>
      </c>
    </row>
    <row r="1581" spans="1:1" ht="15" customHeight="1" x14ac:dyDescent="0.35">
      <c r="A1581" s="86">
        <v>2208</v>
      </c>
    </row>
    <row r="1582" spans="1:1" ht="15" customHeight="1" x14ac:dyDescent="0.35">
      <c r="A1582" s="86">
        <v>220104</v>
      </c>
    </row>
    <row r="1583" spans="1:1" ht="15" customHeight="1" x14ac:dyDescent="0.35">
      <c r="A1583" s="86">
        <v>220109</v>
      </c>
    </row>
    <row r="1584" spans="1:1" ht="15" customHeight="1" x14ac:dyDescent="0.35">
      <c r="A1584" s="86">
        <v>25</v>
      </c>
    </row>
    <row r="1585" spans="1:8" ht="15" customHeight="1" x14ac:dyDescent="0.35">
      <c r="A1585" s="86">
        <v>29</v>
      </c>
    </row>
    <row r="1586" spans="1:8" ht="15" customHeight="1" x14ac:dyDescent="0.35">
      <c r="A1586" s="86">
        <v>4702</v>
      </c>
    </row>
    <row r="1587" spans="1:8" ht="15" customHeight="1" x14ac:dyDescent="0.35">
      <c r="A1587" s="86">
        <v>4703</v>
      </c>
    </row>
    <row r="1588" spans="1:8" ht="15" customHeight="1" x14ac:dyDescent="0.35">
      <c r="A1588" s="86">
        <v>4708</v>
      </c>
    </row>
    <row r="1589" spans="1:8" ht="15" customHeight="1" x14ac:dyDescent="0.35">
      <c r="A1589" s="86">
        <v>4709</v>
      </c>
    </row>
    <row r="1590" spans="1:8" ht="15" customHeight="1" x14ac:dyDescent="0.35">
      <c r="A1590" s="86">
        <v>480509004</v>
      </c>
    </row>
    <row r="1591" spans="1:8" ht="15" customHeight="1" x14ac:dyDescent="0.35">
      <c r="A1591" s="86">
        <v>56</v>
      </c>
    </row>
    <row r="1592" spans="1:8" ht="15" customHeight="1" x14ac:dyDescent="0.35">
      <c r="A1592" s="1"/>
    </row>
    <row r="1593" spans="1:8" ht="15" customHeight="1" x14ac:dyDescent="0.35">
      <c r="G1593" s="2"/>
      <c r="H1593" s="2"/>
    </row>
    <row r="1594" spans="1:8" ht="15" customHeight="1" x14ac:dyDescent="0.35">
      <c r="G1594" s="2"/>
      <c r="H1594" s="2"/>
    </row>
  </sheetData>
  <autoFilter ref="A4:G1272" xr:uid="{00000000-0001-0000-0000-000000000000}"/>
  <phoneticPr fontId="20" type="noConversion"/>
  <conditionalFormatting sqref="A1:A3">
    <cfRule type="duplicateValues" dxfId="0" priority="1"/>
  </conditionalFormatting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BA549-FA26-402A-A1FB-30EBDBB91508}">
  <dimension ref="A1:F27"/>
  <sheetViews>
    <sheetView showGridLines="0" topLeftCell="B1" workbookViewId="0">
      <selection activeCell="B1" sqref="B1"/>
    </sheetView>
  </sheetViews>
  <sheetFormatPr baseColWidth="10" defaultColWidth="11.453125" defaultRowHeight="14.5" x14ac:dyDescent="0.35"/>
  <cols>
    <col min="1" max="1" width="11.453125" hidden="1" customWidth="1"/>
    <col min="2" max="2" width="3" bestFit="1" customWidth="1"/>
    <col min="3" max="3" width="41" style="185" bestFit="1" customWidth="1"/>
    <col min="4" max="4" width="22" style="186" customWidth="1"/>
  </cols>
  <sheetData>
    <row r="1" spans="1:6" s="169" customFormat="1" ht="23.5" x14ac:dyDescent="0.55000000000000004">
      <c r="B1" s="170" t="str">
        <f>Balanza!A1</f>
        <v xml:space="preserve"> ATLÁNTIDA VIDA, S.A., SEGUROS DE PERSONAS</v>
      </c>
      <c r="C1" s="171"/>
      <c r="D1" s="171"/>
      <c r="F1" s="187">
        <v>45869</v>
      </c>
    </row>
    <row r="2" spans="1:6" s="169" customFormat="1" ht="18.5" x14ac:dyDescent="0.45">
      <c r="B2" s="172" t="s">
        <v>731</v>
      </c>
      <c r="C2" s="173"/>
      <c r="D2" s="173"/>
    </row>
    <row r="3" spans="1:6" s="169" customFormat="1" x14ac:dyDescent="0.35">
      <c r="B3" t="str">
        <f>CONCATENATE("Al ",TEXT(F1,"dd mmmm yyyy"))</f>
        <v>Al 31 julio 2025</v>
      </c>
      <c r="C3"/>
      <c r="D3" s="174"/>
    </row>
    <row r="4" spans="1:6" s="169" customFormat="1" x14ac:dyDescent="0.35">
      <c r="B4" s="194"/>
      <c r="C4" s="194"/>
      <c r="D4" s="174"/>
    </row>
    <row r="5" spans="1:6" x14ac:dyDescent="0.35">
      <c r="C5" s="175"/>
      <c r="D5" s="176"/>
    </row>
    <row r="6" spans="1:6" ht="16.5" customHeight="1" x14ac:dyDescent="0.35">
      <c r="B6" s="193" t="s">
        <v>732</v>
      </c>
      <c r="C6" s="193"/>
      <c r="D6" s="193" t="s">
        <v>78</v>
      </c>
    </row>
    <row r="7" spans="1:6" ht="16.5" customHeight="1" x14ac:dyDescent="0.35">
      <c r="B7" s="193"/>
      <c r="C7" s="193"/>
      <c r="D7" s="193"/>
    </row>
    <row r="8" spans="1:6" ht="21" customHeight="1" x14ac:dyDescent="0.35">
      <c r="B8" s="193"/>
      <c r="C8" s="193"/>
      <c r="D8" s="193"/>
    </row>
    <row r="9" spans="1:6" x14ac:dyDescent="0.35">
      <c r="A9" s="177" t="s">
        <v>733</v>
      </c>
      <c r="B9" s="178">
        <v>1</v>
      </c>
      <c r="C9" s="179" t="s">
        <v>734</v>
      </c>
      <c r="D9" s="180"/>
    </row>
    <row r="10" spans="1:6" x14ac:dyDescent="0.35">
      <c r="A10" t="s">
        <v>735</v>
      </c>
      <c r="B10" s="178">
        <v>2</v>
      </c>
      <c r="C10" s="179" t="s">
        <v>736</v>
      </c>
      <c r="D10" s="180">
        <f>SUM(-SUMIF(Balanza!$A:$A,5,Balanza!$F:$F)-SUMIF(Balanza!$A:$A,4,Balanza!$F:$F)-SUMIF(Balanza!$A:$A,38,Balanza!$F:$F))/SUM(11067849)</f>
        <v>-0.13432408772472432</v>
      </c>
    </row>
    <row r="11" spans="1:6" x14ac:dyDescent="0.35">
      <c r="B11" s="178">
        <v>3</v>
      </c>
      <c r="C11" s="179" t="s">
        <v>737</v>
      </c>
      <c r="D11" s="180"/>
    </row>
    <row r="12" spans="1:6" x14ac:dyDescent="0.35">
      <c r="A12" t="s">
        <v>738</v>
      </c>
      <c r="B12" s="178">
        <v>4</v>
      </c>
      <c r="C12" s="179" t="s">
        <v>739</v>
      </c>
      <c r="D12" s="181"/>
    </row>
    <row r="13" spans="1:6" x14ac:dyDescent="0.35">
      <c r="A13" t="s">
        <v>740</v>
      </c>
      <c r="B13" s="178">
        <v>5</v>
      </c>
      <c r="C13" s="179" t="s">
        <v>741</v>
      </c>
      <c r="D13" s="182">
        <f>SUM(SUMIF(Balanza!$A:$A,11,Balanza!$F:$F)+SUMIF(Balanza!$A:$A,12,Balanza!$F:$F)+SUMIF(Balanza!$A:$A,1301,Balanza!$F:$F))/SUM(-SUMIF(Balanza!$A:$A,2,Balanza!$F:$F)+SUMIF(Balanza!$A:$A,220101,Balanza!$F:$F))</f>
        <v>1.6363744985671864</v>
      </c>
    </row>
    <row r="14" spans="1:6" x14ac:dyDescent="0.35">
      <c r="A14" t="s">
        <v>742</v>
      </c>
      <c r="B14" s="178">
        <v>6</v>
      </c>
      <c r="C14" s="179" t="s">
        <v>743</v>
      </c>
      <c r="D14" s="180"/>
    </row>
    <row r="15" spans="1:6" x14ac:dyDescent="0.35">
      <c r="A15" t="s">
        <v>744</v>
      </c>
      <c r="B15" s="178">
        <v>7</v>
      </c>
      <c r="C15" s="179" t="s">
        <v>744</v>
      </c>
      <c r="D15" s="183">
        <f>SUM((SUMIF(Balanza!$A:$A,41,Balanza!$F:$F)+SUMIF(Balanza!$A:$A,54,Balanza!$F:$F))-SUM(-SUMIF(Balanza!$A:$A,52,Balanza!$F:$F)+SUMIF(Balanza!$A:$A,5209,Balanza!$F:$F))+SUM(SUMIF(Balanza!$A:$A,43,Balanza!$F:$F)-SUMIF(Balanza!$A:$A,4309,Balanza!$F:$F)))/SUM(SUM(-SUMIF(Balanza!$A:$A,51,Balanza!$F:$F)-SUMIF(Balanza!$A:$A,46,Balanza!$F:$F)-SUMIF(Balanza!$A:$A,42,Balanza!$F:$F))+SUM(-SUMIF(Balanza!$A:$A,52,Balanza!$F:$F)+SUMIF(Balanza!$A:$A,5209,Balanza!$F:$F))-SUM(SUMIF(Balanza!$A:$A,43,Balanza!$F:$F)-SUMIF(Balanza!$A:$A,4309,Balanza!$F:$F)))</f>
        <v>1.7439900607546175</v>
      </c>
    </row>
    <row r="16" spans="1:6" x14ac:dyDescent="0.35">
      <c r="B16" s="178">
        <v>8</v>
      </c>
      <c r="C16" s="179" t="s">
        <v>745</v>
      </c>
      <c r="D16" s="180">
        <f>SUM(-SUMIF(Balanza!$A:$A,5,Balanza!$F:$F)-SUMIF(Balanza!$A:$A,4,Balanza!$F:$F))/SUM(-SUMIF(Balanza!$A:$A,31,Balanza!$F:$F))</f>
        <v>-0.11352502496595572</v>
      </c>
    </row>
    <row r="17" spans="1:4" x14ac:dyDescent="0.35">
      <c r="B17" s="178">
        <v>9</v>
      </c>
      <c r="C17" s="179" t="s">
        <v>746</v>
      </c>
      <c r="D17" s="180"/>
    </row>
    <row r="18" spans="1:4" x14ac:dyDescent="0.35">
      <c r="A18" t="s">
        <v>747</v>
      </c>
      <c r="B18" s="178">
        <v>10</v>
      </c>
      <c r="C18" s="179" t="s">
        <v>748</v>
      </c>
      <c r="D18" s="180">
        <f>SUM((SUMIF(Balanza!$A:$A,41,Balanza!$F:$F)+SUMIF(Balanza!$A:$A,54,Balanza!$F:$F))-SUM(-SUMIF(Balanza!$A:$A,52,Balanza!$F:$F)+SUMIF(Balanza!$A:$A,5209,Balanza!$F:$F))+SUM(SUMIF(Balanza!$A:$A,43,Balanza!$F:$F)-SUMIF(Balanza!$A:$A,4309,Balanza!$F:$F)))/SUM(SUM(-SUMIF(Balanza!$A:$A,51,Balanza!$F:$F)-SUMIF(Balanza!$A:$A,46,Balanza!$F:$F)-SUMIF(Balanza!$A:$A,42,Balanza!$F:$F))+SUM(-SUMIF(Balanza!$A:$A,52,Balanza!$F:$F)+SUMIF(Balanza!$A:$A,5209,Balanza!$F:$F))-SUM(SUMIF(Balanza!$A:$A,43,Balanza!$F:$F)-SUMIF(Balanza!$A:$A,4309,Balanza!$F:$F)))+SUM(SUMIF(Balanza!$A:$A,48,Balanza!$F:$F)/SUM(-SUMIF(Balanza!$A:$A,51,Balanza!$F:$F)-SUMIF(Balanza!$A:$A,46,Balanza!$F:$F)-SUMIF(Balanza!$A:$A,42,Balanza!$F:$F)))+SUM((SUMIF(Balanza!$A:$A,45,Balanza!$F:$F)+SUMIF(Balanza!$A:$A,55,Balanza!$F:$F))/SUM(-SUMIF(Balanza!$A:$A,51,Balanza!$F:$F)-SUMIF(Balanza!$A:$A,46,Balanza!$F:$F)-SUMIF(Balanza!$A:$A,42,Balanza!$F:$F)))</f>
        <v>2.3230345524470999</v>
      </c>
    </row>
    <row r="19" spans="1:4" x14ac:dyDescent="0.35">
      <c r="A19" t="s">
        <v>749</v>
      </c>
      <c r="B19" s="178">
        <v>11</v>
      </c>
      <c r="C19" s="179" t="s">
        <v>750</v>
      </c>
      <c r="D19" s="180">
        <f>SUMIF(Balanza!$A:$A,48,Balanza!$F:$F)/SUM(-SUMIF(Balanza!$A:$A,51,Balanza!$F:$F)-SUMIF(Balanza!$A:$A,46,Balanza!$F:$F))</f>
        <v>0.27459264544193152</v>
      </c>
    </row>
    <row r="20" spans="1:4" x14ac:dyDescent="0.35">
      <c r="B20" s="178">
        <v>12</v>
      </c>
      <c r="C20" s="179" t="s">
        <v>751</v>
      </c>
      <c r="D20" s="184"/>
    </row>
    <row r="21" spans="1:4" x14ac:dyDescent="0.35">
      <c r="A21" t="s">
        <v>752</v>
      </c>
      <c r="B21" s="178">
        <v>13</v>
      </c>
      <c r="C21" s="179" t="s">
        <v>753</v>
      </c>
      <c r="D21" s="180">
        <f>-SUMIF(Balanza!$A:$A,54,Balanza!$F:$F)/SUMIF(Balanza!$A:$A,41,Balanza!$F:$F)</f>
        <v>0.1253470498322368</v>
      </c>
    </row>
    <row r="22" spans="1:4" x14ac:dyDescent="0.35">
      <c r="A22" t="s">
        <v>754</v>
      </c>
      <c r="B22" s="178">
        <v>14</v>
      </c>
      <c r="C22" s="179" t="s">
        <v>754</v>
      </c>
      <c r="D22" s="180">
        <f>SUM(SUMIF(Balanza!$A:$A,11,Balanza!$F:$F)+SUMIF(Balanza!$A:$A,12,Balanza!$F:$F)+SUMIF(Balanza!$A:$A,1301,Balanza!$F:$F))/-SUM(SUMIF(Balanza!$A:$A,21,Balanza!$F:$F)+SUMIF(Balanza!$A:$A,22,Balanza!$F:$F)+SUMIF(Balanza!$A:$A,23,Balanza!$F:$F))</f>
        <v>2.2581796265123528</v>
      </c>
    </row>
    <row r="23" spans="1:4" x14ac:dyDescent="0.35">
      <c r="A23" t="s">
        <v>755</v>
      </c>
      <c r="B23" s="178">
        <v>15</v>
      </c>
      <c r="C23" s="179" t="s">
        <v>756</v>
      </c>
      <c r="D23" s="180"/>
    </row>
    <row r="24" spans="1:4" x14ac:dyDescent="0.35">
      <c r="A24" t="s">
        <v>757</v>
      </c>
      <c r="B24" s="178">
        <v>16</v>
      </c>
      <c r="C24" s="179" t="s">
        <v>758</v>
      </c>
      <c r="D24" s="180"/>
    </row>
    <row r="27" spans="1:4" x14ac:dyDescent="0.35">
      <c r="C27"/>
      <c r="D27"/>
    </row>
  </sheetData>
  <mergeCells count="3">
    <mergeCell ref="D6:D8"/>
    <mergeCell ref="B4:C4"/>
    <mergeCell ref="B6:C8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618F-24CE-44B5-B2D4-3060D9CB06FF}">
  <dimension ref="A1:AC47"/>
  <sheetViews>
    <sheetView workbookViewId="0">
      <selection activeCell="A5" sqref="A5:K50"/>
    </sheetView>
  </sheetViews>
  <sheetFormatPr baseColWidth="10" defaultRowHeight="14.5" x14ac:dyDescent="0.35"/>
  <cols>
    <col min="1" max="1" width="85.7265625" bestFit="1" customWidth="1"/>
    <col min="2" max="2" width="25.81640625" style="158" bestFit="1" customWidth="1"/>
    <col min="3" max="3" width="32.7265625" customWidth="1"/>
    <col min="4" max="4" width="22.7265625" customWidth="1"/>
    <col min="5" max="5" width="33.1796875" customWidth="1"/>
    <col min="6" max="6" width="27.54296875" customWidth="1"/>
    <col min="7" max="7" width="31.26953125" customWidth="1"/>
    <col min="8" max="8" width="25.1796875" customWidth="1"/>
    <col min="9" max="9" width="33.1796875" customWidth="1"/>
    <col min="10" max="10" width="64" customWidth="1"/>
    <col min="11" max="11" width="18.81640625" bestFit="1" customWidth="1"/>
    <col min="12" max="12" width="21.453125" bestFit="1" customWidth="1"/>
    <col min="13" max="13" width="11.453125" customWidth="1"/>
    <col min="14" max="14" width="25.26953125" bestFit="1" customWidth="1"/>
    <col min="15" max="15" width="14.1796875" bestFit="1" customWidth="1"/>
    <col min="16" max="16" width="11.453125" customWidth="1"/>
    <col min="17" max="17" width="23.26953125" bestFit="1" customWidth="1"/>
    <col min="18" max="18" width="11.453125" customWidth="1"/>
    <col min="19" max="19" width="12.81640625" bestFit="1" customWidth="1"/>
    <col min="20" max="20" width="22.453125" bestFit="1" customWidth="1"/>
    <col min="21" max="21" width="18.7265625" bestFit="1" customWidth="1"/>
    <col min="22" max="22" width="11.453125" customWidth="1"/>
    <col min="23" max="23" width="26.7265625" bestFit="1" customWidth="1"/>
    <col min="24" max="24" width="11.453125" customWidth="1"/>
    <col min="25" max="25" width="32" bestFit="1" customWidth="1"/>
    <col min="26" max="26" width="27.453125" bestFit="1" customWidth="1"/>
    <col min="257" max="257" width="85.7265625" bestFit="1" customWidth="1"/>
    <col min="258" max="258" width="25.81640625" bestFit="1" customWidth="1"/>
    <col min="259" max="259" width="32.7265625" customWidth="1"/>
    <col min="260" max="260" width="22.7265625" customWidth="1"/>
    <col min="261" max="261" width="33.1796875" customWidth="1"/>
    <col min="262" max="262" width="27.54296875" customWidth="1"/>
    <col min="263" max="263" width="31.26953125" customWidth="1"/>
    <col min="264" max="264" width="25.1796875" customWidth="1"/>
    <col min="265" max="265" width="33.1796875" customWidth="1"/>
    <col min="266" max="266" width="64" customWidth="1"/>
    <col min="267" max="267" width="18.81640625" bestFit="1" customWidth="1"/>
    <col min="268" max="268" width="21.453125" bestFit="1" customWidth="1"/>
    <col min="269" max="269" width="11.453125" customWidth="1"/>
    <col min="270" max="270" width="25.26953125" bestFit="1" customWidth="1"/>
    <col min="271" max="271" width="14.1796875" bestFit="1" customWidth="1"/>
    <col min="272" max="272" width="11.453125" customWidth="1"/>
    <col min="273" max="273" width="23.26953125" bestFit="1" customWidth="1"/>
    <col min="274" max="274" width="11.453125" customWidth="1"/>
    <col min="275" max="275" width="12.81640625" bestFit="1" customWidth="1"/>
    <col min="276" max="276" width="22.453125" bestFit="1" customWidth="1"/>
    <col min="277" max="277" width="18.7265625" bestFit="1" customWidth="1"/>
    <col min="278" max="278" width="11.453125" customWidth="1"/>
    <col min="279" max="279" width="26.7265625" bestFit="1" customWidth="1"/>
    <col min="280" max="280" width="11.453125" customWidth="1"/>
    <col min="281" max="281" width="32" bestFit="1" customWidth="1"/>
    <col min="282" max="282" width="27.453125" bestFit="1" customWidth="1"/>
    <col min="513" max="513" width="85.7265625" bestFit="1" customWidth="1"/>
    <col min="514" max="514" width="25.81640625" bestFit="1" customWidth="1"/>
    <col min="515" max="515" width="32.7265625" customWidth="1"/>
    <col min="516" max="516" width="22.7265625" customWidth="1"/>
    <col min="517" max="517" width="33.1796875" customWidth="1"/>
    <col min="518" max="518" width="27.54296875" customWidth="1"/>
    <col min="519" max="519" width="31.26953125" customWidth="1"/>
    <col min="520" max="520" width="25.1796875" customWidth="1"/>
    <col min="521" max="521" width="33.1796875" customWidth="1"/>
    <col min="522" max="522" width="64" customWidth="1"/>
    <col min="523" max="523" width="18.81640625" bestFit="1" customWidth="1"/>
    <col min="524" max="524" width="21.453125" bestFit="1" customWidth="1"/>
    <col min="525" max="525" width="11.453125" customWidth="1"/>
    <col min="526" max="526" width="25.26953125" bestFit="1" customWidth="1"/>
    <col min="527" max="527" width="14.1796875" bestFit="1" customWidth="1"/>
    <col min="528" max="528" width="11.453125" customWidth="1"/>
    <col min="529" max="529" width="23.26953125" bestFit="1" customWidth="1"/>
    <col min="530" max="530" width="11.453125" customWidth="1"/>
    <col min="531" max="531" width="12.81640625" bestFit="1" customWidth="1"/>
    <col min="532" max="532" width="22.453125" bestFit="1" customWidth="1"/>
    <col min="533" max="533" width="18.7265625" bestFit="1" customWidth="1"/>
    <col min="534" max="534" width="11.453125" customWidth="1"/>
    <col min="535" max="535" width="26.7265625" bestFit="1" customWidth="1"/>
    <col min="536" max="536" width="11.453125" customWidth="1"/>
    <col min="537" max="537" width="32" bestFit="1" customWidth="1"/>
    <col min="538" max="538" width="27.453125" bestFit="1" customWidth="1"/>
    <col min="769" max="769" width="85.7265625" bestFit="1" customWidth="1"/>
    <col min="770" max="770" width="25.81640625" bestFit="1" customWidth="1"/>
    <col min="771" max="771" width="32.7265625" customWidth="1"/>
    <col min="772" max="772" width="22.7265625" customWidth="1"/>
    <col min="773" max="773" width="33.1796875" customWidth="1"/>
    <col min="774" max="774" width="27.54296875" customWidth="1"/>
    <col min="775" max="775" width="31.26953125" customWidth="1"/>
    <col min="776" max="776" width="25.1796875" customWidth="1"/>
    <col min="777" max="777" width="33.1796875" customWidth="1"/>
    <col min="778" max="778" width="64" customWidth="1"/>
    <col min="779" max="779" width="18.81640625" bestFit="1" customWidth="1"/>
    <col min="780" max="780" width="21.453125" bestFit="1" customWidth="1"/>
    <col min="781" max="781" width="11.453125" customWidth="1"/>
    <col min="782" max="782" width="25.26953125" bestFit="1" customWidth="1"/>
    <col min="783" max="783" width="14.1796875" bestFit="1" customWidth="1"/>
    <col min="784" max="784" width="11.453125" customWidth="1"/>
    <col min="785" max="785" width="23.26953125" bestFit="1" customWidth="1"/>
    <col min="786" max="786" width="11.453125" customWidth="1"/>
    <col min="787" max="787" width="12.81640625" bestFit="1" customWidth="1"/>
    <col min="788" max="788" width="22.453125" bestFit="1" customWidth="1"/>
    <col min="789" max="789" width="18.7265625" bestFit="1" customWidth="1"/>
    <col min="790" max="790" width="11.453125" customWidth="1"/>
    <col min="791" max="791" width="26.7265625" bestFit="1" customWidth="1"/>
    <col min="792" max="792" width="11.453125" customWidth="1"/>
    <col min="793" max="793" width="32" bestFit="1" customWidth="1"/>
    <col min="794" max="794" width="27.453125" bestFit="1" customWidth="1"/>
    <col min="1025" max="1025" width="85.7265625" bestFit="1" customWidth="1"/>
    <col min="1026" max="1026" width="25.81640625" bestFit="1" customWidth="1"/>
    <col min="1027" max="1027" width="32.7265625" customWidth="1"/>
    <col min="1028" max="1028" width="22.7265625" customWidth="1"/>
    <col min="1029" max="1029" width="33.1796875" customWidth="1"/>
    <col min="1030" max="1030" width="27.54296875" customWidth="1"/>
    <col min="1031" max="1031" width="31.26953125" customWidth="1"/>
    <col min="1032" max="1032" width="25.1796875" customWidth="1"/>
    <col min="1033" max="1033" width="33.1796875" customWidth="1"/>
    <col min="1034" max="1034" width="64" customWidth="1"/>
    <col min="1035" max="1035" width="18.81640625" bestFit="1" customWidth="1"/>
    <col min="1036" max="1036" width="21.453125" bestFit="1" customWidth="1"/>
    <col min="1037" max="1037" width="11.453125" customWidth="1"/>
    <col min="1038" max="1038" width="25.26953125" bestFit="1" customWidth="1"/>
    <col min="1039" max="1039" width="14.1796875" bestFit="1" customWidth="1"/>
    <col min="1040" max="1040" width="11.453125" customWidth="1"/>
    <col min="1041" max="1041" width="23.26953125" bestFit="1" customWidth="1"/>
    <col min="1042" max="1042" width="11.453125" customWidth="1"/>
    <col min="1043" max="1043" width="12.81640625" bestFit="1" customWidth="1"/>
    <col min="1044" max="1044" width="22.453125" bestFit="1" customWidth="1"/>
    <col min="1045" max="1045" width="18.7265625" bestFit="1" customWidth="1"/>
    <col min="1046" max="1046" width="11.453125" customWidth="1"/>
    <col min="1047" max="1047" width="26.7265625" bestFit="1" customWidth="1"/>
    <col min="1048" max="1048" width="11.453125" customWidth="1"/>
    <col min="1049" max="1049" width="32" bestFit="1" customWidth="1"/>
    <col min="1050" max="1050" width="27.453125" bestFit="1" customWidth="1"/>
    <col min="1281" max="1281" width="85.7265625" bestFit="1" customWidth="1"/>
    <col min="1282" max="1282" width="25.81640625" bestFit="1" customWidth="1"/>
    <col min="1283" max="1283" width="32.7265625" customWidth="1"/>
    <col min="1284" max="1284" width="22.7265625" customWidth="1"/>
    <col min="1285" max="1285" width="33.1796875" customWidth="1"/>
    <col min="1286" max="1286" width="27.54296875" customWidth="1"/>
    <col min="1287" max="1287" width="31.26953125" customWidth="1"/>
    <col min="1288" max="1288" width="25.1796875" customWidth="1"/>
    <col min="1289" max="1289" width="33.1796875" customWidth="1"/>
    <col min="1290" max="1290" width="64" customWidth="1"/>
    <col min="1291" max="1291" width="18.81640625" bestFit="1" customWidth="1"/>
    <col min="1292" max="1292" width="21.453125" bestFit="1" customWidth="1"/>
    <col min="1293" max="1293" width="11.453125" customWidth="1"/>
    <col min="1294" max="1294" width="25.26953125" bestFit="1" customWidth="1"/>
    <col min="1295" max="1295" width="14.1796875" bestFit="1" customWidth="1"/>
    <col min="1296" max="1296" width="11.453125" customWidth="1"/>
    <col min="1297" max="1297" width="23.26953125" bestFit="1" customWidth="1"/>
    <col min="1298" max="1298" width="11.453125" customWidth="1"/>
    <col min="1299" max="1299" width="12.81640625" bestFit="1" customWidth="1"/>
    <col min="1300" max="1300" width="22.453125" bestFit="1" customWidth="1"/>
    <col min="1301" max="1301" width="18.7265625" bestFit="1" customWidth="1"/>
    <col min="1302" max="1302" width="11.453125" customWidth="1"/>
    <col min="1303" max="1303" width="26.7265625" bestFit="1" customWidth="1"/>
    <col min="1304" max="1304" width="11.453125" customWidth="1"/>
    <col min="1305" max="1305" width="32" bestFit="1" customWidth="1"/>
    <col min="1306" max="1306" width="27.453125" bestFit="1" customWidth="1"/>
    <col min="1537" max="1537" width="85.7265625" bestFit="1" customWidth="1"/>
    <col min="1538" max="1538" width="25.81640625" bestFit="1" customWidth="1"/>
    <col min="1539" max="1539" width="32.7265625" customWidth="1"/>
    <col min="1540" max="1540" width="22.7265625" customWidth="1"/>
    <col min="1541" max="1541" width="33.1796875" customWidth="1"/>
    <col min="1542" max="1542" width="27.54296875" customWidth="1"/>
    <col min="1543" max="1543" width="31.26953125" customWidth="1"/>
    <col min="1544" max="1544" width="25.1796875" customWidth="1"/>
    <col min="1545" max="1545" width="33.1796875" customWidth="1"/>
    <col min="1546" max="1546" width="64" customWidth="1"/>
    <col min="1547" max="1547" width="18.81640625" bestFit="1" customWidth="1"/>
    <col min="1548" max="1548" width="21.453125" bestFit="1" customWidth="1"/>
    <col min="1549" max="1549" width="11.453125" customWidth="1"/>
    <col min="1550" max="1550" width="25.26953125" bestFit="1" customWidth="1"/>
    <col min="1551" max="1551" width="14.1796875" bestFit="1" customWidth="1"/>
    <col min="1552" max="1552" width="11.453125" customWidth="1"/>
    <col min="1553" max="1553" width="23.26953125" bestFit="1" customWidth="1"/>
    <col min="1554" max="1554" width="11.453125" customWidth="1"/>
    <col min="1555" max="1555" width="12.81640625" bestFit="1" customWidth="1"/>
    <col min="1556" max="1556" width="22.453125" bestFit="1" customWidth="1"/>
    <col min="1557" max="1557" width="18.7265625" bestFit="1" customWidth="1"/>
    <col min="1558" max="1558" width="11.453125" customWidth="1"/>
    <col min="1559" max="1559" width="26.7265625" bestFit="1" customWidth="1"/>
    <col min="1560" max="1560" width="11.453125" customWidth="1"/>
    <col min="1561" max="1561" width="32" bestFit="1" customWidth="1"/>
    <col min="1562" max="1562" width="27.453125" bestFit="1" customWidth="1"/>
    <col min="1793" max="1793" width="85.7265625" bestFit="1" customWidth="1"/>
    <col min="1794" max="1794" width="25.81640625" bestFit="1" customWidth="1"/>
    <col min="1795" max="1795" width="32.7265625" customWidth="1"/>
    <col min="1796" max="1796" width="22.7265625" customWidth="1"/>
    <col min="1797" max="1797" width="33.1796875" customWidth="1"/>
    <col min="1798" max="1798" width="27.54296875" customWidth="1"/>
    <col min="1799" max="1799" width="31.26953125" customWidth="1"/>
    <col min="1800" max="1800" width="25.1796875" customWidth="1"/>
    <col min="1801" max="1801" width="33.1796875" customWidth="1"/>
    <col min="1802" max="1802" width="64" customWidth="1"/>
    <col min="1803" max="1803" width="18.81640625" bestFit="1" customWidth="1"/>
    <col min="1804" max="1804" width="21.453125" bestFit="1" customWidth="1"/>
    <col min="1805" max="1805" width="11.453125" customWidth="1"/>
    <col min="1806" max="1806" width="25.26953125" bestFit="1" customWidth="1"/>
    <col min="1807" max="1807" width="14.1796875" bestFit="1" customWidth="1"/>
    <col min="1808" max="1808" width="11.453125" customWidth="1"/>
    <col min="1809" max="1809" width="23.26953125" bestFit="1" customWidth="1"/>
    <col min="1810" max="1810" width="11.453125" customWidth="1"/>
    <col min="1811" max="1811" width="12.81640625" bestFit="1" customWidth="1"/>
    <col min="1812" max="1812" width="22.453125" bestFit="1" customWidth="1"/>
    <col min="1813" max="1813" width="18.7265625" bestFit="1" customWidth="1"/>
    <col min="1814" max="1814" width="11.453125" customWidth="1"/>
    <col min="1815" max="1815" width="26.7265625" bestFit="1" customWidth="1"/>
    <col min="1816" max="1816" width="11.453125" customWidth="1"/>
    <col min="1817" max="1817" width="32" bestFit="1" customWidth="1"/>
    <col min="1818" max="1818" width="27.453125" bestFit="1" customWidth="1"/>
    <col min="2049" max="2049" width="85.7265625" bestFit="1" customWidth="1"/>
    <col min="2050" max="2050" width="25.81640625" bestFit="1" customWidth="1"/>
    <col min="2051" max="2051" width="32.7265625" customWidth="1"/>
    <col min="2052" max="2052" width="22.7265625" customWidth="1"/>
    <col min="2053" max="2053" width="33.1796875" customWidth="1"/>
    <col min="2054" max="2054" width="27.54296875" customWidth="1"/>
    <col min="2055" max="2055" width="31.26953125" customWidth="1"/>
    <col min="2056" max="2056" width="25.1796875" customWidth="1"/>
    <col min="2057" max="2057" width="33.1796875" customWidth="1"/>
    <col min="2058" max="2058" width="64" customWidth="1"/>
    <col min="2059" max="2059" width="18.81640625" bestFit="1" customWidth="1"/>
    <col min="2060" max="2060" width="21.453125" bestFit="1" customWidth="1"/>
    <col min="2061" max="2061" width="11.453125" customWidth="1"/>
    <col min="2062" max="2062" width="25.26953125" bestFit="1" customWidth="1"/>
    <col min="2063" max="2063" width="14.1796875" bestFit="1" customWidth="1"/>
    <col min="2064" max="2064" width="11.453125" customWidth="1"/>
    <col min="2065" max="2065" width="23.26953125" bestFit="1" customWidth="1"/>
    <col min="2066" max="2066" width="11.453125" customWidth="1"/>
    <col min="2067" max="2067" width="12.81640625" bestFit="1" customWidth="1"/>
    <col min="2068" max="2068" width="22.453125" bestFit="1" customWidth="1"/>
    <col min="2069" max="2069" width="18.7265625" bestFit="1" customWidth="1"/>
    <col min="2070" max="2070" width="11.453125" customWidth="1"/>
    <col min="2071" max="2071" width="26.7265625" bestFit="1" customWidth="1"/>
    <col min="2072" max="2072" width="11.453125" customWidth="1"/>
    <col min="2073" max="2073" width="32" bestFit="1" customWidth="1"/>
    <col min="2074" max="2074" width="27.453125" bestFit="1" customWidth="1"/>
    <col min="2305" max="2305" width="85.7265625" bestFit="1" customWidth="1"/>
    <col min="2306" max="2306" width="25.81640625" bestFit="1" customWidth="1"/>
    <col min="2307" max="2307" width="32.7265625" customWidth="1"/>
    <col min="2308" max="2308" width="22.7265625" customWidth="1"/>
    <col min="2309" max="2309" width="33.1796875" customWidth="1"/>
    <col min="2310" max="2310" width="27.54296875" customWidth="1"/>
    <col min="2311" max="2311" width="31.26953125" customWidth="1"/>
    <col min="2312" max="2312" width="25.1796875" customWidth="1"/>
    <col min="2313" max="2313" width="33.1796875" customWidth="1"/>
    <col min="2314" max="2314" width="64" customWidth="1"/>
    <col min="2315" max="2315" width="18.81640625" bestFit="1" customWidth="1"/>
    <col min="2316" max="2316" width="21.453125" bestFit="1" customWidth="1"/>
    <col min="2317" max="2317" width="11.453125" customWidth="1"/>
    <col min="2318" max="2318" width="25.26953125" bestFit="1" customWidth="1"/>
    <col min="2319" max="2319" width="14.1796875" bestFit="1" customWidth="1"/>
    <col min="2320" max="2320" width="11.453125" customWidth="1"/>
    <col min="2321" max="2321" width="23.26953125" bestFit="1" customWidth="1"/>
    <col min="2322" max="2322" width="11.453125" customWidth="1"/>
    <col min="2323" max="2323" width="12.81640625" bestFit="1" customWidth="1"/>
    <col min="2324" max="2324" width="22.453125" bestFit="1" customWidth="1"/>
    <col min="2325" max="2325" width="18.7265625" bestFit="1" customWidth="1"/>
    <col min="2326" max="2326" width="11.453125" customWidth="1"/>
    <col min="2327" max="2327" width="26.7265625" bestFit="1" customWidth="1"/>
    <col min="2328" max="2328" width="11.453125" customWidth="1"/>
    <col min="2329" max="2329" width="32" bestFit="1" customWidth="1"/>
    <col min="2330" max="2330" width="27.453125" bestFit="1" customWidth="1"/>
    <col min="2561" max="2561" width="85.7265625" bestFit="1" customWidth="1"/>
    <col min="2562" max="2562" width="25.81640625" bestFit="1" customWidth="1"/>
    <col min="2563" max="2563" width="32.7265625" customWidth="1"/>
    <col min="2564" max="2564" width="22.7265625" customWidth="1"/>
    <col min="2565" max="2565" width="33.1796875" customWidth="1"/>
    <col min="2566" max="2566" width="27.54296875" customWidth="1"/>
    <col min="2567" max="2567" width="31.26953125" customWidth="1"/>
    <col min="2568" max="2568" width="25.1796875" customWidth="1"/>
    <col min="2569" max="2569" width="33.1796875" customWidth="1"/>
    <col min="2570" max="2570" width="64" customWidth="1"/>
    <col min="2571" max="2571" width="18.81640625" bestFit="1" customWidth="1"/>
    <col min="2572" max="2572" width="21.453125" bestFit="1" customWidth="1"/>
    <col min="2573" max="2573" width="11.453125" customWidth="1"/>
    <col min="2574" max="2574" width="25.26953125" bestFit="1" customWidth="1"/>
    <col min="2575" max="2575" width="14.1796875" bestFit="1" customWidth="1"/>
    <col min="2576" max="2576" width="11.453125" customWidth="1"/>
    <col min="2577" max="2577" width="23.26953125" bestFit="1" customWidth="1"/>
    <col min="2578" max="2578" width="11.453125" customWidth="1"/>
    <col min="2579" max="2579" width="12.81640625" bestFit="1" customWidth="1"/>
    <col min="2580" max="2580" width="22.453125" bestFit="1" customWidth="1"/>
    <col min="2581" max="2581" width="18.7265625" bestFit="1" customWidth="1"/>
    <col min="2582" max="2582" width="11.453125" customWidth="1"/>
    <col min="2583" max="2583" width="26.7265625" bestFit="1" customWidth="1"/>
    <col min="2584" max="2584" width="11.453125" customWidth="1"/>
    <col min="2585" max="2585" width="32" bestFit="1" customWidth="1"/>
    <col min="2586" max="2586" width="27.453125" bestFit="1" customWidth="1"/>
    <col min="2817" max="2817" width="85.7265625" bestFit="1" customWidth="1"/>
    <col min="2818" max="2818" width="25.81640625" bestFit="1" customWidth="1"/>
    <col min="2819" max="2819" width="32.7265625" customWidth="1"/>
    <col min="2820" max="2820" width="22.7265625" customWidth="1"/>
    <col min="2821" max="2821" width="33.1796875" customWidth="1"/>
    <col min="2822" max="2822" width="27.54296875" customWidth="1"/>
    <col min="2823" max="2823" width="31.26953125" customWidth="1"/>
    <col min="2824" max="2824" width="25.1796875" customWidth="1"/>
    <col min="2825" max="2825" width="33.1796875" customWidth="1"/>
    <col min="2826" max="2826" width="64" customWidth="1"/>
    <col min="2827" max="2827" width="18.81640625" bestFit="1" customWidth="1"/>
    <col min="2828" max="2828" width="21.453125" bestFit="1" customWidth="1"/>
    <col min="2829" max="2829" width="11.453125" customWidth="1"/>
    <col min="2830" max="2830" width="25.26953125" bestFit="1" customWidth="1"/>
    <col min="2831" max="2831" width="14.1796875" bestFit="1" customWidth="1"/>
    <col min="2832" max="2832" width="11.453125" customWidth="1"/>
    <col min="2833" max="2833" width="23.26953125" bestFit="1" customWidth="1"/>
    <col min="2834" max="2834" width="11.453125" customWidth="1"/>
    <col min="2835" max="2835" width="12.81640625" bestFit="1" customWidth="1"/>
    <col min="2836" max="2836" width="22.453125" bestFit="1" customWidth="1"/>
    <col min="2837" max="2837" width="18.7265625" bestFit="1" customWidth="1"/>
    <col min="2838" max="2838" width="11.453125" customWidth="1"/>
    <col min="2839" max="2839" width="26.7265625" bestFit="1" customWidth="1"/>
    <col min="2840" max="2840" width="11.453125" customWidth="1"/>
    <col min="2841" max="2841" width="32" bestFit="1" customWidth="1"/>
    <col min="2842" max="2842" width="27.453125" bestFit="1" customWidth="1"/>
    <col min="3073" max="3073" width="85.7265625" bestFit="1" customWidth="1"/>
    <col min="3074" max="3074" width="25.81640625" bestFit="1" customWidth="1"/>
    <col min="3075" max="3075" width="32.7265625" customWidth="1"/>
    <col min="3076" max="3076" width="22.7265625" customWidth="1"/>
    <col min="3077" max="3077" width="33.1796875" customWidth="1"/>
    <col min="3078" max="3078" width="27.54296875" customWidth="1"/>
    <col min="3079" max="3079" width="31.26953125" customWidth="1"/>
    <col min="3080" max="3080" width="25.1796875" customWidth="1"/>
    <col min="3081" max="3081" width="33.1796875" customWidth="1"/>
    <col min="3082" max="3082" width="64" customWidth="1"/>
    <col min="3083" max="3083" width="18.81640625" bestFit="1" customWidth="1"/>
    <col min="3084" max="3084" width="21.453125" bestFit="1" customWidth="1"/>
    <col min="3085" max="3085" width="11.453125" customWidth="1"/>
    <col min="3086" max="3086" width="25.26953125" bestFit="1" customWidth="1"/>
    <col min="3087" max="3087" width="14.1796875" bestFit="1" customWidth="1"/>
    <col min="3088" max="3088" width="11.453125" customWidth="1"/>
    <col min="3089" max="3089" width="23.26953125" bestFit="1" customWidth="1"/>
    <col min="3090" max="3090" width="11.453125" customWidth="1"/>
    <col min="3091" max="3091" width="12.81640625" bestFit="1" customWidth="1"/>
    <col min="3092" max="3092" width="22.453125" bestFit="1" customWidth="1"/>
    <col min="3093" max="3093" width="18.7265625" bestFit="1" customWidth="1"/>
    <col min="3094" max="3094" width="11.453125" customWidth="1"/>
    <col min="3095" max="3095" width="26.7265625" bestFit="1" customWidth="1"/>
    <col min="3096" max="3096" width="11.453125" customWidth="1"/>
    <col min="3097" max="3097" width="32" bestFit="1" customWidth="1"/>
    <col min="3098" max="3098" width="27.453125" bestFit="1" customWidth="1"/>
    <col min="3329" max="3329" width="85.7265625" bestFit="1" customWidth="1"/>
    <col min="3330" max="3330" width="25.81640625" bestFit="1" customWidth="1"/>
    <col min="3331" max="3331" width="32.7265625" customWidth="1"/>
    <col min="3332" max="3332" width="22.7265625" customWidth="1"/>
    <col min="3333" max="3333" width="33.1796875" customWidth="1"/>
    <col min="3334" max="3334" width="27.54296875" customWidth="1"/>
    <col min="3335" max="3335" width="31.26953125" customWidth="1"/>
    <col min="3336" max="3336" width="25.1796875" customWidth="1"/>
    <col min="3337" max="3337" width="33.1796875" customWidth="1"/>
    <col min="3338" max="3338" width="64" customWidth="1"/>
    <col min="3339" max="3339" width="18.81640625" bestFit="1" customWidth="1"/>
    <col min="3340" max="3340" width="21.453125" bestFit="1" customWidth="1"/>
    <col min="3341" max="3341" width="11.453125" customWidth="1"/>
    <col min="3342" max="3342" width="25.26953125" bestFit="1" customWidth="1"/>
    <col min="3343" max="3343" width="14.1796875" bestFit="1" customWidth="1"/>
    <col min="3344" max="3344" width="11.453125" customWidth="1"/>
    <col min="3345" max="3345" width="23.26953125" bestFit="1" customWidth="1"/>
    <col min="3346" max="3346" width="11.453125" customWidth="1"/>
    <col min="3347" max="3347" width="12.81640625" bestFit="1" customWidth="1"/>
    <col min="3348" max="3348" width="22.453125" bestFit="1" customWidth="1"/>
    <col min="3349" max="3349" width="18.7265625" bestFit="1" customWidth="1"/>
    <col min="3350" max="3350" width="11.453125" customWidth="1"/>
    <col min="3351" max="3351" width="26.7265625" bestFit="1" customWidth="1"/>
    <col min="3352" max="3352" width="11.453125" customWidth="1"/>
    <col min="3353" max="3353" width="32" bestFit="1" customWidth="1"/>
    <col min="3354" max="3354" width="27.453125" bestFit="1" customWidth="1"/>
    <col min="3585" max="3585" width="85.7265625" bestFit="1" customWidth="1"/>
    <col min="3586" max="3586" width="25.81640625" bestFit="1" customWidth="1"/>
    <col min="3587" max="3587" width="32.7265625" customWidth="1"/>
    <col min="3588" max="3588" width="22.7265625" customWidth="1"/>
    <col min="3589" max="3589" width="33.1796875" customWidth="1"/>
    <col min="3590" max="3590" width="27.54296875" customWidth="1"/>
    <col min="3591" max="3591" width="31.26953125" customWidth="1"/>
    <col min="3592" max="3592" width="25.1796875" customWidth="1"/>
    <col min="3593" max="3593" width="33.1796875" customWidth="1"/>
    <col min="3594" max="3594" width="64" customWidth="1"/>
    <col min="3595" max="3595" width="18.81640625" bestFit="1" customWidth="1"/>
    <col min="3596" max="3596" width="21.453125" bestFit="1" customWidth="1"/>
    <col min="3597" max="3597" width="11.453125" customWidth="1"/>
    <col min="3598" max="3598" width="25.26953125" bestFit="1" customWidth="1"/>
    <col min="3599" max="3599" width="14.1796875" bestFit="1" customWidth="1"/>
    <col min="3600" max="3600" width="11.453125" customWidth="1"/>
    <col min="3601" max="3601" width="23.26953125" bestFit="1" customWidth="1"/>
    <col min="3602" max="3602" width="11.453125" customWidth="1"/>
    <col min="3603" max="3603" width="12.81640625" bestFit="1" customWidth="1"/>
    <col min="3604" max="3604" width="22.453125" bestFit="1" customWidth="1"/>
    <col min="3605" max="3605" width="18.7265625" bestFit="1" customWidth="1"/>
    <col min="3606" max="3606" width="11.453125" customWidth="1"/>
    <col min="3607" max="3607" width="26.7265625" bestFit="1" customWidth="1"/>
    <col min="3608" max="3608" width="11.453125" customWidth="1"/>
    <col min="3609" max="3609" width="32" bestFit="1" customWidth="1"/>
    <col min="3610" max="3610" width="27.453125" bestFit="1" customWidth="1"/>
    <col min="3841" max="3841" width="85.7265625" bestFit="1" customWidth="1"/>
    <col min="3842" max="3842" width="25.81640625" bestFit="1" customWidth="1"/>
    <col min="3843" max="3843" width="32.7265625" customWidth="1"/>
    <col min="3844" max="3844" width="22.7265625" customWidth="1"/>
    <col min="3845" max="3845" width="33.1796875" customWidth="1"/>
    <col min="3846" max="3846" width="27.54296875" customWidth="1"/>
    <col min="3847" max="3847" width="31.26953125" customWidth="1"/>
    <col min="3848" max="3848" width="25.1796875" customWidth="1"/>
    <col min="3849" max="3849" width="33.1796875" customWidth="1"/>
    <col min="3850" max="3850" width="64" customWidth="1"/>
    <col min="3851" max="3851" width="18.81640625" bestFit="1" customWidth="1"/>
    <col min="3852" max="3852" width="21.453125" bestFit="1" customWidth="1"/>
    <col min="3853" max="3853" width="11.453125" customWidth="1"/>
    <col min="3854" max="3854" width="25.26953125" bestFit="1" customWidth="1"/>
    <col min="3855" max="3855" width="14.1796875" bestFit="1" customWidth="1"/>
    <col min="3856" max="3856" width="11.453125" customWidth="1"/>
    <col min="3857" max="3857" width="23.26953125" bestFit="1" customWidth="1"/>
    <col min="3858" max="3858" width="11.453125" customWidth="1"/>
    <col min="3859" max="3859" width="12.81640625" bestFit="1" customWidth="1"/>
    <col min="3860" max="3860" width="22.453125" bestFit="1" customWidth="1"/>
    <col min="3861" max="3861" width="18.7265625" bestFit="1" customWidth="1"/>
    <col min="3862" max="3862" width="11.453125" customWidth="1"/>
    <col min="3863" max="3863" width="26.7265625" bestFit="1" customWidth="1"/>
    <col min="3864" max="3864" width="11.453125" customWidth="1"/>
    <col min="3865" max="3865" width="32" bestFit="1" customWidth="1"/>
    <col min="3866" max="3866" width="27.453125" bestFit="1" customWidth="1"/>
    <col min="4097" max="4097" width="85.7265625" bestFit="1" customWidth="1"/>
    <col min="4098" max="4098" width="25.81640625" bestFit="1" customWidth="1"/>
    <col min="4099" max="4099" width="32.7265625" customWidth="1"/>
    <col min="4100" max="4100" width="22.7265625" customWidth="1"/>
    <col min="4101" max="4101" width="33.1796875" customWidth="1"/>
    <col min="4102" max="4102" width="27.54296875" customWidth="1"/>
    <col min="4103" max="4103" width="31.26953125" customWidth="1"/>
    <col min="4104" max="4104" width="25.1796875" customWidth="1"/>
    <col min="4105" max="4105" width="33.1796875" customWidth="1"/>
    <col min="4106" max="4106" width="64" customWidth="1"/>
    <col min="4107" max="4107" width="18.81640625" bestFit="1" customWidth="1"/>
    <col min="4108" max="4108" width="21.453125" bestFit="1" customWidth="1"/>
    <col min="4109" max="4109" width="11.453125" customWidth="1"/>
    <col min="4110" max="4110" width="25.26953125" bestFit="1" customWidth="1"/>
    <col min="4111" max="4111" width="14.1796875" bestFit="1" customWidth="1"/>
    <col min="4112" max="4112" width="11.453125" customWidth="1"/>
    <col min="4113" max="4113" width="23.26953125" bestFit="1" customWidth="1"/>
    <col min="4114" max="4114" width="11.453125" customWidth="1"/>
    <col min="4115" max="4115" width="12.81640625" bestFit="1" customWidth="1"/>
    <col min="4116" max="4116" width="22.453125" bestFit="1" customWidth="1"/>
    <col min="4117" max="4117" width="18.7265625" bestFit="1" customWidth="1"/>
    <col min="4118" max="4118" width="11.453125" customWidth="1"/>
    <col min="4119" max="4119" width="26.7265625" bestFit="1" customWidth="1"/>
    <col min="4120" max="4120" width="11.453125" customWidth="1"/>
    <col min="4121" max="4121" width="32" bestFit="1" customWidth="1"/>
    <col min="4122" max="4122" width="27.453125" bestFit="1" customWidth="1"/>
    <col min="4353" max="4353" width="85.7265625" bestFit="1" customWidth="1"/>
    <col min="4354" max="4354" width="25.81640625" bestFit="1" customWidth="1"/>
    <col min="4355" max="4355" width="32.7265625" customWidth="1"/>
    <col min="4356" max="4356" width="22.7265625" customWidth="1"/>
    <col min="4357" max="4357" width="33.1796875" customWidth="1"/>
    <col min="4358" max="4358" width="27.54296875" customWidth="1"/>
    <col min="4359" max="4359" width="31.26953125" customWidth="1"/>
    <col min="4360" max="4360" width="25.1796875" customWidth="1"/>
    <col min="4361" max="4361" width="33.1796875" customWidth="1"/>
    <col min="4362" max="4362" width="64" customWidth="1"/>
    <col min="4363" max="4363" width="18.81640625" bestFit="1" customWidth="1"/>
    <col min="4364" max="4364" width="21.453125" bestFit="1" customWidth="1"/>
    <col min="4365" max="4365" width="11.453125" customWidth="1"/>
    <col min="4366" max="4366" width="25.26953125" bestFit="1" customWidth="1"/>
    <col min="4367" max="4367" width="14.1796875" bestFit="1" customWidth="1"/>
    <col min="4368" max="4368" width="11.453125" customWidth="1"/>
    <col min="4369" max="4369" width="23.26953125" bestFit="1" customWidth="1"/>
    <col min="4370" max="4370" width="11.453125" customWidth="1"/>
    <col min="4371" max="4371" width="12.81640625" bestFit="1" customWidth="1"/>
    <col min="4372" max="4372" width="22.453125" bestFit="1" customWidth="1"/>
    <col min="4373" max="4373" width="18.7265625" bestFit="1" customWidth="1"/>
    <col min="4374" max="4374" width="11.453125" customWidth="1"/>
    <col min="4375" max="4375" width="26.7265625" bestFit="1" customWidth="1"/>
    <col min="4376" max="4376" width="11.453125" customWidth="1"/>
    <col min="4377" max="4377" width="32" bestFit="1" customWidth="1"/>
    <col min="4378" max="4378" width="27.453125" bestFit="1" customWidth="1"/>
    <col min="4609" max="4609" width="85.7265625" bestFit="1" customWidth="1"/>
    <col min="4610" max="4610" width="25.81640625" bestFit="1" customWidth="1"/>
    <col min="4611" max="4611" width="32.7265625" customWidth="1"/>
    <col min="4612" max="4612" width="22.7265625" customWidth="1"/>
    <col min="4613" max="4613" width="33.1796875" customWidth="1"/>
    <col min="4614" max="4614" width="27.54296875" customWidth="1"/>
    <col min="4615" max="4615" width="31.26953125" customWidth="1"/>
    <col min="4616" max="4616" width="25.1796875" customWidth="1"/>
    <col min="4617" max="4617" width="33.1796875" customWidth="1"/>
    <col min="4618" max="4618" width="64" customWidth="1"/>
    <col min="4619" max="4619" width="18.81640625" bestFit="1" customWidth="1"/>
    <col min="4620" max="4620" width="21.453125" bestFit="1" customWidth="1"/>
    <col min="4621" max="4621" width="11.453125" customWidth="1"/>
    <col min="4622" max="4622" width="25.26953125" bestFit="1" customWidth="1"/>
    <col min="4623" max="4623" width="14.1796875" bestFit="1" customWidth="1"/>
    <col min="4624" max="4624" width="11.453125" customWidth="1"/>
    <col min="4625" max="4625" width="23.26953125" bestFit="1" customWidth="1"/>
    <col min="4626" max="4626" width="11.453125" customWidth="1"/>
    <col min="4627" max="4627" width="12.81640625" bestFit="1" customWidth="1"/>
    <col min="4628" max="4628" width="22.453125" bestFit="1" customWidth="1"/>
    <col min="4629" max="4629" width="18.7265625" bestFit="1" customWidth="1"/>
    <col min="4630" max="4630" width="11.453125" customWidth="1"/>
    <col min="4631" max="4631" width="26.7265625" bestFit="1" customWidth="1"/>
    <col min="4632" max="4632" width="11.453125" customWidth="1"/>
    <col min="4633" max="4633" width="32" bestFit="1" customWidth="1"/>
    <col min="4634" max="4634" width="27.453125" bestFit="1" customWidth="1"/>
    <col min="4865" max="4865" width="85.7265625" bestFit="1" customWidth="1"/>
    <col min="4866" max="4866" width="25.81640625" bestFit="1" customWidth="1"/>
    <col min="4867" max="4867" width="32.7265625" customWidth="1"/>
    <col min="4868" max="4868" width="22.7265625" customWidth="1"/>
    <col min="4869" max="4869" width="33.1796875" customWidth="1"/>
    <col min="4870" max="4870" width="27.54296875" customWidth="1"/>
    <col min="4871" max="4871" width="31.26953125" customWidth="1"/>
    <col min="4872" max="4872" width="25.1796875" customWidth="1"/>
    <col min="4873" max="4873" width="33.1796875" customWidth="1"/>
    <col min="4874" max="4874" width="64" customWidth="1"/>
    <col min="4875" max="4875" width="18.81640625" bestFit="1" customWidth="1"/>
    <col min="4876" max="4876" width="21.453125" bestFit="1" customWidth="1"/>
    <col min="4877" max="4877" width="11.453125" customWidth="1"/>
    <col min="4878" max="4878" width="25.26953125" bestFit="1" customWidth="1"/>
    <col min="4879" max="4879" width="14.1796875" bestFit="1" customWidth="1"/>
    <col min="4880" max="4880" width="11.453125" customWidth="1"/>
    <col min="4881" max="4881" width="23.26953125" bestFit="1" customWidth="1"/>
    <col min="4882" max="4882" width="11.453125" customWidth="1"/>
    <col min="4883" max="4883" width="12.81640625" bestFit="1" customWidth="1"/>
    <col min="4884" max="4884" width="22.453125" bestFit="1" customWidth="1"/>
    <col min="4885" max="4885" width="18.7265625" bestFit="1" customWidth="1"/>
    <col min="4886" max="4886" width="11.453125" customWidth="1"/>
    <col min="4887" max="4887" width="26.7265625" bestFit="1" customWidth="1"/>
    <col min="4888" max="4888" width="11.453125" customWidth="1"/>
    <col min="4889" max="4889" width="32" bestFit="1" customWidth="1"/>
    <col min="4890" max="4890" width="27.453125" bestFit="1" customWidth="1"/>
    <col min="5121" max="5121" width="85.7265625" bestFit="1" customWidth="1"/>
    <col min="5122" max="5122" width="25.81640625" bestFit="1" customWidth="1"/>
    <col min="5123" max="5123" width="32.7265625" customWidth="1"/>
    <col min="5124" max="5124" width="22.7265625" customWidth="1"/>
    <col min="5125" max="5125" width="33.1796875" customWidth="1"/>
    <col min="5126" max="5126" width="27.54296875" customWidth="1"/>
    <col min="5127" max="5127" width="31.26953125" customWidth="1"/>
    <col min="5128" max="5128" width="25.1796875" customWidth="1"/>
    <col min="5129" max="5129" width="33.1796875" customWidth="1"/>
    <col min="5130" max="5130" width="64" customWidth="1"/>
    <col min="5131" max="5131" width="18.81640625" bestFit="1" customWidth="1"/>
    <col min="5132" max="5132" width="21.453125" bestFit="1" customWidth="1"/>
    <col min="5133" max="5133" width="11.453125" customWidth="1"/>
    <col min="5134" max="5134" width="25.26953125" bestFit="1" customWidth="1"/>
    <col min="5135" max="5135" width="14.1796875" bestFit="1" customWidth="1"/>
    <col min="5136" max="5136" width="11.453125" customWidth="1"/>
    <col min="5137" max="5137" width="23.26953125" bestFit="1" customWidth="1"/>
    <col min="5138" max="5138" width="11.453125" customWidth="1"/>
    <col min="5139" max="5139" width="12.81640625" bestFit="1" customWidth="1"/>
    <col min="5140" max="5140" width="22.453125" bestFit="1" customWidth="1"/>
    <col min="5141" max="5141" width="18.7265625" bestFit="1" customWidth="1"/>
    <col min="5142" max="5142" width="11.453125" customWidth="1"/>
    <col min="5143" max="5143" width="26.7265625" bestFit="1" customWidth="1"/>
    <col min="5144" max="5144" width="11.453125" customWidth="1"/>
    <col min="5145" max="5145" width="32" bestFit="1" customWidth="1"/>
    <col min="5146" max="5146" width="27.453125" bestFit="1" customWidth="1"/>
    <col min="5377" max="5377" width="85.7265625" bestFit="1" customWidth="1"/>
    <col min="5378" max="5378" width="25.81640625" bestFit="1" customWidth="1"/>
    <col min="5379" max="5379" width="32.7265625" customWidth="1"/>
    <col min="5380" max="5380" width="22.7265625" customWidth="1"/>
    <col min="5381" max="5381" width="33.1796875" customWidth="1"/>
    <col min="5382" max="5382" width="27.54296875" customWidth="1"/>
    <col min="5383" max="5383" width="31.26953125" customWidth="1"/>
    <col min="5384" max="5384" width="25.1796875" customWidth="1"/>
    <col min="5385" max="5385" width="33.1796875" customWidth="1"/>
    <col min="5386" max="5386" width="64" customWidth="1"/>
    <col min="5387" max="5387" width="18.81640625" bestFit="1" customWidth="1"/>
    <col min="5388" max="5388" width="21.453125" bestFit="1" customWidth="1"/>
    <col min="5389" max="5389" width="11.453125" customWidth="1"/>
    <col min="5390" max="5390" width="25.26953125" bestFit="1" customWidth="1"/>
    <col min="5391" max="5391" width="14.1796875" bestFit="1" customWidth="1"/>
    <col min="5392" max="5392" width="11.453125" customWidth="1"/>
    <col min="5393" max="5393" width="23.26953125" bestFit="1" customWidth="1"/>
    <col min="5394" max="5394" width="11.453125" customWidth="1"/>
    <col min="5395" max="5395" width="12.81640625" bestFit="1" customWidth="1"/>
    <col min="5396" max="5396" width="22.453125" bestFit="1" customWidth="1"/>
    <col min="5397" max="5397" width="18.7265625" bestFit="1" customWidth="1"/>
    <col min="5398" max="5398" width="11.453125" customWidth="1"/>
    <col min="5399" max="5399" width="26.7265625" bestFit="1" customWidth="1"/>
    <col min="5400" max="5400" width="11.453125" customWidth="1"/>
    <col min="5401" max="5401" width="32" bestFit="1" customWidth="1"/>
    <col min="5402" max="5402" width="27.453125" bestFit="1" customWidth="1"/>
    <col min="5633" max="5633" width="85.7265625" bestFit="1" customWidth="1"/>
    <col min="5634" max="5634" width="25.81640625" bestFit="1" customWidth="1"/>
    <col min="5635" max="5635" width="32.7265625" customWidth="1"/>
    <col min="5636" max="5636" width="22.7265625" customWidth="1"/>
    <col min="5637" max="5637" width="33.1796875" customWidth="1"/>
    <col min="5638" max="5638" width="27.54296875" customWidth="1"/>
    <col min="5639" max="5639" width="31.26953125" customWidth="1"/>
    <col min="5640" max="5640" width="25.1796875" customWidth="1"/>
    <col min="5641" max="5641" width="33.1796875" customWidth="1"/>
    <col min="5642" max="5642" width="64" customWidth="1"/>
    <col min="5643" max="5643" width="18.81640625" bestFit="1" customWidth="1"/>
    <col min="5644" max="5644" width="21.453125" bestFit="1" customWidth="1"/>
    <col min="5645" max="5645" width="11.453125" customWidth="1"/>
    <col min="5646" max="5646" width="25.26953125" bestFit="1" customWidth="1"/>
    <col min="5647" max="5647" width="14.1796875" bestFit="1" customWidth="1"/>
    <col min="5648" max="5648" width="11.453125" customWidth="1"/>
    <col min="5649" max="5649" width="23.26953125" bestFit="1" customWidth="1"/>
    <col min="5650" max="5650" width="11.453125" customWidth="1"/>
    <col min="5651" max="5651" width="12.81640625" bestFit="1" customWidth="1"/>
    <col min="5652" max="5652" width="22.453125" bestFit="1" customWidth="1"/>
    <col min="5653" max="5653" width="18.7265625" bestFit="1" customWidth="1"/>
    <col min="5654" max="5654" width="11.453125" customWidth="1"/>
    <col min="5655" max="5655" width="26.7265625" bestFit="1" customWidth="1"/>
    <col min="5656" max="5656" width="11.453125" customWidth="1"/>
    <col min="5657" max="5657" width="32" bestFit="1" customWidth="1"/>
    <col min="5658" max="5658" width="27.453125" bestFit="1" customWidth="1"/>
    <col min="5889" max="5889" width="85.7265625" bestFit="1" customWidth="1"/>
    <col min="5890" max="5890" width="25.81640625" bestFit="1" customWidth="1"/>
    <col min="5891" max="5891" width="32.7265625" customWidth="1"/>
    <col min="5892" max="5892" width="22.7265625" customWidth="1"/>
    <col min="5893" max="5893" width="33.1796875" customWidth="1"/>
    <col min="5894" max="5894" width="27.54296875" customWidth="1"/>
    <col min="5895" max="5895" width="31.26953125" customWidth="1"/>
    <col min="5896" max="5896" width="25.1796875" customWidth="1"/>
    <col min="5897" max="5897" width="33.1796875" customWidth="1"/>
    <col min="5898" max="5898" width="64" customWidth="1"/>
    <col min="5899" max="5899" width="18.81640625" bestFit="1" customWidth="1"/>
    <col min="5900" max="5900" width="21.453125" bestFit="1" customWidth="1"/>
    <col min="5901" max="5901" width="11.453125" customWidth="1"/>
    <col min="5902" max="5902" width="25.26953125" bestFit="1" customWidth="1"/>
    <col min="5903" max="5903" width="14.1796875" bestFit="1" customWidth="1"/>
    <col min="5904" max="5904" width="11.453125" customWidth="1"/>
    <col min="5905" max="5905" width="23.26953125" bestFit="1" customWidth="1"/>
    <col min="5906" max="5906" width="11.453125" customWidth="1"/>
    <col min="5907" max="5907" width="12.81640625" bestFit="1" customWidth="1"/>
    <col min="5908" max="5908" width="22.453125" bestFit="1" customWidth="1"/>
    <col min="5909" max="5909" width="18.7265625" bestFit="1" customWidth="1"/>
    <col min="5910" max="5910" width="11.453125" customWidth="1"/>
    <col min="5911" max="5911" width="26.7265625" bestFit="1" customWidth="1"/>
    <col min="5912" max="5912" width="11.453125" customWidth="1"/>
    <col min="5913" max="5913" width="32" bestFit="1" customWidth="1"/>
    <col min="5914" max="5914" width="27.453125" bestFit="1" customWidth="1"/>
    <col min="6145" max="6145" width="85.7265625" bestFit="1" customWidth="1"/>
    <col min="6146" max="6146" width="25.81640625" bestFit="1" customWidth="1"/>
    <col min="6147" max="6147" width="32.7265625" customWidth="1"/>
    <col min="6148" max="6148" width="22.7265625" customWidth="1"/>
    <col min="6149" max="6149" width="33.1796875" customWidth="1"/>
    <col min="6150" max="6150" width="27.54296875" customWidth="1"/>
    <col min="6151" max="6151" width="31.26953125" customWidth="1"/>
    <col min="6152" max="6152" width="25.1796875" customWidth="1"/>
    <col min="6153" max="6153" width="33.1796875" customWidth="1"/>
    <col min="6154" max="6154" width="64" customWidth="1"/>
    <col min="6155" max="6155" width="18.81640625" bestFit="1" customWidth="1"/>
    <col min="6156" max="6156" width="21.453125" bestFit="1" customWidth="1"/>
    <col min="6157" max="6157" width="11.453125" customWidth="1"/>
    <col min="6158" max="6158" width="25.26953125" bestFit="1" customWidth="1"/>
    <col min="6159" max="6159" width="14.1796875" bestFit="1" customWidth="1"/>
    <col min="6160" max="6160" width="11.453125" customWidth="1"/>
    <col min="6161" max="6161" width="23.26953125" bestFit="1" customWidth="1"/>
    <col min="6162" max="6162" width="11.453125" customWidth="1"/>
    <col min="6163" max="6163" width="12.81640625" bestFit="1" customWidth="1"/>
    <col min="6164" max="6164" width="22.453125" bestFit="1" customWidth="1"/>
    <col min="6165" max="6165" width="18.7265625" bestFit="1" customWidth="1"/>
    <col min="6166" max="6166" width="11.453125" customWidth="1"/>
    <col min="6167" max="6167" width="26.7265625" bestFit="1" customWidth="1"/>
    <col min="6168" max="6168" width="11.453125" customWidth="1"/>
    <col min="6169" max="6169" width="32" bestFit="1" customWidth="1"/>
    <col min="6170" max="6170" width="27.453125" bestFit="1" customWidth="1"/>
    <col min="6401" max="6401" width="85.7265625" bestFit="1" customWidth="1"/>
    <col min="6402" max="6402" width="25.81640625" bestFit="1" customWidth="1"/>
    <col min="6403" max="6403" width="32.7265625" customWidth="1"/>
    <col min="6404" max="6404" width="22.7265625" customWidth="1"/>
    <col min="6405" max="6405" width="33.1796875" customWidth="1"/>
    <col min="6406" max="6406" width="27.54296875" customWidth="1"/>
    <col min="6407" max="6407" width="31.26953125" customWidth="1"/>
    <col min="6408" max="6408" width="25.1796875" customWidth="1"/>
    <col min="6409" max="6409" width="33.1796875" customWidth="1"/>
    <col min="6410" max="6410" width="64" customWidth="1"/>
    <col min="6411" max="6411" width="18.81640625" bestFit="1" customWidth="1"/>
    <col min="6412" max="6412" width="21.453125" bestFit="1" customWidth="1"/>
    <col min="6413" max="6413" width="11.453125" customWidth="1"/>
    <col min="6414" max="6414" width="25.26953125" bestFit="1" customWidth="1"/>
    <col min="6415" max="6415" width="14.1796875" bestFit="1" customWidth="1"/>
    <col min="6416" max="6416" width="11.453125" customWidth="1"/>
    <col min="6417" max="6417" width="23.26953125" bestFit="1" customWidth="1"/>
    <col min="6418" max="6418" width="11.453125" customWidth="1"/>
    <col min="6419" max="6419" width="12.81640625" bestFit="1" customWidth="1"/>
    <col min="6420" max="6420" width="22.453125" bestFit="1" customWidth="1"/>
    <col min="6421" max="6421" width="18.7265625" bestFit="1" customWidth="1"/>
    <col min="6422" max="6422" width="11.453125" customWidth="1"/>
    <col min="6423" max="6423" width="26.7265625" bestFit="1" customWidth="1"/>
    <col min="6424" max="6424" width="11.453125" customWidth="1"/>
    <col min="6425" max="6425" width="32" bestFit="1" customWidth="1"/>
    <col min="6426" max="6426" width="27.453125" bestFit="1" customWidth="1"/>
    <col min="6657" max="6657" width="85.7265625" bestFit="1" customWidth="1"/>
    <col min="6658" max="6658" width="25.81640625" bestFit="1" customWidth="1"/>
    <col min="6659" max="6659" width="32.7265625" customWidth="1"/>
    <col min="6660" max="6660" width="22.7265625" customWidth="1"/>
    <col min="6661" max="6661" width="33.1796875" customWidth="1"/>
    <col min="6662" max="6662" width="27.54296875" customWidth="1"/>
    <col min="6663" max="6663" width="31.26953125" customWidth="1"/>
    <col min="6664" max="6664" width="25.1796875" customWidth="1"/>
    <col min="6665" max="6665" width="33.1796875" customWidth="1"/>
    <col min="6666" max="6666" width="64" customWidth="1"/>
    <col min="6667" max="6667" width="18.81640625" bestFit="1" customWidth="1"/>
    <col min="6668" max="6668" width="21.453125" bestFit="1" customWidth="1"/>
    <col min="6669" max="6669" width="11.453125" customWidth="1"/>
    <col min="6670" max="6670" width="25.26953125" bestFit="1" customWidth="1"/>
    <col min="6671" max="6671" width="14.1796875" bestFit="1" customWidth="1"/>
    <col min="6672" max="6672" width="11.453125" customWidth="1"/>
    <col min="6673" max="6673" width="23.26953125" bestFit="1" customWidth="1"/>
    <col min="6674" max="6674" width="11.453125" customWidth="1"/>
    <col min="6675" max="6675" width="12.81640625" bestFit="1" customWidth="1"/>
    <col min="6676" max="6676" width="22.453125" bestFit="1" customWidth="1"/>
    <col min="6677" max="6677" width="18.7265625" bestFit="1" customWidth="1"/>
    <col min="6678" max="6678" width="11.453125" customWidth="1"/>
    <col min="6679" max="6679" width="26.7265625" bestFit="1" customWidth="1"/>
    <col min="6680" max="6680" width="11.453125" customWidth="1"/>
    <col min="6681" max="6681" width="32" bestFit="1" customWidth="1"/>
    <col min="6682" max="6682" width="27.453125" bestFit="1" customWidth="1"/>
    <col min="6913" max="6913" width="85.7265625" bestFit="1" customWidth="1"/>
    <col min="6914" max="6914" width="25.81640625" bestFit="1" customWidth="1"/>
    <col min="6915" max="6915" width="32.7265625" customWidth="1"/>
    <col min="6916" max="6916" width="22.7265625" customWidth="1"/>
    <col min="6917" max="6917" width="33.1796875" customWidth="1"/>
    <col min="6918" max="6918" width="27.54296875" customWidth="1"/>
    <col min="6919" max="6919" width="31.26953125" customWidth="1"/>
    <col min="6920" max="6920" width="25.1796875" customWidth="1"/>
    <col min="6921" max="6921" width="33.1796875" customWidth="1"/>
    <col min="6922" max="6922" width="64" customWidth="1"/>
    <col min="6923" max="6923" width="18.81640625" bestFit="1" customWidth="1"/>
    <col min="6924" max="6924" width="21.453125" bestFit="1" customWidth="1"/>
    <col min="6925" max="6925" width="11.453125" customWidth="1"/>
    <col min="6926" max="6926" width="25.26953125" bestFit="1" customWidth="1"/>
    <col min="6927" max="6927" width="14.1796875" bestFit="1" customWidth="1"/>
    <col min="6928" max="6928" width="11.453125" customWidth="1"/>
    <col min="6929" max="6929" width="23.26953125" bestFit="1" customWidth="1"/>
    <col min="6930" max="6930" width="11.453125" customWidth="1"/>
    <col min="6931" max="6931" width="12.81640625" bestFit="1" customWidth="1"/>
    <col min="6932" max="6932" width="22.453125" bestFit="1" customWidth="1"/>
    <col min="6933" max="6933" width="18.7265625" bestFit="1" customWidth="1"/>
    <col min="6934" max="6934" width="11.453125" customWidth="1"/>
    <col min="6935" max="6935" width="26.7265625" bestFit="1" customWidth="1"/>
    <col min="6936" max="6936" width="11.453125" customWidth="1"/>
    <col min="6937" max="6937" width="32" bestFit="1" customWidth="1"/>
    <col min="6938" max="6938" width="27.453125" bestFit="1" customWidth="1"/>
    <col min="7169" max="7169" width="85.7265625" bestFit="1" customWidth="1"/>
    <col min="7170" max="7170" width="25.81640625" bestFit="1" customWidth="1"/>
    <col min="7171" max="7171" width="32.7265625" customWidth="1"/>
    <col min="7172" max="7172" width="22.7265625" customWidth="1"/>
    <col min="7173" max="7173" width="33.1796875" customWidth="1"/>
    <col min="7174" max="7174" width="27.54296875" customWidth="1"/>
    <col min="7175" max="7175" width="31.26953125" customWidth="1"/>
    <col min="7176" max="7176" width="25.1796875" customWidth="1"/>
    <col min="7177" max="7177" width="33.1796875" customWidth="1"/>
    <col min="7178" max="7178" width="64" customWidth="1"/>
    <col min="7179" max="7179" width="18.81640625" bestFit="1" customWidth="1"/>
    <col min="7180" max="7180" width="21.453125" bestFit="1" customWidth="1"/>
    <col min="7181" max="7181" width="11.453125" customWidth="1"/>
    <col min="7182" max="7182" width="25.26953125" bestFit="1" customWidth="1"/>
    <col min="7183" max="7183" width="14.1796875" bestFit="1" customWidth="1"/>
    <col min="7184" max="7184" width="11.453125" customWidth="1"/>
    <col min="7185" max="7185" width="23.26953125" bestFit="1" customWidth="1"/>
    <col min="7186" max="7186" width="11.453125" customWidth="1"/>
    <col min="7187" max="7187" width="12.81640625" bestFit="1" customWidth="1"/>
    <col min="7188" max="7188" width="22.453125" bestFit="1" customWidth="1"/>
    <col min="7189" max="7189" width="18.7265625" bestFit="1" customWidth="1"/>
    <col min="7190" max="7190" width="11.453125" customWidth="1"/>
    <col min="7191" max="7191" width="26.7265625" bestFit="1" customWidth="1"/>
    <col min="7192" max="7192" width="11.453125" customWidth="1"/>
    <col min="7193" max="7193" width="32" bestFit="1" customWidth="1"/>
    <col min="7194" max="7194" width="27.453125" bestFit="1" customWidth="1"/>
    <col min="7425" max="7425" width="85.7265625" bestFit="1" customWidth="1"/>
    <col min="7426" max="7426" width="25.81640625" bestFit="1" customWidth="1"/>
    <col min="7427" max="7427" width="32.7265625" customWidth="1"/>
    <col min="7428" max="7428" width="22.7265625" customWidth="1"/>
    <col min="7429" max="7429" width="33.1796875" customWidth="1"/>
    <col min="7430" max="7430" width="27.54296875" customWidth="1"/>
    <col min="7431" max="7431" width="31.26953125" customWidth="1"/>
    <col min="7432" max="7432" width="25.1796875" customWidth="1"/>
    <col min="7433" max="7433" width="33.1796875" customWidth="1"/>
    <col min="7434" max="7434" width="64" customWidth="1"/>
    <col min="7435" max="7435" width="18.81640625" bestFit="1" customWidth="1"/>
    <col min="7436" max="7436" width="21.453125" bestFit="1" customWidth="1"/>
    <col min="7437" max="7437" width="11.453125" customWidth="1"/>
    <col min="7438" max="7438" width="25.26953125" bestFit="1" customWidth="1"/>
    <col min="7439" max="7439" width="14.1796875" bestFit="1" customWidth="1"/>
    <col min="7440" max="7440" width="11.453125" customWidth="1"/>
    <col min="7441" max="7441" width="23.26953125" bestFit="1" customWidth="1"/>
    <col min="7442" max="7442" width="11.453125" customWidth="1"/>
    <col min="7443" max="7443" width="12.81640625" bestFit="1" customWidth="1"/>
    <col min="7444" max="7444" width="22.453125" bestFit="1" customWidth="1"/>
    <col min="7445" max="7445" width="18.7265625" bestFit="1" customWidth="1"/>
    <col min="7446" max="7446" width="11.453125" customWidth="1"/>
    <col min="7447" max="7447" width="26.7265625" bestFit="1" customWidth="1"/>
    <col min="7448" max="7448" width="11.453125" customWidth="1"/>
    <col min="7449" max="7449" width="32" bestFit="1" customWidth="1"/>
    <col min="7450" max="7450" width="27.453125" bestFit="1" customWidth="1"/>
    <col min="7681" max="7681" width="85.7265625" bestFit="1" customWidth="1"/>
    <col min="7682" max="7682" width="25.81640625" bestFit="1" customWidth="1"/>
    <col min="7683" max="7683" width="32.7265625" customWidth="1"/>
    <col min="7684" max="7684" width="22.7265625" customWidth="1"/>
    <col min="7685" max="7685" width="33.1796875" customWidth="1"/>
    <col min="7686" max="7686" width="27.54296875" customWidth="1"/>
    <col min="7687" max="7687" width="31.26953125" customWidth="1"/>
    <col min="7688" max="7688" width="25.1796875" customWidth="1"/>
    <col min="7689" max="7689" width="33.1796875" customWidth="1"/>
    <col min="7690" max="7690" width="64" customWidth="1"/>
    <col min="7691" max="7691" width="18.81640625" bestFit="1" customWidth="1"/>
    <col min="7692" max="7692" width="21.453125" bestFit="1" customWidth="1"/>
    <col min="7693" max="7693" width="11.453125" customWidth="1"/>
    <col min="7694" max="7694" width="25.26953125" bestFit="1" customWidth="1"/>
    <col min="7695" max="7695" width="14.1796875" bestFit="1" customWidth="1"/>
    <col min="7696" max="7696" width="11.453125" customWidth="1"/>
    <col min="7697" max="7697" width="23.26953125" bestFit="1" customWidth="1"/>
    <col min="7698" max="7698" width="11.453125" customWidth="1"/>
    <col min="7699" max="7699" width="12.81640625" bestFit="1" customWidth="1"/>
    <col min="7700" max="7700" width="22.453125" bestFit="1" customWidth="1"/>
    <col min="7701" max="7701" width="18.7265625" bestFit="1" customWidth="1"/>
    <col min="7702" max="7702" width="11.453125" customWidth="1"/>
    <col min="7703" max="7703" width="26.7265625" bestFit="1" customWidth="1"/>
    <col min="7704" max="7704" width="11.453125" customWidth="1"/>
    <col min="7705" max="7705" width="32" bestFit="1" customWidth="1"/>
    <col min="7706" max="7706" width="27.453125" bestFit="1" customWidth="1"/>
    <col min="7937" max="7937" width="85.7265625" bestFit="1" customWidth="1"/>
    <col min="7938" max="7938" width="25.81640625" bestFit="1" customWidth="1"/>
    <col min="7939" max="7939" width="32.7265625" customWidth="1"/>
    <col min="7940" max="7940" width="22.7265625" customWidth="1"/>
    <col min="7941" max="7941" width="33.1796875" customWidth="1"/>
    <col min="7942" max="7942" width="27.54296875" customWidth="1"/>
    <col min="7943" max="7943" width="31.26953125" customWidth="1"/>
    <col min="7944" max="7944" width="25.1796875" customWidth="1"/>
    <col min="7945" max="7945" width="33.1796875" customWidth="1"/>
    <col min="7946" max="7946" width="64" customWidth="1"/>
    <col min="7947" max="7947" width="18.81640625" bestFit="1" customWidth="1"/>
    <col min="7948" max="7948" width="21.453125" bestFit="1" customWidth="1"/>
    <col min="7949" max="7949" width="11.453125" customWidth="1"/>
    <col min="7950" max="7950" width="25.26953125" bestFit="1" customWidth="1"/>
    <col min="7951" max="7951" width="14.1796875" bestFit="1" customWidth="1"/>
    <col min="7952" max="7952" width="11.453125" customWidth="1"/>
    <col min="7953" max="7953" width="23.26953125" bestFit="1" customWidth="1"/>
    <col min="7954" max="7954" width="11.453125" customWidth="1"/>
    <col min="7955" max="7955" width="12.81640625" bestFit="1" customWidth="1"/>
    <col min="7956" max="7956" width="22.453125" bestFit="1" customWidth="1"/>
    <col min="7957" max="7957" width="18.7265625" bestFit="1" customWidth="1"/>
    <col min="7958" max="7958" width="11.453125" customWidth="1"/>
    <col min="7959" max="7959" width="26.7265625" bestFit="1" customWidth="1"/>
    <col min="7960" max="7960" width="11.453125" customWidth="1"/>
    <col min="7961" max="7961" width="32" bestFit="1" customWidth="1"/>
    <col min="7962" max="7962" width="27.453125" bestFit="1" customWidth="1"/>
    <col min="8193" max="8193" width="85.7265625" bestFit="1" customWidth="1"/>
    <col min="8194" max="8194" width="25.81640625" bestFit="1" customWidth="1"/>
    <col min="8195" max="8195" width="32.7265625" customWidth="1"/>
    <col min="8196" max="8196" width="22.7265625" customWidth="1"/>
    <col min="8197" max="8197" width="33.1796875" customWidth="1"/>
    <col min="8198" max="8198" width="27.54296875" customWidth="1"/>
    <col min="8199" max="8199" width="31.26953125" customWidth="1"/>
    <col min="8200" max="8200" width="25.1796875" customWidth="1"/>
    <col min="8201" max="8201" width="33.1796875" customWidth="1"/>
    <col min="8202" max="8202" width="64" customWidth="1"/>
    <col min="8203" max="8203" width="18.81640625" bestFit="1" customWidth="1"/>
    <col min="8204" max="8204" width="21.453125" bestFit="1" customWidth="1"/>
    <col min="8205" max="8205" width="11.453125" customWidth="1"/>
    <col min="8206" max="8206" width="25.26953125" bestFit="1" customWidth="1"/>
    <col min="8207" max="8207" width="14.1796875" bestFit="1" customWidth="1"/>
    <col min="8208" max="8208" width="11.453125" customWidth="1"/>
    <col min="8209" max="8209" width="23.26953125" bestFit="1" customWidth="1"/>
    <col min="8210" max="8210" width="11.453125" customWidth="1"/>
    <col min="8211" max="8211" width="12.81640625" bestFit="1" customWidth="1"/>
    <col min="8212" max="8212" width="22.453125" bestFit="1" customWidth="1"/>
    <col min="8213" max="8213" width="18.7265625" bestFit="1" customWidth="1"/>
    <col min="8214" max="8214" width="11.453125" customWidth="1"/>
    <col min="8215" max="8215" width="26.7265625" bestFit="1" customWidth="1"/>
    <col min="8216" max="8216" width="11.453125" customWidth="1"/>
    <col min="8217" max="8217" width="32" bestFit="1" customWidth="1"/>
    <col min="8218" max="8218" width="27.453125" bestFit="1" customWidth="1"/>
    <col min="8449" max="8449" width="85.7265625" bestFit="1" customWidth="1"/>
    <col min="8450" max="8450" width="25.81640625" bestFit="1" customWidth="1"/>
    <col min="8451" max="8451" width="32.7265625" customWidth="1"/>
    <col min="8452" max="8452" width="22.7265625" customWidth="1"/>
    <col min="8453" max="8453" width="33.1796875" customWidth="1"/>
    <col min="8454" max="8454" width="27.54296875" customWidth="1"/>
    <col min="8455" max="8455" width="31.26953125" customWidth="1"/>
    <col min="8456" max="8456" width="25.1796875" customWidth="1"/>
    <col min="8457" max="8457" width="33.1796875" customWidth="1"/>
    <col min="8458" max="8458" width="64" customWidth="1"/>
    <col min="8459" max="8459" width="18.81640625" bestFit="1" customWidth="1"/>
    <col min="8460" max="8460" width="21.453125" bestFit="1" customWidth="1"/>
    <col min="8461" max="8461" width="11.453125" customWidth="1"/>
    <col min="8462" max="8462" width="25.26953125" bestFit="1" customWidth="1"/>
    <col min="8463" max="8463" width="14.1796875" bestFit="1" customWidth="1"/>
    <col min="8464" max="8464" width="11.453125" customWidth="1"/>
    <col min="8465" max="8465" width="23.26953125" bestFit="1" customWidth="1"/>
    <col min="8466" max="8466" width="11.453125" customWidth="1"/>
    <col min="8467" max="8467" width="12.81640625" bestFit="1" customWidth="1"/>
    <col min="8468" max="8468" width="22.453125" bestFit="1" customWidth="1"/>
    <col min="8469" max="8469" width="18.7265625" bestFit="1" customWidth="1"/>
    <col min="8470" max="8470" width="11.453125" customWidth="1"/>
    <col min="8471" max="8471" width="26.7265625" bestFit="1" customWidth="1"/>
    <col min="8472" max="8472" width="11.453125" customWidth="1"/>
    <col min="8473" max="8473" width="32" bestFit="1" customWidth="1"/>
    <col min="8474" max="8474" width="27.453125" bestFit="1" customWidth="1"/>
    <col min="8705" max="8705" width="85.7265625" bestFit="1" customWidth="1"/>
    <col min="8706" max="8706" width="25.81640625" bestFit="1" customWidth="1"/>
    <col min="8707" max="8707" width="32.7265625" customWidth="1"/>
    <col min="8708" max="8708" width="22.7265625" customWidth="1"/>
    <col min="8709" max="8709" width="33.1796875" customWidth="1"/>
    <col min="8710" max="8710" width="27.54296875" customWidth="1"/>
    <col min="8711" max="8711" width="31.26953125" customWidth="1"/>
    <col min="8712" max="8712" width="25.1796875" customWidth="1"/>
    <col min="8713" max="8713" width="33.1796875" customWidth="1"/>
    <col min="8714" max="8714" width="64" customWidth="1"/>
    <col min="8715" max="8715" width="18.81640625" bestFit="1" customWidth="1"/>
    <col min="8716" max="8716" width="21.453125" bestFit="1" customWidth="1"/>
    <col min="8717" max="8717" width="11.453125" customWidth="1"/>
    <col min="8718" max="8718" width="25.26953125" bestFit="1" customWidth="1"/>
    <col min="8719" max="8719" width="14.1796875" bestFit="1" customWidth="1"/>
    <col min="8720" max="8720" width="11.453125" customWidth="1"/>
    <col min="8721" max="8721" width="23.26953125" bestFit="1" customWidth="1"/>
    <col min="8722" max="8722" width="11.453125" customWidth="1"/>
    <col min="8723" max="8723" width="12.81640625" bestFit="1" customWidth="1"/>
    <col min="8724" max="8724" width="22.453125" bestFit="1" customWidth="1"/>
    <col min="8725" max="8725" width="18.7265625" bestFit="1" customWidth="1"/>
    <col min="8726" max="8726" width="11.453125" customWidth="1"/>
    <col min="8727" max="8727" width="26.7265625" bestFit="1" customWidth="1"/>
    <col min="8728" max="8728" width="11.453125" customWidth="1"/>
    <col min="8729" max="8729" width="32" bestFit="1" customWidth="1"/>
    <col min="8730" max="8730" width="27.453125" bestFit="1" customWidth="1"/>
    <col min="8961" max="8961" width="85.7265625" bestFit="1" customWidth="1"/>
    <col min="8962" max="8962" width="25.81640625" bestFit="1" customWidth="1"/>
    <col min="8963" max="8963" width="32.7265625" customWidth="1"/>
    <col min="8964" max="8964" width="22.7265625" customWidth="1"/>
    <col min="8965" max="8965" width="33.1796875" customWidth="1"/>
    <col min="8966" max="8966" width="27.54296875" customWidth="1"/>
    <col min="8967" max="8967" width="31.26953125" customWidth="1"/>
    <col min="8968" max="8968" width="25.1796875" customWidth="1"/>
    <col min="8969" max="8969" width="33.1796875" customWidth="1"/>
    <col min="8970" max="8970" width="64" customWidth="1"/>
    <col min="8971" max="8971" width="18.81640625" bestFit="1" customWidth="1"/>
    <col min="8972" max="8972" width="21.453125" bestFit="1" customWidth="1"/>
    <col min="8973" max="8973" width="11.453125" customWidth="1"/>
    <col min="8974" max="8974" width="25.26953125" bestFit="1" customWidth="1"/>
    <col min="8975" max="8975" width="14.1796875" bestFit="1" customWidth="1"/>
    <col min="8976" max="8976" width="11.453125" customWidth="1"/>
    <col min="8977" max="8977" width="23.26953125" bestFit="1" customWidth="1"/>
    <col min="8978" max="8978" width="11.453125" customWidth="1"/>
    <col min="8979" max="8979" width="12.81640625" bestFit="1" customWidth="1"/>
    <col min="8980" max="8980" width="22.453125" bestFit="1" customWidth="1"/>
    <col min="8981" max="8981" width="18.7265625" bestFit="1" customWidth="1"/>
    <col min="8982" max="8982" width="11.453125" customWidth="1"/>
    <col min="8983" max="8983" width="26.7265625" bestFit="1" customWidth="1"/>
    <col min="8984" max="8984" width="11.453125" customWidth="1"/>
    <col min="8985" max="8985" width="32" bestFit="1" customWidth="1"/>
    <col min="8986" max="8986" width="27.453125" bestFit="1" customWidth="1"/>
    <col min="9217" max="9217" width="85.7265625" bestFit="1" customWidth="1"/>
    <col min="9218" max="9218" width="25.81640625" bestFit="1" customWidth="1"/>
    <col min="9219" max="9219" width="32.7265625" customWidth="1"/>
    <col min="9220" max="9220" width="22.7265625" customWidth="1"/>
    <col min="9221" max="9221" width="33.1796875" customWidth="1"/>
    <col min="9222" max="9222" width="27.54296875" customWidth="1"/>
    <col min="9223" max="9223" width="31.26953125" customWidth="1"/>
    <col min="9224" max="9224" width="25.1796875" customWidth="1"/>
    <col min="9225" max="9225" width="33.1796875" customWidth="1"/>
    <col min="9226" max="9226" width="64" customWidth="1"/>
    <col min="9227" max="9227" width="18.81640625" bestFit="1" customWidth="1"/>
    <col min="9228" max="9228" width="21.453125" bestFit="1" customWidth="1"/>
    <col min="9229" max="9229" width="11.453125" customWidth="1"/>
    <col min="9230" max="9230" width="25.26953125" bestFit="1" customWidth="1"/>
    <col min="9231" max="9231" width="14.1796875" bestFit="1" customWidth="1"/>
    <col min="9232" max="9232" width="11.453125" customWidth="1"/>
    <col min="9233" max="9233" width="23.26953125" bestFit="1" customWidth="1"/>
    <col min="9234" max="9234" width="11.453125" customWidth="1"/>
    <col min="9235" max="9235" width="12.81640625" bestFit="1" customWidth="1"/>
    <col min="9236" max="9236" width="22.453125" bestFit="1" customWidth="1"/>
    <col min="9237" max="9237" width="18.7265625" bestFit="1" customWidth="1"/>
    <col min="9238" max="9238" width="11.453125" customWidth="1"/>
    <col min="9239" max="9239" width="26.7265625" bestFit="1" customWidth="1"/>
    <col min="9240" max="9240" width="11.453125" customWidth="1"/>
    <col min="9241" max="9241" width="32" bestFit="1" customWidth="1"/>
    <col min="9242" max="9242" width="27.453125" bestFit="1" customWidth="1"/>
    <col min="9473" max="9473" width="85.7265625" bestFit="1" customWidth="1"/>
    <col min="9474" max="9474" width="25.81640625" bestFit="1" customWidth="1"/>
    <col min="9475" max="9475" width="32.7265625" customWidth="1"/>
    <col min="9476" max="9476" width="22.7265625" customWidth="1"/>
    <col min="9477" max="9477" width="33.1796875" customWidth="1"/>
    <col min="9478" max="9478" width="27.54296875" customWidth="1"/>
    <col min="9479" max="9479" width="31.26953125" customWidth="1"/>
    <col min="9480" max="9480" width="25.1796875" customWidth="1"/>
    <col min="9481" max="9481" width="33.1796875" customWidth="1"/>
    <col min="9482" max="9482" width="64" customWidth="1"/>
    <col min="9483" max="9483" width="18.81640625" bestFit="1" customWidth="1"/>
    <col min="9484" max="9484" width="21.453125" bestFit="1" customWidth="1"/>
    <col min="9485" max="9485" width="11.453125" customWidth="1"/>
    <col min="9486" max="9486" width="25.26953125" bestFit="1" customWidth="1"/>
    <col min="9487" max="9487" width="14.1796875" bestFit="1" customWidth="1"/>
    <col min="9488" max="9488" width="11.453125" customWidth="1"/>
    <col min="9489" max="9489" width="23.26953125" bestFit="1" customWidth="1"/>
    <col min="9490" max="9490" width="11.453125" customWidth="1"/>
    <col min="9491" max="9491" width="12.81640625" bestFit="1" customWidth="1"/>
    <col min="9492" max="9492" width="22.453125" bestFit="1" customWidth="1"/>
    <col min="9493" max="9493" width="18.7265625" bestFit="1" customWidth="1"/>
    <col min="9494" max="9494" width="11.453125" customWidth="1"/>
    <col min="9495" max="9495" width="26.7265625" bestFit="1" customWidth="1"/>
    <col min="9496" max="9496" width="11.453125" customWidth="1"/>
    <col min="9497" max="9497" width="32" bestFit="1" customWidth="1"/>
    <col min="9498" max="9498" width="27.453125" bestFit="1" customWidth="1"/>
    <col min="9729" max="9729" width="85.7265625" bestFit="1" customWidth="1"/>
    <col min="9730" max="9730" width="25.81640625" bestFit="1" customWidth="1"/>
    <col min="9731" max="9731" width="32.7265625" customWidth="1"/>
    <col min="9732" max="9732" width="22.7265625" customWidth="1"/>
    <col min="9733" max="9733" width="33.1796875" customWidth="1"/>
    <col min="9734" max="9734" width="27.54296875" customWidth="1"/>
    <col min="9735" max="9735" width="31.26953125" customWidth="1"/>
    <col min="9736" max="9736" width="25.1796875" customWidth="1"/>
    <col min="9737" max="9737" width="33.1796875" customWidth="1"/>
    <col min="9738" max="9738" width="64" customWidth="1"/>
    <col min="9739" max="9739" width="18.81640625" bestFit="1" customWidth="1"/>
    <col min="9740" max="9740" width="21.453125" bestFit="1" customWidth="1"/>
    <col min="9741" max="9741" width="11.453125" customWidth="1"/>
    <col min="9742" max="9742" width="25.26953125" bestFit="1" customWidth="1"/>
    <col min="9743" max="9743" width="14.1796875" bestFit="1" customWidth="1"/>
    <col min="9744" max="9744" width="11.453125" customWidth="1"/>
    <col min="9745" max="9745" width="23.26953125" bestFit="1" customWidth="1"/>
    <col min="9746" max="9746" width="11.453125" customWidth="1"/>
    <col min="9747" max="9747" width="12.81640625" bestFit="1" customWidth="1"/>
    <col min="9748" max="9748" width="22.453125" bestFit="1" customWidth="1"/>
    <col min="9749" max="9749" width="18.7265625" bestFit="1" customWidth="1"/>
    <col min="9750" max="9750" width="11.453125" customWidth="1"/>
    <col min="9751" max="9751" width="26.7265625" bestFit="1" customWidth="1"/>
    <col min="9752" max="9752" width="11.453125" customWidth="1"/>
    <col min="9753" max="9753" width="32" bestFit="1" customWidth="1"/>
    <col min="9754" max="9754" width="27.453125" bestFit="1" customWidth="1"/>
    <col min="9985" max="9985" width="85.7265625" bestFit="1" customWidth="1"/>
    <col min="9986" max="9986" width="25.81640625" bestFit="1" customWidth="1"/>
    <col min="9987" max="9987" width="32.7265625" customWidth="1"/>
    <col min="9988" max="9988" width="22.7265625" customWidth="1"/>
    <col min="9989" max="9989" width="33.1796875" customWidth="1"/>
    <col min="9990" max="9990" width="27.54296875" customWidth="1"/>
    <col min="9991" max="9991" width="31.26953125" customWidth="1"/>
    <col min="9992" max="9992" width="25.1796875" customWidth="1"/>
    <col min="9993" max="9993" width="33.1796875" customWidth="1"/>
    <col min="9994" max="9994" width="64" customWidth="1"/>
    <col min="9995" max="9995" width="18.81640625" bestFit="1" customWidth="1"/>
    <col min="9996" max="9996" width="21.453125" bestFit="1" customWidth="1"/>
    <col min="9997" max="9997" width="11.453125" customWidth="1"/>
    <col min="9998" max="9998" width="25.26953125" bestFit="1" customWidth="1"/>
    <col min="9999" max="9999" width="14.1796875" bestFit="1" customWidth="1"/>
    <col min="10000" max="10000" width="11.453125" customWidth="1"/>
    <col min="10001" max="10001" width="23.26953125" bestFit="1" customWidth="1"/>
    <col min="10002" max="10002" width="11.453125" customWidth="1"/>
    <col min="10003" max="10003" width="12.81640625" bestFit="1" customWidth="1"/>
    <col min="10004" max="10004" width="22.453125" bestFit="1" customWidth="1"/>
    <col min="10005" max="10005" width="18.7265625" bestFit="1" customWidth="1"/>
    <col min="10006" max="10006" width="11.453125" customWidth="1"/>
    <col min="10007" max="10007" width="26.7265625" bestFit="1" customWidth="1"/>
    <col min="10008" max="10008" width="11.453125" customWidth="1"/>
    <col min="10009" max="10009" width="32" bestFit="1" customWidth="1"/>
    <col min="10010" max="10010" width="27.453125" bestFit="1" customWidth="1"/>
    <col min="10241" max="10241" width="85.7265625" bestFit="1" customWidth="1"/>
    <col min="10242" max="10242" width="25.81640625" bestFit="1" customWidth="1"/>
    <col min="10243" max="10243" width="32.7265625" customWidth="1"/>
    <col min="10244" max="10244" width="22.7265625" customWidth="1"/>
    <col min="10245" max="10245" width="33.1796875" customWidth="1"/>
    <col min="10246" max="10246" width="27.54296875" customWidth="1"/>
    <col min="10247" max="10247" width="31.26953125" customWidth="1"/>
    <col min="10248" max="10248" width="25.1796875" customWidth="1"/>
    <col min="10249" max="10249" width="33.1796875" customWidth="1"/>
    <col min="10250" max="10250" width="64" customWidth="1"/>
    <col min="10251" max="10251" width="18.81640625" bestFit="1" customWidth="1"/>
    <col min="10252" max="10252" width="21.453125" bestFit="1" customWidth="1"/>
    <col min="10253" max="10253" width="11.453125" customWidth="1"/>
    <col min="10254" max="10254" width="25.26953125" bestFit="1" customWidth="1"/>
    <col min="10255" max="10255" width="14.1796875" bestFit="1" customWidth="1"/>
    <col min="10256" max="10256" width="11.453125" customWidth="1"/>
    <col min="10257" max="10257" width="23.26953125" bestFit="1" customWidth="1"/>
    <col min="10258" max="10258" width="11.453125" customWidth="1"/>
    <col min="10259" max="10259" width="12.81640625" bestFit="1" customWidth="1"/>
    <col min="10260" max="10260" width="22.453125" bestFit="1" customWidth="1"/>
    <col min="10261" max="10261" width="18.7265625" bestFit="1" customWidth="1"/>
    <col min="10262" max="10262" width="11.453125" customWidth="1"/>
    <col min="10263" max="10263" width="26.7265625" bestFit="1" customWidth="1"/>
    <col min="10264" max="10264" width="11.453125" customWidth="1"/>
    <col min="10265" max="10265" width="32" bestFit="1" customWidth="1"/>
    <col min="10266" max="10266" width="27.453125" bestFit="1" customWidth="1"/>
    <col min="10497" max="10497" width="85.7265625" bestFit="1" customWidth="1"/>
    <col min="10498" max="10498" width="25.81640625" bestFit="1" customWidth="1"/>
    <col min="10499" max="10499" width="32.7265625" customWidth="1"/>
    <col min="10500" max="10500" width="22.7265625" customWidth="1"/>
    <col min="10501" max="10501" width="33.1796875" customWidth="1"/>
    <col min="10502" max="10502" width="27.54296875" customWidth="1"/>
    <col min="10503" max="10503" width="31.26953125" customWidth="1"/>
    <col min="10504" max="10504" width="25.1796875" customWidth="1"/>
    <col min="10505" max="10505" width="33.1796875" customWidth="1"/>
    <col min="10506" max="10506" width="64" customWidth="1"/>
    <col min="10507" max="10507" width="18.81640625" bestFit="1" customWidth="1"/>
    <col min="10508" max="10508" width="21.453125" bestFit="1" customWidth="1"/>
    <col min="10509" max="10509" width="11.453125" customWidth="1"/>
    <col min="10510" max="10510" width="25.26953125" bestFit="1" customWidth="1"/>
    <col min="10511" max="10511" width="14.1796875" bestFit="1" customWidth="1"/>
    <col min="10512" max="10512" width="11.453125" customWidth="1"/>
    <col min="10513" max="10513" width="23.26953125" bestFit="1" customWidth="1"/>
    <col min="10514" max="10514" width="11.453125" customWidth="1"/>
    <col min="10515" max="10515" width="12.81640625" bestFit="1" customWidth="1"/>
    <col min="10516" max="10516" width="22.453125" bestFit="1" customWidth="1"/>
    <col min="10517" max="10517" width="18.7265625" bestFit="1" customWidth="1"/>
    <col min="10518" max="10518" width="11.453125" customWidth="1"/>
    <col min="10519" max="10519" width="26.7265625" bestFit="1" customWidth="1"/>
    <col min="10520" max="10520" width="11.453125" customWidth="1"/>
    <col min="10521" max="10521" width="32" bestFit="1" customWidth="1"/>
    <col min="10522" max="10522" width="27.453125" bestFit="1" customWidth="1"/>
    <col min="10753" max="10753" width="85.7265625" bestFit="1" customWidth="1"/>
    <col min="10754" max="10754" width="25.81640625" bestFit="1" customWidth="1"/>
    <col min="10755" max="10755" width="32.7265625" customWidth="1"/>
    <col min="10756" max="10756" width="22.7265625" customWidth="1"/>
    <col min="10757" max="10757" width="33.1796875" customWidth="1"/>
    <col min="10758" max="10758" width="27.54296875" customWidth="1"/>
    <col min="10759" max="10759" width="31.26953125" customWidth="1"/>
    <col min="10760" max="10760" width="25.1796875" customWidth="1"/>
    <col min="10761" max="10761" width="33.1796875" customWidth="1"/>
    <col min="10762" max="10762" width="64" customWidth="1"/>
    <col min="10763" max="10763" width="18.81640625" bestFit="1" customWidth="1"/>
    <col min="10764" max="10764" width="21.453125" bestFit="1" customWidth="1"/>
    <col min="10765" max="10765" width="11.453125" customWidth="1"/>
    <col min="10766" max="10766" width="25.26953125" bestFit="1" customWidth="1"/>
    <col min="10767" max="10767" width="14.1796875" bestFit="1" customWidth="1"/>
    <col min="10768" max="10768" width="11.453125" customWidth="1"/>
    <col min="10769" max="10769" width="23.26953125" bestFit="1" customWidth="1"/>
    <col min="10770" max="10770" width="11.453125" customWidth="1"/>
    <col min="10771" max="10771" width="12.81640625" bestFit="1" customWidth="1"/>
    <col min="10772" max="10772" width="22.453125" bestFit="1" customWidth="1"/>
    <col min="10773" max="10773" width="18.7265625" bestFit="1" customWidth="1"/>
    <col min="10774" max="10774" width="11.453125" customWidth="1"/>
    <col min="10775" max="10775" width="26.7265625" bestFit="1" customWidth="1"/>
    <col min="10776" max="10776" width="11.453125" customWidth="1"/>
    <col min="10777" max="10777" width="32" bestFit="1" customWidth="1"/>
    <col min="10778" max="10778" width="27.453125" bestFit="1" customWidth="1"/>
    <col min="11009" max="11009" width="85.7265625" bestFit="1" customWidth="1"/>
    <col min="11010" max="11010" width="25.81640625" bestFit="1" customWidth="1"/>
    <col min="11011" max="11011" width="32.7265625" customWidth="1"/>
    <col min="11012" max="11012" width="22.7265625" customWidth="1"/>
    <col min="11013" max="11013" width="33.1796875" customWidth="1"/>
    <col min="11014" max="11014" width="27.54296875" customWidth="1"/>
    <col min="11015" max="11015" width="31.26953125" customWidth="1"/>
    <col min="11016" max="11016" width="25.1796875" customWidth="1"/>
    <col min="11017" max="11017" width="33.1796875" customWidth="1"/>
    <col min="11018" max="11018" width="64" customWidth="1"/>
    <col min="11019" max="11019" width="18.81640625" bestFit="1" customWidth="1"/>
    <col min="11020" max="11020" width="21.453125" bestFit="1" customWidth="1"/>
    <col min="11021" max="11021" width="11.453125" customWidth="1"/>
    <col min="11022" max="11022" width="25.26953125" bestFit="1" customWidth="1"/>
    <col min="11023" max="11023" width="14.1796875" bestFit="1" customWidth="1"/>
    <col min="11024" max="11024" width="11.453125" customWidth="1"/>
    <col min="11025" max="11025" width="23.26953125" bestFit="1" customWidth="1"/>
    <col min="11026" max="11026" width="11.453125" customWidth="1"/>
    <col min="11027" max="11027" width="12.81640625" bestFit="1" customWidth="1"/>
    <col min="11028" max="11028" width="22.453125" bestFit="1" customWidth="1"/>
    <col min="11029" max="11029" width="18.7265625" bestFit="1" customWidth="1"/>
    <col min="11030" max="11030" width="11.453125" customWidth="1"/>
    <col min="11031" max="11031" width="26.7265625" bestFit="1" customWidth="1"/>
    <col min="11032" max="11032" width="11.453125" customWidth="1"/>
    <col min="11033" max="11033" width="32" bestFit="1" customWidth="1"/>
    <col min="11034" max="11034" width="27.453125" bestFit="1" customWidth="1"/>
    <col min="11265" max="11265" width="85.7265625" bestFit="1" customWidth="1"/>
    <col min="11266" max="11266" width="25.81640625" bestFit="1" customWidth="1"/>
    <col min="11267" max="11267" width="32.7265625" customWidth="1"/>
    <col min="11268" max="11268" width="22.7265625" customWidth="1"/>
    <col min="11269" max="11269" width="33.1796875" customWidth="1"/>
    <col min="11270" max="11270" width="27.54296875" customWidth="1"/>
    <col min="11271" max="11271" width="31.26953125" customWidth="1"/>
    <col min="11272" max="11272" width="25.1796875" customWidth="1"/>
    <col min="11273" max="11273" width="33.1796875" customWidth="1"/>
    <col min="11274" max="11274" width="64" customWidth="1"/>
    <col min="11275" max="11275" width="18.81640625" bestFit="1" customWidth="1"/>
    <col min="11276" max="11276" width="21.453125" bestFit="1" customWidth="1"/>
    <col min="11277" max="11277" width="11.453125" customWidth="1"/>
    <col min="11278" max="11278" width="25.26953125" bestFit="1" customWidth="1"/>
    <col min="11279" max="11279" width="14.1796875" bestFit="1" customWidth="1"/>
    <col min="11280" max="11280" width="11.453125" customWidth="1"/>
    <col min="11281" max="11281" width="23.26953125" bestFit="1" customWidth="1"/>
    <col min="11282" max="11282" width="11.453125" customWidth="1"/>
    <col min="11283" max="11283" width="12.81640625" bestFit="1" customWidth="1"/>
    <col min="11284" max="11284" width="22.453125" bestFit="1" customWidth="1"/>
    <col min="11285" max="11285" width="18.7265625" bestFit="1" customWidth="1"/>
    <col min="11286" max="11286" width="11.453125" customWidth="1"/>
    <col min="11287" max="11287" width="26.7265625" bestFit="1" customWidth="1"/>
    <col min="11288" max="11288" width="11.453125" customWidth="1"/>
    <col min="11289" max="11289" width="32" bestFit="1" customWidth="1"/>
    <col min="11290" max="11290" width="27.453125" bestFit="1" customWidth="1"/>
    <col min="11521" max="11521" width="85.7265625" bestFit="1" customWidth="1"/>
    <col min="11522" max="11522" width="25.81640625" bestFit="1" customWidth="1"/>
    <col min="11523" max="11523" width="32.7265625" customWidth="1"/>
    <col min="11524" max="11524" width="22.7265625" customWidth="1"/>
    <col min="11525" max="11525" width="33.1796875" customWidth="1"/>
    <col min="11526" max="11526" width="27.54296875" customWidth="1"/>
    <col min="11527" max="11527" width="31.26953125" customWidth="1"/>
    <col min="11528" max="11528" width="25.1796875" customWidth="1"/>
    <col min="11529" max="11529" width="33.1796875" customWidth="1"/>
    <col min="11530" max="11530" width="64" customWidth="1"/>
    <col min="11531" max="11531" width="18.81640625" bestFit="1" customWidth="1"/>
    <col min="11532" max="11532" width="21.453125" bestFit="1" customWidth="1"/>
    <col min="11533" max="11533" width="11.453125" customWidth="1"/>
    <col min="11534" max="11534" width="25.26953125" bestFit="1" customWidth="1"/>
    <col min="11535" max="11535" width="14.1796875" bestFit="1" customWidth="1"/>
    <col min="11536" max="11536" width="11.453125" customWidth="1"/>
    <col min="11537" max="11537" width="23.26953125" bestFit="1" customWidth="1"/>
    <col min="11538" max="11538" width="11.453125" customWidth="1"/>
    <col min="11539" max="11539" width="12.81640625" bestFit="1" customWidth="1"/>
    <col min="11540" max="11540" width="22.453125" bestFit="1" customWidth="1"/>
    <col min="11541" max="11541" width="18.7265625" bestFit="1" customWidth="1"/>
    <col min="11542" max="11542" width="11.453125" customWidth="1"/>
    <col min="11543" max="11543" width="26.7265625" bestFit="1" customWidth="1"/>
    <col min="11544" max="11544" width="11.453125" customWidth="1"/>
    <col min="11545" max="11545" width="32" bestFit="1" customWidth="1"/>
    <col min="11546" max="11546" width="27.453125" bestFit="1" customWidth="1"/>
    <col min="11777" max="11777" width="85.7265625" bestFit="1" customWidth="1"/>
    <col min="11778" max="11778" width="25.81640625" bestFit="1" customWidth="1"/>
    <col min="11779" max="11779" width="32.7265625" customWidth="1"/>
    <col min="11780" max="11780" width="22.7265625" customWidth="1"/>
    <col min="11781" max="11781" width="33.1796875" customWidth="1"/>
    <col min="11782" max="11782" width="27.54296875" customWidth="1"/>
    <col min="11783" max="11783" width="31.26953125" customWidth="1"/>
    <col min="11784" max="11784" width="25.1796875" customWidth="1"/>
    <col min="11785" max="11785" width="33.1796875" customWidth="1"/>
    <col min="11786" max="11786" width="64" customWidth="1"/>
    <col min="11787" max="11787" width="18.81640625" bestFit="1" customWidth="1"/>
    <col min="11788" max="11788" width="21.453125" bestFit="1" customWidth="1"/>
    <col min="11789" max="11789" width="11.453125" customWidth="1"/>
    <col min="11790" max="11790" width="25.26953125" bestFit="1" customWidth="1"/>
    <col min="11791" max="11791" width="14.1796875" bestFit="1" customWidth="1"/>
    <col min="11792" max="11792" width="11.453125" customWidth="1"/>
    <col min="11793" max="11793" width="23.26953125" bestFit="1" customWidth="1"/>
    <col min="11794" max="11794" width="11.453125" customWidth="1"/>
    <col min="11795" max="11795" width="12.81640625" bestFit="1" customWidth="1"/>
    <col min="11796" max="11796" width="22.453125" bestFit="1" customWidth="1"/>
    <col min="11797" max="11797" width="18.7265625" bestFit="1" customWidth="1"/>
    <col min="11798" max="11798" width="11.453125" customWidth="1"/>
    <col min="11799" max="11799" width="26.7265625" bestFit="1" customWidth="1"/>
    <col min="11800" max="11800" width="11.453125" customWidth="1"/>
    <col min="11801" max="11801" width="32" bestFit="1" customWidth="1"/>
    <col min="11802" max="11802" width="27.453125" bestFit="1" customWidth="1"/>
    <col min="12033" max="12033" width="85.7265625" bestFit="1" customWidth="1"/>
    <col min="12034" max="12034" width="25.81640625" bestFit="1" customWidth="1"/>
    <col min="12035" max="12035" width="32.7265625" customWidth="1"/>
    <col min="12036" max="12036" width="22.7265625" customWidth="1"/>
    <col min="12037" max="12037" width="33.1796875" customWidth="1"/>
    <col min="12038" max="12038" width="27.54296875" customWidth="1"/>
    <col min="12039" max="12039" width="31.26953125" customWidth="1"/>
    <col min="12040" max="12040" width="25.1796875" customWidth="1"/>
    <col min="12041" max="12041" width="33.1796875" customWidth="1"/>
    <col min="12042" max="12042" width="64" customWidth="1"/>
    <col min="12043" max="12043" width="18.81640625" bestFit="1" customWidth="1"/>
    <col min="12044" max="12044" width="21.453125" bestFit="1" customWidth="1"/>
    <col min="12045" max="12045" width="11.453125" customWidth="1"/>
    <col min="12046" max="12046" width="25.26953125" bestFit="1" customWidth="1"/>
    <col min="12047" max="12047" width="14.1796875" bestFit="1" customWidth="1"/>
    <col min="12048" max="12048" width="11.453125" customWidth="1"/>
    <col min="12049" max="12049" width="23.26953125" bestFit="1" customWidth="1"/>
    <col min="12050" max="12050" width="11.453125" customWidth="1"/>
    <col min="12051" max="12051" width="12.81640625" bestFit="1" customWidth="1"/>
    <col min="12052" max="12052" width="22.453125" bestFit="1" customWidth="1"/>
    <col min="12053" max="12053" width="18.7265625" bestFit="1" customWidth="1"/>
    <col min="12054" max="12054" width="11.453125" customWidth="1"/>
    <col min="12055" max="12055" width="26.7265625" bestFit="1" customWidth="1"/>
    <col min="12056" max="12056" width="11.453125" customWidth="1"/>
    <col min="12057" max="12057" width="32" bestFit="1" customWidth="1"/>
    <col min="12058" max="12058" width="27.453125" bestFit="1" customWidth="1"/>
    <col min="12289" max="12289" width="85.7265625" bestFit="1" customWidth="1"/>
    <col min="12290" max="12290" width="25.81640625" bestFit="1" customWidth="1"/>
    <col min="12291" max="12291" width="32.7265625" customWidth="1"/>
    <col min="12292" max="12292" width="22.7265625" customWidth="1"/>
    <col min="12293" max="12293" width="33.1796875" customWidth="1"/>
    <col min="12294" max="12294" width="27.54296875" customWidth="1"/>
    <col min="12295" max="12295" width="31.26953125" customWidth="1"/>
    <col min="12296" max="12296" width="25.1796875" customWidth="1"/>
    <col min="12297" max="12297" width="33.1796875" customWidth="1"/>
    <col min="12298" max="12298" width="64" customWidth="1"/>
    <col min="12299" max="12299" width="18.81640625" bestFit="1" customWidth="1"/>
    <col min="12300" max="12300" width="21.453125" bestFit="1" customWidth="1"/>
    <col min="12301" max="12301" width="11.453125" customWidth="1"/>
    <col min="12302" max="12302" width="25.26953125" bestFit="1" customWidth="1"/>
    <col min="12303" max="12303" width="14.1796875" bestFit="1" customWidth="1"/>
    <col min="12304" max="12304" width="11.453125" customWidth="1"/>
    <col min="12305" max="12305" width="23.26953125" bestFit="1" customWidth="1"/>
    <col min="12306" max="12306" width="11.453125" customWidth="1"/>
    <col min="12307" max="12307" width="12.81640625" bestFit="1" customWidth="1"/>
    <col min="12308" max="12308" width="22.453125" bestFit="1" customWidth="1"/>
    <col min="12309" max="12309" width="18.7265625" bestFit="1" customWidth="1"/>
    <col min="12310" max="12310" width="11.453125" customWidth="1"/>
    <col min="12311" max="12311" width="26.7265625" bestFit="1" customWidth="1"/>
    <col min="12312" max="12312" width="11.453125" customWidth="1"/>
    <col min="12313" max="12313" width="32" bestFit="1" customWidth="1"/>
    <col min="12314" max="12314" width="27.453125" bestFit="1" customWidth="1"/>
    <col min="12545" max="12545" width="85.7265625" bestFit="1" customWidth="1"/>
    <col min="12546" max="12546" width="25.81640625" bestFit="1" customWidth="1"/>
    <col min="12547" max="12547" width="32.7265625" customWidth="1"/>
    <col min="12548" max="12548" width="22.7265625" customWidth="1"/>
    <col min="12549" max="12549" width="33.1796875" customWidth="1"/>
    <col min="12550" max="12550" width="27.54296875" customWidth="1"/>
    <col min="12551" max="12551" width="31.26953125" customWidth="1"/>
    <col min="12552" max="12552" width="25.1796875" customWidth="1"/>
    <col min="12553" max="12553" width="33.1796875" customWidth="1"/>
    <col min="12554" max="12554" width="64" customWidth="1"/>
    <col min="12555" max="12555" width="18.81640625" bestFit="1" customWidth="1"/>
    <col min="12556" max="12556" width="21.453125" bestFit="1" customWidth="1"/>
    <col min="12557" max="12557" width="11.453125" customWidth="1"/>
    <col min="12558" max="12558" width="25.26953125" bestFit="1" customWidth="1"/>
    <col min="12559" max="12559" width="14.1796875" bestFit="1" customWidth="1"/>
    <col min="12560" max="12560" width="11.453125" customWidth="1"/>
    <col min="12561" max="12561" width="23.26953125" bestFit="1" customWidth="1"/>
    <col min="12562" max="12562" width="11.453125" customWidth="1"/>
    <col min="12563" max="12563" width="12.81640625" bestFit="1" customWidth="1"/>
    <col min="12564" max="12564" width="22.453125" bestFit="1" customWidth="1"/>
    <col min="12565" max="12565" width="18.7265625" bestFit="1" customWidth="1"/>
    <col min="12566" max="12566" width="11.453125" customWidth="1"/>
    <col min="12567" max="12567" width="26.7265625" bestFit="1" customWidth="1"/>
    <col min="12568" max="12568" width="11.453125" customWidth="1"/>
    <col min="12569" max="12569" width="32" bestFit="1" customWidth="1"/>
    <col min="12570" max="12570" width="27.453125" bestFit="1" customWidth="1"/>
    <col min="12801" max="12801" width="85.7265625" bestFit="1" customWidth="1"/>
    <col min="12802" max="12802" width="25.81640625" bestFit="1" customWidth="1"/>
    <col min="12803" max="12803" width="32.7265625" customWidth="1"/>
    <col min="12804" max="12804" width="22.7265625" customWidth="1"/>
    <col min="12805" max="12805" width="33.1796875" customWidth="1"/>
    <col min="12806" max="12806" width="27.54296875" customWidth="1"/>
    <col min="12807" max="12807" width="31.26953125" customWidth="1"/>
    <col min="12808" max="12808" width="25.1796875" customWidth="1"/>
    <col min="12809" max="12809" width="33.1796875" customWidth="1"/>
    <col min="12810" max="12810" width="64" customWidth="1"/>
    <col min="12811" max="12811" width="18.81640625" bestFit="1" customWidth="1"/>
    <col min="12812" max="12812" width="21.453125" bestFit="1" customWidth="1"/>
    <col min="12813" max="12813" width="11.453125" customWidth="1"/>
    <col min="12814" max="12814" width="25.26953125" bestFit="1" customWidth="1"/>
    <col min="12815" max="12815" width="14.1796875" bestFit="1" customWidth="1"/>
    <col min="12816" max="12816" width="11.453125" customWidth="1"/>
    <col min="12817" max="12817" width="23.26953125" bestFit="1" customWidth="1"/>
    <col min="12818" max="12818" width="11.453125" customWidth="1"/>
    <col min="12819" max="12819" width="12.81640625" bestFit="1" customWidth="1"/>
    <col min="12820" max="12820" width="22.453125" bestFit="1" customWidth="1"/>
    <col min="12821" max="12821" width="18.7265625" bestFit="1" customWidth="1"/>
    <col min="12822" max="12822" width="11.453125" customWidth="1"/>
    <col min="12823" max="12823" width="26.7265625" bestFit="1" customWidth="1"/>
    <col min="12824" max="12824" width="11.453125" customWidth="1"/>
    <col min="12825" max="12825" width="32" bestFit="1" customWidth="1"/>
    <col min="12826" max="12826" width="27.453125" bestFit="1" customWidth="1"/>
    <col min="13057" max="13057" width="85.7265625" bestFit="1" customWidth="1"/>
    <col min="13058" max="13058" width="25.81640625" bestFit="1" customWidth="1"/>
    <col min="13059" max="13059" width="32.7265625" customWidth="1"/>
    <col min="13060" max="13060" width="22.7265625" customWidth="1"/>
    <col min="13061" max="13061" width="33.1796875" customWidth="1"/>
    <col min="13062" max="13062" width="27.54296875" customWidth="1"/>
    <col min="13063" max="13063" width="31.26953125" customWidth="1"/>
    <col min="13064" max="13064" width="25.1796875" customWidth="1"/>
    <col min="13065" max="13065" width="33.1796875" customWidth="1"/>
    <col min="13066" max="13066" width="64" customWidth="1"/>
    <col min="13067" max="13067" width="18.81640625" bestFit="1" customWidth="1"/>
    <col min="13068" max="13068" width="21.453125" bestFit="1" customWidth="1"/>
    <col min="13069" max="13069" width="11.453125" customWidth="1"/>
    <col min="13070" max="13070" width="25.26953125" bestFit="1" customWidth="1"/>
    <col min="13071" max="13071" width="14.1796875" bestFit="1" customWidth="1"/>
    <col min="13072" max="13072" width="11.453125" customWidth="1"/>
    <col min="13073" max="13073" width="23.26953125" bestFit="1" customWidth="1"/>
    <col min="13074" max="13074" width="11.453125" customWidth="1"/>
    <col min="13075" max="13075" width="12.81640625" bestFit="1" customWidth="1"/>
    <col min="13076" max="13076" width="22.453125" bestFit="1" customWidth="1"/>
    <col min="13077" max="13077" width="18.7265625" bestFit="1" customWidth="1"/>
    <col min="13078" max="13078" width="11.453125" customWidth="1"/>
    <col min="13079" max="13079" width="26.7265625" bestFit="1" customWidth="1"/>
    <col min="13080" max="13080" width="11.453125" customWidth="1"/>
    <col min="13081" max="13081" width="32" bestFit="1" customWidth="1"/>
    <col min="13082" max="13082" width="27.453125" bestFit="1" customWidth="1"/>
    <col min="13313" max="13313" width="85.7265625" bestFit="1" customWidth="1"/>
    <col min="13314" max="13314" width="25.81640625" bestFit="1" customWidth="1"/>
    <col min="13315" max="13315" width="32.7265625" customWidth="1"/>
    <col min="13316" max="13316" width="22.7265625" customWidth="1"/>
    <col min="13317" max="13317" width="33.1796875" customWidth="1"/>
    <col min="13318" max="13318" width="27.54296875" customWidth="1"/>
    <col min="13319" max="13319" width="31.26953125" customWidth="1"/>
    <col min="13320" max="13320" width="25.1796875" customWidth="1"/>
    <col min="13321" max="13321" width="33.1796875" customWidth="1"/>
    <col min="13322" max="13322" width="64" customWidth="1"/>
    <col min="13323" max="13323" width="18.81640625" bestFit="1" customWidth="1"/>
    <col min="13324" max="13324" width="21.453125" bestFit="1" customWidth="1"/>
    <col min="13325" max="13325" width="11.453125" customWidth="1"/>
    <col min="13326" max="13326" width="25.26953125" bestFit="1" customWidth="1"/>
    <col min="13327" max="13327" width="14.1796875" bestFit="1" customWidth="1"/>
    <col min="13328" max="13328" width="11.453125" customWidth="1"/>
    <col min="13329" max="13329" width="23.26953125" bestFit="1" customWidth="1"/>
    <col min="13330" max="13330" width="11.453125" customWidth="1"/>
    <col min="13331" max="13331" width="12.81640625" bestFit="1" customWidth="1"/>
    <col min="13332" max="13332" width="22.453125" bestFit="1" customWidth="1"/>
    <col min="13333" max="13333" width="18.7265625" bestFit="1" customWidth="1"/>
    <col min="13334" max="13334" width="11.453125" customWidth="1"/>
    <col min="13335" max="13335" width="26.7265625" bestFit="1" customWidth="1"/>
    <col min="13336" max="13336" width="11.453125" customWidth="1"/>
    <col min="13337" max="13337" width="32" bestFit="1" customWidth="1"/>
    <col min="13338" max="13338" width="27.453125" bestFit="1" customWidth="1"/>
    <col min="13569" max="13569" width="85.7265625" bestFit="1" customWidth="1"/>
    <col min="13570" max="13570" width="25.81640625" bestFit="1" customWidth="1"/>
    <col min="13571" max="13571" width="32.7265625" customWidth="1"/>
    <col min="13572" max="13572" width="22.7265625" customWidth="1"/>
    <col min="13573" max="13573" width="33.1796875" customWidth="1"/>
    <col min="13574" max="13574" width="27.54296875" customWidth="1"/>
    <col min="13575" max="13575" width="31.26953125" customWidth="1"/>
    <col min="13576" max="13576" width="25.1796875" customWidth="1"/>
    <col min="13577" max="13577" width="33.1796875" customWidth="1"/>
    <col min="13578" max="13578" width="64" customWidth="1"/>
    <col min="13579" max="13579" width="18.81640625" bestFit="1" customWidth="1"/>
    <col min="13580" max="13580" width="21.453125" bestFit="1" customWidth="1"/>
    <col min="13581" max="13581" width="11.453125" customWidth="1"/>
    <col min="13582" max="13582" width="25.26953125" bestFit="1" customWidth="1"/>
    <col min="13583" max="13583" width="14.1796875" bestFit="1" customWidth="1"/>
    <col min="13584" max="13584" width="11.453125" customWidth="1"/>
    <col min="13585" max="13585" width="23.26953125" bestFit="1" customWidth="1"/>
    <col min="13586" max="13586" width="11.453125" customWidth="1"/>
    <col min="13587" max="13587" width="12.81640625" bestFit="1" customWidth="1"/>
    <col min="13588" max="13588" width="22.453125" bestFit="1" customWidth="1"/>
    <col min="13589" max="13589" width="18.7265625" bestFit="1" customWidth="1"/>
    <col min="13590" max="13590" width="11.453125" customWidth="1"/>
    <col min="13591" max="13591" width="26.7265625" bestFit="1" customWidth="1"/>
    <col min="13592" max="13592" width="11.453125" customWidth="1"/>
    <col min="13593" max="13593" width="32" bestFit="1" customWidth="1"/>
    <col min="13594" max="13594" width="27.453125" bestFit="1" customWidth="1"/>
    <col min="13825" max="13825" width="85.7265625" bestFit="1" customWidth="1"/>
    <col min="13826" max="13826" width="25.81640625" bestFit="1" customWidth="1"/>
    <col min="13827" max="13827" width="32.7265625" customWidth="1"/>
    <col min="13828" max="13828" width="22.7265625" customWidth="1"/>
    <col min="13829" max="13829" width="33.1796875" customWidth="1"/>
    <col min="13830" max="13830" width="27.54296875" customWidth="1"/>
    <col min="13831" max="13831" width="31.26953125" customWidth="1"/>
    <col min="13832" max="13832" width="25.1796875" customWidth="1"/>
    <col min="13833" max="13833" width="33.1796875" customWidth="1"/>
    <col min="13834" max="13834" width="64" customWidth="1"/>
    <col min="13835" max="13835" width="18.81640625" bestFit="1" customWidth="1"/>
    <col min="13836" max="13836" width="21.453125" bestFit="1" customWidth="1"/>
    <col min="13837" max="13837" width="11.453125" customWidth="1"/>
    <col min="13838" max="13838" width="25.26953125" bestFit="1" customWidth="1"/>
    <col min="13839" max="13839" width="14.1796875" bestFit="1" customWidth="1"/>
    <col min="13840" max="13840" width="11.453125" customWidth="1"/>
    <col min="13841" max="13841" width="23.26953125" bestFit="1" customWidth="1"/>
    <col min="13842" max="13842" width="11.453125" customWidth="1"/>
    <col min="13843" max="13843" width="12.81640625" bestFit="1" customWidth="1"/>
    <col min="13844" max="13844" width="22.453125" bestFit="1" customWidth="1"/>
    <col min="13845" max="13845" width="18.7265625" bestFit="1" customWidth="1"/>
    <col min="13846" max="13846" width="11.453125" customWidth="1"/>
    <col min="13847" max="13847" width="26.7265625" bestFit="1" customWidth="1"/>
    <col min="13848" max="13848" width="11.453125" customWidth="1"/>
    <col min="13849" max="13849" width="32" bestFit="1" customWidth="1"/>
    <col min="13850" max="13850" width="27.453125" bestFit="1" customWidth="1"/>
    <col min="14081" max="14081" width="85.7265625" bestFit="1" customWidth="1"/>
    <col min="14082" max="14082" width="25.81640625" bestFit="1" customWidth="1"/>
    <col min="14083" max="14083" width="32.7265625" customWidth="1"/>
    <col min="14084" max="14084" width="22.7265625" customWidth="1"/>
    <col min="14085" max="14085" width="33.1796875" customWidth="1"/>
    <col min="14086" max="14086" width="27.54296875" customWidth="1"/>
    <col min="14087" max="14087" width="31.26953125" customWidth="1"/>
    <col min="14088" max="14088" width="25.1796875" customWidth="1"/>
    <col min="14089" max="14089" width="33.1796875" customWidth="1"/>
    <col min="14090" max="14090" width="64" customWidth="1"/>
    <col min="14091" max="14091" width="18.81640625" bestFit="1" customWidth="1"/>
    <col min="14092" max="14092" width="21.453125" bestFit="1" customWidth="1"/>
    <col min="14093" max="14093" width="11.453125" customWidth="1"/>
    <col min="14094" max="14094" width="25.26953125" bestFit="1" customWidth="1"/>
    <col min="14095" max="14095" width="14.1796875" bestFit="1" customWidth="1"/>
    <col min="14096" max="14096" width="11.453125" customWidth="1"/>
    <col min="14097" max="14097" width="23.26953125" bestFit="1" customWidth="1"/>
    <col min="14098" max="14098" width="11.453125" customWidth="1"/>
    <col min="14099" max="14099" width="12.81640625" bestFit="1" customWidth="1"/>
    <col min="14100" max="14100" width="22.453125" bestFit="1" customWidth="1"/>
    <col min="14101" max="14101" width="18.7265625" bestFit="1" customWidth="1"/>
    <col min="14102" max="14102" width="11.453125" customWidth="1"/>
    <col min="14103" max="14103" width="26.7265625" bestFit="1" customWidth="1"/>
    <col min="14104" max="14104" width="11.453125" customWidth="1"/>
    <col min="14105" max="14105" width="32" bestFit="1" customWidth="1"/>
    <col min="14106" max="14106" width="27.453125" bestFit="1" customWidth="1"/>
    <col min="14337" max="14337" width="85.7265625" bestFit="1" customWidth="1"/>
    <col min="14338" max="14338" width="25.81640625" bestFit="1" customWidth="1"/>
    <col min="14339" max="14339" width="32.7265625" customWidth="1"/>
    <col min="14340" max="14340" width="22.7265625" customWidth="1"/>
    <col min="14341" max="14341" width="33.1796875" customWidth="1"/>
    <col min="14342" max="14342" width="27.54296875" customWidth="1"/>
    <col min="14343" max="14343" width="31.26953125" customWidth="1"/>
    <col min="14344" max="14344" width="25.1796875" customWidth="1"/>
    <col min="14345" max="14345" width="33.1796875" customWidth="1"/>
    <col min="14346" max="14346" width="64" customWidth="1"/>
    <col min="14347" max="14347" width="18.81640625" bestFit="1" customWidth="1"/>
    <col min="14348" max="14348" width="21.453125" bestFit="1" customWidth="1"/>
    <col min="14349" max="14349" width="11.453125" customWidth="1"/>
    <col min="14350" max="14350" width="25.26953125" bestFit="1" customWidth="1"/>
    <col min="14351" max="14351" width="14.1796875" bestFit="1" customWidth="1"/>
    <col min="14352" max="14352" width="11.453125" customWidth="1"/>
    <col min="14353" max="14353" width="23.26953125" bestFit="1" customWidth="1"/>
    <col min="14354" max="14354" width="11.453125" customWidth="1"/>
    <col min="14355" max="14355" width="12.81640625" bestFit="1" customWidth="1"/>
    <col min="14356" max="14356" width="22.453125" bestFit="1" customWidth="1"/>
    <col min="14357" max="14357" width="18.7265625" bestFit="1" customWidth="1"/>
    <col min="14358" max="14358" width="11.453125" customWidth="1"/>
    <col min="14359" max="14359" width="26.7265625" bestFit="1" customWidth="1"/>
    <col min="14360" max="14360" width="11.453125" customWidth="1"/>
    <col min="14361" max="14361" width="32" bestFit="1" customWidth="1"/>
    <col min="14362" max="14362" width="27.453125" bestFit="1" customWidth="1"/>
    <col min="14593" max="14593" width="85.7265625" bestFit="1" customWidth="1"/>
    <col min="14594" max="14594" width="25.81640625" bestFit="1" customWidth="1"/>
    <col min="14595" max="14595" width="32.7265625" customWidth="1"/>
    <col min="14596" max="14596" width="22.7265625" customWidth="1"/>
    <col min="14597" max="14597" width="33.1796875" customWidth="1"/>
    <col min="14598" max="14598" width="27.54296875" customWidth="1"/>
    <col min="14599" max="14599" width="31.26953125" customWidth="1"/>
    <col min="14600" max="14600" width="25.1796875" customWidth="1"/>
    <col min="14601" max="14601" width="33.1796875" customWidth="1"/>
    <col min="14602" max="14602" width="64" customWidth="1"/>
    <col min="14603" max="14603" width="18.81640625" bestFit="1" customWidth="1"/>
    <col min="14604" max="14604" width="21.453125" bestFit="1" customWidth="1"/>
    <col min="14605" max="14605" width="11.453125" customWidth="1"/>
    <col min="14606" max="14606" width="25.26953125" bestFit="1" customWidth="1"/>
    <col min="14607" max="14607" width="14.1796875" bestFit="1" customWidth="1"/>
    <col min="14608" max="14608" width="11.453125" customWidth="1"/>
    <col min="14609" max="14609" width="23.26953125" bestFit="1" customWidth="1"/>
    <col min="14610" max="14610" width="11.453125" customWidth="1"/>
    <col min="14611" max="14611" width="12.81640625" bestFit="1" customWidth="1"/>
    <col min="14612" max="14612" width="22.453125" bestFit="1" customWidth="1"/>
    <col min="14613" max="14613" width="18.7265625" bestFit="1" customWidth="1"/>
    <col min="14614" max="14614" width="11.453125" customWidth="1"/>
    <col min="14615" max="14615" width="26.7265625" bestFit="1" customWidth="1"/>
    <col min="14616" max="14616" width="11.453125" customWidth="1"/>
    <col min="14617" max="14617" width="32" bestFit="1" customWidth="1"/>
    <col min="14618" max="14618" width="27.453125" bestFit="1" customWidth="1"/>
    <col min="14849" max="14849" width="85.7265625" bestFit="1" customWidth="1"/>
    <col min="14850" max="14850" width="25.81640625" bestFit="1" customWidth="1"/>
    <col min="14851" max="14851" width="32.7265625" customWidth="1"/>
    <col min="14852" max="14852" width="22.7265625" customWidth="1"/>
    <col min="14853" max="14853" width="33.1796875" customWidth="1"/>
    <col min="14854" max="14854" width="27.54296875" customWidth="1"/>
    <col min="14855" max="14855" width="31.26953125" customWidth="1"/>
    <col min="14856" max="14856" width="25.1796875" customWidth="1"/>
    <col min="14857" max="14857" width="33.1796875" customWidth="1"/>
    <col min="14858" max="14858" width="64" customWidth="1"/>
    <col min="14859" max="14859" width="18.81640625" bestFit="1" customWidth="1"/>
    <col min="14860" max="14860" width="21.453125" bestFit="1" customWidth="1"/>
    <col min="14861" max="14861" width="11.453125" customWidth="1"/>
    <col min="14862" max="14862" width="25.26953125" bestFit="1" customWidth="1"/>
    <col min="14863" max="14863" width="14.1796875" bestFit="1" customWidth="1"/>
    <col min="14864" max="14864" width="11.453125" customWidth="1"/>
    <col min="14865" max="14865" width="23.26953125" bestFit="1" customWidth="1"/>
    <col min="14866" max="14866" width="11.453125" customWidth="1"/>
    <col min="14867" max="14867" width="12.81640625" bestFit="1" customWidth="1"/>
    <col min="14868" max="14868" width="22.453125" bestFit="1" customWidth="1"/>
    <col min="14869" max="14869" width="18.7265625" bestFit="1" customWidth="1"/>
    <col min="14870" max="14870" width="11.453125" customWidth="1"/>
    <col min="14871" max="14871" width="26.7265625" bestFit="1" customWidth="1"/>
    <col min="14872" max="14872" width="11.453125" customWidth="1"/>
    <col min="14873" max="14873" width="32" bestFit="1" customWidth="1"/>
    <col min="14874" max="14874" width="27.453125" bestFit="1" customWidth="1"/>
    <col min="15105" max="15105" width="85.7265625" bestFit="1" customWidth="1"/>
    <col min="15106" max="15106" width="25.81640625" bestFit="1" customWidth="1"/>
    <col min="15107" max="15107" width="32.7265625" customWidth="1"/>
    <col min="15108" max="15108" width="22.7265625" customWidth="1"/>
    <col min="15109" max="15109" width="33.1796875" customWidth="1"/>
    <col min="15110" max="15110" width="27.54296875" customWidth="1"/>
    <col min="15111" max="15111" width="31.26953125" customWidth="1"/>
    <col min="15112" max="15112" width="25.1796875" customWidth="1"/>
    <col min="15113" max="15113" width="33.1796875" customWidth="1"/>
    <col min="15114" max="15114" width="64" customWidth="1"/>
    <col min="15115" max="15115" width="18.81640625" bestFit="1" customWidth="1"/>
    <col min="15116" max="15116" width="21.453125" bestFit="1" customWidth="1"/>
    <col min="15117" max="15117" width="11.453125" customWidth="1"/>
    <col min="15118" max="15118" width="25.26953125" bestFit="1" customWidth="1"/>
    <col min="15119" max="15119" width="14.1796875" bestFit="1" customWidth="1"/>
    <col min="15120" max="15120" width="11.453125" customWidth="1"/>
    <col min="15121" max="15121" width="23.26953125" bestFit="1" customWidth="1"/>
    <col min="15122" max="15122" width="11.453125" customWidth="1"/>
    <col min="15123" max="15123" width="12.81640625" bestFit="1" customWidth="1"/>
    <col min="15124" max="15124" width="22.453125" bestFit="1" customWidth="1"/>
    <col min="15125" max="15125" width="18.7265625" bestFit="1" customWidth="1"/>
    <col min="15126" max="15126" width="11.453125" customWidth="1"/>
    <col min="15127" max="15127" width="26.7265625" bestFit="1" customWidth="1"/>
    <col min="15128" max="15128" width="11.453125" customWidth="1"/>
    <col min="15129" max="15129" width="32" bestFit="1" customWidth="1"/>
    <col min="15130" max="15130" width="27.453125" bestFit="1" customWidth="1"/>
    <col min="15361" max="15361" width="85.7265625" bestFit="1" customWidth="1"/>
    <col min="15362" max="15362" width="25.81640625" bestFit="1" customWidth="1"/>
    <col min="15363" max="15363" width="32.7265625" customWidth="1"/>
    <col min="15364" max="15364" width="22.7265625" customWidth="1"/>
    <col min="15365" max="15365" width="33.1796875" customWidth="1"/>
    <col min="15366" max="15366" width="27.54296875" customWidth="1"/>
    <col min="15367" max="15367" width="31.26953125" customWidth="1"/>
    <col min="15368" max="15368" width="25.1796875" customWidth="1"/>
    <col min="15369" max="15369" width="33.1796875" customWidth="1"/>
    <col min="15370" max="15370" width="64" customWidth="1"/>
    <col min="15371" max="15371" width="18.81640625" bestFit="1" customWidth="1"/>
    <col min="15372" max="15372" width="21.453125" bestFit="1" customWidth="1"/>
    <col min="15373" max="15373" width="11.453125" customWidth="1"/>
    <col min="15374" max="15374" width="25.26953125" bestFit="1" customWidth="1"/>
    <col min="15375" max="15375" width="14.1796875" bestFit="1" customWidth="1"/>
    <col min="15376" max="15376" width="11.453125" customWidth="1"/>
    <col min="15377" max="15377" width="23.26953125" bestFit="1" customWidth="1"/>
    <col min="15378" max="15378" width="11.453125" customWidth="1"/>
    <col min="15379" max="15379" width="12.81640625" bestFit="1" customWidth="1"/>
    <col min="15380" max="15380" width="22.453125" bestFit="1" customWidth="1"/>
    <col min="15381" max="15381" width="18.7265625" bestFit="1" customWidth="1"/>
    <col min="15382" max="15382" width="11.453125" customWidth="1"/>
    <col min="15383" max="15383" width="26.7265625" bestFit="1" customWidth="1"/>
    <col min="15384" max="15384" width="11.453125" customWidth="1"/>
    <col min="15385" max="15385" width="32" bestFit="1" customWidth="1"/>
    <col min="15386" max="15386" width="27.453125" bestFit="1" customWidth="1"/>
    <col min="15617" max="15617" width="85.7265625" bestFit="1" customWidth="1"/>
    <col min="15618" max="15618" width="25.81640625" bestFit="1" customWidth="1"/>
    <col min="15619" max="15619" width="32.7265625" customWidth="1"/>
    <col min="15620" max="15620" width="22.7265625" customWidth="1"/>
    <col min="15621" max="15621" width="33.1796875" customWidth="1"/>
    <col min="15622" max="15622" width="27.54296875" customWidth="1"/>
    <col min="15623" max="15623" width="31.26953125" customWidth="1"/>
    <col min="15624" max="15624" width="25.1796875" customWidth="1"/>
    <col min="15625" max="15625" width="33.1796875" customWidth="1"/>
    <col min="15626" max="15626" width="64" customWidth="1"/>
    <col min="15627" max="15627" width="18.81640625" bestFit="1" customWidth="1"/>
    <col min="15628" max="15628" width="21.453125" bestFit="1" customWidth="1"/>
    <col min="15629" max="15629" width="11.453125" customWidth="1"/>
    <col min="15630" max="15630" width="25.26953125" bestFit="1" customWidth="1"/>
    <col min="15631" max="15631" width="14.1796875" bestFit="1" customWidth="1"/>
    <col min="15632" max="15632" width="11.453125" customWidth="1"/>
    <col min="15633" max="15633" width="23.26953125" bestFit="1" customWidth="1"/>
    <col min="15634" max="15634" width="11.453125" customWidth="1"/>
    <col min="15635" max="15635" width="12.81640625" bestFit="1" customWidth="1"/>
    <col min="15636" max="15636" width="22.453125" bestFit="1" customWidth="1"/>
    <col min="15637" max="15637" width="18.7265625" bestFit="1" customWidth="1"/>
    <col min="15638" max="15638" width="11.453125" customWidth="1"/>
    <col min="15639" max="15639" width="26.7265625" bestFit="1" customWidth="1"/>
    <col min="15640" max="15640" width="11.453125" customWidth="1"/>
    <col min="15641" max="15641" width="32" bestFit="1" customWidth="1"/>
    <col min="15642" max="15642" width="27.453125" bestFit="1" customWidth="1"/>
    <col min="15873" max="15873" width="85.7265625" bestFit="1" customWidth="1"/>
    <col min="15874" max="15874" width="25.81640625" bestFit="1" customWidth="1"/>
    <col min="15875" max="15875" width="32.7265625" customWidth="1"/>
    <col min="15876" max="15876" width="22.7265625" customWidth="1"/>
    <col min="15877" max="15877" width="33.1796875" customWidth="1"/>
    <col min="15878" max="15878" width="27.54296875" customWidth="1"/>
    <col min="15879" max="15879" width="31.26953125" customWidth="1"/>
    <col min="15880" max="15880" width="25.1796875" customWidth="1"/>
    <col min="15881" max="15881" width="33.1796875" customWidth="1"/>
    <col min="15882" max="15882" width="64" customWidth="1"/>
    <col min="15883" max="15883" width="18.81640625" bestFit="1" customWidth="1"/>
    <col min="15884" max="15884" width="21.453125" bestFit="1" customWidth="1"/>
    <col min="15885" max="15885" width="11.453125" customWidth="1"/>
    <col min="15886" max="15886" width="25.26953125" bestFit="1" customWidth="1"/>
    <col min="15887" max="15887" width="14.1796875" bestFit="1" customWidth="1"/>
    <col min="15888" max="15888" width="11.453125" customWidth="1"/>
    <col min="15889" max="15889" width="23.26953125" bestFit="1" customWidth="1"/>
    <col min="15890" max="15890" width="11.453125" customWidth="1"/>
    <col min="15891" max="15891" width="12.81640625" bestFit="1" customWidth="1"/>
    <col min="15892" max="15892" width="22.453125" bestFit="1" customWidth="1"/>
    <col min="15893" max="15893" width="18.7265625" bestFit="1" customWidth="1"/>
    <col min="15894" max="15894" width="11.453125" customWidth="1"/>
    <col min="15895" max="15895" width="26.7265625" bestFit="1" customWidth="1"/>
    <col min="15896" max="15896" width="11.453125" customWidth="1"/>
    <col min="15897" max="15897" width="32" bestFit="1" customWidth="1"/>
    <col min="15898" max="15898" width="27.453125" bestFit="1" customWidth="1"/>
    <col min="16129" max="16129" width="85.7265625" bestFit="1" customWidth="1"/>
    <col min="16130" max="16130" width="25.81640625" bestFit="1" customWidth="1"/>
    <col min="16131" max="16131" width="32.7265625" customWidth="1"/>
    <col min="16132" max="16132" width="22.7265625" customWidth="1"/>
    <col min="16133" max="16133" width="33.1796875" customWidth="1"/>
    <col min="16134" max="16134" width="27.54296875" customWidth="1"/>
    <col min="16135" max="16135" width="31.26953125" customWidth="1"/>
    <col min="16136" max="16136" width="25.1796875" customWidth="1"/>
    <col min="16137" max="16137" width="33.1796875" customWidth="1"/>
    <col min="16138" max="16138" width="64" customWidth="1"/>
    <col min="16139" max="16139" width="18.81640625" bestFit="1" customWidth="1"/>
    <col min="16140" max="16140" width="21.453125" bestFit="1" customWidth="1"/>
    <col min="16141" max="16141" width="11.453125" customWidth="1"/>
    <col min="16142" max="16142" width="25.26953125" bestFit="1" customWidth="1"/>
    <col min="16143" max="16143" width="14.1796875" bestFit="1" customWidth="1"/>
    <col min="16144" max="16144" width="11.453125" customWidth="1"/>
    <col min="16145" max="16145" width="23.26953125" bestFit="1" customWidth="1"/>
    <col min="16146" max="16146" width="11.453125" customWidth="1"/>
    <col min="16147" max="16147" width="12.81640625" bestFit="1" customWidth="1"/>
    <col min="16148" max="16148" width="22.453125" bestFit="1" customWidth="1"/>
    <col min="16149" max="16149" width="18.7265625" bestFit="1" customWidth="1"/>
    <col min="16150" max="16150" width="11.453125" customWidth="1"/>
    <col min="16151" max="16151" width="26.7265625" bestFit="1" customWidth="1"/>
    <col min="16152" max="16152" width="11.453125" customWidth="1"/>
    <col min="16153" max="16153" width="32" bestFit="1" customWidth="1"/>
    <col min="16154" max="16154" width="27.453125" bestFit="1" customWidth="1"/>
  </cols>
  <sheetData>
    <row r="1" spans="1:29" s="156" customFormat="1" x14ac:dyDescent="0.35">
      <c r="A1" s="156" t="s">
        <v>647</v>
      </c>
      <c r="B1" s="157"/>
      <c r="C1" s="156" t="s">
        <v>648</v>
      </c>
      <c r="E1" s="156" t="s">
        <v>649</v>
      </c>
      <c r="G1" s="156" t="s">
        <v>650</v>
      </c>
      <c r="I1" s="156" t="s">
        <v>651</v>
      </c>
      <c r="K1" s="156" t="s">
        <v>652</v>
      </c>
      <c r="L1" s="156" t="s">
        <v>653</v>
      </c>
    </row>
    <row r="2" spans="1:29" x14ac:dyDescent="0.35">
      <c r="A2">
        <v>1</v>
      </c>
      <c r="C2">
        <v>0</v>
      </c>
      <c r="E2">
        <v>0</v>
      </c>
      <c r="G2">
        <v>1</v>
      </c>
      <c r="I2">
        <v>2</v>
      </c>
      <c r="K2" s="159" t="s">
        <v>654</v>
      </c>
      <c r="L2">
        <v>0</v>
      </c>
    </row>
    <row r="4" spans="1:29" s="156" customFormat="1" x14ac:dyDescent="0.35">
      <c r="A4" s="156" t="s">
        <v>655</v>
      </c>
      <c r="B4" t="s">
        <v>656</v>
      </c>
      <c r="C4" t="s">
        <v>657</v>
      </c>
      <c r="E4" t="s">
        <v>658</v>
      </c>
      <c r="F4" s="156" t="s">
        <v>659</v>
      </c>
      <c r="G4" s="156" t="s">
        <v>660</v>
      </c>
      <c r="H4" s="156" t="s">
        <v>661</v>
      </c>
      <c r="I4" t="s">
        <v>662</v>
      </c>
      <c r="J4" t="s">
        <v>663</v>
      </c>
      <c r="K4" t="s">
        <v>664</v>
      </c>
      <c r="M4" t="s">
        <v>665</v>
      </c>
      <c r="N4" t="s">
        <v>666</v>
      </c>
      <c r="O4" t="s">
        <v>667</v>
      </c>
      <c r="Q4" t="s">
        <v>668</v>
      </c>
      <c r="R4" t="s">
        <v>669</v>
      </c>
      <c r="T4" t="s">
        <v>670</v>
      </c>
      <c r="V4" t="s">
        <v>671</v>
      </c>
      <c r="W4" t="s">
        <v>672</v>
      </c>
      <c r="X4" t="s">
        <v>673</v>
      </c>
      <c r="Z4" t="s">
        <v>674</v>
      </c>
      <c r="AB4" t="s">
        <v>675</v>
      </c>
      <c r="AC4" s="160" t="s">
        <v>676</v>
      </c>
    </row>
    <row r="5" spans="1:29" x14ac:dyDescent="0.35">
      <c r="A5" s="160">
        <v>1</v>
      </c>
      <c r="B5" s="161" t="s">
        <v>693</v>
      </c>
      <c r="C5" t="s">
        <v>677</v>
      </c>
      <c r="E5">
        <v>237.18</v>
      </c>
      <c r="F5">
        <v>0</v>
      </c>
      <c r="G5">
        <v>1</v>
      </c>
      <c r="H5">
        <f>SUM(E5)</f>
        <v>237.18</v>
      </c>
      <c r="I5">
        <v>0</v>
      </c>
      <c r="J5" t="s">
        <v>679</v>
      </c>
    </row>
    <row r="6" spans="1:29" x14ac:dyDescent="0.35">
      <c r="A6">
        <v>2</v>
      </c>
      <c r="B6" s="161" t="s">
        <v>694</v>
      </c>
      <c r="C6" t="s">
        <v>678</v>
      </c>
      <c r="E6">
        <v>237.18</v>
      </c>
      <c r="F6">
        <v>0</v>
      </c>
      <c r="G6">
        <v>1</v>
      </c>
      <c r="H6">
        <f t="shared" ref="H6:H20" si="0">SUM(E6)</f>
        <v>237.18</v>
      </c>
      <c r="I6">
        <v>0</v>
      </c>
      <c r="J6" t="s">
        <v>679</v>
      </c>
    </row>
    <row r="7" spans="1:29" x14ac:dyDescent="0.35">
      <c r="A7">
        <v>3</v>
      </c>
      <c r="B7" s="158" t="s">
        <v>695</v>
      </c>
      <c r="C7" t="s">
        <v>677</v>
      </c>
      <c r="E7">
        <v>38.83</v>
      </c>
      <c r="F7">
        <v>0</v>
      </c>
      <c r="G7">
        <v>1</v>
      </c>
      <c r="H7">
        <f t="shared" si="0"/>
        <v>38.83</v>
      </c>
      <c r="I7">
        <v>0</v>
      </c>
      <c r="J7" t="s">
        <v>679</v>
      </c>
    </row>
    <row r="8" spans="1:29" x14ac:dyDescent="0.35">
      <c r="A8">
        <v>4</v>
      </c>
      <c r="B8" s="158" t="s">
        <v>696</v>
      </c>
      <c r="C8" t="s">
        <v>678</v>
      </c>
      <c r="E8">
        <v>38.83</v>
      </c>
      <c r="F8">
        <v>0</v>
      </c>
      <c r="G8">
        <v>1</v>
      </c>
      <c r="H8">
        <f t="shared" si="0"/>
        <v>38.83</v>
      </c>
      <c r="I8">
        <v>0</v>
      </c>
      <c r="J8" t="s">
        <v>679</v>
      </c>
    </row>
    <row r="9" spans="1:29" x14ac:dyDescent="0.35">
      <c r="A9">
        <v>5</v>
      </c>
      <c r="B9" s="158" t="s">
        <v>697</v>
      </c>
      <c r="C9" t="s">
        <v>677</v>
      </c>
      <c r="E9">
        <v>32064.25</v>
      </c>
      <c r="F9">
        <v>0</v>
      </c>
      <c r="G9">
        <v>1</v>
      </c>
      <c r="H9">
        <f t="shared" si="0"/>
        <v>32064.25</v>
      </c>
      <c r="I9">
        <v>0</v>
      </c>
      <c r="J9" t="s">
        <v>679</v>
      </c>
    </row>
    <row r="10" spans="1:29" x14ac:dyDescent="0.35">
      <c r="A10">
        <v>6</v>
      </c>
      <c r="B10" s="158" t="s">
        <v>698</v>
      </c>
      <c r="C10" t="s">
        <v>678</v>
      </c>
      <c r="E10">
        <v>14829.72</v>
      </c>
      <c r="F10">
        <v>0</v>
      </c>
      <c r="G10">
        <v>1</v>
      </c>
      <c r="H10">
        <f t="shared" si="0"/>
        <v>14829.72</v>
      </c>
      <c r="I10">
        <v>0</v>
      </c>
      <c r="J10" t="s">
        <v>679</v>
      </c>
    </row>
    <row r="11" spans="1:29" x14ac:dyDescent="0.35">
      <c r="A11">
        <v>7</v>
      </c>
      <c r="B11" s="158" t="s">
        <v>699</v>
      </c>
      <c r="C11" t="s">
        <v>678</v>
      </c>
      <c r="E11">
        <v>17234.53</v>
      </c>
      <c r="F11">
        <v>0</v>
      </c>
      <c r="G11">
        <v>1</v>
      </c>
      <c r="H11">
        <f t="shared" si="0"/>
        <v>17234.53</v>
      </c>
      <c r="I11">
        <v>0</v>
      </c>
      <c r="J11" t="s">
        <v>679</v>
      </c>
    </row>
    <row r="12" spans="1:29" x14ac:dyDescent="0.35">
      <c r="A12">
        <v>8</v>
      </c>
      <c r="B12" s="158" t="s">
        <v>700</v>
      </c>
      <c r="C12" t="s">
        <v>678</v>
      </c>
      <c r="E12">
        <v>76078.06</v>
      </c>
      <c r="F12">
        <v>0</v>
      </c>
      <c r="G12">
        <v>1</v>
      </c>
      <c r="H12">
        <f t="shared" si="0"/>
        <v>76078.06</v>
      </c>
      <c r="I12">
        <v>0</v>
      </c>
      <c r="J12" t="s">
        <v>679</v>
      </c>
    </row>
    <row r="13" spans="1:29" x14ac:dyDescent="0.35">
      <c r="A13">
        <v>9</v>
      </c>
      <c r="B13" s="158" t="s">
        <v>701</v>
      </c>
      <c r="C13" t="s">
        <v>677</v>
      </c>
      <c r="E13">
        <v>76078.06</v>
      </c>
      <c r="F13">
        <v>0</v>
      </c>
      <c r="G13">
        <v>1</v>
      </c>
      <c r="H13">
        <f t="shared" si="0"/>
        <v>76078.06</v>
      </c>
      <c r="I13">
        <v>0</v>
      </c>
      <c r="J13" t="s">
        <v>679</v>
      </c>
    </row>
    <row r="14" spans="1:29" x14ac:dyDescent="0.35">
      <c r="A14">
        <v>10</v>
      </c>
      <c r="B14" s="158" t="s">
        <v>680</v>
      </c>
      <c r="C14" t="s">
        <v>678</v>
      </c>
      <c r="E14">
        <v>3273.07</v>
      </c>
      <c r="F14">
        <v>0</v>
      </c>
      <c r="G14">
        <v>1</v>
      </c>
      <c r="H14">
        <f t="shared" si="0"/>
        <v>3273.07</v>
      </c>
      <c r="I14">
        <v>0</v>
      </c>
      <c r="J14" t="s">
        <v>679</v>
      </c>
    </row>
    <row r="15" spans="1:29" x14ac:dyDescent="0.35">
      <c r="A15">
        <v>11</v>
      </c>
      <c r="B15" s="158" t="s">
        <v>680</v>
      </c>
      <c r="C15" t="s">
        <v>678</v>
      </c>
      <c r="E15">
        <v>8535.73</v>
      </c>
      <c r="F15">
        <v>0</v>
      </c>
      <c r="G15">
        <v>1</v>
      </c>
      <c r="H15">
        <f t="shared" si="0"/>
        <v>8535.73</v>
      </c>
      <c r="I15">
        <v>0</v>
      </c>
      <c r="J15" t="s">
        <v>679</v>
      </c>
    </row>
    <row r="16" spans="1:29" x14ac:dyDescent="0.35">
      <c r="A16">
        <v>12</v>
      </c>
      <c r="B16" s="158" t="s">
        <v>702</v>
      </c>
      <c r="C16" t="s">
        <v>677</v>
      </c>
      <c r="E16">
        <v>3273.07</v>
      </c>
      <c r="F16">
        <v>0</v>
      </c>
      <c r="G16">
        <v>1</v>
      </c>
      <c r="H16">
        <f t="shared" si="0"/>
        <v>3273.07</v>
      </c>
      <c r="I16">
        <v>0</v>
      </c>
      <c r="J16" t="s">
        <v>681</v>
      </c>
    </row>
    <row r="17" spans="1:10" x14ac:dyDescent="0.35">
      <c r="A17">
        <v>13</v>
      </c>
      <c r="B17" s="158" t="s">
        <v>702</v>
      </c>
      <c r="C17" t="s">
        <v>677</v>
      </c>
      <c r="E17">
        <v>8535.73</v>
      </c>
      <c r="F17">
        <v>0</v>
      </c>
      <c r="G17">
        <v>1</v>
      </c>
      <c r="H17">
        <f t="shared" si="0"/>
        <v>8535.73</v>
      </c>
      <c r="I17">
        <v>0</v>
      </c>
      <c r="J17" t="s">
        <v>682</v>
      </c>
    </row>
    <row r="18" spans="1:10" x14ac:dyDescent="0.35">
      <c r="A18">
        <v>14</v>
      </c>
      <c r="B18" s="158" t="s">
        <v>703</v>
      </c>
      <c r="C18" t="s">
        <v>677</v>
      </c>
      <c r="E18">
        <v>698.36</v>
      </c>
      <c r="F18">
        <v>0</v>
      </c>
      <c r="G18">
        <v>1</v>
      </c>
      <c r="H18">
        <f t="shared" si="0"/>
        <v>698.36</v>
      </c>
      <c r="I18">
        <v>0</v>
      </c>
      <c r="J18" t="s">
        <v>679</v>
      </c>
    </row>
    <row r="19" spans="1:10" x14ac:dyDescent="0.35">
      <c r="A19">
        <v>15</v>
      </c>
      <c r="B19" s="158" t="s">
        <v>704</v>
      </c>
      <c r="C19" t="s">
        <v>678</v>
      </c>
      <c r="E19">
        <v>698.36</v>
      </c>
      <c r="F19">
        <v>0</v>
      </c>
      <c r="G19">
        <v>1</v>
      </c>
      <c r="H19">
        <f t="shared" si="0"/>
        <v>698.36</v>
      </c>
      <c r="I19">
        <v>0</v>
      </c>
      <c r="J19" t="s">
        <v>679</v>
      </c>
    </row>
    <row r="20" spans="1:10" x14ac:dyDescent="0.35">
      <c r="A20">
        <v>16</v>
      </c>
      <c r="B20" s="158" t="s">
        <v>705</v>
      </c>
      <c r="C20" t="s">
        <v>678</v>
      </c>
      <c r="E20">
        <v>216612.79</v>
      </c>
      <c r="F20">
        <v>0</v>
      </c>
      <c r="G20">
        <v>1</v>
      </c>
      <c r="H20">
        <f t="shared" si="0"/>
        <v>216612.79</v>
      </c>
      <c r="I20">
        <v>0</v>
      </c>
      <c r="J20" t="s">
        <v>679</v>
      </c>
    </row>
    <row r="21" spans="1:10" x14ac:dyDescent="0.35">
      <c r="A21">
        <v>17</v>
      </c>
      <c r="B21" s="158" t="s">
        <v>706</v>
      </c>
      <c r="C21" t="s">
        <v>677</v>
      </c>
      <c r="E21">
        <v>216612.79</v>
      </c>
      <c r="F21">
        <v>0</v>
      </c>
      <c r="G21">
        <v>1</v>
      </c>
      <c r="H21">
        <f t="shared" ref="H21:H31" si="1">SUM(E21)</f>
        <v>216612.79</v>
      </c>
      <c r="I21">
        <v>0</v>
      </c>
      <c r="J21" t="s">
        <v>679</v>
      </c>
    </row>
    <row r="22" spans="1:10" x14ac:dyDescent="0.35">
      <c r="A22">
        <v>18</v>
      </c>
      <c r="B22" s="158" t="s">
        <v>707</v>
      </c>
      <c r="C22" t="s">
        <v>678</v>
      </c>
      <c r="E22">
        <v>477026.92</v>
      </c>
      <c r="F22">
        <v>0</v>
      </c>
      <c r="G22">
        <v>1</v>
      </c>
      <c r="H22">
        <f t="shared" si="1"/>
        <v>477026.92</v>
      </c>
      <c r="I22">
        <v>0</v>
      </c>
      <c r="J22" t="s">
        <v>679</v>
      </c>
    </row>
    <row r="23" spans="1:10" x14ac:dyDescent="0.35">
      <c r="A23">
        <v>19</v>
      </c>
      <c r="B23" s="158" t="s">
        <v>708</v>
      </c>
      <c r="C23" t="s">
        <v>677</v>
      </c>
      <c r="E23">
        <v>477026.92</v>
      </c>
      <c r="F23">
        <v>0</v>
      </c>
      <c r="G23">
        <v>1</v>
      </c>
      <c r="H23">
        <f t="shared" si="1"/>
        <v>477026.92</v>
      </c>
      <c r="I23">
        <v>0</v>
      </c>
      <c r="J23" t="s">
        <v>679</v>
      </c>
    </row>
    <row r="24" spans="1:10" x14ac:dyDescent="0.35">
      <c r="A24">
        <v>20</v>
      </c>
      <c r="B24" s="158" t="s">
        <v>709</v>
      </c>
      <c r="C24" t="s">
        <v>678</v>
      </c>
      <c r="E24">
        <v>4505.1000000000004</v>
      </c>
      <c r="F24">
        <v>0</v>
      </c>
      <c r="G24">
        <v>1</v>
      </c>
      <c r="H24">
        <f t="shared" si="1"/>
        <v>4505.1000000000004</v>
      </c>
      <c r="I24">
        <v>0</v>
      </c>
      <c r="J24" t="s">
        <v>679</v>
      </c>
    </row>
    <row r="25" spans="1:10" x14ac:dyDescent="0.35">
      <c r="A25">
        <v>21</v>
      </c>
      <c r="B25" s="158" t="s">
        <v>710</v>
      </c>
      <c r="C25" t="s">
        <v>677</v>
      </c>
      <c r="E25">
        <v>4505.1000000000004</v>
      </c>
      <c r="F25">
        <v>0</v>
      </c>
      <c r="G25">
        <v>1</v>
      </c>
      <c r="H25">
        <f t="shared" si="1"/>
        <v>4505.1000000000004</v>
      </c>
      <c r="I25">
        <v>0</v>
      </c>
      <c r="J25" t="s">
        <v>679</v>
      </c>
    </row>
    <row r="26" spans="1:10" x14ac:dyDescent="0.35">
      <c r="A26">
        <v>22</v>
      </c>
      <c r="B26" s="158" t="s">
        <v>711</v>
      </c>
      <c r="C26" t="s">
        <v>678</v>
      </c>
      <c r="E26">
        <v>465.69</v>
      </c>
      <c r="F26">
        <v>0</v>
      </c>
      <c r="G26">
        <v>1</v>
      </c>
      <c r="H26">
        <f t="shared" si="1"/>
        <v>465.69</v>
      </c>
      <c r="I26">
        <v>0</v>
      </c>
      <c r="J26" t="s">
        <v>679</v>
      </c>
    </row>
    <row r="27" spans="1:10" x14ac:dyDescent="0.35">
      <c r="A27">
        <v>23</v>
      </c>
      <c r="B27" s="158" t="s">
        <v>712</v>
      </c>
      <c r="C27" t="s">
        <v>677</v>
      </c>
      <c r="E27">
        <v>465.69</v>
      </c>
      <c r="F27">
        <v>0</v>
      </c>
      <c r="G27">
        <v>1</v>
      </c>
      <c r="H27">
        <f t="shared" si="1"/>
        <v>465.69</v>
      </c>
      <c r="I27">
        <v>0</v>
      </c>
      <c r="J27" t="s">
        <v>679</v>
      </c>
    </row>
    <row r="28" spans="1:10" x14ac:dyDescent="0.35">
      <c r="A28">
        <v>24</v>
      </c>
      <c r="B28" s="158" t="s">
        <v>713</v>
      </c>
      <c r="C28" t="s">
        <v>678</v>
      </c>
      <c r="E28">
        <v>164809.95000000001</v>
      </c>
      <c r="F28">
        <v>0</v>
      </c>
      <c r="G28">
        <v>1</v>
      </c>
      <c r="H28">
        <f t="shared" si="1"/>
        <v>164809.95000000001</v>
      </c>
      <c r="I28">
        <v>0</v>
      </c>
      <c r="J28" t="s">
        <v>679</v>
      </c>
    </row>
    <row r="29" spans="1:10" x14ac:dyDescent="0.35">
      <c r="A29">
        <v>25</v>
      </c>
      <c r="B29" s="161" t="s">
        <v>714</v>
      </c>
      <c r="C29" t="s">
        <v>677</v>
      </c>
      <c r="E29">
        <v>42430.85</v>
      </c>
      <c r="F29">
        <v>0</v>
      </c>
      <c r="G29">
        <v>1</v>
      </c>
      <c r="H29">
        <f t="shared" si="1"/>
        <v>42430.85</v>
      </c>
      <c r="I29">
        <v>0</v>
      </c>
      <c r="J29" t="s">
        <v>679</v>
      </c>
    </row>
    <row r="30" spans="1:10" x14ac:dyDescent="0.35">
      <c r="A30">
        <v>26</v>
      </c>
      <c r="B30" s="161" t="s">
        <v>715</v>
      </c>
      <c r="C30" t="s">
        <v>677</v>
      </c>
      <c r="E30">
        <v>122379.1</v>
      </c>
      <c r="F30">
        <v>0</v>
      </c>
      <c r="G30">
        <v>1</v>
      </c>
      <c r="H30">
        <f t="shared" si="1"/>
        <v>122379.1</v>
      </c>
      <c r="I30">
        <v>0</v>
      </c>
      <c r="J30" t="s">
        <v>679</v>
      </c>
    </row>
    <row r="31" spans="1:10" x14ac:dyDescent="0.35">
      <c r="A31">
        <v>27</v>
      </c>
      <c r="B31" s="158" t="s">
        <v>716</v>
      </c>
      <c r="C31" t="s">
        <v>678</v>
      </c>
      <c r="E31">
        <v>397786.81</v>
      </c>
      <c r="F31">
        <v>0</v>
      </c>
      <c r="G31">
        <v>1</v>
      </c>
      <c r="H31">
        <f t="shared" si="1"/>
        <v>397786.81</v>
      </c>
      <c r="I31">
        <v>0</v>
      </c>
      <c r="J31" t="s">
        <v>679</v>
      </c>
    </row>
    <row r="32" spans="1:10" x14ac:dyDescent="0.35">
      <c r="A32">
        <v>28</v>
      </c>
      <c r="B32" s="161" t="s">
        <v>717</v>
      </c>
      <c r="C32" t="s">
        <v>677</v>
      </c>
      <c r="E32">
        <v>185862.05</v>
      </c>
      <c r="F32">
        <v>0</v>
      </c>
      <c r="G32">
        <v>1</v>
      </c>
      <c r="H32">
        <f t="shared" ref="H32:H47" si="2">SUM(E32)</f>
        <v>185862.05</v>
      </c>
      <c r="I32">
        <v>0</v>
      </c>
      <c r="J32" t="s">
        <v>679</v>
      </c>
    </row>
    <row r="33" spans="1:10" x14ac:dyDescent="0.35">
      <c r="A33">
        <v>29</v>
      </c>
      <c r="B33" s="161" t="s">
        <v>718</v>
      </c>
      <c r="C33" t="s">
        <v>677</v>
      </c>
      <c r="E33">
        <v>211924.76</v>
      </c>
      <c r="F33">
        <v>0</v>
      </c>
      <c r="G33">
        <v>1</v>
      </c>
      <c r="H33">
        <f t="shared" si="2"/>
        <v>211924.76</v>
      </c>
      <c r="I33">
        <v>0</v>
      </c>
      <c r="J33" t="s">
        <v>679</v>
      </c>
    </row>
    <row r="34" spans="1:10" x14ac:dyDescent="0.35">
      <c r="A34">
        <v>30</v>
      </c>
      <c r="B34" s="158" t="s">
        <v>719</v>
      </c>
      <c r="C34" t="s">
        <v>678</v>
      </c>
      <c r="E34">
        <v>11243.08</v>
      </c>
      <c r="F34">
        <v>0</v>
      </c>
      <c r="G34">
        <v>1</v>
      </c>
      <c r="H34">
        <f t="shared" si="2"/>
        <v>11243.08</v>
      </c>
      <c r="I34">
        <v>0</v>
      </c>
      <c r="J34" t="s">
        <v>679</v>
      </c>
    </row>
    <row r="35" spans="1:10" x14ac:dyDescent="0.35">
      <c r="A35">
        <v>31</v>
      </c>
      <c r="B35" s="158" t="s">
        <v>683</v>
      </c>
      <c r="C35" t="s">
        <v>677</v>
      </c>
      <c r="E35">
        <v>10806.91</v>
      </c>
      <c r="F35">
        <v>0</v>
      </c>
      <c r="G35">
        <v>1</v>
      </c>
      <c r="H35">
        <f t="shared" si="2"/>
        <v>10806.91</v>
      </c>
      <c r="I35">
        <v>0</v>
      </c>
      <c r="J35" t="s">
        <v>679</v>
      </c>
    </row>
    <row r="36" spans="1:10" x14ac:dyDescent="0.35">
      <c r="A36">
        <v>32</v>
      </c>
      <c r="B36" s="158" t="s">
        <v>684</v>
      </c>
      <c r="C36" t="s">
        <v>677</v>
      </c>
      <c r="E36">
        <v>436.17</v>
      </c>
      <c r="F36">
        <v>0</v>
      </c>
      <c r="G36">
        <v>1</v>
      </c>
      <c r="H36">
        <f t="shared" si="2"/>
        <v>436.17</v>
      </c>
      <c r="I36">
        <v>0</v>
      </c>
      <c r="J36" t="s">
        <v>679</v>
      </c>
    </row>
    <row r="37" spans="1:10" x14ac:dyDescent="0.35">
      <c r="A37">
        <v>33</v>
      </c>
      <c r="B37" s="158" t="s">
        <v>720</v>
      </c>
      <c r="C37" t="s">
        <v>677</v>
      </c>
      <c r="E37">
        <v>4966.2699999999986</v>
      </c>
      <c r="F37">
        <v>0</v>
      </c>
      <c r="G37">
        <v>1</v>
      </c>
      <c r="H37">
        <f t="shared" si="2"/>
        <v>4966.2699999999986</v>
      </c>
      <c r="I37">
        <v>0</v>
      </c>
      <c r="J37" t="s">
        <v>679</v>
      </c>
    </row>
    <row r="38" spans="1:10" x14ac:dyDescent="0.35">
      <c r="A38">
        <v>34</v>
      </c>
      <c r="B38" s="158" t="s">
        <v>685</v>
      </c>
      <c r="C38" t="s">
        <v>678</v>
      </c>
      <c r="E38">
        <v>28.55</v>
      </c>
      <c r="F38">
        <v>0</v>
      </c>
      <c r="G38">
        <v>1</v>
      </c>
      <c r="H38">
        <f t="shared" si="2"/>
        <v>28.55</v>
      </c>
      <c r="I38">
        <v>0</v>
      </c>
      <c r="J38" t="s">
        <v>679</v>
      </c>
    </row>
    <row r="39" spans="1:10" x14ac:dyDescent="0.35">
      <c r="A39">
        <v>35</v>
      </c>
      <c r="B39" s="158" t="s">
        <v>686</v>
      </c>
      <c r="C39" t="s">
        <v>678</v>
      </c>
      <c r="E39">
        <v>47.93</v>
      </c>
      <c r="F39">
        <v>0</v>
      </c>
      <c r="G39">
        <v>1</v>
      </c>
      <c r="H39">
        <f t="shared" si="2"/>
        <v>47.93</v>
      </c>
      <c r="I39">
        <v>0</v>
      </c>
      <c r="J39" t="s">
        <v>679</v>
      </c>
    </row>
    <row r="40" spans="1:10" x14ac:dyDescent="0.35">
      <c r="A40">
        <v>36</v>
      </c>
      <c r="B40" s="158" t="s">
        <v>687</v>
      </c>
      <c r="C40" t="s">
        <v>678</v>
      </c>
      <c r="E40">
        <v>4013.08</v>
      </c>
      <c r="F40">
        <v>0</v>
      </c>
      <c r="G40">
        <v>1</v>
      </c>
      <c r="H40">
        <f t="shared" si="2"/>
        <v>4013.08</v>
      </c>
      <c r="I40">
        <v>0</v>
      </c>
      <c r="J40" t="s">
        <v>679</v>
      </c>
    </row>
    <row r="41" spans="1:10" x14ac:dyDescent="0.35">
      <c r="A41">
        <v>37</v>
      </c>
      <c r="B41" s="158" t="s">
        <v>688</v>
      </c>
      <c r="C41" t="s">
        <v>678</v>
      </c>
      <c r="E41">
        <v>876.71</v>
      </c>
      <c r="F41">
        <v>0</v>
      </c>
      <c r="G41">
        <v>1</v>
      </c>
      <c r="H41">
        <f t="shared" si="2"/>
        <v>876.71</v>
      </c>
      <c r="I41">
        <v>0</v>
      </c>
      <c r="J41" t="s">
        <v>679</v>
      </c>
    </row>
    <row r="42" spans="1:10" x14ac:dyDescent="0.35">
      <c r="A42">
        <v>38</v>
      </c>
      <c r="B42" s="158" t="s">
        <v>721</v>
      </c>
      <c r="C42" t="s">
        <v>678</v>
      </c>
      <c r="E42">
        <v>8674.23</v>
      </c>
      <c r="F42">
        <v>0</v>
      </c>
      <c r="G42">
        <v>1</v>
      </c>
      <c r="H42">
        <f t="shared" si="2"/>
        <v>8674.23</v>
      </c>
      <c r="I42">
        <v>0</v>
      </c>
      <c r="J42" t="s">
        <v>679</v>
      </c>
    </row>
    <row r="43" spans="1:10" x14ac:dyDescent="0.35">
      <c r="A43">
        <v>39</v>
      </c>
      <c r="B43" s="158" t="s">
        <v>689</v>
      </c>
      <c r="C43" t="s">
        <v>677</v>
      </c>
      <c r="E43">
        <v>5792.93</v>
      </c>
      <c r="F43">
        <v>0</v>
      </c>
      <c r="G43">
        <v>1</v>
      </c>
      <c r="H43">
        <f t="shared" si="2"/>
        <v>5792.93</v>
      </c>
      <c r="I43">
        <v>0</v>
      </c>
      <c r="J43" t="s">
        <v>679</v>
      </c>
    </row>
    <row r="44" spans="1:10" x14ac:dyDescent="0.35">
      <c r="A44">
        <v>40</v>
      </c>
      <c r="B44" s="158" t="s">
        <v>690</v>
      </c>
      <c r="C44" t="s">
        <v>677</v>
      </c>
      <c r="E44">
        <v>2881.3</v>
      </c>
      <c r="F44">
        <v>0</v>
      </c>
      <c r="G44">
        <v>1</v>
      </c>
      <c r="H44">
        <f t="shared" si="2"/>
        <v>2881.3</v>
      </c>
      <c r="I44">
        <v>0</v>
      </c>
      <c r="J44" t="s">
        <v>679</v>
      </c>
    </row>
    <row r="45" spans="1:10" x14ac:dyDescent="0.35">
      <c r="A45">
        <v>41</v>
      </c>
      <c r="B45" s="158" t="s">
        <v>722</v>
      </c>
      <c r="C45" t="s">
        <v>678</v>
      </c>
      <c r="E45">
        <v>20936.22</v>
      </c>
      <c r="F45">
        <v>0</v>
      </c>
      <c r="G45">
        <v>1</v>
      </c>
      <c r="H45">
        <f t="shared" si="2"/>
        <v>20936.22</v>
      </c>
      <c r="I45">
        <v>0</v>
      </c>
      <c r="J45" t="s">
        <v>679</v>
      </c>
    </row>
    <row r="46" spans="1:10" x14ac:dyDescent="0.35">
      <c r="A46">
        <v>42</v>
      </c>
      <c r="B46" s="158" t="s">
        <v>691</v>
      </c>
      <c r="C46" t="s">
        <v>677</v>
      </c>
      <c r="E46">
        <v>4470.74</v>
      </c>
      <c r="F46">
        <v>0</v>
      </c>
      <c r="G46">
        <v>1</v>
      </c>
      <c r="H46">
        <f t="shared" si="2"/>
        <v>4470.74</v>
      </c>
      <c r="I46">
        <v>0</v>
      </c>
      <c r="J46" t="s">
        <v>679</v>
      </c>
    </row>
    <row r="47" spans="1:10" x14ac:dyDescent="0.35">
      <c r="A47">
        <v>43</v>
      </c>
      <c r="B47" s="158" t="s">
        <v>692</v>
      </c>
      <c r="C47" t="s">
        <v>677</v>
      </c>
      <c r="E47">
        <v>16465.48</v>
      </c>
      <c r="F47">
        <v>0</v>
      </c>
      <c r="G47">
        <v>1</v>
      </c>
      <c r="H47">
        <f t="shared" si="2"/>
        <v>16465.48</v>
      </c>
      <c r="I47">
        <v>0</v>
      </c>
      <c r="J47" t="s">
        <v>679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257E-5D86-4D74-99BD-CF68F50B4A1F}">
  <sheetPr>
    <tabColor theme="0" tint="-0.249977111117893"/>
    <pageSetUpPr fitToPage="1"/>
  </sheetPr>
  <dimension ref="A1:H63"/>
  <sheetViews>
    <sheetView showGridLines="0" topLeftCell="A36" zoomScaleNormal="100" workbookViewId="0">
      <selection activeCell="F66" sqref="F66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style="129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6" s="22" customFormat="1" ht="20.149999999999999" customHeight="1" x14ac:dyDescent="0.35">
      <c r="B1" s="3" t="s">
        <v>78</v>
      </c>
      <c r="C1" s="127"/>
      <c r="D1" s="4"/>
    </row>
    <row r="2" spans="1:6" ht="18" customHeight="1" x14ac:dyDescent="0.35">
      <c r="B2" s="3" t="str">
        <f>+BG!B2</f>
        <v>Balance General al 31 de agosto 2025</v>
      </c>
      <c r="C2" s="127"/>
      <c r="D2" s="4"/>
    </row>
    <row r="3" spans="1:6" ht="18" customHeight="1" x14ac:dyDescent="0.35">
      <c r="B3" s="3" t="s">
        <v>79</v>
      </c>
      <c r="C3" s="127"/>
      <c r="D3" s="4"/>
    </row>
    <row r="4" spans="1:6" ht="15" customHeight="1" x14ac:dyDescent="0.35">
      <c r="B4" s="3"/>
      <c r="C4" s="127"/>
      <c r="D4" s="4"/>
    </row>
    <row r="5" spans="1:6" ht="10" customHeight="1" x14ac:dyDescent="0.35">
      <c r="B5" s="3"/>
      <c r="C5" s="127"/>
      <c r="D5" s="4"/>
    </row>
    <row r="6" spans="1:6" ht="13" customHeight="1" x14ac:dyDescent="0.35">
      <c r="A6" s="40" t="s">
        <v>96</v>
      </c>
      <c r="B6" s="10"/>
      <c r="C6" s="128"/>
      <c r="D6" s="80"/>
    </row>
    <row r="7" spans="1:6" s="10" customFormat="1" ht="13" customHeight="1" x14ac:dyDescent="0.25">
      <c r="A7" s="40" t="s">
        <v>97</v>
      </c>
      <c r="C7" s="128"/>
      <c r="D7" s="80"/>
    </row>
    <row r="8" spans="1:6" s="10" customFormat="1" ht="13" customHeight="1" x14ac:dyDescent="0.2">
      <c r="A8" s="21" t="s">
        <v>98</v>
      </c>
      <c r="C8" s="121">
        <f>+BG!C7</f>
        <v>1792045.13</v>
      </c>
      <c r="D8" s="79"/>
    </row>
    <row r="9" spans="1:6" s="10" customFormat="1" ht="13" customHeight="1" x14ac:dyDescent="0.2">
      <c r="A9" s="21" t="s">
        <v>167</v>
      </c>
      <c r="C9" s="121">
        <f>+BG!C8</f>
        <v>5297.72</v>
      </c>
      <c r="D9" s="79"/>
    </row>
    <row r="10" spans="1:6" s="10" customFormat="1" ht="13" customHeight="1" x14ac:dyDescent="0.2">
      <c r="A10" s="21" t="s">
        <v>133</v>
      </c>
      <c r="C10" s="121">
        <f>+BG!C9</f>
        <v>10405195.17</v>
      </c>
      <c r="D10" s="79"/>
    </row>
    <row r="11" spans="1:6" s="10" customFormat="1" ht="13" customHeight="1" x14ac:dyDescent="0.2">
      <c r="A11" s="21" t="s">
        <v>134</v>
      </c>
      <c r="C11" s="121">
        <f>+BG!C10</f>
        <v>2581201.4900000002</v>
      </c>
      <c r="D11" s="77"/>
    </row>
    <row r="12" spans="1:6" s="10" customFormat="1" ht="13" customHeight="1" x14ac:dyDescent="0.2">
      <c r="A12" s="21" t="s">
        <v>135</v>
      </c>
      <c r="C12" s="121">
        <f>+BG!C11</f>
        <v>1498535.47</v>
      </c>
      <c r="D12" s="77"/>
    </row>
    <row r="13" spans="1:6" s="10" customFormat="1" ht="13" customHeight="1" x14ac:dyDescent="0.2">
      <c r="A13" s="21" t="s">
        <v>99</v>
      </c>
      <c r="C13" s="121">
        <f>+BG!C12</f>
        <v>1459812.9</v>
      </c>
      <c r="D13" s="77"/>
    </row>
    <row r="14" spans="1:6" s="10" customFormat="1" ht="13" customHeight="1" x14ac:dyDescent="0.25">
      <c r="A14" s="40" t="s">
        <v>100</v>
      </c>
      <c r="C14" s="123"/>
      <c r="D14" s="78">
        <f>SUM(C8:C13)</f>
        <v>17742087.879999999</v>
      </c>
      <c r="F14" s="73"/>
    </row>
    <row r="15" spans="1:6" s="10" customFormat="1" ht="13" customHeight="1" x14ac:dyDescent="0.25">
      <c r="A15" s="40" t="s">
        <v>7</v>
      </c>
      <c r="C15" s="124"/>
      <c r="D15" s="77"/>
    </row>
    <row r="16" spans="1:6" s="10" customFormat="1" ht="13" customHeight="1" x14ac:dyDescent="0.2">
      <c r="A16" s="21" t="s">
        <v>168</v>
      </c>
      <c r="C16" s="121">
        <f>+BG!C15</f>
        <v>0</v>
      </c>
      <c r="D16" s="77"/>
    </row>
    <row r="17" spans="1:8" s="10" customFormat="1" ht="13" customHeight="1" x14ac:dyDescent="0.2">
      <c r="A17" s="21" t="s">
        <v>101</v>
      </c>
      <c r="C17" s="121">
        <f>+BG!C16</f>
        <v>0</v>
      </c>
      <c r="D17" s="77"/>
    </row>
    <row r="18" spans="1:8" s="10" customFormat="1" ht="13" customHeight="1" x14ac:dyDescent="0.2">
      <c r="A18" s="21" t="s">
        <v>117</v>
      </c>
      <c r="C18" s="121">
        <f>+BG!C17</f>
        <v>1323862.3999999999</v>
      </c>
      <c r="D18" s="79"/>
    </row>
    <row r="19" spans="1:8" s="10" customFormat="1" ht="13" customHeight="1" x14ac:dyDescent="0.25">
      <c r="A19" s="40" t="s">
        <v>102</v>
      </c>
      <c r="C19" s="123"/>
      <c r="D19" s="78">
        <f>SUM(C16:C18)</f>
        <v>1323862.3999999999</v>
      </c>
    </row>
    <row r="20" spans="1:8" s="10" customFormat="1" ht="13" customHeight="1" x14ac:dyDescent="0.25">
      <c r="A20" s="40" t="s">
        <v>103</v>
      </c>
      <c r="C20" s="124"/>
      <c r="D20" s="77"/>
    </row>
    <row r="21" spans="1:8" s="10" customFormat="1" ht="13" customHeight="1" x14ac:dyDescent="0.2">
      <c r="A21" s="10" t="s">
        <v>136</v>
      </c>
      <c r="C21" s="121">
        <f>+BG!C20</f>
        <v>33948.519999999997</v>
      </c>
      <c r="D21" s="79"/>
    </row>
    <row r="22" spans="1:8" s="10" customFormat="1" ht="13" customHeight="1" x14ac:dyDescent="0.25">
      <c r="A22" s="16" t="s">
        <v>104</v>
      </c>
      <c r="C22" s="123"/>
      <c r="D22" s="82">
        <f>SUM(C21)</f>
        <v>33948.519999999997</v>
      </c>
    </row>
    <row r="23" spans="1:8" s="10" customFormat="1" ht="13" customHeight="1" thickBot="1" x14ac:dyDescent="0.3">
      <c r="A23" s="30" t="s">
        <v>106</v>
      </c>
      <c r="C23" s="124"/>
      <c r="D23" s="84">
        <f>SUM(D14:D22)</f>
        <v>19099898.799999997</v>
      </c>
      <c r="F23" s="73"/>
      <c r="G23" s="20"/>
      <c r="H23" s="20"/>
    </row>
    <row r="24" spans="1:8" s="10" customFormat="1" ht="13" customHeight="1" thickTop="1" x14ac:dyDescent="0.2">
      <c r="A24" s="9" t="s">
        <v>105</v>
      </c>
      <c r="C24" s="124"/>
      <c r="D24" s="77"/>
      <c r="F24" s="20"/>
      <c r="G24" s="104"/>
      <c r="H24" s="107"/>
    </row>
    <row r="25" spans="1:8" s="10" customFormat="1" ht="13" customHeight="1" x14ac:dyDescent="0.25">
      <c r="A25" s="40" t="s">
        <v>132</v>
      </c>
      <c r="C25" s="124"/>
      <c r="D25" s="77"/>
      <c r="F25" s="105"/>
    </row>
    <row r="26" spans="1:8" s="10" customFormat="1" ht="13" customHeight="1" x14ac:dyDescent="0.25">
      <c r="A26" s="30" t="s">
        <v>107</v>
      </c>
      <c r="C26" s="124"/>
      <c r="D26" s="77"/>
    </row>
    <row r="27" spans="1:8" s="10" customFormat="1" ht="13" customHeight="1" x14ac:dyDescent="0.2">
      <c r="A27" s="9" t="s">
        <v>108</v>
      </c>
      <c r="C27" s="121">
        <f>+BG!C26</f>
        <v>352242.31</v>
      </c>
      <c r="D27" s="77"/>
    </row>
    <row r="28" spans="1:8" s="10" customFormat="1" ht="13" customHeight="1" x14ac:dyDescent="0.2">
      <c r="A28" s="21" t="s">
        <v>109</v>
      </c>
      <c r="C28" s="121">
        <f>+BG!C27</f>
        <v>0</v>
      </c>
      <c r="D28" s="77"/>
    </row>
    <row r="29" spans="1:8" s="10" customFormat="1" ht="13" customHeight="1" x14ac:dyDescent="0.2">
      <c r="A29" s="21" t="s">
        <v>110</v>
      </c>
      <c r="C29" s="121">
        <f>+BG!C28</f>
        <v>1053473.3600000001</v>
      </c>
      <c r="D29" s="77"/>
    </row>
    <row r="30" spans="1:8" s="10" customFormat="1" ht="13" customHeight="1" x14ac:dyDescent="0.2">
      <c r="A30" s="21" t="s">
        <v>111</v>
      </c>
      <c r="C30" s="121">
        <f>+BG!C29</f>
        <v>272086.28000000003</v>
      </c>
      <c r="D30" s="77"/>
    </row>
    <row r="31" spans="1:8" s="10" customFormat="1" ht="13" customHeight="1" x14ac:dyDescent="0.2">
      <c r="A31" s="10" t="s">
        <v>112</v>
      </c>
      <c r="C31" s="121">
        <f>+BG!C30</f>
        <v>0</v>
      </c>
      <c r="D31" s="79"/>
    </row>
    <row r="32" spans="1:8" s="10" customFormat="1" ht="13" customHeight="1" x14ac:dyDescent="0.25">
      <c r="A32" s="16" t="s">
        <v>113</v>
      </c>
      <c r="C32" s="123"/>
      <c r="D32" s="85">
        <f>SUM(C27:C31)</f>
        <v>1677801.9500000002</v>
      </c>
    </row>
    <row r="33" spans="1:7" s="10" customFormat="1" ht="13" customHeight="1" x14ac:dyDescent="0.25">
      <c r="A33" s="16" t="s">
        <v>114</v>
      </c>
      <c r="C33" s="126"/>
      <c r="D33" s="79"/>
    </row>
    <row r="34" spans="1:7" s="10" customFormat="1" ht="13" customHeight="1" x14ac:dyDescent="0.2">
      <c r="A34" s="10" t="s">
        <v>115</v>
      </c>
      <c r="C34" s="121">
        <f>+BG!C33</f>
        <v>966420.84</v>
      </c>
      <c r="D34" s="79"/>
    </row>
    <row r="35" spans="1:7" s="10" customFormat="1" ht="13" customHeight="1" x14ac:dyDescent="0.2">
      <c r="A35" s="9" t="s">
        <v>116</v>
      </c>
      <c r="C35" s="121">
        <f>+BG!C34</f>
        <v>102356.19</v>
      </c>
      <c r="D35" s="79"/>
    </row>
    <row r="36" spans="1:7" s="10" customFormat="1" ht="13" customHeight="1" x14ac:dyDescent="0.2">
      <c r="A36" s="10" t="s">
        <v>117</v>
      </c>
      <c r="C36" s="121">
        <f>+BG!C35</f>
        <v>3073.59</v>
      </c>
      <c r="D36" s="79"/>
    </row>
    <row r="37" spans="1:7" s="10" customFormat="1" ht="13" customHeight="1" x14ac:dyDescent="0.25">
      <c r="A37" s="16" t="s">
        <v>118</v>
      </c>
      <c r="C37" s="123"/>
      <c r="D37" s="85">
        <f>SUM(C34:C36)</f>
        <v>1071850.6200000001</v>
      </c>
    </row>
    <row r="38" spans="1:7" s="10" customFormat="1" ht="13" customHeight="1" x14ac:dyDescent="0.25">
      <c r="A38" s="16" t="s">
        <v>119</v>
      </c>
      <c r="C38" s="124"/>
      <c r="D38" s="79"/>
    </row>
    <row r="39" spans="1:7" s="10" customFormat="1" ht="13" customHeight="1" x14ac:dyDescent="0.2">
      <c r="A39" s="10" t="s">
        <v>120</v>
      </c>
      <c r="C39" s="121">
        <f>+BG!C38</f>
        <v>22830.14</v>
      </c>
      <c r="D39" s="79"/>
    </row>
    <row r="40" spans="1:7" s="10" customFormat="1" ht="13" customHeight="1" x14ac:dyDescent="0.2">
      <c r="A40" s="10" t="s">
        <v>121</v>
      </c>
      <c r="C40" s="121">
        <f>+BG!C39</f>
        <v>1789905.56</v>
      </c>
      <c r="D40" s="79"/>
    </row>
    <row r="41" spans="1:7" s="10" customFormat="1" ht="13" customHeight="1" x14ac:dyDescent="0.25">
      <c r="A41" s="16" t="s">
        <v>122</v>
      </c>
      <c r="C41" s="123"/>
      <c r="D41" s="81">
        <f>SUM(C40)</f>
        <v>1789905.56</v>
      </c>
    </row>
    <row r="42" spans="1:7" s="10" customFormat="1" ht="13" customHeight="1" x14ac:dyDescent="0.25">
      <c r="A42" s="16" t="s">
        <v>50</v>
      </c>
      <c r="C42" s="124"/>
      <c r="D42" s="79"/>
    </row>
    <row r="43" spans="1:7" s="10" customFormat="1" ht="13" customHeight="1" x14ac:dyDescent="0.2">
      <c r="A43" s="10" t="s">
        <v>123</v>
      </c>
      <c r="C43" s="121">
        <f>+BG!C42</f>
        <v>3551794.49</v>
      </c>
    </row>
    <row r="44" spans="1:7" s="10" customFormat="1" ht="13" customHeight="1" x14ac:dyDescent="0.2">
      <c r="A44" s="10" t="s">
        <v>124</v>
      </c>
      <c r="C44" s="121">
        <f>+BG!C43</f>
        <v>532295.22</v>
      </c>
    </row>
    <row r="45" spans="1:7" s="10" customFormat="1" ht="13" customHeight="1" x14ac:dyDescent="0.25">
      <c r="A45" s="16" t="s">
        <v>125</v>
      </c>
      <c r="C45" s="123"/>
      <c r="D45" s="83">
        <f>SUM(C43:C44)</f>
        <v>4084089.71</v>
      </c>
    </row>
    <row r="46" spans="1:7" s="10" customFormat="1" ht="13" customHeight="1" x14ac:dyDescent="0.25">
      <c r="A46" s="16" t="s">
        <v>126</v>
      </c>
      <c r="C46" s="124"/>
      <c r="D46" s="83">
        <f>SUM(D32:D45)</f>
        <v>8623647.8399999999</v>
      </c>
    </row>
    <row r="47" spans="1:7" s="10" customFormat="1" ht="13" customHeight="1" x14ac:dyDescent="0.2">
      <c r="A47" s="10" t="s">
        <v>105</v>
      </c>
      <c r="C47" s="124"/>
      <c r="D47" s="77"/>
      <c r="G47" s="73"/>
    </row>
    <row r="48" spans="1:7" s="10" customFormat="1" ht="13" customHeight="1" x14ac:dyDescent="0.25">
      <c r="A48" s="16" t="s">
        <v>127</v>
      </c>
      <c r="C48" s="124"/>
      <c r="D48" s="77"/>
    </row>
    <row r="49" spans="1:7" s="10" customFormat="1" ht="13" customHeight="1" x14ac:dyDescent="0.2">
      <c r="A49" s="10" t="s">
        <v>128</v>
      </c>
      <c r="C49" s="121">
        <f>+BG!C48</f>
        <v>11015000</v>
      </c>
      <c r="D49" s="79"/>
      <c r="F49" s="73"/>
      <c r="G49" s="73"/>
    </row>
    <row r="50" spans="1:7" s="10" customFormat="1" ht="13" customHeight="1" x14ac:dyDescent="0.2">
      <c r="A50" s="10" t="s">
        <v>173</v>
      </c>
      <c r="C50" s="121">
        <f>+BG!C49</f>
        <v>740572.54</v>
      </c>
      <c r="D50" s="79"/>
      <c r="F50" s="20"/>
      <c r="G50" s="73"/>
    </row>
    <row r="51" spans="1:7" s="10" customFormat="1" ht="13" customHeight="1" x14ac:dyDescent="0.2">
      <c r="A51" s="10" t="s">
        <v>172</v>
      </c>
      <c r="C51" s="121">
        <f>+BG!C50</f>
        <v>184527</v>
      </c>
      <c r="D51" s="79"/>
      <c r="F51" s="105"/>
    </row>
    <row r="52" spans="1:7" s="10" customFormat="1" ht="13" customHeight="1" x14ac:dyDescent="0.2">
      <c r="A52" s="10" t="s">
        <v>174</v>
      </c>
      <c r="C52" s="121">
        <f>+BG!C51</f>
        <v>-1250478.149999998</v>
      </c>
      <c r="D52" s="79"/>
      <c r="G52" s="73"/>
    </row>
    <row r="53" spans="1:7" s="10" customFormat="1" ht="13" customHeight="1" x14ac:dyDescent="0.2">
      <c r="A53" s="10" t="s">
        <v>175</v>
      </c>
      <c r="C53" s="121">
        <f>+BG!C52</f>
        <v>-236200.57</v>
      </c>
      <c r="D53" s="79"/>
      <c r="G53" s="73"/>
    </row>
    <row r="54" spans="1:7" s="10" customFormat="1" ht="13" customHeight="1" x14ac:dyDescent="0.25">
      <c r="A54" s="16" t="s">
        <v>129</v>
      </c>
      <c r="C54" s="123"/>
      <c r="D54" s="83">
        <f>SUM(C49:C53)</f>
        <v>10453420.82</v>
      </c>
      <c r="G54" s="106"/>
    </row>
    <row r="55" spans="1:7" s="10" customFormat="1" ht="13" customHeight="1" x14ac:dyDescent="0.2">
      <c r="C55" s="124"/>
      <c r="D55" s="77"/>
    </row>
    <row r="56" spans="1:7" s="10" customFormat="1" ht="13" customHeight="1" thickBot="1" x14ac:dyDescent="0.3">
      <c r="A56" s="16" t="s">
        <v>130</v>
      </c>
      <c r="C56" s="124"/>
      <c r="D56" s="84">
        <f>SUM(D46:D54)</f>
        <v>19077068.66</v>
      </c>
    </row>
    <row r="57" spans="1:7" s="10" customFormat="1" ht="13" customHeight="1" thickTop="1" x14ac:dyDescent="0.2">
      <c r="C57" s="128"/>
    </row>
    <row r="58" spans="1:7" s="10" customFormat="1" ht="13" customHeight="1" x14ac:dyDescent="0.2">
      <c r="C58" s="128"/>
    </row>
    <row r="59" spans="1:7" s="10" customFormat="1" ht="13" customHeight="1" x14ac:dyDescent="0.2">
      <c r="C59" s="128"/>
    </row>
    <row r="60" spans="1:7" s="10" customFormat="1" ht="13" customHeight="1" x14ac:dyDescent="0.2">
      <c r="C60" s="128"/>
    </row>
    <row r="61" spans="1:7" s="10" customFormat="1" ht="13" customHeight="1" x14ac:dyDescent="0.2">
      <c r="C61" s="128"/>
    </row>
    <row r="62" spans="1:7" s="10" customFormat="1" ht="13" customHeight="1" x14ac:dyDescent="0.2">
      <c r="A62" s="18" t="s">
        <v>223</v>
      </c>
      <c r="C62" s="128"/>
      <c r="D62" s="18" t="s">
        <v>221</v>
      </c>
    </row>
    <row r="63" spans="1:7" s="10" customFormat="1" ht="13" customHeight="1" x14ac:dyDescent="0.2">
      <c r="A63" s="19" t="s">
        <v>224</v>
      </c>
      <c r="C63" s="128"/>
      <c r="D63" s="19" t="s">
        <v>146</v>
      </c>
    </row>
  </sheetData>
  <printOptions horizontalCentered="1"/>
  <pageMargins left="0.51181102362204722" right="0.51181102362204722" top="0.47244094488188981" bottom="0.35433070866141736" header="0.31496062992125984" footer="0.31496062992125984"/>
  <pageSetup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3ABA-751C-4980-8557-1C1369407FBE}">
  <sheetPr>
    <tabColor theme="0" tint="-0.249977111117893"/>
  </sheetPr>
  <dimension ref="A2:N50"/>
  <sheetViews>
    <sheetView showGridLines="0" zoomScaleNormal="100" workbookViewId="0">
      <selection activeCell="F66" sqref="F66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14.81640625" customWidth="1"/>
    <col min="6" max="6" width="21.54296875" customWidth="1"/>
    <col min="7" max="7" width="16.1796875" customWidth="1"/>
    <col min="8" max="8" width="14.1796875" customWidth="1"/>
    <col min="9" max="9" width="10.1796875" bestFit="1" customWidth="1"/>
    <col min="10" max="11" width="13.26953125" customWidth="1"/>
    <col min="12" max="13" width="9.1796875" customWidth="1"/>
    <col min="14" max="14" width="11.1796875" bestFit="1" customWidth="1"/>
    <col min="255" max="255" width="15.54296875" customWidth="1"/>
    <col min="256" max="256" width="44" customWidth="1"/>
    <col min="257" max="257" width="12.7265625" customWidth="1"/>
    <col min="258" max="258" width="7.81640625" customWidth="1"/>
    <col min="259" max="259" width="15.54296875" customWidth="1"/>
    <col min="260" max="260" width="44" customWidth="1"/>
    <col min="261" max="262" width="12.7265625" customWidth="1"/>
    <col min="266" max="267" width="13.26953125" customWidth="1"/>
    <col min="511" max="511" width="15.54296875" customWidth="1"/>
    <col min="512" max="512" width="44" customWidth="1"/>
    <col min="513" max="513" width="12.7265625" customWidth="1"/>
    <col min="514" max="514" width="7.81640625" customWidth="1"/>
    <col min="515" max="515" width="15.54296875" customWidth="1"/>
    <col min="516" max="516" width="44" customWidth="1"/>
    <col min="517" max="518" width="12.7265625" customWidth="1"/>
    <col min="522" max="523" width="13.26953125" customWidth="1"/>
    <col min="767" max="767" width="15.54296875" customWidth="1"/>
    <col min="768" max="768" width="44" customWidth="1"/>
    <col min="769" max="769" width="12.7265625" customWidth="1"/>
    <col min="770" max="770" width="7.81640625" customWidth="1"/>
    <col min="771" max="771" width="15.54296875" customWidth="1"/>
    <col min="772" max="772" width="44" customWidth="1"/>
    <col min="773" max="774" width="12.7265625" customWidth="1"/>
    <col min="778" max="779" width="13.26953125" customWidth="1"/>
    <col min="1023" max="1023" width="15.54296875" customWidth="1"/>
    <col min="1024" max="1024" width="44" customWidth="1"/>
    <col min="1025" max="1025" width="12.7265625" customWidth="1"/>
    <col min="1026" max="1026" width="7.81640625" customWidth="1"/>
    <col min="1027" max="1027" width="15.54296875" customWidth="1"/>
    <col min="1028" max="1028" width="44" customWidth="1"/>
    <col min="1029" max="1030" width="12.7265625" customWidth="1"/>
    <col min="1034" max="1035" width="13.26953125" customWidth="1"/>
    <col min="1279" max="1279" width="15.54296875" customWidth="1"/>
    <col min="1280" max="1280" width="44" customWidth="1"/>
    <col min="1281" max="1281" width="12.7265625" customWidth="1"/>
    <col min="1282" max="1282" width="7.81640625" customWidth="1"/>
    <col min="1283" max="1283" width="15.54296875" customWidth="1"/>
    <col min="1284" max="1284" width="44" customWidth="1"/>
    <col min="1285" max="1286" width="12.7265625" customWidth="1"/>
    <col min="1290" max="1291" width="13.26953125" customWidth="1"/>
    <col min="1535" max="1535" width="15.54296875" customWidth="1"/>
    <col min="1536" max="1536" width="44" customWidth="1"/>
    <col min="1537" max="1537" width="12.7265625" customWidth="1"/>
    <col min="1538" max="1538" width="7.81640625" customWidth="1"/>
    <col min="1539" max="1539" width="15.54296875" customWidth="1"/>
    <col min="1540" max="1540" width="44" customWidth="1"/>
    <col min="1541" max="1542" width="12.7265625" customWidth="1"/>
    <col min="1546" max="1547" width="13.26953125" customWidth="1"/>
    <col min="1791" max="1791" width="15.54296875" customWidth="1"/>
    <col min="1792" max="1792" width="44" customWidth="1"/>
    <col min="1793" max="1793" width="12.7265625" customWidth="1"/>
    <col min="1794" max="1794" width="7.81640625" customWidth="1"/>
    <col min="1795" max="1795" width="15.54296875" customWidth="1"/>
    <col min="1796" max="1796" width="44" customWidth="1"/>
    <col min="1797" max="1798" width="12.7265625" customWidth="1"/>
    <col min="1802" max="1803" width="13.26953125" customWidth="1"/>
    <col min="2047" max="2047" width="15.54296875" customWidth="1"/>
    <col min="2048" max="2048" width="44" customWidth="1"/>
    <col min="2049" max="2049" width="12.7265625" customWidth="1"/>
    <col min="2050" max="2050" width="7.81640625" customWidth="1"/>
    <col min="2051" max="2051" width="15.54296875" customWidth="1"/>
    <col min="2052" max="2052" width="44" customWidth="1"/>
    <col min="2053" max="2054" width="12.7265625" customWidth="1"/>
    <col min="2058" max="2059" width="13.26953125" customWidth="1"/>
    <col min="2303" max="2303" width="15.54296875" customWidth="1"/>
    <col min="2304" max="2304" width="44" customWidth="1"/>
    <col min="2305" max="2305" width="12.7265625" customWidth="1"/>
    <col min="2306" max="2306" width="7.81640625" customWidth="1"/>
    <col min="2307" max="2307" width="15.54296875" customWidth="1"/>
    <col min="2308" max="2308" width="44" customWidth="1"/>
    <col min="2309" max="2310" width="12.7265625" customWidth="1"/>
    <col min="2314" max="2315" width="13.26953125" customWidth="1"/>
    <col min="2559" max="2559" width="15.54296875" customWidth="1"/>
    <col min="2560" max="2560" width="44" customWidth="1"/>
    <col min="2561" max="2561" width="12.7265625" customWidth="1"/>
    <col min="2562" max="2562" width="7.81640625" customWidth="1"/>
    <col min="2563" max="2563" width="15.54296875" customWidth="1"/>
    <col min="2564" max="2564" width="44" customWidth="1"/>
    <col min="2565" max="2566" width="12.7265625" customWidth="1"/>
    <col min="2570" max="2571" width="13.26953125" customWidth="1"/>
    <col min="2815" max="2815" width="15.54296875" customWidth="1"/>
    <col min="2816" max="2816" width="44" customWidth="1"/>
    <col min="2817" max="2817" width="12.7265625" customWidth="1"/>
    <col min="2818" max="2818" width="7.81640625" customWidth="1"/>
    <col min="2819" max="2819" width="15.54296875" customWidth="1"/>
    <col min="2820" max="2820" width="44" customWidth="1"/>
    <col min="2821" max="2822" width="12.7265625" customWidth="1"/>
    <col min="2826" max="2827" width="13.26953125" customWidth="1"/>
    <col min="3071" max="3071" width="15.54296875" customWidth="1"/>
    <col min="3072" max="3072" width="44" customWidth="1"/>
    <col min="3073" max="3073" width="12.7265625" customWidth="1"/>
    <col min="3074" max="3074" width="7.81640625" customWidth="1"/>
    <col min="3075" max="3075" width="15.54296875" customWidth="1"/>
    <col min="3076" max="3076" width="44" customWidth="1"/>
    <col min="3077" max="3078" width="12.7265625" customWidth="1"/>
    <col min="3082" max="3083" width="13.26953125" customWidth="1"/>
    <col min="3327" max="3327" width="15.54296875" customWidth="1"/>
    <col min="3328" max="3328" width="44" customWidth="1"/>
    <col min="3329" max="3329" width="12.7265625" customWidth="1"/>
    <col min="3330" max="3330" width="7.81640625" customWidth="1"/>
    <col min="3331" max="3331" width="15.54296875" customWidth="1"/>
    <col min="3332" max="3332" width="44" customWidth="1"/>
    <col min="3333" max="3334" width="12.7265625" customWidth="1"/>
    <col min="3338" max="3339" width="13.26953125" customWidth="1"/>
    <col min="3583" max="3583" width="15.54296875" customWidth="1"/>
    <col min="3584" max="3584" width="44" customWidth="1"/>
    <col min="3585" max="3585" width="12.7265625" customWidth="1"/>
    <col min="3586" max="3586" width="7.81640625" customWidth="1"/>
    <col min="3587" max="3587" width="15.54296875" customWidth="1"/>
    <col min="3588" max="3588" width="44" customWidth="1"/>
    <col min="3589" max="3590" width="12.7265625" customWidth="1"/>
    <col min="3594" max="3595" width="13.26953125" customWidth="1"/>
    <col min="3839" max="3839" width="15.54296875" customWidth="1"/>
    <col min="3840" max="3840" width="44" customWidth="1"/>
    <col min="3841" max="3841" width="12.7265625" customWidth="1"/>
    <col min="3842" max="3842" width="7.81640625" customWidth="1"/>
    <col min="3843" max="3843" width="15.54296875" customWidth="1"/>
    <col min="3844" max="3844" width="44" customWidth="1"/>
    <col min="3845" max="3846" width="12.7265625" customWidth="1"/>
    <col min="3850" max="3851" width="13.26953125" customWidth="1"/>
    <col min="4095" max="4095" width="15.54296875" customWidth="1"/>
    <col min="4096" max="4096" width="44" customWidth="1"/>
    <col min="4097" max="4097" width="12.7265625" customWidth="1"/>
    <col min="4098" max="4098" width="7.81640625" customWidth="1"/>
    <col min="4099" max="4099" width="15.54296875" customWidth="1"/>
    <col min="4100" max="4100" width="44" customWidth="1"/>
    <col min="4101" max="4102" width="12.7265625" customWidth="1"/>
    <col min="4106" max="4107" width="13.26953125" customWidth="1"/>
    <col min="4351" max="4351" width="15.54296875" customWidth="1"/>
    <col min="4352" max="4352" width="44" customWidth="1"/>
    <col min="4353" max="4353" width="12.7265625" customWidth="1"/>
    <col min="4354" max="4354" width="7.81640625" customWidth="1"/>
    <col min="4355" max="4355" width="15.54296875" customWidth="1"/>
    <col min="4356" max="4356" width="44" customWidth="1"/>
    <col min="4357" max="4358" width="12.7265625" customWidth="1"/>
    <col min="4362" max="4363" width="13.26953125" customWidth="1"/>
    <col min="4607" max="4607" width="15.54296875" customWidth="1"/>
    <col min="4608" max="4608" width="44" customWidth="1"/>
    <col min="4609" max="4609" width="12.7265625" customWidth="1"/>
    <col min="4610" max="4610" width="7.81640625" customWidth="1"/>
    <col min="4611" max="4611" width="15.54296875" customWidth="1"/>
    <col min="4612" max="4612" width="44" customWidth="1"/>
    <col min="4613" max="4614" width="12.7265625" customWidth="1"/>
    <col min="4618" max="4619" width="13.26953125" customWidth="1"/>
    <col min="4863" max="4863" width="15.54296875" customWidth="1"/>
    <col min="4864" max="4864" width="44" customWidth="1"/>
    <col min="4865" max="4865" width="12.7265625" customWidth="1"/>
    <col min="4866" max="4866" width="7.81640625" customWidth="1"/>
    <col min="4867" max="4867" width="15.54296875" customWidth="1"/>
    <col min="4868" max="4868" width="44" customWidth="1"/>
    <col min="4869" max="4870" width="12.7265625" customWidth="1"/>
    <col min="4874" max="4875" width="13.26953125" customWidth="1"/>
    <col min="5119" max="5119" width="15.54296875" customWidth="1"/>
    <col min="5120" max="5120" width="44" customWidth="1"/>
    <col min="5121" max="5121" width="12.7265625" customWidth="1"/>
    <col min="5122" max="5122" width="7.81640625" customWidth="1"/>
    <col min="5123" max="5123" width="15.54296875" customWidth="1"/>
    <col min="5124" max="5124" width="44" customWidth="1"/>
    <col min="5125" max="5126" width="12.7265625" customWidth="1"/>
    <col min="5130" max="5131" width="13.26953125" customWidth="1"/>
    <col min="5375" max="5375" width="15.54296875" customWidth="1"/>
    <col min="5376" max="5376" width="44" customWidth="1"/>
    <col min="5377" max="5377" width="12.7265625" customWidth="1"/>
    <col min="5378" max="5378" width="7.81640625" customWidth="1"/>
    <col min="5379" max="5379" width="15.54296875" customWidth="1"/>
    <col min="5380" max="5380" width="44" customWidth="1"/>
    <col min="5381" max="5382" width="12.7265625" customWidth="1"/>
    <col min="5386" max="5387" width="13.26953125" customWidth="1"/>
    <col min="5631" max="5631" width="15.54296875" customWidth="1"/>
    <col min="5632" max="5632" width="44" customWidth="1"/>
    <col min="5633" max="5633" width="12.7265625" customWidth="1"/>
    <col min="5634" max="5634" width="7.81640625" customWidth="1"/>
    <col min="5635" max="5635" width="15.54296875" customWidth="1"/>
    <col min="5636" max="5636" width="44" customWidth="1"/>
    <col min="5637" max="5638" width="12.7265625" customWidth="1"/>
    <col min="5642" max="5643" width="13.26953125" customWidth="1"/>
    <col min="5887" max="5887" width="15.54296875" customWidth="1"/>
    <col min="5888" max="5888" width="44" customWidth="1"/>
    <col min="5889" max="5889" width="12.7265625" customWidth="1"/>
    <col min="5890" max="5890" width="7.81640625" customWidth="1"/>
    <col min="5891" max="5891" width="15.54296875" customWidth="1"/>
    <col min="5892" max="5892" width="44" customWidth="1"/>
    <col min="5893" max="5894" width="12.7265625" customWidth="1"/>
    <col min="5898" max="5899" width="13.26953125" customWidth="1"/>
    <col min="6143" max="6143" width="15.54296875" customWidth="1"/>
    <col min="6144" max="6144" width="44" customWidth="1"/>
    <col min="6145" max="6145" width="12.7265625" customWidth="1"/>
    <col min="6146" max="6146" width="7.81640625" customWidth="1"/>
    <col min="6147" max="6147" width="15.54296875" customWidth="1"/>
    <col min="6148" max="6148" width="44" customWidth="1"/>
    <col min="6149" max="6150" width="12.7265625" customWidth="1"/>
    <col min="6154" max="6155" width="13.26953125" customWidth="1"/>
    <col min="6399" max="6399" width="15.54296875" customWidth="1"/>
    <col min="6400" max="6400" width="44" customWidth="1"/>
    <col min="6401" max="6401" width="12.7265625" customWidth="1"/>
    <col min="6402" max="6402" width="7.81640625" customWidth="1"/>
    <col min="6403" max="6403" width="15.54296875" customWidth="1"/>
    <col min="6404" max="6404" width="44" customWidth="1"/>
    <col min="6405" max="6406" width="12.7265625" customWidth="1"/>
    <col min="6410" max="6411" width="13.26953125" customWidth="1"/>
    <col min="6655" max="6655" width="15.54296875" customWidth="1"/>
    <col min="6656" max="6656" width="44" customWidth="1"/>
    <col min="6657" max="6657" width="12.7265625" customWidth="1"/>
    <col min="6658" max="6658" width="7.81640625" customWidth="1"/>
    <col min="6659" max="6659" width="15.54296875" customWidth="1"/>
    <col min="6660" max="6660" width="44" customWidth="1"/>
    <col min="6661" max="6662" width="12.7265625" customWidth="1"/>
    <col min="6666" max="6667" width="13.26953125" customWidth="1"/>
    <col min="6911" max="6911" width="15.54296875" customWidth="1"/>
    <col min="6912" max="6912" width="44" customWidth="1"/>
    <col min="6913" max="6913" width="12.7265625" customWidth="1"/>
    <col min="6914" max="6914" width="7.81640625" customWidth="1"/>
    <col min="6915" max="6915" width="15.54296875" customWidth="1"/>
    <col min="6916" max="6916" width="44" customWidth="1"/>
    <col min="6917" max="6918" width="12.7265625" customWidth="1"/>
    <col min="6922" max="6923" width="13.26953125" customWidth="1"/>
    <col min="7167" max="7167" width="15.54296875" customWidth="1"/>
    <col min="7168" max="7168" width="44" customWidth="1"/>
    <col min="7169" max="7169" width="12.7265625" customWidth="1"/>
    <col min="7170" max="7170" width="7.81640625" customWidth="1"/>
    <col min="7171" max="7171" width="15.54296875" customWidth="1"/>
    <col min="7172" max="7172" width="44" customWidth="1"/>
    <col min="7173" max="7174" width="12.7265625" customWidth="1"/>
    <col min="7178" max="7179" width="13.26953125" customWidth="1"/>
    <col min="7423" max="7423" width="15.54296875" customWidth="1"/>
    <col min="7424" max="7424" width="44" customWidth="1"/>
    <col min="7425" max="7425" width="12.7265625" customWidth="1"/>
    <col min="7426" max="7426" width="7.81640625" customWidth="1"/>
    <col min="7427" max="7427" width="15.54296875" customWidth="1"/>
    <col min="7428" max="7428" width="44" customWidth="1"/>
    <col min="7429" max="7430" width="12.7265625" customWidth="1"/>
    <col min="7434" max="7435" width="13.26953125" customWidth="1"/>
    <col min="7679" max="7679" width="15.54296875" customWidth="1"/>
    <col min="7680" max="7680" width="44" customWidth="1"/>
    <col min="7681" max="7681" width="12.7265625" customWidth="1"/>
    <col min="7682" max="7682" width="7.81640625" customWidth="1"/>
    <col min="7683" max="7683" width="15.54296875" customWidth="1"/>
    <col min="7684" max="7684" width="44" customWidth="1"/>
    <col min="7685" max="7686" width="12.7265625" customWidth="1"/>
    <col min="7690" max="7691" width="13.26953125" customWidth="1"/>
    <col min="7935" max="7935" width="15.54296875" customWidth="1"/>
    <col min="7936" max="7936" width="44" customWidth="1"/>
    <col min="7937" max="7937" width="12.7265625" customWidth="1"/>
    <col min="7938" max="7938" width="7.81640625" customWidth="1"/>
    <col min="7939" max="7939" width="15.54296875" customWidth="1"/>
    <col min="7940" max="7940" width="44" customWidth="1"/>
    <col min="7941" max="7942" width="12.7265625" customWidth="1"/>
    <col min="7946" max="7947" width="13.26953125" customWidth="1"/>
    <col min="8191" max="8191" width="15.54296875" customWidth="1"/>
    <col min="8192" max="8192" width="44" customWidth="1"/>
    <col min="8193" max="8193" width="12.7265625" customWidth="1"/>
    <col min="8194" max="8194" width="7.81640625" customWidth="1"/>
    <col min="8195" max="8195" width="15.54296875" customWidth="1"/>
    <col min="8196" max="8196" width="44" customWidth="1"/>
    <col min="8197" max="8198" width="12.7265625" customWidth="1"/>
    <col min="8202" max="8203" width="13.26953125" customWidth="1"/>
    <col min="8447" max="8447" width="15.54296875" customWidth="1"/>
    <col min="8448" max="8448" width="44" customWidth="1"/>
    <col min="8449" max="8449" width="12.7265625" customWidth="1"/>
    <col min="8450" max="8450" width="7.81640625" customWidth="1"/>
    <col min="8451" max="8451" width="15.54296875" customWidth="1"/>
    <col min="8452" max="8452" width="44" customWidth="1"/>
    <col min="8453" max="8454" width="12.7265625" customWidth="1"/>
    <col min="8458" max="8459" width="13.26953125" customWidth="1"/>
    <col min="8703" max="8703" width="15.54296875" customWidth="1"/>
    <col min="8704" max="8704" width="44" customWidth="1"/>
    <col min="8705" max="8705" width="12.7265625" customWidth="1"/>
    <col min="8706" max="8706" width="7.81640625" customWidth="1"/>
    <col min="8707" max="8707" width="15.54296875" customWidth="1"/>
    <col min="8708" max="8708" width="44" customWidth="1"/>
    <col min="8709" max="8710" width="12.7265625" customWidth="1"/>
    <col min="8714" max="8715" width="13.26953125" customWidth="1"/>
    <col min="8959" max="8959" width="15.54296875" customWidth="1"/>
    <col min="8960" max="8960" width="44" customWidth="1"/>
    <col min="8961" max="8961" width="12.7265625" customWidth="1"/>
    <col min="8962" max="8962" width="7.81640625" customWidth="1"/>
    <col min="8963" max="8963" width="15.54296875" customWidth="1"/>
    <col min="8964" max="8964" width="44" customWidth="1"/>
    <col min="8965" max="8966" width="12.7265625" customWidth="1"/>
    <col min="8970" max="8971" width="13.26953125" customWidth="1"/>
    <col min="9215" max="9215" width="15.54296875" customWidth="1"/>
    <col min="9216" max="9216" width="44" customWidth="1"/>
    <col min="9217" max="9217" width="12.7265625" customWidth="1"/>
    <col min="9218" max="9218" width="7.81640625" customWidth="1"/>
    <col min="9219" max="9219" width="15.54296875" customWidth="1"/>
    <col min="9220" max="9220" width="44" customWidth="1"/>
    <col min="9221" max="9222" width="12.7265625" customWidth="1"/>
    <col min="9226" max="9227" width="13.26953125" customWidth="1"/>
    <col min="9471" max="9471" width="15.54296875" customWidth="1"/>
    <col min="9472" max="9472" width="44" customWidth="1"/>
    <col min="9473" max="9473" width="12.7265625" customWidth="1"/>
    <col min="9474" max="9474" width="7.81640625" customWidth="1"/>
    <col min="9475" max="9475" width="15.54296875" customWidth="1"/>
    <col min="9476" max="9476" width="44" customWidth="1"/>
    <col min="9477" max="9478" width="12.7265625" customWidth="1"/>
    <col min="9482" max="9483" width="13.26953125" customWidth="1"/>
    <col min="9727" max="9727" width="15.54296875" customWidth="1"/>
    <col min="9728" max="9728" width="44" customWidth="1"/>
    <col min="9729" max="9729" width="12.7265625" customWidth="1"/>
    <col min="9730" max="9730" width="7.81640625" customWidth="1"/>
    <col min="9731" max="9731" width="15.54296875" customWidth="1"/>
    <col min="9732" max="9732" width="44" customWidth="1"/>
    <col min="9733" max="9734" width="12.7265625" customWidth="1"/>
    <col min="9738" max="9739" width="13.26953125" customWidth="1"/>
    <col min="9983" max="9983" width="15.54296875" customWidth="1"/>
    <col min="9984" max="9984" width="44" customWidth="1"/>
    <col min="9985" max="9985" width="12.7265625" customWidth="1"/>
    <col min="9986" max="9986" width="7.81640625" customWidth="1"/>
    <col min="9987" max="9987" width="15.54296875" customWidth="1"/>
    <col min="9988" max="9988" width="44" customWidth="1"/>
    <col min="9989" max="9990" width="12.7265625" customWidth="1"/>
    <col min="9994" max="9995" width="13.26953125" customWidth="1"/>
    <col min="10239" max="10239" width="15.54296875" customWidth="1"/>
    <col min="10240" max="10240" width="44" customWidth="1"/>
    <col min="10241" max="10241" width="12.7265625" customWidth="1"/>
    <col min="10242" max="10242" width="7.81640625" customWidth="1"/>
    <col min="10243" max="10243" width="15.54296875" customWidth="1"/>
    <col min="10244" max="10244" width="44" customWidth="1"/>
    <col min="10245" max="10246" width="12.7265625" customWidth="1"/>
    <col min="10250" max="10251" width="13.26953125" customWidth="1"/>
    <col min="10495" max="10495" width="15.54296875" customWidth="1"/>
    <col min="10496" max="10496" width="44" customWidth="1"/>
    <col min="10497" max="10497" width="12.7265625" customWidth="1"/>
    <col min="10498" max="10498" width="7.81640625" customWidth="1"/>
    <col min="10499" max="10499" width="15.54296875" customWidth="1"/>
    <col min="10500" max="10500" width="44" customWidth="1"/>
    <col min="10501" max="10502" width="12.7265625" customWidth="1"/>
    <col min="10506" max="10507" width="13.26953125" customWidth="1"/>
    <col min="10751" max="10751" width="15.54296875" customWidth="1"/>
    <col min="10752" max="10752" width="44" customWidth="1"/>
    <col min="10753" max="10753" width="12.7265625" customWidth="1"/>
    <col min="10754" max="10754" width="7.81640625" customWidth="1"/>
    <col min="10755" max="10755" width="15.54296875" customWidth="1"/>
    <col min="10756" max="10756" width="44" customWidth="1"/>
    <col min="10757" max="10758" width="12.7265625" customWidth="1"/>
    <col min="10762" max="10763" width="13.26953125" customWidth="1"/>
    <col min="11007" max="11007" width="15.54296875" customWidth="1"/>
    <col min="11008" max="11008" width="44" customWidth="1"/>
    <col min="11009" max="11009" width="12.7265625" customWidth="1"/>
    <col min="11010" max="11010" width="7.81640625" customWidth="1"/>
    <col min="11011" max="11011" width="15.54296875" customWidth="1"/>
    <col min="11012" max="11012" width="44" customWidth="1"/>
    <col min="11013" max="11014" width="12.7265625" customWidth="1"/>
    <col min="11018" max="11019" width="13.26953125" customWidth="1"/>
    <col min="11263" max="11263" width="15.54296875" customWidth="1"/>
    <col min="11264" max="11264" width="44" customWidth="1"/>
    <col min="11265" max="11265" width="12.7265625" customWidth="1"/>
    <col min="11266" max="11266" width="7.81640625" customWidth="1"/>
    <col min="11267" max="11267" width="15.54296875" customWidth="1"/>
    <col min="11268" max="11268" width="44" customWidth="1"/>
    <col min="11269" max="11270" width="12.7265625" customWidth="1"/>
    <col min="11274" max="11275" width="13.26953125" customWidth="1"/>
    <col min="11519" max="11519" width="15.54296875" customWidth="1"/>
    <col min="11520" max="11520" width="44" customWidth="1"/>
    <col min="11521" max="11521" width="12.7265625" customWidth="1"/>
    <col min="11522" max="11522" width="7.81640625" customWidth="1"/>
    <col min="11523" max="11523" width="15.54296875" customWidth="1"/>
    <col min="11524" max="11524" width="44" customWidth="1"/>
    <col min="11525" max="11526" width="12.7265625" customWidth="1"/>
    <col min="11530" max="11531" width="13.26953125" customWidth="1"/>
    <col min="11775" max="11775" width="15.54296875" customWidth="1"/>
    <col min="11776" max="11776" width="44" customWidth="1"/>
    <col min="11777" max="11777" width="12.7265625" customWidth="1"/>
    <col min="11778" max="11778" width="7.81640625" customWidth="1"/>
    <col min="11779" max="11779" width="15.54296875" customWidth="1"/>
    <col min="11780" max="11780" width="44" customWidth="1"/>
    <col min="11781" max="11782" width="12.7265625" customWidth="1"/>
    <col min="11786" max="11787" width="13.26953125" customWidth="1"/>
    <col min="12031" max="12031" width="15.54296875" customWidth="1"/>
    <col min="12032" max="12032" width="44" customWidth="1"/>
    <col min="12033" max="12033" width="12.7265625" customWidth="1"/>
    <col min="12034" max="12034" width="7.81640625" customWidth="1"/>
    <col min="12035" max="12035" width="15.54296875" customWidth="1"/>
    <col min="12036" max="12036" width="44" customWidth="1"/>
    <col min="12037" max="12038" width="12.7265625" customWidth="1"/>
    <col min="12042" max="12043" width="13.26953125" customWidth="1"/>
    <col min="12287" max="12287" width="15.54296875" customWidth="1"/>
    <col min="12288" max="12288" width="44" customWidth="1"/>
    <col min="12289" max="12289" width="12.7265625" customWidth="1"/>
    <col min="12290" max="12290" width="7.81640625" customWidth="1"/>
    <col min="12291" max="12291" width="15.54296875" customWidth="1"/>
    <col min="12292" max="12292" width="44" customWidth="1"/>
    <col min="12293" max="12294" width="12.7265625" customWidth="1"/>
    <col min="12298" max="12299" width="13.26953125" customWidth="1"/>
    <col min="12543" max="12543" width="15.54296875" customWidth="1"/>
    <col min="12544" max="12544" width="44" customWidth="1"/>
    <col min="12545" max="12545" width="12.7265625" customWidth="1"/>
    <col min="12546" max="12546" width="7.81640625" customWidth="1"/>
    <col min="12547" max="12547" width="15.54296875" customWidth="1"/>
    <col min="12548" max="12548" width="44" customWidth="1"/>
    <col min="12549" max="12550" width="12.7265625" customWidth="1"/>
    <col min="12554" max="12555" width="13.26953125" customWidth="1"/>
    <col min="12799" max="12799" width="15.54296875" customWidth="1"/>
    <col min="12800" max="12800" width="44" customWidth="1"/>
    <col min="12801" max="12801" width="12.7265625" customWidth="1"/>
    <col min="12802" max="12802" width="7.81640625" customWidth="1"/>
    <col min="12803" max="12803" width="15.54296875" customWidth="1"/>
    <col min="12804" max="12804" width="44" customWidth="1"/>
    <col min="12805" max="12806" width="12.7265625" customWidth="1"/>
    <col min="12810" max="12811" width="13.26953125" customWidth="1"/>
    <col min="13055" max="13055" width="15.54296875" customWidth="1"/>
    <col min="13056" max="13056" width="44" customWidth="1"/>
    <col min="13057" max="13057" width="12.7265625" customWidth="1"/>
    <col min="13058" max="13058" width="7.81640625" customWidth="1"/>
    <col min="13059" max="13059" width="15.54296875" customWidth="1"/>
    <col min="13060" max="13060" width="44" customWidth="1"/>
    <col min="13061" max="13062" width="12.7265625" customWidth="1"/>
    <col min="13066" max="13067" width="13.26953125" customWidth="1"/>
    <col min="13311" max="13311" width="15.54296875" customWidth="1"/>
    <col min="13312" max="13312" width="44" customWidth="1"/>
    <col min="13313" max="13313" width="12.7265625" customWidth="1"/>
    <col min="13314" max="13314" width="7.81640625" customWidth="1"/>
    <col min="13315" max="13315" width="15.54296875" customWidth="1"/>
    <col min="13316" max="13316" width="44" customWidth="1"/>
    <col min="13317" max="13318" width="12.7265625" customWidth="1"/>
    <col min="13322" max="13323" width="13.26953125" customWidth="1"/>
    <col min="13567" max="13567" width="15.54296875" customWidth="1"/>
    <col min="13568" max="13568" width="44" customWidth="1"/>
    <col min="13569" max="13569" width="12.7265625" customWidth="1"/>
    <col min="13570" max="13570" width="7.81640625" customWidth="1"/>
    <col min="13571" max="13571" width="15.54296875" customWidth="1"/>
    <col min="13572" max="13572" width="44" customWidth="1"/>
    <col min="13573" max="13574" width="12.7265625" customWidth="1"/>
    <col min="13578" max="13579" width="13.26953125" customWidth="1"/>
    <col min="13823" max="13823" width="15.54296875" customWidth="1"/>
    <col min="13824" max="13824" width="44" customWidth="1"/>
    <col min="13825" max="13825" width="12.7265625" customWidth="1"/>
    <col min="13826" max="13826" width="7.81640625" customWidth="1"/>
    <col min="13827" max="13827" width="15.54296875" customWidth="1"/>
    <col min="13828" max="13828" width="44" customWidth="1"/>
    <col min="13829" max="13830" width="12.7265625" customWidth="1"/>
    <col min="13834" max="13835" width="13.26953125" customWidth="1"/>
    <col min="14079" max="14079" width="15.54296875" customWidth="1"/>
    <col min="14080" max="14080" width="44" customWidth="1"/>
    <col min="14081" max="14081" width="12.7265625" customWidth="1"/>
    <col min="14082" max="14082" width="7.81640625" customWidth="1"/>
    <col min="14083" max="14083" width="15.54296875" customWidth="1"/>
    <col min="14084" max="14084" width="44" customWidth="1"/>
    <col min="14085" max="14086" width="12.7265625" customWidth="1"/>
    <col min="14090" max="14091" width="13.26953125" customWidth="1"/>
    <col min="14335" max="14335" width="15.54296875" customWidth="1"/>
    <col min="14336" max="14336" width="44" customWidth="1"/>
    <col min="14337" max="14337" width="12.7265625" customWidth="1"/>
    <col min="14338" max="14338" width="7.81640625" customWidth="1"/>
    <col min="14339" max="14339" width="15.54296875" customWidth="1"/>
    <col min="14340" max="14340" width="44" customWidth="1"/>
    <col min="14341" max="14342" width="12.7265625" customWidth="1"/>
    <col min="14346" max="14347" width="13.26953125" customWidth="1"/>
    <col min="14591" max="14591" width="15.54296875" customWidth="1"/>
    <col min="14592" max="14592" width="44" customWidth="1"/>
    <col min="14593" max="14593" width="12.7265625" customWidth="1"/>
    <col min="14594" max="14594" width="7.81640625" customWidth="1"/>
    <col min="14595" max="14595" width="15.54296875" customWidth="1"/>
    <col min="14596" max="14596" width="44" customWidth="1"/>
    <col min="14597" max="14598" width="12.7265625" customWidth="1"/>
    <col min="14602" max="14603" width="13.26953125" customWidth="1"/>
    <col min="14847" max="14847" width="15.54296875" customWidth="1"/>
    <col min="14848" max="14848" width="44" customWidth="1"/>
    <col min="14849" max="14849" width="12.7265625" customWidth="1"/>
    <col min="14850" max="14850" width="7.81640625" customWidth="1"/>
    <col min="14851" max="14851" width="15.54296875" customWidth="1"/>
    <col min="14852" max="14852" width="44" customWidth="1"/>
    <col min="14853" max="14854" width="12.7265625" customWidth="1"/>
    <col min="14858" max="14859" width="13.26953125" customWidth="1"/>
    <col min="15103" max="15103" width="15.54296875" customWidth="1"/>
    <col min="15104" max="15104" width="44" customWidth="1"/>
    <col min="15105" max="15105" width="12.7265625" customWidth="1"/>
    <col min="15106" max="15106" width="7.81640625" customWidth="1"/>
    <col min="15107" max="15107" width="15.54296875" customWidth="1"/>
    <col min="15108" max="15108" width="44" customWidth="1"/>
    <col min="15109" max="15110" width="12.7265625" customWidth="1"/>
    <col min="15114" max="15115" width="13.26953125" customWidth="1"/>
    <col min="15359" max="15359" width="15.54296875" customWidth="1"/>
    <col min="15360" max="15360" width="44" customWidth="1"/>
    <col min="15361" max="15361" width="12.7265625" customWidth="1"/>
    <col min="15362" max="15362" width="7.81640625" customWidth="1"/>
    <col min="15363" max="15363" width="15.54296875" customWidth="1"/>
    <col min="15364" max="15364" width="44" customWidth="1"/>
    <col min="15365" max="15366" width="12.7265625" customWidth="1"/>
    <col min="15370" max="15371" width="13.26953125" customWidth="1"/>
    <col min="15615" max="15615" width="15.54296875" customWidth="1"/>
    <col min="15616" max="15616" width="44" customWidth="1"/>
    <col min="15617" max="15617" width="12.7265625" customWidth="1"/>
    <col min="15618" max="15618" width="7.81640625" customWidth="1"/>
    <col min="15619" max="15619" width="15.54296875" customWidth="1"/>
    <col min="15620" max="15620" width="44" customWidth="1"/>
    <col min="15621" max="15622" width="12.7265625" customWidth="1"/>
    <col min="15626" max="15627" width="13.26953125" customWidth="1"/>
    <col min="15871" max="15871" width="15.54296875" customWidth="1"/>
    <col min="15872" max="15872" width="44" customWidth="1"/>
    <col min="15873" max="15873" width="12.7265625" customWidth="1"/>
    <col min="15874" max="15874" width="7.81640625" customWidth="1"/>
    <col min="15875" max="15875" width="15.54296875" customWidth="1"/>
    <col min="15876" max="15876" width="44" customWidth="1"/>
    <col min="15877" max="15878" width="12.7265625" customWidth="1"/>
    <col min="15882" max="15883" width="13.26953125" customWidth="1"/>
    <col min="16127" max="16127" width="15.54296875" customWidth="1"/>
    <col min="16128" max="16128" width="44" customWidth="1"/>
    <col min="16129" max="16129" width="12.7265625" customWidth="1"/>
    <col min="16130" max="16130" width="7.81640625" customWidth="1"/>
    <col min="16131" max="16131" width="15.54296875" customWidth="1"/>
    <col min="16132" max="16132" width="44" customWidth="1"/>
    <col min="16133" max="16134" width="12.7265625" customWidth="1"/>
    <col min="16138" max="16139" width="13.26953125" customWidth="1"/>
  </cols>
  <sheetData>
    <row r="2" spans="1:4" ht="15" customHeight="1" x14ac:dyDescent="0.35">
      <c r="B2" s="37"/>
      <c r="C2" s="195" t="s">
        <v>78</v>
      </c>
      <c r="D2" s="195"/>
    </row>
    <row r="3" spans="1:4" ht="15" customHeight="1" x14ac:dyDescent="0.35">
      <c r="B3" s="5"/>
      <c r="C3" s="196" t="str">
        <f>+ER!D3</f>
        <v>Estado de Resultados del 1 de enero al 31 de agosto 2025</v>
      </c>
      <c r="D3" s="196"/>
    </row>
    <row r="4" spans="1:4" ht="15" customHeight="1" x14ac:dyDescent="0.35">
      <c r="B4" s="5"/>
      <c r="C4" s="196" t="s">
        <v>79</v>
      </c>
      <c r="D4" s="196"/>
    </row>
    <row r="5" spans="1:4" ht="14.15" customHeight="1" x14ac:dyDescent="0.35">
      <c r="B5" s="6"/>
      <c r="C5" s="6"/>
      <c r="D5" s="24"/>
    </row>
    <row r="6" spans="1:4" ht="14.15" customHeight="1" x14ac:dyDescent="0.35">
      <c r="B6" s="6"/>
      <c r="C6" s="6"/>
      <c r="D6" s="24"/>
    </row>
    <row r="7" spans="1:4" ht="14.15" customHeight="1" x14ac:dyDescent="0.35">
      <c r="B7" s="6"/>
      <c r="C7" s="6"/>
      <c r="D7" s="24"/>
    </row>
    <row r="8" spans="1:4" ht="14.15" customHeight="1" x14ac:dyDescent="0.35">
      <c r="B8" s="58" t="s">
        <v>159</v>
      </c>
      <c r="C8" s="16"/>
      <c r="D8" s="16"/>
    </row>
    <row r="9" spans="1:4" ht="14.15" customHeight="1" x14ac:dyDescent="0.35">
      <c r="B9" s="58"/>
      <c r="C9" s="38" t="s">
        <v>150</v>
      </c>
      <c r="D9" s="91">
        <f>+ER!E9</f>
        <v>4688351.8599999994</v>
      </c>
    </row>
    <row r="10" spans="1:4" ht="14.15" customHeight="1" x14ac:dyDescent="0.35">
      <c r="B10" s="58"/>
      <c r="C10" s="38" t="s">
        <v>151</v>
      </c>
      <c r="D10" s="91">
        <f>+ER!E10</f>
        <v>7906908.0700000003</v>
      </c>
    </row>
    <row r="11" spans="1:4" ht="14.15" customHeight="1" x14ac:dyDescent="0.35">
      <c r="B11" s="58"/>
      <c r="C11" s="38" t="s">
        <v>76</v>
      </c>
      <c r="D11" s="91">
        <f>+ER!E11</f>
        <v>919290.85</v>
      </c>
    </row>
    <row r="12" spans="1:4" ht="14.15" customHeight="1" x14ac:dyDescent="0.35">
      <c r="B12" s="58"/>
      <c r="C12" s="38" t="s">
        <v>152</v>
      </c>
      <c r="D12" s="91">
        <f>+ER!E12</f>
        <v>391930.38</v>
      </c>
    </row>
    <row r="13" spans="1:4" ht="14.15" customHeight="1" x14ac:dyDescent="0.35">
      <c r="A13" s="42"/>
      <c r="B13" s="10"/>
      <c r="C13" s="38" t="s">
        <v>153</v>
      </c>
      <c r="D13" s="91">
        <f>+ER!E13</f>
        <v>855592.22</v>
      </c>
    </row>
    <row r="14" spans="1:4" s="10" customFormat="1" ht="14.15" customHeight="1" x14ac:dyDescent="0.25">
      <c r="B14" s="192" t="s">
        <v>158</v>
      </c>
      <c r="C14" s="192"/>
      <c r="D14" s="93">
        <f>SUM(D9:D13)</f>
        <v>14762073.380000001</v>
      </c>
    </row>
    <row r="15" spans="1:4" s="10" customFormat="1" ht="14.15" customHeight="1" x14ac:dyDescent="0.2">
      <c r="D15" s="79"/>
    </row>
    <row r="16" spans="1:4" s="10" customFormat="1" ht="14.15" customHeight="1" x14ac:dyDescent="0.25">
      <c r="B16" s="58" t="s">
        <v>154</v>
      </c>
      <c r="C16" s="16"/>
      <c r="D16" s="77"/>
    </row>
    <row r="17" spans="1:10" s="10" customFormat="1" ht="14.15" customHeight="1" x14ac:dyDescent="0.35">
      <c r="B17" s="30"/>
      <c r="C17" s="38" t="s">
        <v>64</v>
      </c>
      <c r="D17" s="91">
        <f>+ER!E17</f>
        <v>7333964.79</v>
      </c>
      <c r="F17" s="13"/>
      <c r="H17" s="67"/>
    </row>
    <row r="18" spans="1:10" s="10" customFormat="1" ht="14.15" customHeight="1" x14ac:dyDescent="0.35">
      <c r="A18" s="56"/>
      <c r="B18" s="30"/>
      <c r="C18" s="38" t="s">
        <v>65</v>
      </c>
      <c r="D18" s="91">
        <f>+ER!E18</f>
        <v>1039603.05</v>
      </c>
      <c r="F18" s="13"/>
      <c r="H18" s="67"/>
    </row>
    <row r="19" spans="1:10" s="10" customFormat="1" ht="14.15" customHeight="1" x14ac:dyDescent="0.35">
      <c r="A19" s="56"/>
      <c r="B19" s="30"/>
      <c r="C19" s="38" t="s">
        <v>155</v>
      </c>
      <c r="D19" s="91">
        <f>+ER!E19</f>
        <v>4730289.7</v>
      </c>
      <c r="F19" s="13"/>
      <c r="H19" s="67"/>
    </row>
    <row r="20" spans="1:10" s="10" customFormat="1" ht="14.15" customHeight="1" x14ac:dyDescent="0.35">
      <c r="A20" s="56"/>
      <c r="B20" s="30"/>
      <c r="C20" s="38" t="s">
        <v>156</v>
      </c>
      <c r="D20" s="91">
        <f>+ER!E20</f>
        <v>1217331.3400000001</v>
      </c>
      <c r="F20" s="13"/>
      <c r="H20" s="68"/>
    </row>
    <row r="21" spans="1:10" s="10" customFormat="1" ht="14.15" customHeight="1" x14ac:dyDescent="0.35">
      <c r="A21" s="42"/>
      <c r="B21" s="192" t="s">
        <v>157</v>
      </c>
      <c r="C21" s="192"/>
      <c r="D21" s="94">
        <f>SUM(D17:D20)</f>
        <v>14321188.879999999</v>
      </c>
      <c r="F21" s="13"/>
      <c r="H21" s="68"/>
    </row>
    <row r="22" spans="1:10" s="10" customFormat="1" ht="14.15" customHeight="1" x14ac:dyDescent="0.2">
      <c r="A22" s="43"/>
      <c r="C22" s="38"/>
      <c r="D22" s="92"/>
      <c r="F22" s="9"/>
      <c r="G22" s="9"/>
      <c r="H22" s="9"/>
      <c r="I22" s="9"/>
    </row>
    <row r="23" spans="1:10" s="10" customFormat="1" ht="14.15" customHeight="1" x14ac:dyDescent="0.25">
      <c r="A23" s="42"/>
      <c r="B23" s="192" t="s">
        <v>160</v>
      </c>
      <c r="C23" s="192"/>
      <c r="D23" s="91">
        <f>+ER!E23</f>
        <v>853285.05</v>
      </c>
      <c r="E23" s="76"/>
      <c r="F23" s="20"/>
      <c r="H23" s="13"/>
      <c r="I23" s="96"/>
    </row>
    <row r="24" spans="1:10" s="10" customFormat="1" ht="14.15" customHeight="1" x14ac:dyDescent="0.35">
      <c r="A24" s="43"/>
      <c r="C24" s="38"/>
      <c r="D24" s="92"/>
      <c r="F24" s="13"/>
      <c r="H24" s="109"/>
    </row>
    <row r="25" spans="1:10" s="10" customFormat="1" ht="14.15" customHeight="1" x14ac:dyDescent="0.35">
      <c r="A25" s="43"/>
      <c r="B25" s="192" t="s">
        <v>161</v>
      </c>
      <c r="C25" s="192"/>
      <c r="D25" s="94">
        <f>+D14-D21-D23</f>
        <v>-412400.54999999818</v>
      </c>
      <c r="F25" s="13"/>
      <c r="H25" s="111"/>
    </row>
    <row r="26" spans="1:10" s="10" customFormat="1" ht="14.15" customHeight="1" x14ac:dyDescent="0.2">
      <c r="A26" s="43"/>
      <c r="C26" s="38"/>
      <c r="D26" s="92"/>
    </row>
    <row r="27" spans="1:10" s="10" customFormat="1" ht="14.15" customHeight="1" x14ac:dyDescent="0.25">
      <c r="A27" s="43"/>
      <c r="B27" s="58" t="s">
        <v>89</v>
      </c>
      <c r="C27" s="38"/>
      <c r="D27" s="92"/>
      <c r="F27" s="96"/>
      <c r="G27" s="96"/>
      <c r="H27" s="96"/>
      <c r="I27" s="96"/>
      <c r="J27" s="96"/>
    </row>
    <row r="28" spans="1:10" s="10" customFormat="1" ht="14.15" customHeight="1" x14ac:dyDescent="0.35">
      <c r="A28" s="43"/>
      <c r="C28" s="38" t="s">
        <v>162</v>
      </c>
      <c r="D28" s="91">
        <f>+ER!E28</f>
        <v>25507.439999999999</v>
      </c>
      <c r="E28" s="74"/>
      <c r="F28" s="97"/>
      <c r="G28" s="96"/>
      <c r="H28" s="98"/>
    </row>
    <row r="29" spans="1:10" s="10" customFormat="1" ht="14.15" customHeight="1" x14ac:dyDescent="0.35">
      <c r="A29" s="43"/>
      <c r="C29" s="38" t="s">
        <v>163</v>
      </c>
      <c r="D29" s="91">
        <f>+ER!E29</f>
        <v>1287386.94</v>
      </c>
      <c r="E29" s="74"/>
      <c r="F29" s="75"/>
      <c r="H29" s="67"/>
    </row>
    <row r="30" spans="1:10" s="10" customFormat="1" ht="14.15" customHeight="1" x14ac:dyDescent="0.35">
      <c r="B30" s="192" t="s">
        <v>91</v>
      </c>
      <c r="C30" s="192"/>
      <c r="D30" s="95">
        <f>SUM(D28:D29)</f>
        <v>1312894.3799999999</v>
      </c>
      <c r="E30" s="74"/>
      <c r="F30" s="75"/>
      <c r="H30" s="67"/>
    </row>
    <row r="31" spans="1:10" s="10" customFormat="1" ht="14.15" customHeight="1" x14ac:dyDescent="0.25">
      <c r="B31" s="192"/>
      <c r="C31" s="192"/>
      <c r="D31" s="85"/>
      <c r="E31" s="74"/>
      <c r="F31" s="75"/>
      <c r="H31" s="69"/>
    </row>
    <row r="32" spans="1:10" s="10" customFormat="1" ht="14.15" customHeight="1" x14ac:dyDescent="0.35">
      <c r="B32" s="16" t="s">
        <v>164</v>
      </c>
      <c r="D32" s="93">
        <f>D25-D30</f>
        <v>-1725294.9299999981</v>
      </c>
      <c r="E32" s="74"/>
      <c r="F32" s="75"/>
      <c r="H32" s="70"/>
    </row>
    <row r="33" spans="1:14" s="10" customFormat="1" ht="14.15" customHeight="1" x14ac:dyDescent="0.35">
      <c r="D33" s="79"/>
      <c r="E33" s="74"/>
      <c r="F33" s="75"/>
      <c r="H33" s="70"/>
    </row>
    <row r="34" spans="1:14" s="10" customFormat="1" ht="14.15" customHeight="1" x14ac:dyDescent="0.35">
      <c r="B34" s="16" t="s">
        <v>165</v>
      </c>
      <c r="D34" s="91">
        <f>+ER!E34</f>
        <v>474816.78</v>
      </c>
      <c r="E34" s="74"/>
      <c r="F34" s="75"/>
      <c r="H34" s="70"/>
    </row>
    <row r="35" spans="1:14" s="10" customFormat="1" ht="14.15" customHeight="1" x14ac:dyDescent="0.35">
      <c r="B35" s="16"/>
      <c r="D35" s="79"/>
      <c r="E35" s="74"/>
      <c r="F35" s="75"/>
      <c r="H35" s="70"/>
    </row>
    <row r="36" spans="1:14" s="10" customFormat="1" ht="14.15" customHeight="1" x14ac:dyDescent="0.35">
      <c r="B36" s="16" t="s">
        <v>169</v>
      </c>
      <c r="D36" s="85">
        <f>D32+D34</f>
        <v>-1250478.149999998</v>
      </c>
      <c r="E36" s="74"/>
      <c r="F36" s="75"/>
      <c r="H36" s="70"/>
    </row>
    <row r="37" spans="1:14" s="10" customFormat="1" ht="14.15" customHeight="1" x14ac:dyDescent="0.35">
      <c r="B37" s="16"/>
      <c r="D37" s="79"/>
      <c r="E37" s="74"/>
      <c r="F37" s="75"/>
      <c r="H37" s="70"/>
    </row>
    <row r="38" spans="1:14" s="10" customFormat="1" ht="14.15" customHeight="1" x14ac:dyDescent="0.35">
      <c r="B38" s="16" t="s">
        <v>73</v>
      </c>
      <c r="D38" s="91">
        <f>+ER!E38</f>
        <v>0</v>
      </c>
      <c r="E38" s="74"/>
      <c r="F38" s="75"/>
      <c r="H38" s="70"/>
      <c r="L38" s="73"/>
    </row>
    <row r="39" spans="1:14" s="10" customFormat="1" ht="14.15" customHeight="1" x14ac:dyDescent="0.35">
      <c r="D39" s="79"/>
      <c r="E39" s="74"/>
      <c r="F39" s="75"/>
      <c r="H39" s="68"/>
    </row>
    <row r="40" spans="1:14" s="10" customFormat="1" ht="14.15" customHeight="1" thickBot="1" x14ac:dyDescent="0.3">
      <c r="A40" s="43"/>
      <c r="B40" s="90" t="s">
        <v>170</v>
      </c>
      <c r="D40" s="88">
        <f>+D36-D38</f>
        <v>-1250478.149999998</v>
      </c>
      <c r="E40" s="100" t="e">
        <f>+Balanza!#REF!+Balanza!#REF!</f>
        <v>#REF!</v>
      </c>
      <c r="F40" s="101"/>
      <c r="G40" s="56"/>
      <c r="H40" s="56"/>
      <c r="I40" s="56"/>
      <c r="J40" s="102"/>
      <c r="K40" s="56"/>
      <c r="L40" s="56"/>
      <c r="M40" s="56"/>
      <c r="N40" s="103" t="e">
        <f>D40+E40</f>
        <v>#REF!</v>
      </c>
    </row>
    <row r="41" spans="1:14" s="10" customFormat="1" ht="14.15" customHeight="1" thickTop="1" x14ac:dyDescent="0.25">
      <c r="D41" s="89"/>
      <c r="E41" s="99"/>
      <c r="F41" s="75"/>
      <c r="J41" s="13"/>
    </row>
    <row r="42" spans="1:14" s="10" customFormat="1" ht="13" customHeight="1" x14ac:dyDescent="0.25">
      <c r="D42" s="85"/>
      <c r="E42" s="74"/>
      <c r="F42" s="75"/>
    </row>
    <row r="43" spans="1:14" s="10" customFormat="1" ht="13" customHeight="1" x14ac:dyDescent="0.25">
      <c r="E43" s="74"/>
      <c r="F43" s="75"/>
    </row>
    <row r="44" spans="1:14" s="10" customFormat="1" ht="13" customHeight="1" x14ac:dyDescent="0.25">
      <c r="E44" s="74"/>
      <c r="F44" s="75"/>
    </row>
    <row r="45" spans="1:14" s="10" customFormat="1" ht="13" customHeight="1" x14ac:dyDescent="0.25">
      <c r="E45" s="74"/>
      <c r="F45" s="75"/>
    </row>
    <row r="46" spans="1:14" s="10" customFormat="1" ht="13" customHeight="1" x14ac:dyDescent="0.25">
      <c r="E46" s="74"/>
      <c r="F46" s="75"/>
    </row>
    <row r="47" spans="1:14" s="10" customFormat="1" ht="13" customHeight="1" x14ac:dyDescent="0.25">
      <c r="E47" s="74"/>
      <c r="F47" s="75"/>
    </row>
    <row r="48" spans="1:14" s="10" customFormat="1" ht="13" customHeight="1" x14ac:dyDescent="0.25">
      <c r="C48" s="44" t="s">
        <v>225</v>
      </c>
      <c r="D48" s="18" t="s">
        <v>221</v>
      </c>
      <c r="E48" s="74"/>
      <c r="F48" s="75"/>
    </row>
    <row r="49" spans="3:4" s="10" customFormat="1" ht="13" customHeight="1" x14ac:dyDescent="0.2">
      <c r="C49" s="45" t="s">
        <v>222</v>
      </c>
      <c r="D49" s="19" t="s">
        <v>146</v>
      </c>
    </row>
    <row r="50" spans="3:4" s="10" customFormat="1" ht="13" customHeight="1" x14ac:dyDescent="0.2"/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  <ignoredErrors>
    <ignoredError sqref="E40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53"/>
  <sheetViews>
    <sheetView showGridLines="0" zoomScaleNormal="100" workbookViewId="0">
      <selection activeCell="D40" sqref="D40"/>
    </sheetView>
  </sheetViews>
  <sheetFormatPr baseColWidth="10" defaultColWidth="9.1796875" defaultRowHeight="14.5" x14ac:dyDescent="0.35"/>
  <cols>
    <col min="1" max="1" width="4.54296875" customWidth="1"/>
    <col min="2" max="2" width="23" customWidth="1"/>
    <col min="3" max="3" width="44" customWidth="1"/>
    <col min="4" max="4" width="12.7265625" customWidth="1"/>
    <col min="5" max="5" width="7.81640625" customWidth="1"/>
    <col min="6" max="6" width="15.54296875" customWidth="1"/>
    <col min="7" max="7" width="44" customWidth="1"/>
    <col min="8" max="9" width="12.7265625" customWidth="1"/>
    <col min="13" max="14" width="13.26953125" customWidth="1"/>
    <col min="258" max="258" width="15.54296875" customWidth="1"/>
    <col min="259" max="259" width="44" customWidth="1"/>
    <col min="260" max="260" width="12.7265625" customWidth="1"/>
    <col min="261" max="261" width="7.81640625" customWidth="1"/>
    <col min="262" max="262" width="15.54296875" customWidth="1"/>
    <col min="263" max="263" width="44" customWidth="1"/>
    <col min="264" max="265" width="12.7265625" customWidth="1"/>
    <col min="269" max="270" width="13.26953125" customWidth="1"/>
    <col min="514" max="514" width="15.54296875" customWidth="1"/>
    <col min="515" max="515" width="44" customWidth="1"/>
    <col min="516" max="516" width="12.7265625" customWidth="1"/>
    <col min="517" max="517" width="7.81640625" customWidth="1"/>
    <col min="518" max="518" width="15.54296875" customWidth="1"/>
    <col min="519" max="519" width="44" customWidth="1"/>
    <col min="520" max="521" width="12.7265625" customWidth="1"/>
    <col min="525" max="526" width="13.26953125" customWidth="1"/>
    <col min="770" max="770" width="15.54296875" customWidth="1"/>
    <col min="771" max="771" width="44" customWidth="1"/>
    <col min="772" max="772" width="12.7265625" customWidth="1"/>
    <col min="773" max="773" width="7.81640625" customWidth="1"/>
    <col min="774" max="774" width="15.54296875" customWidth="1"/>
    <col min="775" max="775" width="44" customWidth="1"/>
    <col min="776" max="777" width="12.7265625" customWidth="1"/>
    <col min="781" max="782" width="13.26953125" customWidth="1"/>
    <col min="1026" max="1026" width="15.54296875" customWidth="1"/>
    <col min="1027" max="1027" width="44" customWidth="1"/>
    <col min="1028" max="1028" width="12.7265625" customWidth="1"/>
    <col min="1029" max="1029" width="7.81640625" customWidth="1"/>
    <col min="1030" max="1030" width="15.54296875" customWidth="1"/>
    <col min="1031" max="1031" width="44" customWidth="1"/>
    <col min="1032" max="1033" width="12.7265625" customWidth="1"/>
    <col min="1037" max="1038" width="13.26953125" customWidth="1"/>
    <col min="1282" max="1282" width="15.54296875" customWidth="1"/>
    <col min="1283" max="1283" width="44" customWidth="1"/>
    <col min="1284" max="1284" width="12.7265625" customWidth="1"/>
    <col min="1285" max="1285" width="7.81640625" customWidth="1"/>
    <col min="1286" max="1286" width="15.54296875" customWidth="1"/>
    <col min="1287" max="1287" width="44" customWidth="1"/>
    <col min="1288" max="1289" width="12.7265625" customWidth="1"/>
    <col min="1293" max="1294" width="13.26953125" customWidth="1"/>
    <col min="1538" max="1538" width="15.54296875" customWidth="1"/>
    <col min="1539" max="1539" width="44" customWidth="1"/>
    <col min="1540" max="1540" width="12.7265625" customWidth="1"/>
    <col min="1541" max="1541" width="7.81640625" customWidth="1"/>
    <col min="1542" max="1542" width="15.54296875" customWidth="1"/>
    <col min="1543" max="1543" width="44" customWidth="1"/>
    <col min="1544" max="1545" width="12.7265625" customWidth="1"/>
    <col min="1549" max="1550" width="13.26953125" customWidth="1"/>
    <col min="1794" max="1794" width="15.54296875" customWidth="1"/>
    <col min="1795" max="1795" width="44" customWidth="1"/>
    <col min="1796" max="1796" width="12.7265625" customWidth="1"/>
    <col min="1797" max="1797" width="7.81640625" customWidth="1"/>
    <col min="1798" max="1798" width="15.54296875" customWidth="1"/>
    <col min="1799" max="1799" width="44" customWidth="1"/>
    <col min="1800" max="1801" width="12.7265625" customWidth="1"/>
    <col min="1805" max="1806" width="13.26953125" customWidth="1"/>
    <col min="2050" max="2050" width="15.54296875" customWidth="1"/>
    <col min="2051" max="2051" width="44" customWidth="1"/>
    <col min="2052" max="2052" width="12.7265625" customWidth="1"/>
    <col min="2053" max="2053" width="7.81640625" customWidth="1"/>
    <col min="2054" max="2054" width="15.54296875" customWidth="1"/>
    <col min="2055" max="2055" width="44" customWidth="1"/>
    <col min="2056" max="2057" width="12.7265625" customWidth="1"/>
    <col min="2061" max="2062" width="13.26953125" customWidth="1"/>
    <col min="2306" max="2306" width="15.54296875" customWidth="1"/>
    <col min="2307" max="2307" width="44" customWidth="1"/>
    <col min="2308" max="2308" width="12.7265625" customWidth="1"/>
    <col min="2309" max="2309" width="7.81640625" customWidth="1"/>
    <col min="2310" max="2310" width="15.54296875" customWidth="1"/>
    <col min="2311" max="2311" width="44" customWidth="1"/>
    <col min="2312" max="2313" width="12.7265625" customWidth="1"/>
    <col min="2317" max="2318" width="13.26953125" customWidth="1"/>
    <col min="2562" max="2562" width="15.54296875" customWidth="1"/>
    <col min="2563" max="2563" width="44" customWidth="1"/>
    <col min="2564" max="2564" width="12.7265625" customWidth="1"/>
    <col min="2565" max="2565" width="7.81640625" customWidth="1"/>
    <col min="2566" max="2566" width="15.54296875" customWidth="1"/>
    <col min="2567" max="2567" width="44" customWidth="1"/>
    <col min="2568" max="2569" width="12.7265625" customWidth="1"/>
    <col min="2573" max="2574" width="13.26953125" customWidth="1"/>
    <col min="2818" max="2818" width="15.54296875" customWidth="1"/>
    <col min="2819" max="2819" width="44" customWidth="1"/>
    <col min="2820" max="2820" width="12.7265625" customWidth="1"/>
    <col min="2821" max="2821" width="7.81640625" customWidth="1"/>
    <col min="2822" max="2822" width="15.54296875" customWidth="1"/>
    <col min="2823" max="2823" width="44" customWidth="1"/>
    <col min="2824" max="2825" width="12.7265625" customWidth="1"/>
    <col min="2829" max="2830" width="13.26953125" customWidth="1"/>
    <col min="3074" max="3074" width="15.54296875" customWidth="1"/>
    <col min="3075" max="3075" width="44" customWidth="1"/>
    <col min="3076" max="3076" width="12.7265625" customWidth="1"/>
    <col min="3077" max="3077" width="7.81640625" customWidth="1"/>
    <col min="3078" max="3078" width="15.54296875" customWidth="1"/>
    <col min="3079" max="3079" width="44" customWidth="1"/>
    <col min="3080" max="3081" width="12.7265625" customWidth="1"/>
    <col min="3085" max="3086" width="13.26953125" customWidth="1"/>
    <col min="3330" max="3330" width="15.54296875" customWidth="1"/>
    <col min="3331" max="3331" width="44" customWidth="1"/>
    <col min="3332" max="3332" width="12.7265625" customWidth="1"/>
    <col min="3333" max="3333" width="7.81640625" customWidth="1"/>
    <col min="3334" max="3334" width="15.54296875" customWidth="1"/>
    <col min="3335" max="3335" width="44" customWidth="1"/>
    <col min="3336" max="3337" width="12.7265625" customWidth="1"/>
    <col min="3341" max="3342" width="13.26953125" customWidth="1"/>
    <col min="3586" max="3586" width="15.54296875" customWidth="1"/>
    <col min="3587" max="3587" width="44" customWidth="1"/>
    <col min="3588" max="3588" width="12.7265625" customWidth="1"/>
    <col min="3589" max="3589" width="7.81640625" customWidth="1"/>
    <col min="3590" max="3590" width="15.54296875" customWidth="1"/>
    <col min="3591" max="3591" width="44" customWidth="1"/>
    <col min="3592" max="3593" width="12.7265625" customWidth="1"/>
    <col min="3597" max="3598" width="13.26953125" customWidth="1"/>
    <col min="3842" max="3842" width="15.54296875" customWidth="1"/>
    <col min="3843" max="3843" width="44" customWidth="1"/>
    <col min="3844" max="3844" width="12.7265625" customWidth="1"/>
    <col min="3845" max="3845" width="7.81640625" customWidth="1"/>
    <col min="3846" max="3846" width="15.54296875" customWidth="1"/>
    <col min="3847" max="3847" width="44" customWidth="1"/>
    <col min="3848" max="3849" width="12.7265625" customWidth="1"/>
    <col min="3853" max="3854" width="13.26953125" customWidth="1"/>
    <col min="4098" max="4098" width="15.54296875" customWidth="1"/>
    <col min="4099" max="4099" width="44" customWidth="1"/>
    <col min="4100" max="4100" width="12.7265625" customWidth="1"/>
    <col min="4101" max="4101" width="7.81640625" customWidth="1"/>
    <col min="4102" max="4102" width="15.54296875" customWidth="1"/>
    <col min="4103" max="4103" width="44" customWidth="1"/>
    <col min="4104" max="4105" width="12.7265625" customWidth="1"/>
    <col min="4109" max="4110" width="13.26953125" customWidth="1"/>
    <col min="4354" max="4354" width="15.54296875" customWidth="1"/>
    <col min="4355" max="4355" width="44" customWidth="1"/>
    <col min="4356" max="4356" width="12.7265625" customWidth="1"/>
    <col min="4357" max="4357" width="7.81640625" customWidth="1"/>
    <col min="4358" max="4358" width="15.54296875" customWidth="1"/>
    <col min="4359" max="4359" width="44" customWidth="1"/>
    <col min="4360" max="4361" width="12.7265625" customWidth="1"/>
    <col min="4365" max="4366" width="13.26953125" customWidth="1"/>
    <col min="4610" max="4610" width="15.54296875" customWidth="1"/>
    <col min="4611" max="4611" width="44" customWidth="1"/>
    <col min="4612" max="4612" width="12.7265625" customWidth="1"/>
    <col min="4613" max="4613" width="7.81640625" customWidth="1"/>
    <col min="4614" max="4614" width="15.54296875" customWidth="1"/>
    <col min="4615" max="4615" width="44" customWidth="1"/>
    <col min="4616" max="4617" width="12.7265625" customWidth="1"/>
    <col min="4621" max="4622" width="13.26953125" customWidth="1"/>
    <col min="4866" max="4866" width="15.54296875" customWidth="1"/>
    <col min="4867" max="4867" width="44" customWidth="1"/>
    <col min="4868" max="4868" width="12.7265625" customWidth="1"/>
    <col min="4869" max="4869" width="7.81640625" customWidth="1"/>
    <col min="4870" max="4870" width="15.54296875" customWidth="1"/>
    <col min="4871" max="4871" width="44" customWidth="1"/>
    <col min="4872" max="4873" width="12.7265625" customWidth="1"/>
    <col min="4877" max="4878" width="13.26953125" customWidth="1"/>
    <col min="5122" max="5122" width="15.54296875" customWidth="1"/>
    <col min="5123" max="5123" width="44" customWidth="1"/>
    <col min="5124" max="5124" width="12.7265625" customWidth="1"/>
    <col min="5125" max="5125" width="7.81640625" customWidth="1"/>
    <col min="5126" max="5126" width="15.54296875" customWidth="1"/>
    <col min="5127" max="5127" width="44" customWidth="1"/>
    <col min="5128" max="5129" width="12.7265625" customWidth="1"/>
    <col min="5133" max="5134" width="13.26953125" customWidth="1"/>
    <col min="5378" max="5378" width="15.54296875" customWidth="1"/>
    <col min="5379" max="5379" width="44" customWidth="1"/>
    <col min="5380" max="5380" width="12.7265625" customWidth="1"/>
    <col min="5381" max="5381" width="7.81640625" customWidth="1"/>
    <col min="5382" max="5382" width="15.54296875" customWidth="1"/>
    <col min="5383" max="5383" width="44" customWidth="1"/>
    <col min="5384" max="5385" width="12.7265625" customWidth="1"/>
    <col min="5389" max="5390" width="13.26953125" customWidth="1"/>
    <col min="5634" max="5634" width="15.54296875" customWidth="1"/>
    <col min="5635" max="5635" width="44" customWidth="1"/>
    <col min="5636" max="5636" width="12.7265625" customWidth="1"/>
    <col min="5637" max="5637" width="7.81640625" customWidth="1"/>
    <col min="5638" max="5638" width="15.54296875" customWidth="1"/>
    <col min="5639" max="5639" width="44" customWidth="1"/>
    <col min="5640" max="5641" width="12.7265625" customWidth="1"/>
    <col min="5645" max="5646" width="13.26953125" customWidth="1"/>
    <col min="5890" max="5890" width="15.54296875" customWidth="1"/>
    <col min="5891" max="5891" width="44" customWidth="1"/>
    <col min="5892" max="5892" width="12.7265625" customWidth="1"/>
    <col min="5893" max="5893" width="7.81640625" customWidth="1"/>
    <col min="5894" max="5894" width="15.54296875" customWidth="1"/>
    <col min="5895" max="5895" width="44" customWidth="1"/>
    <col min="5896" max="5897" width="12.7265625" customWidth="1"/>
    <col min="5901" max="5902" width="13.26953125" customWidth="1"/>
    <col min="6146" max="6146" width="15.54296875" customWidth="1"/>
    <col min="6147" max="6147" width="44" customWidth="1"/>
    <col min="6148" max="6148" width="12.7265625" customWidth="1"/>
    <col min="6149" max="6149" width="7.81640625" customWidth="1"/>
    <col min="6150" max="6150" width="15.54296875" customWidth="1"/>
    <col min="6151" max="6151" width="44" customWidth="1"/>
    <col min="6152" max="6153" width="12.7265625" customWidth="1"/>
    <col min="6157" max="6158" width="13.26953125" customWidth="1"/>
    <col min="6402" max="6402" width="15.54296875" customWidth="1"/>
    <col min="6403" max="6403" width="44" customWidth="1"/>
    <col min="6404" max="6404" width="12.7265625" customWidth="1"/>
    <col min="6405" max="6405" width="7.81640625" customWidth="1"/>
    <col min="6406" max="6406" width="15.54296875" customWidth="1"/>
    <col min="6407" max="6407" width="44" customWidth="1"/>
    <col min="6408" max="6409" width="12.7265625" customWidth="1"/>
    <col min="6413" max="6414" width="13.26953125" customWidth="1"/>
    <col min="6658" max="6658" width="15.54296875" customWidth="1"/>
    <col min="6659" max="6659" width="44" customWidth="1"/>
    <col min="6660" max="6660" width="12.7265625" customWidth="1"/>
    <col min="6661" max="6661" width="7.81640625" customWidth="1"/>
    <col min="6662" max="6662" width="15.54296875" customWidth="1"/>
    <col min="6663" max="6663" width="44" customWidth="1"/>
    <col min="6664" max="6665" width="12.7265625" customWidth="1"/>
    <col min="6669" max="6670" width="13.26953125" customWidth="1"/>
    <col min="6914" max="6914" width="15.54296875" customWidth="1"/>
    <col min="6915" max="6915" width="44" customWidth="1"/>
    <col min="6916" max="6916" width="12.7265625" customWidth="1"/>
    <col min="6917" max="6917" width="7.81640625" customWidth="1"/>
    <col min="6918" max="6918" width="15.54296875" customWidth="1"/>
    <col min="6919" max="6919" width="44" customWidth="1"/>
    <col min="6920" max="6921" width="12.7265625" customWidth="1"/>
    <col min="6925" max="6926" width="13.26953125" customWidth="1"/>
    <col min="7170" max="7170" width="15.54296875" customWidth="1"/>
    <col min="7171" max="7171" width="44" customWidth="1"/>
    <col min="7172" max="7172" width="12.7265625" customWidth="1"/>
    <col min="7173" max="7173" width="7.81640625" customWidth="1"/>
    <col min="7174" max="7174" width="15.54296875" customWidth="1"/>
    <col min="7175" max="7175" width="44" customWidth="1"/>
    <col min="7176" max="7177" width="12.7265625" customWidth="1"/>
    <col min="7181" max="7182" width="13.26953125" customWidth="1"/>
    <col min="7426" max="7426" width="15.54296875" customWidth="1"/>
    <col min="7427" max="7427" width="44" customWidth="1"/>
    <col min="7428" max="7428" width="12.7265625" customWidth="1"/>
    <col min="7429" max="7429" width="7.81640625" customWidth="1"/>
    <col min="7430" max="7430" width="15.54296875" customWidth="1"/>
    <col min="7431" max="7431" width="44" customWidth="1"/>
    <col min="7432" max="7433" width="12.7265625" customWidth="1"/>
    <col min="7437" max="7438" width="13.26953125" customWidth="1"/>
    <col min="7682" max="7682" width="15.54296875" customWidth="1"/>
    <col min="7683" max="7683" width="44" customWidth="1"/>
    <col min="7684" max="7684" width="12.7265625" customWidth="1"/>
    <col min="7685" max="7685" width="7.81640625" customWidth="1"/>
    <col min="7686" max="7686" width="15.54296875" customWidth="1"/>
    <col min="7687" max="7687" width="44" customWidth="1"/>
    <col min="7688" max="7689" width="12.7265625" customWidth="1"/>
    <col min="7693" max="7694" width="13.26953125" customWidth="1"/>
    <col min="7938" max="7938" width="15.54296875" customWidth="1"/>
    <col min="7939" max="7939" width="44" customWidth="1"/>
    <col min="7940" max="7940" width="12.7265625" customWidth="1"/>
    <col min="7941" max="7941" width="7.81640625" customWidth="1"/>
    <col min="7942" max="7942" width="15.54296875" customWidth="1"/>
    <col min="7943" max="7943" width="44" customWidth="1"/>
    <col min="7944" max="7945" width="12.7265625" customWidth="1"/>
    <col min="7949" max="7950" width="13.26953125" customWidth="1"/>
    <col min="8194" max="8194" width="15.54296875" customWidth="1"/>
    <col min="8195" max="8195" width="44" customWidth="1"/>
    <col min="8196" max="8196" width="12.7265625" customWidth="1"/>
    <col min="8197" max="8197" width="7.81640625" customWidth="1"/>
    <col min="8198" max="8198" width="15.54296875" customWidth="1"/>
    <col min="8199" max="8199" width="44" customWidth="1"/>
    <col min="8200" max="8201" width="12.7265625" customWidth="1"/>
    <col min="8205" max="8206" width="13.26953125" customWidth="1"/>
    <col min="8450" max="8450" width="15.54296875" customWidth="1"/>
    <col min="8451" max="8451" width="44" customWidth="1"/>
    <col min="8452" max="8452" width="12.7265625" customWidth="1"/>
    <col min="8453" max="8453" width="7.81640625" customWidth="1"/>
    <col min="8454" max="8454" width="15.54296875" customWidth="1"/>
    <col min="8455" max="8455" width="44" customWidth="1"/>
    <col min="8456" max="8457" width="12.7265625" customWidth="1"/>
    <col min="8461" max="8462" width="13.26953125" customWidth="1"/>
    <col min="8706" max="8706" width="15.54296875" customWidth="1"/>
    <col min="8707" max="8707" width="44" customWidth="1"/>
    <col min="8708" max="8708" width="12.7265625" customWidth="1"/>
    <col min="8709" max="8709" width="7.81640625" customWidth="1"/>
    <col min="8710" max="8710" width="15.54296875" customWidth="1"/>
    <col min="8711" max="8711" width="44" customWidth="1"/>
    <col min="8712" max="8713" width="12.7265625" customWidth="1"/>
    <col min="8717" max="8718" width="13.26953125" customWidth="1"/>
    <col min="8962" max="8962" width="15.54296875" customWidth="1"/>
    <col min="8963" max="8963" width="44" customWidth="1"/>
    <col min="8964" max="8964" width="12.7265625" customWidth="1"/>
    <col min="8965" max="8965" width="7.81640625" customWidth="1"/>
    <col min="8966" max="8966" width="15.54296875" customWidth="1"/>
    <col min="8967" max="8967" width="44" customWidth="1"/>
    <col min="8968" max="8969" width="12.7265625" customWidth="1"/>
    <col min="8973" max="8974" width="13.26953125" customWidth="1"/>
    <col min="9218" max="9218" width="15.54296875" customWidth="1"/>
    <col min="9219" max="9219" width="44" customWidth="1"/>
    <col min="9220" max="9220" width="12.7265625" customWidth="1"/>
    <col min="9221" max="9221" width="7.81640625" customWidth="1"/>
    <col min="9222" max="9222" width="15.54296875" customWidth="1"/>
    <col min="9223" max="9223" width="44" customWidth="1"/>
    <col min="9224" max="9225" width="12.7265625" customWidth="1"/>
    <col min="9229" max="9230" width="13.26953125" customWidth="1"/>
    <col min="9474" max="9474" width="15.54296875" customWidth="1"/>
    <col min="9475" max="9475" width="44" customWidth="1"/>
    <col min="9476" max="9476" width="12.7265625" customWidth="1"/>
    <col min="9477" max="9477" width="7.81640625" customWidth="1"/>
    <col min="9478" max="9478" width="15.54296875" customWidth="1"/>
    <col min="9479" max="9479" width="44" customWidth="1"/>
    <col min="9480" max="9481" width="12.7265625" customWidth="1"/>
    <col min="9485" max="9486" width="13.26953125" customWidth="1"/>
    <col min="9730" max="9730" width="15.54296875" customWidth="1"/>
    <col min="9731" max="9731" width="44" customWidth="1"/>
    <col min="9732" max="9732" width="12.7265625" customWidth="1"/>
    <col min="9733" max="9733" width="7.81640625" customWidth="1"/>
    <col min="9734" max="9734" width="15.54296875" customWidth="1"/>
    <col min="9735" max="9735" width="44" customWidth="1"/>
    <col min="9736" max="9737" width="12.7265625" customWidth="1"/>
    <col min="9741" max="9742" width="13.26953125" customWidth="1"/>
    <col min="9986" max="9986" width="15.54296875" customWidth="1"/>
    <col min="9987" max="9987" width="44" customWidth="1"/>
    <col min="9988" max="9988" width="12.7265625" customWidth="1"/>
    <col min="9989" max="9989" width="7.81640625" customWidth="1"/>
    <col min="9990" max="9990" width="15.54296875" customWidth="1"/>
    <col min="9991" max="9991" width="44" customWidth="1"/>
    <col min="9992" max="9993" width="12.7265625" customWidth="1"/>
    <col min="9997" max="9998" width="13.26953125" customWidth="1"/>
    <col min="10242" max="10242" width="15.54296875" customWidth="1"/>
    <col min="10243" max="10243" width="44" customWidth="1"/>
    <col min="10244" max="10244" width="12.7265625" customWidth="1"/>
    <col min="10245" max="10245" width="7.81640625" customWidth="1"/>
    <col min="10246" max="10246" width="15.54296875" customWidth="1"/>
    <col min="10247" max="10247" width="44" customWidth="1"/>
    <col min="10248" max="10249" width="12.7265625" customWidth="1"/>
    <col min="10253" max="10254" width="13.26953125" customWidth="1"/>
    <col min="10498" max="10498" width="15.54296875" customWidth="1"/>
    <col min="10499" max="10499" width="44" customWidth="1"/>
    <col min="10500" max="10500" width="12.7265625" customWidth="1"/>
    <col min="10501" max="10501" width="7.81640625" customWidth="1"/>
    <col min="10502" max="10502" width="15.54296875" customWidth="1"/>
    <col min="10503" max="10503" width="44" customWidth="1"/>
    <col min="10504" max="10505" width="12.7265625" customWidth="1"/>
    <col min="10509" max="10510" width="13.26953125" customWidth="1"/>
    <col min="10754" max="10754" width="15.54296875" customWidth="1"/>
    <col min="10755" max="10755" width="44" customWidth="1"/>
    <col min="10756" max="10756" width="12.7265625" customWidth="1"/>
    <col min="10757" max="10757" width="7.81640625" customWidth="1"/>
    <col min="10758" max="10758" width="15.54296875" customWidth="1"/>
    <col min="10759" max="10759" width="44" customWidth="1"/>
    <col min="10760" max="10761" width="12.7265625" customWidth="1"/>
    <col min="10765" max="10766" width="13.26953125" customWidth="1"/>
    <col min="11010" max="11010" width="15.54296875" customWidth="1"/>
    <col min="11011" max="11011" width="44" customWidth="1"/>
    <col min="11012" max="11012" width="12.7265625" customWidth="1"/>
    <col min="11013" max="11013" width="7.81640625" customWidth="1"/>
    <col min="11014" max="11014" width="15.54296875" customWidth="1"/>
    <col min="11015" max="11015" width="44" customWidth="1"/>
    <col min="11016" max="11017" width="12.7265625" customWidth="1"/>
    <col min="11021" max="11022" width="13.26953125" customWidth="1"/>
    <col min="11266" max="11266" width="15.54296875" customWidth="1"/>
    <col min="11267" max="11267" width="44" customWidth="1"/>
    <col min="11268" max="11268" width="12.7265625" customWidth="1"/>
    <col min="11269" max="11269" width="7.81640625" customWidth="1"/>
    <col min="11270" max="11270" width="15.54296875" customWidth="1"/>
    <col min="11271" max="11271" width="44" customWidth="1"/>
    <col min="11272" max="11273" width="12.7265625" customWidth="1"/>
    <col min="11277" max="11278" width="13.26953125" customWidth="1"/>
    <col min="11522" max="11522" width="15.54296875" customWidth="1"/>
    <col min="11523" max="11523" width="44" customWidth="1"/>
    <col min="11524" max="11524" width="12.7265625" customWidth="1"/>
    <col min="11525" max="11525" width="7.81640625" customWidth="1"/>
    <col min="11526" max="11526" width="15.54296875" customWidth="1"/>
    <col min="11527" max="11527" width="44" customWidth="1"/>
    <col min="11528" max="11529" width="12.7265625" customWidth="1"/>
    <col min="11533" max="11534" width="13.26953125" customWidth="1"/>
    <col min="11778" max="11778" width="15.54296875" customWidth="1"/>
    <col min="11779" max="11779" width="44" customWidth="1"/>
    <col min="11780" max="11780" width="12.7265625" customWidth="1"/>
    <col min="11781" max="11781" width="7.81640625" customWidth="1"/>
    <col min="11782" max="11782" width="15.54296875" customWidth="1"/>
    <col min="11783" max="11783" width="44" customWidth="1"/>
    <col min="11784" max="11785" width="12.7265625" customWidth="1"/>
    <col min="11789" max="11790" width="13.26953125" customWidth="1"/>
    <col min="12034" max="12034" width="15.54296875" customWidth="1"/>
    <col min="12035" max="12035" width="44" customWidth="1"/>
    <col min="12036" max="12036" width="12.7265625" customWidth="1"/>
    <col min="12037" max="12037" width="7.81640625" customWidth="1"/>
    <col min="12038" max="12038" width="15.54296875" customWidth="1"/>
    <col min="12039" max="12039" width="44" customWidth="1"/>
    <col min="12040" max="12041" width="12.7265625" customWidth="1"/>
    <col min="12045" max="12046" width="13.26953125" customWidth="1"/>
    <col min="12290" max="12290" width="15.54296875" customWidth="1"/>
    <col min="12291" max="12291" width="44" customWidth="1"/>
    <col min="12292" max="12292" width="12.7265625" customWidth="1"/>
    <col min="12293" max="12293" width="7.81640625" customWidth="1"/>
    <col min="12294" max="12294" width="15.54296875" customWidth="1"/>
    <col min="12295" max="12295" width="44" customWidth="1"/>
    <col min="12296" max="12297" width="12.7265625" customWidth="1"/>
    <col min="12301" max="12302" width="13.26953125" customWidth="1"/>
    <col min="12546" max="12546" width="15.54296875" customWidth="1"/>
    <col min="12547" max="12547" width="44" customWidth="1"/>
    <col min="12548" max="12548" width="12.7265625" customWidth="1"/>
    <col min="12549" max="12549" width="7.81640625" customWidth="1"/>
    <col min="12550" max="12550" width="15.54296875" customWidth="1"/>
    <col min="12551" max="12551" width="44" customWidth="1"/>
    <col min="12552" max="12553" width="12.7265625" customWidth="1"/>
    <col min="12557" max="12558" width="13.26953125" customWidth="1"/>
    <col min="12802" max="12802" width="15.54296875" customWidth="1"/>
    <col min="12803" max="12803" width="44" customWidth="1"/>
    <col min="12804" max="12804" width="12.7265625" customWidth="1"/>
    <col min="12805" max="12805" width="7.81640625" customWidth="1"/>
    <col min="12806" max="12806" width="15.54296875" customWidth="1"/>
    <col min="12807" max="12807" width="44" customWidth="1"/>
    <col min="12808" max="12809" width="12.7265625" customWidth="1"/>
    <col min="12813" max="12814" width="13.26953125" customWidth="1"/>
    <col min="13058" max="13058" width="15.54296875" customWidth="1"/>
    <col min="13059" max="13059" width="44" customWidth="1"/>
    <col min="13060" max="13060" width="12.7265625" customWidth="1"/>
    <col min="13061" max="13061" width="7.81640625" customWidth="1"/>
    <col min="13062" max="13062" width="15.54296875" customWidth="1"/>
    <col min="13063" max="13063" width="44" customWidth="1"/>
    <col min="13064" max="13065" width="12.7265625" customWidth="1"/>
    <col min="13069" max="13070" width="13.26953125" customWidth="1"/>
    <col min="13314" max="13314" width="15.54296875" customWidth="1"/>
    <col min="13315" max="13315" width="44" customWidth="1"/>
    <col min="13316" max="13316" width="12.7265625" customWidth="1"/>
    <col min="13317" max="13317" width="7.81640625" customWidth="1"/>
    <col min="13318" max="13318" width="15.54296875" customWidth="1"/>
    <col min="13319" max="13319" width="44" customWidth="1"/>
    <col min="13320" max="13321" width="12.7265625" customWidth="1"/>
    <col min="13325" max="13326" width="13.26953125" customWidth="1"/>
    <col min="13570" max="13570" width="15.54296875" customWidth="1"/>
    <col min="13571" max="13571" width="44" customWidth="1"/>
    <col min="13572" max="13572" width="12.7265625" customWidth="1"/>
    <col min="13573" max="13573" width="7.81640625" customWidth="1"/>
    <col min="13574" max="13574" width="15.54296875" customWidth="1"/>
    <col min="13575" max="13575" width="44" customWidth="1"/>
    <col min="13576" max="13577" width="12.7265625" customWidth="1"/>
    <col min="13581" max="13582" width="13.26953125" customWidth="1"/>
    <col min="13826" max="13826" width="15.54296875" customWidth="1"/>
    <col min="13827" max="13827" width="44" customWidth="1"/>
    <col min="13828" max="13828" width="12.7265625" customWidth="1"/>
    <col min="13829" max="13829" width="7.81640625" customWidth="1"/>
    <col min="13830" max="13830" width="15.54296875" customWidth="1"/>
    <col min="13831" max="13831" width="44" customWidth="1"/>
    <col min="13832" max="13833" width="12.7265625" customWidth="1"/>
    <col min="13837" max="13838" width="13.26953125" customWidth="1"/>
    <col min="14082" max="14082" width="15.54296875" customWidth="1"/>
    <col min="14083" max="14083" width="44" customWidth="1"/>
    <col min="14084" max="14084" width="12.7265625" customWidth="1"/>
    <col min="14085" max="14085" width="7.81640625" customWidth="1"/>
    <col min="14086" max="14086" width="15.54296875" customWidth="1"/>
    <col min="14087" max="14087" width="44" customWidth="1"/>
    <col min="14088" max="14089" width="12.7265625" customWidth="1"/>
    <col min="14093" max="14094" width="13.26953125" customWidth="1"/>
    <col min="14338" max="14338" width="15.54296875" customWidth="1"/>
    <col min="14339" max="14339" width="44" customWidth="1"/>
    <col min="14340" max="14340" width="12.7265625" customWidth="1"/>
    <col min="14341" max="14341" width="7.81640625" customWidth="1"/>
    <col min="14342" max="14342" width="15.54296875" customWidth="1"/>
    <col min="14343" max="14343" width="44" customWidth="1"/>
    <col min="14344" max="14345" width="12.7265625" customWidth="1"/>
    <col min="14349" max="14350" width="13.26953125" customWidth="1"/>
    <col min="14594" max="14594" width="15.54296875" customWidth="1"/>
    <col min="14595" max="14595" width="44" customWidth="1"/>
    <col min="14596" max="14596" width="12.7265625" customWidth="1"/>
    <col min="14597" max="14597" width="7.81640625" customWidth="1"/>
    <col min="14598" max="14598" width="15.54296875" customWidth="1"/>
    <col min="14599" max="14599" width="44" customWidth="1"/>
    <col min="14600" max="14601" width="12.7265625" customWidth="1"/>
    <col min="14605" max="14606" width="13.26953125" customWidth="1"/>
    <col min="14850" max="14850" width="15.54296875" customWidth="1"/>
    <col min="14851" max="14851" width="44" customWidth="1"/>
    <col min="14852" max="14852" width="12.7265625" customWidth="1"/>
    <col min="14853" max="14853" width="7.81640625" customWidth="1"/>
    <col min="14854" max="14854" width="15.54296875" customWidth="1"/>
    <col min="14855" max="14855" width="44" customWidth="1"/>
    <col min="14856" max="14857" width="12.7265625" customWidth="1"/>
    <col min="14861" max="14862" width="13.26953125" customWidth="1"/>
    <col min="15106" max="15106" width="15.54296875" customWidth="1"/>
    <col min="15107" max="15107" width="44" customWidth="1"/>
    <col min="15108" max="15108" width="12.7265625" customWidth="1"/>
    <col min="15109" max="15109" width="7.81640625" customWidth="1"/>
    <col min="15110" max="15110" width="15.54296875" customWidth="1"/>
    <col min="15111" max="15111" width="44" customWidth="1"/>
    <col min="15112" max="15113" width="12.7265625" customWidth="1"/>
    <col min="15117" max="15118" width="13.26953125" customWidth="1"/>
    <col min="15362" max="15362" width="15.54296875" customWidth="1"/>
    <col min="15363" max="15363" width="44" customWidth="1"/>
    <col min="15364" max="15364" width="12.7265625" customWidth="1"/>
    <col min="15365" max="15365" width="7.81640625" customWidth="1"/>
    <col min="15366" max="15366" width="15.54296875" customWidth="1"/>
    <col min="15367" max="15367" width="44" customWidth="1"/>
    <col min="15368" max="15369" width="12.7265625" customWidth="1"/>
    <col min="15373" max="15374" width="13.26953125" customWidth="1"/>
    <col min="15618" max="15618" width="15.54296875" customWidth="1"/>
    <col min="15619" max="15619" width="44" customWidth="1"/>
    <col min="15620" max="15620" width="12.7265625" customWidth="1"/>
    <col min="15621" max="15621" width="7.81640625" customWidth="1"/>
    <col min="15622" max="15622" width="15.54296875" customWidth="1"/>
    <col min="15623" max="15623" width="44" customWidth="1"/>
    <col min="15624" max="15625" width="12.7265625" customWidth="1"/>
    <col min="15629" max="15630" width="13.26953125" customWidth="1"/>
    <col min="15874" max="15874" width="15.54296875" customWidth="1"/>
    <col min="15875" max="15875" width="44" customWidth="1"/>
    <col min="15876" max="15876" width="12.7265625" customWidth="1"/>
    <col min="15877" max="15877" width="7.81640625" customWidth="1"/>
    <col min="15878" max="15878" width="15.54296875" customWidth="1"/>
    <col min="15879" max="15879" width="44" customWidth="1"/>
    <col min="15880" max="15881" width="12.7265625" customWidth="1"/>
    <col min="15885" max="15886" width="13.26953125" customWidth="1"/>
    <col min="16130" max="16130" width="15.54296875" customWidth="1"/>
    <col min="16131" max="16131" width="44" customWidth="1"/>
    <col min="16132" max="16132" width="12.7265625" customWidth="1"/>
    <col min="16133" max="16133" width="7.81640625" customWidth="1"/>
    <col min="16134" max="16134" width="15.54296875" customWidth="1"/>
    <col min="16135" max="16135" width="44" customWidth="1"/>
    <col min="16136" max="16137" width="12.7265625" customWidth="1"/>
    <col min="16141" max="16142" width="13.26953125" customWidth="1"/>
  </cols>
  <sheetData>
    <row r="1" spans="2:4" ht="15" customHeight="1" x14ac:dyDescent="0.35">
      <c r="B1" s="3"/>
      <c r="C1" s="37" t="s">
        <v>78</v>
      </c>
      <c r="D1" s="24"/>
    </row>
    <row r="2" spans="2:4" ht="15" customHeight="1" x14ac:dyDescent="0.35">
      <c r="B2" s="6"/>
      <c r="C2" s="5" t="s">
        <v>144</v>
      </c>
      <c r="D2" s="24"/>
    </row>
    <row r="3" spans="2:4" ht="15" customHeight="1" x14ac:dyDescent="0.35">
      <c r="B3" s="6"/>
      <c r="C3" s="5" t="s">
        <v>79</v>
      </c>
      <c r="D3" s="24"/>
    </row>
    <row r="4" spans="2:4" ht="15" customHeight="1" x14ac:dyDescent="0.35">
      <c r="B4" s="6"/>
      <c r="C4" s="6"/>
      <c r="D4" s="24"/>
    </row>
    <row r="5" spans="2:4" ht="13" customHeight="1" x14ac:dyDescent="0.35">
      <c r="B5" s="6"/>
      <c r="C5" s="6"/>
      <c r="D5" s="24"/>
    </row>
    <row r="6" spans="2:4" ht="13" customHeight="1" x14ac:dyDescent="0.35">
      <c r="B6" s="6"/>
      <c r="C6" s="6"/>
      <c r="D6" s="24"/>
    </row>
    <row r="7" spans="2:4" ht="13" customHeight="1" x14ac:dyDescent="0.35">
      <c r="B7" s="197" t="s">
        <v>88</v>
      </c>
      <c r="C7" s="197"/>
    </row>
    <row r="8" spans="2:4" s="10" customFormat="1" ht="13" customHeight="1" x14ac:dyDescent="0.2">
      <c r="B8" s="51">
        <v>57</v>
      </c>
      <c r="C8" s="10" t="s">
        <v>32</v>
      </c>
      <c r="D8" s="39">
        <f>+D9+D10+D11</f>
        <v>0</v>
      </c>
    </row>
    <row r="9" spans="2:4" s="10" customFormat="1" ht="13" customHeight="1" x14ac:dyDescent="0.2">
      <c r="B9" s="52">
        <v>5701</v>
      </c>
      <c r="C9" s="38" t="s">
        <v>33</v>
      </c>
      <c r="D9" s="49">
        <f>IFERROR(VLOOKUP(B9,Balanza!#REF!,11,FALSE)*-1,0)</f>
        <v>0</v>
      </c>
    </row>
    <row r="10" spans="2:4" s="10" customFormat="1" ht="13" customHeight="1" x14ac:dyDescent="0.2">
      <c r="B10" s="52">
        <v>5702</v>
      </c>
      <c r="C10" s="38" t="s">
        <v>34</v>
      </c>
      <c r="D10" s="49">
        <f>IFERROR(VLOOKUP(B10,Balanza!#REF!,11,FALSE)*-1,0)</f>
        <v>0</v>
      </c>
    </row>
    <row r="11" spans="2:4" s="10" customFormat="1" ht="13" customHeight="1" x14ac:dyDescent="0.2">
      <c r="B11" s="52">
        <v>5706</v>
      </c>
      <c r="C11" s="38" t="s">
        <v>62</v>
      </c>
      <c r="D11" s="49">
        <f>IFERROR(VLOOKUP(B11,Balanza!#REF!,11,FALSE)*-1,0)</f>
        <v>0</v>
      </c>
    </row>
    <row r="12" spans="2:4" s="10" customFormat="1" ht="13" customHeight="1" x14ac:dyDescent="0.2">
      <c r="B12" s="34"/>
      <c r="C12" s="35"/>
      <c r="D12" s="49"/>
    </row>
    <row r="13" spans="2:4" s="10" customFormat="1" ht="13" customHeight="1" x14ac:dyDescent="0.25">
      <c r="B13" s="192" t="s">
        <v>90</v>
      </c>
      <c r="C13" s="192"/>
      <c r="D13" s="50">
        <f>+D8</f>
        <v>0</v>
      </c>
    </row>
    <row r="14" spans="2:4" s="10" customFormat="1" ht="13" customHeight="1" x14ac:dyDescent="0.2">
      <c r="D14" s="20"/>
    </row>
    <row r="15" spans="2:4" s="10" customFormat="1" ht="13" customHeight="1" x14ac:dyDescent="0.25">
      <c r="B15" s="16" t="s">
        <v>94</v>
      </c>
      <c r="D15" s="47">
        <f>+D13</f>
        <v>0</v>
      </c>
    </row>
    <row r="17" spans="2:4" s="10" customFormat="1" ht="13" customHeight="1" x14ac:dyDescent="0.25">
      <c r="B17" s="30" t="s">
        <v>89</v>
      </c>
      <c r="D17" s="11"/>
    </row>
    <row r="18" spans="2:4" s="10" customFormat="1" ht="13" customHeight="1" x14ac:dyDescent="0.2">
      <c r="B18" s="21">
        <v>47</v>
      </c>
      <c r="C18" s="10" t="s">
        <v>10</v>
      </c>
      <c r="D18" s="39">
        <f>+D19</f>
        <v>0</v>
      </c>
    </row>
    <row r="19" spans="2:4" s="10" customFormat="1" ht="13" customHeight="1" x14ac:dyDescent="0.2">
      <c r="B19" s="38">
        <v>4701</v>
      </c>
      <c r="C19" s="38" t="s">
        <v>11</v>
      </c>
      <c r="D19" s="49">
        <f>IFERROR(VLOOKUP(B19,Balanza!#REF!,11,FALSE),0)</f>
        <v>0</v>
      </c>
    </row>
    <row r="20" spans="2:4" s="10" customFormat="1" ht="13" customHeight="1" x14ac:dyDescent="0.2">
      <c r="B20" s="21">
        <v>48</v>
      </c>
      <c r="C20" s="10" t="s">
        <v>12</v>
      </c>
      <c r="D20" s="39">
        <f>SUM(D21:D26)</f>
        <v>0</v>
      </c>
    </row>
    <row r="21" spans="2:4" s="10" customFormat="1" ht="13" customHeight="1" x14ac:dyDescent="0.2">
      <c r="B21" s="38">
        <v>4803</v>
      </c>
      <c r="C21" s="38" t="s">
        <v>13</v>
      </c>
      <c r="D21" s="49">
        <f>IFERROR(VLOOKUP(B21,Balanza!#REF!,11,FALSE),0)</f>
        <v>0</v>
      </c>
    </row>
    <row r="22" spans="2:4" s="10" customFormat="1" ht="13" customHeight="1" x14ac:dyDescent="0.2">
      <c r="B22" s="38">
        <v>4804</v>
      </c>
      <c r="C22" s="38" t="s">
        <v>67</v>
      </c>
      <c r="D22" s="49">
        <f>IFERROR(VLOOKUP(B22,Balanza!#REF!,11,FALSE),0)</f>
        <v>0</v>
      </c>
    </row>
    <row r="23" spans="2:4" s="10" customFormat="1" ht="13" customHeight="1" x14ac:dyDescent="0.2">
      <c r="B23" s="38">
        <v>4805</v>
      </c>
      <c r="C23" s="38" t="s">
        <v>14</v>
      </c>
      <c r="D23" s="49">
        <f>IFERROR(VLOOKUP(B23,Balanza!#REF!,11,FALSE),0)</f>
        <v>0</v>
      </c>
    </row>
    <row r="24" spans="2:4" s="10" customFormat="1" ht="13" customHeight="1" x14ac:dyDescent="0.2">
      <c r="B24" s="38">
        <v>4806</v>
      </c>
      <c r="C24" s="38" t="s">
        <v>68</v>
      </c>
      <c r="D24" s="49">
        <f>IFERROR(VLOOKUP(B24,Balanza!#REF!,11,FALSE),0)</f>
        <v>0</v>
      </c>
    </row>
    <row r="25" spans="2:4" s="10" customFormat="1" ht="13" customHeight="1" x14ac:dyDescent="0.2">
      <c r="B25" s="38">
        <v>4808</v>
      </c>
      <c r="C25" s="38" t="s">
        <v>69</v>
      </c>
      <c r="D25" s="49">
        <f>IFERROR(VLOOKUP(B25,Balanza!#REF!,11,FALSE),0)</f>
        <v>0</v>
      </c>
    </row>
    <row r="26" spans="2:4" s="10" customFormat="1" ht="13" customHeight="1" x14ac:dyDescent="0.2">
      <c r="B26" s="38">
        <v>4809</v>
      </c>
      <c r="C26" s="38" t="s">
        <v>15</v>
      </c>
      <c r="D26" s="49">
        <f>IFERROR(VLOOKUP(B26,Balanza!#REF!,11,FALSE),0)</f>
        <v>0</v>
      </c>
    </row>
    <row r="27" spans="2:4" s="10" customFormat="1" ht="13" customHeight="1" x14ac:dyDescent="0.2">
      <c r="B27" s="9"/>
      <c r="D27" s="11"/>
    </row>
    <row r="28" spans="2:4" s="10" customFormat="1" ht="13" customHeight="1" x14ac:dyDescent="0.25">
      <c r="B28" s="192" t="s">
        <v>91</v>
      </c>
      <c r="C28" s="192"/>
      <c r="D28" s="50">
        <f>+D18+D20</f>
        <v>0</v>
      </c>
    </row>
    <row r="29" spans="2:4" s="10" customFormat="1" ht="13" customHeight="1" x14ac:dyDescent="0.2">
      <c r="D29" s="20"/>
    </row>
    <row r="30" spans="2:4" s="10" customFormat="1" ht="13" customHeight="1" x14ac:dyDescent="0.25">
      <c r="B30" s="16" t="s">
        <v>92</v>
      </c>
      <c r="D30" s="47">
        <f>+D15-D28</f>
        <v>0</v>
      </c>
    </row>
    <row r="31" spans="2:4" s="10" customFormat="1" ht="13" customHeight="1" x14ac:dyDescent="0.2">
      <c r="D31" s="20"/>
    </row>
    <row r="32" spans="2:4" s="10" customFormat="1" ht="13" customHeight="1" x14ac:dyDescent="0.25">
      <c r="B32" s="16" t="s">
        <v>77</v>
      </c>
      <c r="D32" s="47">
        <f>+D33</f>
        <v>0</v>
      </c>
    </row>
    <row r="33" spans="2:7" s="10" customFormat="1" ht="13" customHeight="1" x14ac:dyDescent="0.2">
      <c r="B33" s="21">
        <v>59</v>
      </c>
      <c r="C33" s="10" t="s">
        <v>35</v>
      </c>
      <c r="D33" s="39">
        <f>+D34+D35</f>
        <v>0</v>
      </c>
    </row>
    <row r="34" spans="2:7" s="10" customFormat="1" ht="13" customHeight="1" x14ac:dyDescent="0.2">
      <c r="B34" s="38">
        <v>5901</v>
      </c>
      <c r="C34" s="38" t="s">
        <v>36</v>
      </c>
      <c r="D34" s="49">
        <f>IFERROR(VLOOKUP(B34,Balanza!#REF!,11,FALSE),0)*-1</f>
        <v>0</v>
      </c>
    </row>
    <row r="35" spans="2:7" s="10" customFormat="1" ht="13" customHeight="1" x14ac:dyDescent="0.2">
      <c r="B35" s="38">
        <v>5902</v>
      </c>
      <c r="C35" s="38" t="s">
        <v>137</v>
      </c>
      <c r="D35" s="49">
        <f>IFERROR(VLOOKUP(B35,Balanza!#REF!,11,FALSE),0)*-1</f>
        <v>0</v>
      </c>
    </row>
    <row r="36" spans="2:7" s="10" customFormat="1" ht="13" customHeight="1" x14ac:dyDescent="0.25">
      <c r="B36" s="16"/>
      <c r="D36" s="20"/>
      <c r="G36" s="10" t="s">
        <v>105</v>
      </c>
    </row>
    <row r="37" spans="2:7" s="10" customFormat="1" ht="13" customHeight="1" x14ac:dyDescent="0.25">
      <c r="B37" s="16" t="s">
        <v>95</v>
      </c>
      <c r="D37" s="47">
        <f>+D38</f>
        <v>0</v>
      </c>
    </row>
    <row r="38" spans="2:7" s="10" customFormat="1" ht="13" customHeight="1" x14ac:dyDescent="0.2">
      <c r="B38" s="21">
        <v>49</v>
      </c>
      <c r="C38" s="10" t="s">
        <v>16</v>
      </c>
      <c r="D38" s="39">
        <f>+D39</f>
        <v>0</v>
      </c>
    </row>
    <row r="39" spans="2:7" s="10" customFormat="1" ht="13" customHeight="1" x14ac:dyDescent="0.2">
      <c r="B39" s="38">
        <v>4902</v>
      </c>
      <c r="C39" s="38" t="s">
        <v>17</v>
      </c>
      <c r="D39" s="49">
        <f>IFERROR(VLOOKUP(B39,Balanza!#REF!,11,FALSE),0)</f>
        <v>0</v>
      </c>
    </row>
    <row r="40" spans="2:7" s="10" customFormat="1" ht="13" customHeight="1" x14ac:dyDescent="0.2">
      <c r="D40" s="20"/>
    </row>
    <row r="41" spans="2:7" s="10" customFormat="1" ht="13" customHeight="1" thickBot="1" x14ac:dyDescent="0.3">
      <c r="B41" s="36" t="s">
        <v>93</v>
      </c>
      <c r="D41" s="28">
        <f>+D30+D32-D37</f>
        <v>0</v>
      </c>
    </row>
    <row r="52" spans="2:4" s="10" customFormat="1" ht="13" customHeight="1" x14ac:dyDescent="0.2">
      <c r="B52" s="18" t="s">
        <v>82</v>
      </c>
      <c r="D52" s="18" t="s">
        <v>83</v>
      </c>
    </row>
    <row r="53" spans="2:4" s="10" customFormat="1" ht="13" customHeight="1" x14ac:dyDescent="0.2">
      <c r="B53" s="19" t="s">
        <v>84</v>
      </c>
      <c r="D53" s="19" t="s">
        <v>85</v>
      </c>
    </row>
  </sheetData>
  <mergeCells count="3">
    <mergeCell ref="B13:C13"/>
    <mergeCell ref="B7:C7"/>
    <mergeCell ref="B28:C28"/>
  </mergeCells>
  <printOptions horizontalCentered="1"/>
  <pageMargins left="0.51181102362204722" right="0.51181102362204722" top="0.74803149606299213" bottom="0.55118110236220474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7D39-1E9D-4FAF-BA27-40AE8325F46B}">
  <sheetPr>
    <tabColor theme="0" tint="-0.249977111117893"/>
  </sheetPr>
  <dimension ref="A2:G51"/>
  <sheetViews>
    <sheetView showGridLines="0" zoomScaleNormal="100" workbookViewId="0">
      <selection activeCell="D41" sqref="D41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44" customWidth="1"/>
    <col min="6" max="7" width="12.7265625" customWidth="1"/>
    <col min="8" max="8" width="9.81640625" customWidth="1"/>
    <col min="9" max="9" width="9.81640625" bestFit="1" customWidth="1"/>
    <col min="11" max="12" width="13.26953125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4" ht="15" customHeight="1" x14ac:dyDescent="0.35">
      <c r="B2" s="37"/>
      <c r="C2" s="195" t="s">
        <v>78</v>
      </c>
      <c r="D2" s="195"/>
    </row>
    <row r="3" spans="1:4" ht="15" customHeight="1" x14ac:dyDescent="0.35">
      <c r="B3" s="5"/>
      <c r="C3" s="196" t="s">
        <v>176</v>
      </c>
      <c r="D3" s="196"/>
    </row>
    <row r="4" spans="1:4" ht="15" customHeight="1" x14ac:dyDescent="0.35">
      <c r="B4" s="5"/>
      <c r="C4" s="196" t="s">
        <v>79</v>
      </c>
      <c r="D4" s="196"/>
    </row>
    <row r="5" spans="1:4" ht="14.15" customHeight="1" x14ac:dyDescent="0.35">
      <c r="B5" s="6"/>
      <c r="C5" s="6"/>
      <c r="D5" s="24"/>
    </row>
    <row r="6" spans="1:4" ht="14.15" customHeight="1" x14ac:dyDescent="0.35">
      <c r="B6" s="6"/>
      <c r="C6" s="6"/>
      <c r="D6" s="24"/>
    </row>
    <row r="7" spans="1:4" ht="14.15" customHeight="1" x14ac:dyDescent="0.35">
      <c r="B7" s="6"/>
      <c r="C7" s="6"/>
      <c r="D7" s="24"/>
    </row>
    <row r="8" spans="1:4" ht="14.15" customHeight="1" x14ac:dyDescent="0.35">
      <c r="B8" s="6"/>
      <c r="C8" s="6"/>
      <c r="D8" s="24"/>
    </row>
    <row r="9" spans="1:4" ht="14.15" customHeight="1" x14ac:dyDescent="0.35">
      <c r="B9" s="58" t="s">
        <v>159</v>
      </c>
      <c r="C9" s="16"/>
      <c r="D9" s="16"/>
    </row>
    <row r="10" spans="1:4" ht="14.15" customHeight="1" x14ac:dyDescent="0.35">
      <c r="B10" s="58"/>
      <c r="C10" s="38" t="s">
        <v>150</v>
      </c>
      <c r="D10" s="49" t="e">
        <f>((Balanza!#REF!*-1)-(Balanza!#REF!))-((Balanza!#REF!*-1)-(Balanza!#REF!))</f>
        <v>#REF!</v>
      </c>
    </row>
    <row r="11" spans="1:4" ht="14.15" customHeight="1" x14ac:dyDescent="0.35">
      <c r="B11" s="58"/>
      <c r="C11" s="38" t="s">
        <v>151</v>
      </c>
      <c r="D11" s="49" t="e">
        <f>(Balanza!#REF!*-1)-(Balanza!#REF!*-1)</f>
        <v>#REF!</v>
      </c>
    </row>
    <row r="12" spans="1:4" ht="14.15" customHeight="1" x14ac:dyDescent="0.35">
      <c r="B12" s="58"/>
      <c r="C12" s="38" t="s">
        <v>76</v>
      </c>
      <c r="D12" s="49" t="e">
        <f>(Balanza!#REF!*-1)-(Balanza!#REF!*-1)</f>
        <v>#REF!</v>
      </c>
    </row>
    <row r="13" spans="1:4" ht="14.15" customHeight="1" x14ac:dyDescent="0.35">
      <c r="B13" s="58"/>
      <c r="C13" s="38" t="s">
        <v>152</v>
      </c>
      <c r="D13" s="49" t="e">
        <f>(Balanza!#REF!*-1)-(Balanza!#REF!*-1)</f>
        <v>#REF!</v>
      </c>
    </row>
    <row r="14" spans="1:4" ht="14.15" customHeight="1" x14ac:dyDescent="0.35">
      <c r="A14" s="42"/>
      <c r="B14" s="10"/>
      <c r="C14" s="38" t="s">
        <v>153</v>
      </c>
      <c r="D14" s="49" t="e">
        <f>(Balanza!#REF!*-1)-(Balanza!#REF!*-1)</f>
        <v>#REF!</v>
      </c>
    </row>
    <row r="15" spans="1:4" s="10" customFormat="1" ht="14.15" customHeight="1" x14ac:dyDescent="0.25">
      <c r="B15" s="192" t="s">
        <v>158</v>
      </c>
      <c r="C15" s="192"/>
      <c r="D15" s="60" t="e">
        <f>SUM(D10:D14)</f>
        <v>#REF!</v>
      </c>
    </row>
    <row r="16" spans="1:4" s="10" customFormat="1" ht="14.15" customHeight="1" x14ac:dyDescent="0.2">
      <c r="D16" s="20"/>
    </row>
    <row r="17" spans="1:4" s="10" customFormat="1" ht="14.15" customHeight="1" x14ac:dyDescent="0.25">
      <c r="B17" s="58" t="s">
        <v>154</v>
      </c>
      <c r="C17" s="16"/>
      <c r="D17" s="11"/>
    </row>
    <row r="18" spans="1:4" s="10" customFormat="1" ht="14.15" customHeight="1" x14ac:dyDescent="0.25">
      <c r="B18" s="30"/>
      <c r="C18" s="38" t="s">
        <v>64</v>
      </c>
      <c r="D18" s="49" t="e">
        <f>(Balanza!#REF!)-(Balanza!#REF!)</f>
        <v>#REF!</v>
      </c>
    </row>
    <row r="19" spans="1:4" s="10" customFormat="1" ht="14.15" customHeight="1" x14ac:dyDescent="0.25">
      <c r="A19" s="56"/>
      <c r="B19" s="30"/>
      <c r="C19" s="38" t="s">
        <v>65</v>
      </c>
      <c r="D19" s="49" t="e">
        <f>(Balanza!#REF!)-(Balanza!#REF!)</f>
        <v>#REF!</v>
      </c>
    </row>
    <row r="20" spans="1:4" s="10" customFormat="1" ht="14.15" customHeight="1" x14ac:dyDescent="0.25">
      <c r="A20" s="56"/>
      <c r="B20" s="30"/>
      <c r="C20" s="38" t="s">
        <v>155</v>
      </c>
      <c r="D20" s="49" t="e">
        <f>(Balanza!#REF!)-(Balanza!#REF!)</f>
        <v>#REF!</v>
      </c>
    </row>
    <row r="21" spans="1:4" s="10" customFormat="1" ht="14.15" customHeight="1" x14ac:dyDescent="0.25">
      <c r="A21" s="56"/>
      <c r="B21" s="30"/>
      <c r="C21" s="38" t="s">
        <v>156</v>
      </c>
      <c r="D21" s="49" t="e">
        <f>(Balanza!#REF!)-(Balanza!#REF!)</f>
        <v>#REF!</v>
      </c>
    </row>
    <row r="22" spans="1:4" s="10" customFormat="1" ht="14.15" customHeight="1" x14ac:dyDescent="0.25">
      <c r="A22" s="42"/>
      <c r="B22" s="192" t="s">
        <v>157</v>
      </c>
      <c r="C22" s="192"/>
      <c r="D22" s="65" t="e">
        <f>SUM(D18:D21)</f>
        <v>#REF!</v>
      </c>
    </row>
    <row r="23" spans="1:4" s="10" customFormat="1" ht="14.15" customHeight="1" x14ac:dyDescent="0.2">
      <c r="A23" s="43"/>
      <c r="C23" s="38"/>
      <c r="D23" s="62"/>
    </row>
    <row r="24" spans="1:4" s="10" customFormat="1" ht="14.15" customHeight="1" x14ac:dyDescent="0.25">
      <c r="A24" s="42"/>
      <c r="B24" s="192" t="s">
        <v>160</v>
      </c>
      <c r="C24" s="192"/>
      <c r="D24" s="71" t="e">
        <f>((Balanza!#REF!)+(Balanza!#REF!)+(Balanza!#REF!)+(Balanza!#REF!))-((Balanza!#REF!)+(Balanza!#REF!)+(Balanza!#REF!)+(Balanza!#REF!))</f>
        <v>#REF!</v>
      </c>
    </row>
    <row r="25" spans="1:4" s="10" customFormat="1" ht="14.15" customHeight="1" x14ac:dyDescent="0.2">
      <c r="A25" s="43"/>
      <c r="C25" s="38"/>
      <c r="D25" s="62"/>
    </row>
    <row r="26" spans="1:4" s="10" customFormat="1" ht="14.15" customHeight="1" x14ac:dyDescent="0.25">
      <c r="A26" s="43"/>
      <c r="B26" s="192" t="s">
        <v>161</v>
      </c>
      <c r="C26" s="192"/>
      <c r="D26" s="64" t="e">
        <f>+D15-D22-D24</f>
        <v>#REF!</v>
      </c>
    </row>
    <row r="27" spans="1:4" s="10" customFormat="1" ht="14.15" customHeight="1" x14ac:dyDescent="0.2">
      <c r="A27" s="43"/>
      <c r="C27" s="38"/>
      <c r="D27" s="62"/>
    </row>
    <row r="28" spans="1:4" s="10" customFormat="1" ht="14.15" customHeight="1" x14ac:dyDescent="0.25">
      <c r="A28" s="43"/>
      <c r="B28" s="58" t="s">
        <v>89</v>
      </c>
      <c r="C28" s="38"/>
      <c r="D28" s="62"/>
    </row>
    <row r="29" spans="1:4" s="10" customFormat="1" ht="14.15" customHeight="1" x14ac:dyDescent="0.2">
      <c r="A29" s="43"/>
      <c r="C29" s="38" t="s">
        <v>162</v>
      </c>
      <c r="D29" s="49" t="e">
        <f>((Balanza!#REF!)+(Balanza!#REF!))-((Balanza!#REF!)+(Balanza!#REF!))</f>
        <v>#REF!</v>
      </c>
    </row>
    <row r="30" spans="1:4" s="10" customFormat="1" ht="14.15" customHeight="1" x14ac:dyDescent="0.2">
      <c r="A30" s="43"/>
      <c r="C30" s="38" t="s">
        <v>163</v>
      </c>
      <c r="D30" s="49" t="e">
        <f>((Balanza!#REF!)-70819.78)-((Balanza!#REF!)-0)</f>
        <v>#REF!</v>
      </c>
    </row>
    <row r="31" spans="1:4" s="10" customFormat="1" ht="14.15" customHeight="1" x14ac:dyDescent="0.25">
      <c r="B31" s="192" t="s">
        <v>91</v>
      </c>
      <c r="C31" s="192"/>
      <c r="D31" s="66" t="e">
        <f>SUM(D29:D30)</f>
        <v>#REF!</v>
      </c>
    </row>
    <row r="32" spans="1:4" s="10" customFormat="1" ht="14.15" customHeight="1" x14ac:dyDescent="0.25">
      <c r="B32" s="192"/>
      <c r="C32" s="192"/>
      <c r="D32" s="57"/>
    </row>
    <row r="33" spans="1:7" s="10" customFormat="1" ht="14.15" customHeight="1" x14ac:dyDescent="0.25">
      <c r="B33" s="16" t="s">
        <v>164</v>
      </c>
      <c r="D33" s="63" t="e">
        <f>+D26-D31</f>
        <v>#REF!</v>
      </c>
      <c r="G33" s="13"/>
    </row>
    <row r="34" spans="1:7" s="10" customFormat="1" ht="14.15" customHeight="1" x14ac:dyDescent="0.2">
      <c r="D34" s="20"/>
      <c r="G34" s="13"/>
    </row>
    <row r="35" spans="1:7" s="10" customFormat="1" ht="14.15" customHeight="1" x14ac:dyDescent="0.25">
      <c r="B35" s="16" t="s">
        <v>165</v>
      </c>
      <c r="D35" s="72" t="e">
        <f>((Balanza!#REF!*-1)+(Balanza!#REF!*-1)+(Balanza!#REF!*-1)-(Balanza!#REF!))-((Balanza!#REF!*-1)+(Balanza!#REF!*-1)+(Balanza!#REF!*-1)-(Balanza!#REF!))</f>
        <v>#REF!</v>
      </c>
      <c r="G35" s="13"/>
    </row>
    <row r="36" spans="1:7" s="10" customFormat="1" ht="14.15" customHeight="1" x14ac:dyDescent="0.25">
      <c r="B36" s="16"/>
      <c r="D36" s="20"/>
    </row>
    <row r="37" spans="1:7" s="10" customFormat="1" ht="14.15" customHeight="1" x14ac:dyDescent="0.25">
      <c r="B37" s="16" t="s">
        <v>169</v>
      </c>
      <c r="D37" s="57" t="e">
        <f>+D33+D35</f>
        <v>#REF!</v>
      </c>
    </row>
    <row r="38" spans="1:7" s="10" customFormat="1" ht="14.15" customHeight="1" x14ac:dyDescent="0.25">
      <c r="B38" s="16"/>
      <c r="D38" s="20"/>
    </row>
    <row r="39" spans="1:7" s="10" customFormat="1" ht="14.15" customHeight="1" x14ac:dyDescent="0.25">
      <c r="B39" s="16" t="s">
        <v>73</v>
      </c>
      <c r="D39" s="53">
        <v>70819.780000000028</v>
      </c>
    </row>
    <row r="40" spans="1:7" s="10" customFormat="1" ht="14.15" customHeight="1" x14ac:dyDescent="0.2">
      <c r="D40" s="20"/>
      <c r="G40" s="25"/>
    </row>
    <row r="41" spans="1:7" s="10" customFormat="1" ht="14.15" customHeight="1" thickBot="1" x14ac:dyDescent="0.3">
      <c r="A41" s="43"/>
      <c r="B41" s="36" t="s">
        <v>170</v>
      </c>
      <c r="D41" s="28" t="e">
        <f>+D37-D39</f>
        <v>#REF!</v>
      </c>
      <c r="F41" s="61">
        <v>185084.55</v>
      </c>
      <c r="G41" s="14" t="e">
        <f>D41-F41</f>
        <v>#REF!</v>
      </c>
    </row>
    <row r="42" spans="1:7" s="10" customFormat="1" ht="13" customHeight="1" thickTop="1" x14ac:dyDescent="0.25">
      <c r="D42" s="57"/>
      <c r="F42" s="15"/>
    </row>
    <row r="43" spans="1:7" s="10" customFormat="1" ht="13" customHeight="1" x14ac:dyDescent="0.2">
      <c r="E43" s="13"/>
    </row>
    <row r="44" spans="1:7" s="10" customFormat="1" ht="13" customHeight="1" x14ac:dyDescent="0.2">
      <c r="F44" s="15"/>
    </row>
    <row r="45" spans="1:7" s="10" customFormat="1" ht="13" customHeight="1" x14ac:dyDescent="0.2">
      <c r="F45" s="15"/>
    </row>
    <row r="46" spans="1:7" s="10" customFormat="1" ht="13" customHeight="1" x14ac:dyDescent="0.2">
      <c r="F46" s="15"/>
    </row>
    <row r="47" spans="1:7" s="10" customFormat="1" ht="13" customHeight="1" x14ac:dyDescent="0.2">
      <c r="C47" s="44" t="s">
        <v>140</v>
      </c>
      <c r="D47" s="18" t="s">
        <v>145</v>
      </c>
    </row>
    <row r="48" spans="1:7" s="10" customFormat="1" ht="13" customHeight="1" x14ac:dyDescent="0.2">
      <c r="C48" s="45" t="s">
        <v>141</v>
      </c>
      <c r="D48" s="19" t="s">
        <v>146</v>
      </c>
    </row>
    <row r="49" spans="4:4" s="10" customFormat="1" ht="13" customHeight="1" x14ac:dyDescent="0.2"/>
    <row r="50" spans="4:4" s="10" customFormat="1" ht="13" customHeight="1" x14ac:dyDescent="0.2">
      <c r="D50" s="13"/>
    </row>
    <row r="51" spans="4:4" s="10" customFormat="1" ht="13" customHeight="1" x14ac:dyDescent="0.2">
      <c r="D51" s="13"/>
    </row>
  </sheetData>
  <mergeCells count="9">
    <mergeCell ref="B26:C26"/>
    <mergeCell ref="B31:C31"/>
    <mergeCell ref="B32:C32"/>
    <mergeCell ref="C2:D2"/>
    <mergeCell ref="C3:D3"/>
    <mergeCell ref="C4:D4"/>
    <mergeCell ref="B15:C15"/>
    <mergeCell ref="B22:C22"/>
    <mergeCell ref="B24:C2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55"/>
  <sheetViews>
    <sheetView showGridLines="0" zoomScaleNormal="100" workbookViewId="0">
      <selection activeCell="E42" sqref="E42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44" customWidth="1"/>
    <col min="6" max="7" width="12.7265625" customWidth="1"/>
    <col min="11" max="12" width="13.26953125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4" ht="15" customHeight="1" x14ac:dyDescent="0.35">
      <c r="B2" s="3"/>
      <c r="C2" s="195" t="s">
        <v>78</v>
      </c>
      <c r="D2" s="195"/>
    </row>
    <row r="3" spans="1:4" ht="15" customHeight="1" x14ac:dyDescent="0.35">
      <c r="B3" s="6"/>
      <c r="C3" s="196" t="s">
        <v>147</v>
      </c>
      <c r="D3" s="196"/>
    </row>
    <row r="4" spans="1:4" ht="15" customHeight="1" x14ac:dyDescent="0.35">
      <c r="B4" s="6"/>
      <c r="C4" s="196" t="s">
        <v>79</v>
      </c>
      <c r="D4" s="196"/>
    </row>
    <row r="5" spans="1:4" ht="15" customHeight="1" x14ac:dyDescent="0.35">
      <c r="B5" s="6"/>
      <c r="C5" s="6"/>
      <c r="D5" s="24"/>
    </row>
    <row r="6" spans="1:4" ht="15" customHeight="1" x14ac:dyDescent="0.35">
      <c r="B6" s="6"/>
      <c r="C6" s="6"/>
      <c r="D6" s="24"/>
    </row>
    <row r="7" spans="1:4" ht="13" customHeight="1" x14ac:dyDescent="0.35">
      <c r="B7" s="6"/>
      <c r="C7" s="6"/>
      <c r="D7" s="24"/>
    </row>
    <row r="8" spans="1:4" ht="13" customHeight="1" x14ac:dyDescent="0.35">
      <c r="B8" s="6"/>
      <c r="C8" s="6"/>
      <c r="D8" s="24"/>
    </row>
    <row r="9" spans="1:4" ht="13" customHeight="1" x14ac:dyDescent="0.35">
      <c r="B9" s="197" t="s">
        <v>88</v>
      </c>
      <c r="C9" s="197"/>
    </row>
    <row r="10" spans="1:4" s="10" customFormat="1" ht="13" customHeight="1" x14ac:dyDescent="0.2">
      <c r="A10" s="42">
        <v>57</v>
      </c>
      <c r="C10" s="10" t="s">
        <v>32</v>
      </c>
      <c r="D10" s="39">
        <f>+D11+D12+D13</f>
        <v>0</v>
      </c>
    </row>
    <row r="11" spans="1:4" s="10" customFormat="1" ht="13" customHeight="1" x14ac:dyDescent="0.2">
      <c r="A11" s="43">
        <v>5701</v>
      </c>
      <c r="C11" s="38" t="s">
        <v>33</v>
      </c>
      <c r="D11" s="49">
        <f>((IFERROR(VLOOKUP(A11,Balanza!#REF!,4,FALSE)*-1,0))-(IFERROR(VLOOKUP(A11,Balanza!#REF!,3,FALSE)*-1,0)))</f>
        <v>0</v>
      </c>
    </row>
    <row r="12" spans="1:4" s="10" customFormat="1" ht="13" customHeight="1" x14ac:dyDescent="0.2">
      <c r="A12" s="43">
        <v>5702</v>
      </c>
      <c r="C12" s="38" t="s">
        <v>34</v>
      </c>
      <c r="D12" s="49">
        <f>((IFERROR(VLOOKUP(A12,Balanza!#REF!,4,FALSE)*-1,0))-(IFERROR(VLOOKUP(A12,Balanza!#REF!,3,FALSE)*-1,0)))</f>
        <v>0</v>
      </c>
    </row>
    <row r="13" spans="1:4" s="10" customFormat="1" ht="13" hidden="1" customHeight="1" x14ac:dyDescent="0.2">
      <c r="A13" s="43">
        <v>5706</v>
      </c>
      <c r="C13" s="38" t="s">
        <v>62</v>
      </c>
      <c r="D13" s="49">
        <f>((IFERROR(VLOOKUP(A13,Balanza!#REF!,14,FALSE)*-1,0))-(IFERROR(VLOOKUP(A13,Balanza!#REF!,13,FALSE)*-1,0)))</f>
        <v>0</v>
      </c>
    </row>
    <row r="14" spans="1:4" s="10" customFormat="1" ht="13" customHeight="1" x14ac:dyDescent="0.2">
      <c r="B14" s="34"/>
      <c r="C14" s="35"/>
      <c r="D14" s="49"/>
    </row>
    <row r="15" spans="1:4" s="10" customFormat="1" ht="13" customHeight="1" x14ac:dyDescent="0.25">
      <c r="B15" s="192" t="s">
        <v>90</v>
      </c>
      <c r="C15" s="192"/>
      <c r="D15" s="50">
        <f>+D10</f>
        <v>0</v>
      </c>
    </row>
    <row r="16" spans="1:4" s="10" customFormat="1" ht="13" customHeight="1" x14ac:dyDescent="0.2">
      <c r="D16" s="20"/>
    </row>
    <row r="17" spans="1:4" s="10" customFormat="1" ht="13" customHeight="1" x14ac:dyDescent="0.25">
      <c r="B17" s="16" t="s">
        <v>94</v>
      </c>
      <c r="D17" s="47">
        <f>+D15</f>
        <v>0</v>
      </c>
    </row>
    <row r="18" spans="1:4" s="10" customFormat="1" ht="13" customHeight="1" x14ac:dyDescent="0.2">
      <c r="D18" s="20"/>
    </row>
    <row r="19" spans="1:4" s="10" customFormat="1" ht="13" customHeight="1" x14ac:dyDescent="0.25">
      <c r="B19" s="30" t="s">
        <v>89</v>
      </c>
      <c r="D19" s="11"/>
    </row>
    <row r="20" spans="1:4" s="10" customFormat="1" ht="13" hidden="1" customHeight="1" x14ac:dyDescent="0.25">
      <c r="B20" s="30"/>
      <c r="C20" s="10" t="s">
        <v>66</v>
      </c>
      <c r="D20" s="39">
        <f>+D21+D22</f>
        <v>0</v>
      </c>
    </row>
    <row r="21" spans="1:4" s="10" customFormat="1" ht="13" hidden="1" customHeight="1" x14ac:dyDescent="0.25">
      <c r="A21" s="56">
        <v>4801050</v>
      </c>
      <c r="B21" s="30"/>
      <c r="C21" s="38" t="s">
        <v>74</v>
      </c>
      <c r="D21" s="49">
        <f>((IFERROR(VLOOKUP(A21,Balanza!#REF!,4,FALSE),0))-(IFERROR(VLOOKUP(A21,Balanza!#REF!,3,FALSE),0)))</f>
        <v>0</v>
      </c>
    </row>
    <row r="22" spans="1:4" s="10" customFormat="1" ht="13" hidden="1" customHeight="1" x14ac:dyDescent="0.25">
      <c r="A22" s="56">
        <v>4801080</v>
      </c>
      <c r="B22" s="30"/>
      <c r="C22" s="38" t="s">
        <v>75</v>
      </c>
      <c r="D22" s="49">
        <f>((IFERROR(VLOOKUP(A22,Balanza!#REF!,4,FALSE),0))-(IFERROR(VLOOKUP(A22,Balanza!#REF!,3,FALSE),0)))</f>
        <v>0</v>
      </c>
    </row>
    <row r="23" spans="1:4" s="10" customFormat="1" ht="13" customHeight="1" x14ac:dyDescent="0.2">
      <c r="A23" s="42">
        <v>47</v>
      </c>
      <c r="C23" s="10" t="s">
        <v>10</v>
      </c>
      <c r="D23" s="39">
        <f>+D24</f>
        <v>0</v>
      </c>
    </row>
    <row r="24" spans="1:4" s="10" customFormat="1" ht="13" customHeight="1" x14ac:dyDescent="0.2">
      <c r="A24" s="43">
        <v>4701</v>
      </c>
      <c r="C24" s="38" t="s">
        <v>11</v>
      </c>
      <c r="D24" s="49">
        <f>((IFERROR(VLOOKUP(A24,Balanza!#REF!,4,FALSE),0))-(IFERROR(VLOOKUP(A24,Balanza!#REF!,3,FALSE),0)))</f>
        <v>0</v>
      </c>
    </row>
    <row r="25" spans="1:4" s="10" customFormat="1" ht="13" customHeight="1" x14ac:dyDescent="0.2">
      <c r="A25" s="42">
        <v>48</v>
      </c>
      <c r="C25" s="10" t="s">
        <v>12</v>
      </c>
      <c r="D25" s="39">
        <f>SUM(D26:D31)</f>
        <v>0</v>
      </c>
    </row>
    <row r="26" spans="1:4" s="10" customFormat="1" ht="13" customHeight="1" x14ac:dyDescent="0.2">
      <c r="A26" s="43">
        <v>4803</v>
      </c>
      <c r="C26" s="38" t="s">
        <v>13</v>
      </c>
      <c r="D26" s="49">
        <f>((IFERROR(VLOOKUP(A26,Balanza!#REF!,4,FALSE),0))-(IFERROR(VLOOKUP(A26,Balanza!#REF!,3,FALSE),0)))</f>
        <v>0</v>
      </c>
    </row>
    <row r="27" spans="1:4" s="10" customFormat="1" ht="13" hidden="1" customHeight="1" x14ac:dyDescent="0.2">
      <c r="A27" s="43">
        <v>4804</v>
      </c>
      <c r="C27" s="38" t="s">
        <v>67</v>
      </c>
      <c r="D27" s="49">
        <f>((IFERROR(VLOOKUP(A27,Balanza!#REF!,4,FALSE),0))-(IFERROR(VLOOKUP(A27,Balanza!#REF!,3,FALSE),0)))</f>
        <v>0</v>
      </c>
    </row>
    <row r="28" spans="1:4" s="10" customFormat="1" ht="13" customHeight="1" x14ac:dyDescent="0.2">
      <c r="A28" s="43">
        <v>4805</v>
      </c>
      <c r="C28" s="38" t="s">
        <v>14</v>
      </c>
      <c r="D28" s="49">
        <f>((IFERROR(VLOOKUP(A28,Balanza!#REF!,4,FALSE),0))-(IFERROR(VLOOKUP(A28,Balanza!#REF!,3,FALSE),0)))</f>
        <v>0</v>
      </c>
    </row>
    <row r="29" spans="1:4" s="10" customFormat="1" ht="13" customHeight="1" x14ac:dyDescent="0.2">
      <c r="A29" s="43">
        <v>4806</v>
      </c>
      <c r="C29" s="38" t="s">
        <v>68</v>
      </c>
      <c r="D29" s="49">
        <f>((IFERROR(VLOOKUP(A29,Balanza!#REF!,4,FALSE),0))-(IFERROR(VLOOKUP(A29,Balanza!#REF!,3,FALSE),0)))</f>
        <v>0</v>
      </c>
    </row>
    <row r="30" spans="1:4" s="10" customFormat="1" ht="13" customHeight="1" x14ac:dyDescent="0.2">
      <c r="A30" s="43">
        <v>4808</v>
      </c>
      <c r="C30" s="38" t="s">
        <v>69</v>
      </c>
      <c r="D30" s="49">
        <f>((IFERROR(VLOOKUP(A30,Balanza!#REF!,4,FALSE),0))-(IFERROR(VLOOKUP(A30,Balanza!#REF!,3,FALSE),0)))</f>
        <v>0</v>
      </c>
    </row>
    <row r="31" spans="1:4" s="10" customFormat="1" ht="13" customHeight="1" x14ac:dyDescent="0.2">
      <c r="A31" s="43">
        <v>4809</v>
      </c>
      <c r="C31" s="38" t="s">
        <v>15</v>
      </c>
      <c r="D31" s="49">
        <f>((IFERROR(VLOOKUP(A31,Balanza!#REF!,4,FALSE),0))-(IFERROR(VLOOKUP(A31,Balanza!#REF!,3,FALSE),0)))</f>
        <v>0</v>
      </c>
    </row>
    <row r="32" spans="1:4" s="10" customFormat="1" ht="13" customHeight="1" x14ac:dyDescent="0.2">
      <c r="B32" s="9"/>
      <c r="D32" s="11"/>
    </row>
    <row r="33" spans="1:4" s="10" customFormat="1" ht="13" customHeight="1" x14ac:dyDescent="0.25">
      <c r="B33" s="192" t="s">
        <v>91</v>
      </c>
      <c r="C33" s="192"/>
      <c r="D33" s="50">
        <f>+D20+D23+D25</f>
        <v>0</v>
      </c>
    </row>
    <row r="34" spans="1:4" s="10" customFormat="1" ht="13" customHeight="1" x14ac:dyDescent="0.2">
      <c r="D34" s="20"/>
    </row>
    <row r="35" spans="1:4" s="10" customFormat="1" ht="13" customHeight="1" x14ac:dyDescent="0.25">
      <c r="B35" s="16" t="s">
        <v>139</v>
      </c>
      <c r="D35" s="47">
        <f>+D17-D33</f>
        <v>0</v>
      </c>
    </row>
    <row r="36" spans="1:4" s="10" customFormat="1" ht="13" customHeight="1" x14ac:dyDescent="0.2">
      <c r="D36" s="20"/>
    </row>
    <row r="37" spans="1:4" s="10" customFormat="1" ht="13" customHeight="1" x14ac:dyDescent="0.25">
      <c r="B37" s="16" t="s">
        <v>77</v>
      </c>
      <c r="D37" s="50">
        <f>+D38+D39</f>
        <v>0</v>
      </c>
    </row>
    <row r="38" spans="1:4" s="10" customFormat="1" ht="13" hidden="1" customHeight="1" x14ac:dyDescent="0.2">
      <c r="A38" s="43">
        <v>5901</v>
      </c>
      <c r="C38" s="38" t="s">
        <v>36</v>
      </c>
      <c r="D38" s="49">
        <f>((IFERROR(VLOOKUP(A38,Balanza!#REF!,4,FALSE),0))-(IFERROR(VLOOKUP(A38,Balanza!#REF!,3,FALSE),0)))</f>
        <v>0</v>
      </c>
    </row>
    <row r="39" spans="1:4" s="10" customFormat="1" ht="13" customHeight="1" x14ac:dyDescent="0.25">
      <c r="A39" s="43">
        <v>5902</v>
      </c>
      <c r="B39" s="16"/>
      <c r="C39" s="38" t="s">
        <v>138</v>
      </c>
      <c r="D39" s="49">
        <f>((IFERROR(VLOOKUP(A39,Balanza!#REF!,4,FALSE),0))-(IFERROR(VLOOKUP(A39,Balanza!#REF!,3,FALSE),0)))</f>
        <v>0</v>
      </c>
    </row>
    <row r="40" spans="1:4" s="10" customFormat="1" ht="13" customHeight="1" x14ac:dyDescent="0.25">
      <c r="B40" s="16"/>
      <c r="D40" s="20"/>
    </row>
    <row r="41" spans="1:4" s="10" customFormat="1" ht="13" customHeight="1" x14ac:dyDescent="0.25">
      <c r="B41" s="16" t="s">
        <v>95</v>
      </c>
      <c r="D41" s="50">
        <f>+D42</f>
        <v>0</v>
      </c>
    </row>
    <row r="42" spans="1:4" s="10" customFormat="1" ht="13" customHeight="1" x14ac:dyDescent="0.2">
      <c r="A42" s="43">
        <v>4902</v>
      </c>
      <c r="C42" s="38" t="s">
        <v>16</v>
      </c>
      <c r="D42" s="49">
        <f>((IFERROR(VLOOKUP(A42,Balanza!#REF!,4,FALSE),0))-(IFERROR(VLOOKUP(A42,Balanza!#REF!,3,FALSE),0)))</f>
        <v>0</v>
      </c>
    </row>
    <row r="43" spans="1:4" s="10" customFormat="1" ht="13" customHeight="1" x14ac:dyDescent="0.25">
      <c r="B43" s="16"/>
      <c r="D43" s="20"/>
    </row>
    <row r="44" spans="1:4" s="10" customFormat="1" ht="13" customHeight="1" x14ac:dyDescent="0.2">
      <c r="D44" s="20"/>
    </row>
    <row r="45" spans="1:4" s="10" customFormat="1" ht="13" customHeight="1" thickBot="1" x14ac:dyDescent="0.3">
      <c r="B45" s="36" t="s">
        <v>93</v>
      </c>
      <c r="D45" s="28">
        <f>+D35+D37-D41</f>
        <v>0</v>
      </c>
    </row>
    <row r="46" spans="1:4" s="10" customFormat="1" ht="13" customHeight="1" thickTop="1" x14ac:dyDescent="0.2">
      <c r="D46" s="32"/>
    </row>
    <row r="47" spans="1:4" s="10" customFormat="1" ht="13" customHeight="1" x14ac:dyDescent="0.2"/>
    <row r="48" spans="1:4" s="10" customFormat="1" ht="13" customHeight="1" x14ac:dyDescent="0.2"/>
    <row r="49" spans="3:4" s="10" customFormat="1" ht="13" customHeight="1" x14ac:dyDescent="0.2"/>
    <row r="50" spans="3:4" s="10" customFormat="1" ht="13" customHeight="1" x14ac:dyDescent="0.2"/>
    <row r="51" spans="3:4" s="10" customFormat="1" ht="13" customHeight="1" x14ac:dyDescent="0.2"/>
    <row r="52" spans="3:4" s="10" customFormat="1" ht="13" customHeight="1" x14ac:dyDescent="0.2"/>
    <row r="53" spans="3:4" s="10" customFormat="1" ht="13" customHeight="1" x14ac:dyDescent="0.2"/>
    <row r="54" spans="3:4" s="10" customFormat="1" ht="13" customHeight="1" x14ac:dyDescent="0.2">
      <c r="C54" s="44" t="s">
        <v>140</v>
      </c>
      <c r="D54" s="18" t="s">
        <v>145</v>
      </c>
    </row>
    <row r="55" spans="3:4" s="10" customFormat="1" ht="13" customHeight="1" x14ac:dyDescent="0.2">
      <c r="C55" s="45" t="s">
        <v>141</v>
      </c>
      <c r="D55" s="19" t="s">
        <v>142</v>
      </c>
    </row>
  </sheetData>
  <mergeCells count="6">
    <mergeCell ref="B33:C33"/>
    <mergeCell ref="C2:D2"/>
    <mergeCell ref="C3:D3"/>
    <mergeCell ref="C4:D4"/>
    <mergeCell ref="B9:C9"/>
    <mergeCell ref="B15:C15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26F6-28CB-432D-86B3-EF098200993C}">
  <sheetPr>
    <tabColor theme="0" tint="-0.249977111117893"/>
  </sheetPr>
  <dimension ref="K18"/>
  <sheetViews>
    <sheetView topLeftCell="A133" workbookViewId="0">
      <selection activeCell="A186" sqref="A186"/>
    </sheetView>
  </sheetViews>
  <sheetFormatPr baseColWidth="10" defaultRowHeight="14.5" x14ac:dyDescent="0.35"/>
  <sheetData>
    <row r="18" spans="11:11" x14ac:dyDescent="0.35">
      <c r="K18">
        <v>3270043776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H48"/>
  <sheetViews>
    <sheetView showGridLines="0" zoomScaleNormal="100" workbookViewId="0">
      <selection activeCell="G40" sqref="G40"/>
    </sheetView>
  </sheetViews>
  <sheetFormatPr baseColWidth="10" defaultColWidth="9.1796875" defaultRowHeight="14.5" x14ac:dyDescent="0.35"/>
  <cols>
    <col min="1" max="1" width="12.26953125" customWidth="1"/>
    <col min="2" max="2" width="45.1796875" customWidth="1"/>
    <col min="3" max="3" width="13.81640625" style="7" customWidth="1"/>
    <col min="4" max="4" width="3.1796875" customWidth="1"/>
    <col min="5" max="5" width="12.2695312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8" s="22" customFormat="1" ht="20.149999999999999" customHeight="1" x14ac:dyDescent="0.35">
      <c r="B1" s="23"/>
      <c r="C1" s="4"/>
      <c r="D1" s="23" t="s">
        <v>78</v>
      </c>
      <c r="E1" s="4"/>
      <c r="F1" s="4"/>
    </row>
    <row r="2" spans="1:8" ht="18" customHeight="1" x14ac:dyDescent="0.35">
      <c r="B2" s="5"/>
      <c r="C2" s="4"/>
      <c r="D2" s="3" t="s">
        <v>166</v>
      </c>
      <c r="E2" s="4"/>
      <c r="F2" s="4"/>
    </row>
    <row r="3" spans="1:8" ht="18" customHeight="1" x14ac:dyDescent="0.35">
      <c r="B3" s="5"/>
      <c r="C3" s="4"/>
      <c r="D3" s="3" t="s">
        <v>79</v>
      </c>
      <c r="E3" s="4"/>
      <c r="F3" s="4"/>
    </row>
    <row r="4" spans="1:8" ht="15" customHeight="1" x14ac:dyDescent="0.35">
      <c r="B4" s="5"/>
      <c r="C4" s="4"/>
      <c r="D4" s="6"/>
      <c r="E4" s="4"/>
      <c r="F4" s="4"/>
    </row>
    <row r="5" spans="1:8" ht="15" customHeight="1" x14ac:dyDescent="0.35">
      <c r="G5" s="8"/>
    </row>
    <row r="6" spans="1:8" ht="13" customHeight="1" x14ac:dyDescent="0.35">
      <c r="A6" s="21">
        <v>1</v>
      </c>
      <c r="B6" s="10" t="s">
        <v>0</v>
      </c>
      <c r="C6" s="11">
        <f>IFERROR(VLOOKUP(A6,Balanza!#REF!,7,FALSE),0)</f>
        <v>0</v>
      </c>
      <c r="E6" s="21">
        <v>2</v>
      </c>
      <c r="F6" s="10" t="s">
        <v>18</v>
      </c>
      <c r="G6" s="11">
        <f>IFERROR(VLOOKUP(E6,Balanza!#REF!,7,FALSE)*-1,0)</f>
        <v>0</v>
      </c>
      <c r="H6" s="12"/>
    </row>
    <row r="7" spans="1:8" s="10" customFormat="1" ht="13" customHeight="1" x14ac:dyDescent="0.2">
      <c r="A7" s="21">
        <v>11</v>
      </c>
      <c r="B7" s="10" t="s">
        <v>1</v>
      </c>
      <c r="C7" s="11">
        <f>IFERROR(VLOOKUP(A7,Balanza!#REF!,7,FALSE),0)</f>
        <v>0</v>
      </c>
      <c r="E7" s="21">
        <v>22</v>
      </c>
      <c r="F7" s="10" t="s">
        <v>71</v>
      </c>
      <c r="G7" s="11">
        <f>IFERROR(VLOOKUP(E7,Balanza!#REF!,7,FALSE)*-1,0)</f>
        <v>0</v>
      </c>
      <c r="H7" s="12"/>
    </row>
    <row r="8" spans="1:8" s="10" customFormat="1" ht="13" customHeight="1" x14ac:dyDescent="0.2">
      <c r="A8" s="21">
        <v>1103</v>
      </c>
      <c r="B8" s="10" t="s">
        <v>2</v>
      </c>
      <c r="C8" s="11">
        <f>IFERROR(VLOOKUP(A8,Balanza!#REF!,7,FALSE),0)</f>
        <v>0</v>
      </c>
      <c r="E8" s="21">
        <v>2201</v>
      </c>
      <c r="F8" s="10" t="s">
        <v>48</v>
      </c>
      <c r="G8" s="11">
        <f>IFERROR(VLOOKUP(E8,Balanza!#REF!,7,FALSE)*-1,0)</f>
        <v>0</v>
      </c>
    </row>
    <row r="9" spans="1:8" s="10" customFormat="1" ht="13" customHeight="1" x14ac:dyDescent="0.2">
      <c r="A9" s="21">
        <v>12</v>
      </c>
      <c r="B9" s="10" t="s">
        <v>3</v>
      </c>
      <c r="C9" s="11">
        <f>IFERROR(VLOOKUP(A9,Balanza!#REF!,7,FALSE),0)</f>
        <v>0</v>
      </c>
      <c r="E9" s="21">
        <v>2203</v>
      </c>
      <c r="F9" s="10" t="s">
        <v>49</v>
      </c>
      <c r="G9" s="11">
        <f>IFERROR(VLOOKUP(E9,Balanza!#REF!,7,FALSE)*-1,0)</f>
        <v>0</v>
      </c>
    </row>
    <row r="10" spans="1:8" s="10" customFormat="1" ht="13" customHeight="1" x14ac:dyDescent="0.2">
      <c r="A10" s="21">
        <v>1201</v>
      </c>
      <c r="B10" s="10" t="s">
        <v>4</v>
      </c>
      <c r="C10" s="11">
        <f>IFERROR(VLOOKUP(A10,Balanza!#REF!,7,FALSE),0)</f>
        <v>0</v>
      </c>
      <c r="E10" s="21">
        <v>24</v>
      </c>
      <c r="F10" s="10" t="s">
        <v>51</v>
      </c>
      <c r="G10" s="11">
        <f>IFERROR(VLOOKUP(E10,Balanza!#REF!,7,FALSE)*-1,0)</f>
        <v>0</v>
      </c>
      <c r="H10" s="12"/>
    </row>
    <row r="11" spans="1:8" s="10" customFormat="1" ht="13" customHeight="1" x14ac:dyDescent="0.2">
      <c r="A11" s="21">
        <v>1203</v>
      </c>
      <c r="B11" s="10" t="s">
        <v>5</v>
      </c>
      <c r="C11" s="11">
        <f>IFERROR(VLOOKUP(A11,Balanza!#REF!,7,FALSE),0)</f>
        <v>0</v>
      </c>
      <c r="E11" s="21">
        <v>2401</v>
      </c>
      <c r="F11" s="10" t="s">
        <v>72</v>
      </c>
      <c r="G11" s="11">
        <f>IFERROR(VLOOKUP(E11,Balanza!#REF!,7,FALSE)*-1,0)</f>
        <v>0</v>
      </c>
    </row>
    <row r="12" spans="1:8" s="10" customFormat="1" ht="13" customHeight="1" x14ac:dyDescent="0.2">
      <c r="A12" s="21">
        <v>1298</v>
      </c>
      <c r="B12" s="10" t="s">
        <v>6</v>
      </c>
      <c r="C12" s="11">
        <f>IFERROR(VLOOKUP(A12,Balanza!#REF!,7,FALSE),0)</f>
        <v>0</v>
      </c>
      <c r="E12" s="21">
        <v>25</v>
      </c>
      <c r="F12" s="10" t="s">
        <v>52</v>
      </c>
      <c r="G12" s="11">
        <f>IFERROR(VLOOKUP(E12,Balanza!#REF!,7,FALSE)*-1,0)</f>
        <v>0</v>
      </c>
      <c r="H12" s="12"/>
    </row>
    <row r="13" spans="1:8" s="10" customFormat="1" ht="13" customHeight="1" x14ac:dyDescent="0.2">
      <c r="A13" s="21">
        <v>14</v>
      </c>
      <c r="B13" s="10" t="s">
        <v>43</v>
      </c>
      <c r="C13" s="11">
        <f>IFERROR(VLOOKUP(A13,Balanza!#REF!,7,FALSE),0)</f>
        <v>0</v>
      </c>
      <c r="E13" s="21">
        <v>2501</v>
      </c>
      <c r="F13" s="10" t="s">
        <v>53</v>
      </c>
      <c r="G13" s="11">
        <f>IFERROR(VLOOKUP(E13,Balanza!#REF!,7,FALSE)*-1,0)</f>
        <v>0</v>
      </c>
      <c r="H13" s="12"/>
    </row>
    <row r="14" spans="1:8" s="10" customFormat="1" ht="13" customHeight="1" x14ac:dyDescent="0.2">
      <c r="A14" s="21">
        <v>1401</v>
      </c>
      <c r="B14" s="10" t="s">
        <v>44</v>
      </c>
      <c r="C14" s="11">
        <f>IFERROR(VLOOKUP(A14,Balanza!#REF!,7,FALSE),0)</f>
        <v>0</v>
      </c>
      <c r="E14" s="21">
        <v>2508</v>
      </c>
      <c r="F14" s="10" t="s">
        <v>54</v>
      </c>
      <c r="G14" s="11">
        <f>IFERROR(VLOOKUP(E14,Balanza!#REF!,7,FALSE)*-1,0)</f>
        <v>0</v>
      </c>
      <c r="H14" s="12"/>
    </row>
    <row r="15" spans="1:8" s="10" customFormat="1" ht="13" customHeight="1" x14ac:dyDescent="0.2">
      <c r="A15" s="21">
        <v>1403</v>
      </c>
      <c r="B15" s="10" t="s">
        <v>70</v>
      </c>
      <c r="C15" s="11">
        <f>IFERROR(VLOOKUP(A15,Balanza!#REF!,7,FALSE),0)</f>
        <v>0</v>
      </c>
      <c r="E15" s="21">
        <v>26</v>
      </c>
      <c r="F15" s="10" t="s">
        <v>55</v>
      </c>
      <c r="G15" s="11">
        <f>IFERROR(VLOOKUP(E15,Balanza!#REF!,7,FALSE)*-1,0)</f>
        <v>0</v>
      </c>
      <c r="H15" s="12"/>
    </row>
    <row r="16" spans="1:8" s="10" customFormat="1" ht="13" customHeight="1" x14ac:dyDescent="0.2">
      <c r="A16" s="21">
        <v>18</v>
      </c>
      <c r="B16" s="10" t="s">
        <v>45</v>
      </c>
      <c r="C16" s="11">
        <f>IFERROR(VLOOKUP(A16,Balanza!#REF!,7,FALSE),0)</f>
        <v>0</v>
      </c>
      <c r="E16" s="21">
        <v>2601</v>
      </c>
      <c r="F16" s="10" t="s">
        <v>56</v>
      </c>
      <c r="G16" s="11">
        <f>IFERROR(VLOOKUP(E16,Balanza!#REF!,7,FALSE)*-1,0)</f>
        <v>0</v>
      </c>
    </row>
    <row r="17" spans="1:8" s="10" customFormat="1" ht="13" customHeight="1" x14ac:dyDescent="0.2">
      <c r="A17" s="21">
        <v>1803</v>
      </c>
      <c r="B17" s="10" t="s">
        <v>46</v>
      </c>
      <c r="C17" s="11">
        <f>IFERROR(VLOOKUP(A17,Balanza!#REF!,7,FALSE),0)</f>
        <v>0</v>
      </c>
      <c r="E17" s="21">
        <v>2602</v>
      </c>
      <c r="F17" s="10" t="s">
        <v>57</v>
      </c>
      <c r="G17" s="11">
        <f>IFERROR(VLOOKUP(E17,Balanza!#REF!,7,FALSE)*-1,0)</f>
        <v>0</v>
      </c>
    </row>
    <row r="18" spans="1:8" s="10" customFormat="1" ht="13" customHeight="1" x14ac:dyDescent="0.2">
      <c r="A18" s="21">
        <v>1899</v>
      </c>
      <c r="B18" s="10" t="s">
        <v>86</v>
      </c>
      <c r="C18" s="11">
        <f>IFERROR(VLOOKUP(A18,Balanza!#REF!,7,FALSE),0)</f>
        <v>0</v>
      </c>
      <c r="E18" s="21">
        <v>27</v>
      </c>
      <c r="F18" s="10" t="s">
        <v>19</v>
      </c>
      <c r="G18" s="11">
        <f>IFERROR(VLOOKUP(E18,Balanza!#REF!,7,FALSE)*-1,0)</f>
        <v>0</v>
      </c>
      <c r="H18" s="15"/>
    </row>
    <row r="19" spans="1:8" s="10" customFormat="1" ht="13" customHeight="1" x14ac:dyDescent="0.2">
      <c r="A19" s="21">
        <v>19</v>
      </c>
      <c r="B19" s="10" t="s">
        <v>7</v>
      </c>
      <c r="C19" s="11">
        <f>IFERROR(VLOOKUP(A19,Balanza!#REF!,7,FALSE),0)</f>
        <v>0</v>
      </c>
      <c r="E19" s="21">
        <v>2701</v>
      </c>
      <c r="F19" s="10" t="s">
        <v>20</v>
      </c>
      <c r="G19" s="11">
        <f>IFERROR(VLOOKUP(E19,Balanza!#REF!,7,FALSE)*-1,0)</f>
        <v>0</v>
      </c>
    </row>
    <row r="20" spans="1:8" s="10" customFormat="1" ht="12.75" customHeight="1" x14ac:dyDescent="0.2">
      <c r="A20" s="21">
        <v>1901</v>
      </c>
      <c r="B20" s="10" t="s">
        <v>42</v>
      </c>
      <c r="C20" s="11">
        <f>IFERROR(VLOOKUP(A20,Balanza!#REF!,7,FALSE),0)</f>
        <v>0</v>
      </c>
      <c r="E20" s="21">
        <v>2702</v>
      </c>
      <c r="F20" s="10" t="s">
        <v>58</v>
      </c>
      <c r="G20" s="11">
        <f>IFERROR(VLOOKUP(E20,Balanza!#REF!,7,FALSE)*-1,0)</f>
        <v>0</v>
      </c>
    </row>
    <row r="21" spans="1:8" s="10" customFormat="1" ht="13" customHeight="1" x14ac:dyDescent="0.2">
      <c r="A21" s="21">
        <v>1902</v>
      </c>
      <c r="B21" s="10" t="s">
        <v>47</v>
      </c>
      <c r="C21" s="11">
        <f>IFERROR(VLOOKUP(A21,Balanza!#REF!,7,FALSE),0)</f>
        <v>0</v>
      </c>
      <c r="E21" s="21">
        <v>2706</v>
      </c>
      <c r="F21" s="10" t="s">
        <v>21</v>
      </c>
      <c r="G21" s="11">
        <f>IFERROR(VLOOKUP(E21,Balanza!#REF!,7,FALSE)*-1,0)</f>
        <v>0</v>
      </c>
      <c r="H21" s="15"/>
    </row>
    <row r="22" spans="1:8" s="10" customFormat="1" ht="13" customHeight="1" x14ac:dyDescent="0.2">
      <c r="A22" s="21">
        <v>1903</v>
      </c>
      <c r="B22" s="10" t="s">
        <v>8</v>
      </c>
      <c r="C22" s="11">
        <f>IFERROR(VLOOKUP(A22,Balanza!#REF!,7,FALSE),0)</f>
        <v>0</v>
      </c>
      <c r="E22" s="21">
        <v>28</v>
      </c>
      <c r="F22" s="10" t="s">
        <v>59</v>
      </c>
      <c r="G22" s="11">
        <f>IFERROR(VLOOKUP(E22,Balanza!#REF!,7,FALSE)*-1,0)</f>
        <v>0</v>
      </c>
    </row>
    <row r="23" spans="1:8" s="10" customFormat="1" ht="13" customHeight="1" x14ac:dyDescent="0.2">
      <c r="A23" s="21"/>
      <c r="C23" s="11"/>
      <c r="E23" s="21">
        <v>2801</v>
      </c>
      <c r="F23" s="10" t="s">
        <v>60</v>
      </c>
      <c r="G23" s="11">
        <f>IFERROR(VLOOKUP(E23,Balanza!#REF!,7,FALSE)*-1,0)</f>
        <v>0</v>
      </c>
    </row>
    <row r="24" spans="1:8" s="10" customFormat="1" ht="13" customHeight="1" x14ac:dyDescent="0.2">
      <c r="A24" s="21"/>
      <c r="C24" s="11"/>
      <c r="E24" s="21">
        <v>29</v>
      </c>
      <c r="F24" s="10" t="s">
        <v>22</v>
      </c>
      <c r="G24" s="11">
        <f>IFERROR(VLOOKUP(E24,Balanza!#REF!,7,FALSE)*-1,0)</f>
        <v>0</v>
      </c>
      <c r="H24" s="15"/>
    </row>
    <row r="25" spans="1:8" s="10" customFormat="1" ht="13" customHeight="1" x14ac:dyDescent="0.2">
      <c r="E25" s="21">
        <v>2907</v>
      </c>
      <c r="F25" s="10" t="s">
        <v>61</v>
      </c>
      <c r="G25" s="11">
        <f>IFERROR(VLOOKUP(E25,Balanza!#REF!,7,FALSE)*-1,0)</f>
        <v>0</v>
      </c>
    </row>
    <row r="26" spans="1:8" s="10" customFormat="1" ht="13" customHeight="1" x14ac:dyDescent="0.2">
      <c r="A26" s="21"/>
      <c r="C26" s="11"/>
      <c r="E26" s="21">
        <v>3</v>
      </c>
      <c r="F26" s="10" t="s">
        <v>23</v>
      </c>
      <c r="G26" s="11">
        <f>+G27+G28+G30+G32</f>
        <v>6037291.3500000006</v>
      </c>
      <c r="H26" s="15"/>
    </row>
    <row r="27" spans="1:8" s="10" customFormat="1" ht="13" customHeight="1" x14ac:dyDescent="0.2">
      <c r="E27" s="21">
        <v>31</v>
      </c>
      <c r="F27" s="10" t="s">
        <v>24</v>
      </c>
      <c r="G27" s="11">
        <v>6015000</v>
      </c>
    </row>
    <row r="28" spans="1:8" s="10" customFormat="1" ht="13" customHeight="1" x14ac:dyDescent="0.2">
      <c r="E28" s="21">
        <v>35</v>
      </c>
      <c r="F28" s="10" t="s">
        <v>25</v>
      </c>
      <c r="G28" s="11">
        <v>168167.75</v>
      </c>
    </row>
    <row r="29" spans="1:8" s="10" customFormat="1" ht="13" customHeight="1" x14ac:dyDescent="0.2">
      <c r="A29" s="21"/>
      <c r="C29" s="11"/>
      <c r="E29" s="21">
        <v>3501</v>
      </c>
      <c r="F29" s="10" t="s">
        <v>26</v>
      </c>
      <c r="G29" s="11">
        <v>168167.75</v>
      </c>
    </row>
    <row r="30" spans="1:8" s="10" customFormat="1" ht="13" customHeight="1" x14ac:dyDescent="0.2">
      <c r="A30" s="9"/>
      <c r="C30" s="11"/>
      <c r="E30" s="21">
        <v>36</v>
      </c>
      <c r="F30" s="10" t="s">
        <v>27</v>
      </c>
      <c r="G30" s="11">
        <v>8281.23</v>
      </c>
    </row>
    <row r="31" spans="1:8" s="10" customFormat="1" ht="13" customHeight="1" x14ac:dyDescent="0.2">
      <c r="A31" s="9"/>
      <c r="C31" s="11"/>
      <c r="E31" s="21">
        <v>3602</v>
      </c>
      <c r="F31" s="10" t="s">
        <v>28</v>
      </c>
      <c r="G31" s="11">
        <v>8281.23</v>
      </c>
    </row>
    <row r="32" spans="1:8" s="10" customFormat="1" ht="13" customHeight="1" x14ac:dyDescent="0.2">
      <c r="E32" s="21">
        <v>38</v>
      </c>
      <c r="F32" s="10" t="s">
        <v>29</v>
      </c>
      <c r="G32" s="11">
        <f>+G33+G34</f>
        <v>-154157.63</v>
      </c>
      <c r="H32" s="14">
        <v>-253552.55000000002</v>
      </c>
    </row>
    <row r="33" spans="1:8" s="10" customFormat="1" ht="13" customHeight="1" x14ac:dyDescent="0.2">
      <c r="E33" s="21">
        <v>3801</v>
      </c>
      <c r="F33" s="10" t="s">
        <v>63</v>
      </c>
      <c r="G33" s="11">
        <f>+'ER1'!G28</f>
        <v>0</v>
      </c>
    </row>
    <row r="34" spans="1:8" s="10" customFormat="1" ht="13" customHeight="1" x14ac:dyDescent="0.2">
      <c r="E34" s="21">
        <v>3802</v>
      </c>
      <c r="F34" s="10" t="s">
        <v>30</v>
      </c>
      <c r="G34" s="11">
        <v>-154157.63</v>
      </c>
    </row>
    <row r="35" spans="1:8" s="10" customFormat="1" ht="13" customHeight="1" x14ac:dyDescent="0.2"/>
    <row r="36" spans="1:8" s="10" customFormat="1" ht="13" customHeight="1" x14ac:dyDescent="0.25">
      <c r="A36" s="16" t="s">
        <v>80</v>
      </c>
      <c r="B36" s="16"/>
      <c r="C36" s="17">
        <f>+C6</f>
        <v>0</v>
      </c>
      <c r="E36" s="16" t="s">
        <v>81</v>
      </c>
      <c r="F36" s="16"/>
      <c r="G36" s="17">
        <f>+G6+G26</f>
        <v>6037291.3500000006</v>
      </c>
    </row>
    <row r="37" spans="1:8" s="10" customFormat="1" ht="13" customHeight="1" x14ac:dyDescent="0.2">
      <c r="A37" s="9"/>
      <c r="C37" s="11"/>
    </row>
    <row r="38" spans="1:8" s="10" customFormat="1" ht="13" customHeight="1" x14ac:dyDescent="0.2">
      <c r="A38" s="9"/>
      <c r="C38" s="11"/>
    </row>
    <row r="39" spans="1:8" s="10" customFormat="1" ht="13" customHeight="1" x14ac:dyDescent="0.2">
      <c r="A39" s="21">
        <v>8</v>
      </c>
      <c r="B39" s="10" t="s">
        <v>38</v>
      </c>
      <c r="C39" s="11">
        <f>IFERROR(VLOOKUP(A39,Balanza!#REF!,7,FALSE),0)</f>
        <v>0</v>
      </c>
      <c r="E39" s="21">
        <v>9</v>
      </c>
      <c r="F39" s="10" t="s">
        <v>41</v>
      </c>
      <c r="G39" s="11">
        <f>IFERROR(VLOOKUP(E39,Balanza!#REF!,7,FALSE),0)*-1</f>
        <v>0</v>
      </c>
    </row>
    <row r="40" spans="1:8" s="10" customFormat="1" ht="13" customHeight="1" x14ac:dyDescent="0.2">
      <c r="A40" s="21">
        <v>81</v>
      </c>
      <c r="B40" s="10" t="s">
        <v>39</v>
      </c>
      <c r="C40" s="11">
        <f>IFERROR(VLOOKUP(A40,Balanza!#REF!,7,FALSE),0)</f>
        <v>0</v>
      </c>
    </row>
    <row r="41" spans="1:8" s="10" customFormat="1" ht="13" customHeight="1" x14ac:dyDescent="0.2">
      <c r="A41" s="21">
        <v>8103</v>
      </c>
      <c r="B41" s="10" t="s">
        <v>40</v>
      </c>
      <c r="C41" s="11">
        <f>IFERROR(VLOOKUP(A41,Balanza!#REF!,7,FALSE),0)</f>
        <v>0</v>
      </c>
    </row>
    <row r="42" spans="1:8" s="10" customFormat="1" ht="13" customHeight="1" x14ac:dyDescent="0.2"/>
    <row r="43" spans="1:8" s="10" customFormat="1" ht="13" customHeight="1" x14ac:dyDescent="0.2"/>
    <row r="44" spans="1:8" s="10" customFormat="1" ht="13" customHeight="1" x14ac:dyDescent="0.2">
      <c r="A44" s="9"/>
      <c r="G44" s="15"/>
    </row>
    <row r="45" spans="1:8" s="10" customFormat="1" ht="13" customHeight="1" x14ac:dyDescent="0.2">
      <c r="G45" s="15"/>
    </row>
    <row r="46" spans="1:8" s="10" customFormat="1" ht="15" customHeight="1" x14ac:dyDescent="0.2"/>
    <row r="47" spans="1:8" s="10" customFormat="1" ht="15" customHeight="1" x14ac:dyDescent="0.2">
      <c r="B47" s="18" t="s">
        <v>82</v>
      </c>
      <c r="C47" s="11"/>
      <c r="F47" s="18" t="s">
        <v>145</v>
      </c>
      <c r="G47" s="15"/>
      <c r="H47" s="20"/>
    </row>
    <row r="48" spans="1:8" s="10" customFormat="1" ht="15" customHeight="1" x14ac:dyDescent="0.2">
      <c r="B48" s="19" t="s">
        <v>84</v>
      </c>
      <c r="F48" s="19" t="s">
        <v>142</v>
      </c>
    </row>
  </sheetData>
  <printOptions horizontalCentered="1"/>
  <pageMargins left="0.51181102362204722" right="0.51181102362204722" top="0.55118110236220474" bottom="0.55118110236220474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  <pageSetUpPr fitToPage="1"/>
  </sheetPr>
  <dimension ref="A1:H66"/>
  <sheetViews>
    <sheetView showGridLines="0" tabSelected="1" zoomScale="90" zoomScaleNormal="90" workbookViewId="0">
      <selection activeCell="G12" sqref="G12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style="129" customWidth="1"/>
    <col min="4" max="4" width="15.08984375" style="7" customWidth="1"/>
    <col min="5" max="5" width="3.1796875" customWidth="1"/>
    <col min="6" max="6" width="16.45312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7" s="22" customFormat="1" ht="20.149999999999999" customHeight="1" x14ac:dyDescent="0.35">
      <c r="B1" s="3" t="s">
        <v>78</v>
      </c>
      <c r="C1" s="127"/>
      <c r="D1" s="4"/>
    </row>
    <row r="2" spans="1:7" ht="18" customHeight="1" x14ac:dyDescent="0.35">
      <c r="B2" s="3" t="s">
        <v>774</v>
      </c>
      <c r="C2" s="127"/>
      <c r="D2" s="4"/>
    </row>
    <row r="3" spans="1:7" ht="18" customHeight="1" x14ac:dyDescent="0.35">
      <c r="B3" s="3" t="s">
        <v>79</v>
      </c>
      <c r="C3" s="127"/>
      <c r="D3" s="4"/>
    </row>
    <row r="4" spans="1:7" ht="15" customHeight="1" x14ac:dyDescent="0.35">
      <c r="B4" s="3"/>
      <c r="C4" s="127"/>
      <c r="D4" s="4"/>
    </row>
    <row r="5" spans="1:7" ht="13" customHeight="1" x14ac:dyDescent="0.35">
      <c r="A5" s="40" t="s">
        <v>96</v>
      </c>
      <c r="B5" s="10"/>
      <c r="C5" s="128"/>
      <c r="D5" s="80"/>
    </row>
    <row r="6" spans="1:7" s="10" customFormat="1" ht="13" customHeight="1" x14ac:dyDescent="0.25">
      <c r="A6" s="40" t="s">
        <v>97</v>
      </c>
      <c r="C6" s="128"/>
      <c r="D6" s="80"/>
    </row>
    <row r="7" spans="1:7" s="10" customFormat="1" ht="13" customHeight="1" x14ac:dyDescent="0.2">
      <c r="A7" s="21" t="s">
        <v>98</v>
      </c>
      <c r="C7" s="121">
        <f>((VLOOKUP(1101,Balanza!A:F,6,FALSE))+(VLOOKUP(1103,Balanza!A:F,6,FALSE))+(VLOOKUP(1104,Balanza!A:F,6,FALSE)))</f>
        <v>1792045.13</v>
      </c>
      <c r="D7" s="79"/>
    </row>
    <row r="8" spans="1:7" s="10" customFormat="1" ht="13" customHeight="1" x14ac:dyDescent="0.2">
      <c r="A8" s="21" t="s">
        <v>167</v>
      </c>
      <c r="C8" s="122">
        <f>(VLOOKUP(1102,Balanza!A:F,6,FALSE))</f>
        <v>5297.72</v>
      </c>
      <c r="D8" s="79"/>
    </row>
    <row r="9" spans="1:7" s="10" customFormat="1" ht="13" customHeight="1" x14ac:dyDescent="0.2">
      <c r="A9" s="21" t="s">
        <v>133</v>
      </c>
      <c r="C9" s="122">
        <f>(VLOOKUP(12,Balanza!A:F,6,FALSE))</f>
        <v>10405195.17</v>
      </c>
      <c r="D9" s="79"/>
    </row>
    <row r="10" spans="1:7" s="10" customFormat="1" ht="13" customHeight="1" x14ac:dyDescent="0.2">
      <c r="A10" s="21" t="s">
        <v>134</v>
      </c>
      <c r="C10" s="122">
        <f>(VLOOKUP(13,Balanza!A:F,6,FALSE))</f>
        <v>2581201.4900000002</v>
      </c>
      <c r="D10" s="77"/>
      <c r="F10" s="73"/>
      <c r="G10" s="73"/>
    </row>
    <row r="11" spans="1:7" s="10" customFormat="1" ht="13" customHeight="1" x14ac:dyDescent="0.2">
      <c r="A11" s="21" t="s">
        <v>135</v>
      </c>
      <c r="C11" s="122">
        <f>(VLOOKUP(14,Balanza!A:F,6,FALSE))</f>
        <v>1498535.47</v>
      </c>
      <c r="D11" s="77"/>
    </row>
    <row r="12" spans="1:7" s="10" customFormat="1" ht="13" customHeight="1" x14ac:dyDescent="0.2">
      <c r="A12" s="21" t="s">
        <v>99</v>
      </c>
      <c r="C12" s="122">
        <f>(VLOOKUP(16,Balanza!A:F,6,FALSE))</f>
        <v>1459812.9</v>
      </c>
      <c r="D12" s="77"/>
    </row>
    <row r="13" spans="1:7" s="10" customFormat="1" ht="13" customHeight="1" x14ac:dyDescent="0.25">
      <c r="A13" s="40" t="s">
        <v>100</v>
      </c>
      <c r="C13" s="123"/>
      <c r="D13" s="78">
        <f>SUM(C7:C12)</f>
        <v>17742087.879999999</v>
      </c>
      <c r="F13" s="73"/>
    </row>
    <row r="14" spans="1:7" s="10" customFormat="1" ht="13" customHeight="1" x14ac:dyDescent="0.25">
      <c r="A14" s="40" t="s">
        <v>7</v>
      </c>
      <c r="C14" s="124"/>
      <c r="D14" s="77"/>
    </row>
    <row r="15" spans="1:7" s="10" customFormat="1" ht="13" customHeight="1" x14ac:dyDescent="0.2">
      <c r="A15" s="21" t="s">
        <v>599</v>
      </c>
      <c r="C15" s="121">
        <f>(VLOOKUP(1905,Balanza!A:F,6,FALSE))+(VLOOKUP(1999020,Balanza!A:F,6,FALSE))</f>
        <v>0</v>
      </c>
      <c r="D15" s="77"/>
    </row>
    <row r="16" spans="1:7" s="10" customFormat="1" ht="13" customHeight="1" x14ac:dyDescent="0.2">
      <c r="A16" s="21" t="s">
        <v>101</v>
      </c>
      <c r="C16" s="122">
        <f>IFERROR(VLOOKUP(17,Balanza!A:F,6,FALSE),0)</f>
        <v>0</v>
      </c>
      <c r="D16" s="77"/>
    </row>
    <row r="17" spans="1:8" s="10" customFormat="1" ht="13" customHeight="1" x14ac:dyDescent="0.2">
      <c r="A17" s="21" t="s">
        <v>117</v>
      </c>
      <c r="C17" s="125">
        <f>(VLOOKUP(1901,Balanza!A:F,6,FALSE)+(VLOOKUP(1902,Balanza!A:F,6,FALSE))+(VLOOKUP(1903,Balanza!A:F,6,FALSE))+(VLOOKUP(1904,Balanza!A:F,6,FALSE))+(VLOOKUP(1999010,Balanza!A:F,6,FALSE)))</f>
        <v>1323862.3999999999</v>
      </c>
      <c r="D17" s="79"/>
    </row>
    <row r="18" spans="1:8" s="10" customFormat="1" ht="13" customHeight="1" x14ac:dyDescent="0.25">
      <c r="A18" s="40" t="s">
        <v>102</v>
      </c>
      <c r="C18" s="124"/>
      <c r="D18" s="78">
        <f>SUM(C15:C17)</f>
        <v>1323862.3999999999</v>
      </c>
    </row>
    <row r="19" spans="1:8" s="10" customFormat="1" ht="13" customHeight="1" x14ac:dyDescent="0.25">
      <c r="A19" s="40" t="s">
        <v>103</v>
      </c>
      <c r="C19" s="124"/>
      <c r="D19" s="77"/>
    </row>
    <row r="20" spans="1:8" s="10" customFormat="1" ht="13" customHeight="1" x14ac:dyDescent="0.2">
      <c r="A20" s="10" t="s">
        <v>136</v>
      </c>
      <c r="C20" s="125">
        <f>(VLOOKUP(18,Balanza!A:F,6,FALSE))</f>
        <v>33948.519999999997</v>
      </c>
      <c r="D20" s="79"/>
    </row>
    <row r="21" spans="1:8" s="10" customFormat="1" ht="13" customHeight="1" x14ac:dyDescent="0.25">
      <c r="A21" s="16" t="s">
        <v>104</v>
      </c>
      <c r="C21" s="124"/>
      <c r="D21" s="82">
        <f>SUM(C20)</f>
        <v>33948.519999999997</v>
      </c>
    </row>
    <row r="22" spans="1:8" s="10" customFormat="1" ht="13" customHeight="1" thickBot="1" x14ac:dyDescent="0.3">
      <c r="A22" s="30" t="s">
        <v>106</v>
      </c>
      <c r="C22" s="124"/>
      <c r="D22" s="84">
        <f>SUM(D13:D21)</f>
        <v>19099898.799999997</v>
      </c>
      <c r="F22" s="73"/>
      <c r="G22" s="20"/>
      <c r="H22" s="20"/>
    </row>
    <row r="23" spans="1:8" s="10" customFormat="1" ht="13" customHeight="1" thickTop="1" x14ac:dyDescent="0.2">
      <c r="A23" s="9" t="s">
        <v>105</v>
      </c>
      <c r="C23" s="124"/>
      <c r="D23" s="77"/>
      <c r="F23" s="20"/>
      <c r="G23" s="104"/>
      <c r="H23" s="107"/>
    </row>
    <row r="24" spans="1:8" s="10" customFormat="1" ht="13" customHeight="1" x14ac:dyDescent="0.25">
      <c r="A24" s="40" t="s">
        <v>132</v>
      </c>
      <c r="C24" s="124"/>
      <c r="D24" s="77"/>
      <c r="F24" s="105"/>
    </row>
    <row r="25" spans="1:8" s="10" customFormat="1" ht="13" customHeight="1" x14ac:dyDescent="0.25">
      <c r="A25" s="30" t="s">
        <v>107</v>
      </c>
      <c r="C25" s="121"/>
      <c r="D25" s="77"/>
    </row>
    <row r="26" spans="1:8" s="10" customFormat="1" ht="13" customHeight="1" x14ac:dyDescent="0.2">
      <c r="A26" s="9" t="s">
        <v>108</v>
      </c>
      <c r="C26" s="121">
        <f>-(VLOOKUP(21,Balanza!A:F,6,FALSE))</f>
        <v>352242.31</v>
      </c>
      <c r="D26" s="77"/>
    </row>
    <row r="27" spans="1:8" s="10" customFormat="1" ht="13" customHeight="1" x14ac:dyDescent="0.2">
      <c r="A27" s="21" t="s">
        <v>109</v>
      </c>
      <c r="C27" s="121">
        <f>-(VLOOKUP(25,Balanza!A:F,6,FALSE))</f>
        <v>0</v>
      </c>
      <c r="D27" s="77"/>
    </row>
    <row r="28" spans="1:8" s="10" customFormat="1" ht="13" customHeight="1" x14ac:dyDescent="0.2">
      <c r="A28" s="21" t="s">
        <v>110</v>
      </c>
      <c r="C28" s="121">
        <f>-(VLOOKUP(24,Balanza!A:F,6,FALSE))</f>
        <v>1053473.3600000001</v>
      </c>
      <c r="D28" s="77"/>
    </row>
    <row r="29" spans="1:8" s="10" customFormat="1" ht="13" customHeight="1" x14ac:dyDescent="0.2">
      <c r="A29" s="21" t="s">
        <v>111</v>
      </c>
      <c r="C29" s="121">
        <f>-(VLOOKUP(26,Balanza!A:F,6,FALSE))</f>
        <v>272086.28000000003</v>
      </c>
      <c r="D29" s="77"/>
    </row>
    <row r="30" spans="1:8" s="10" customFormat="1" ht="13" customHeight="1" x14ac:dyDescent="0.2">
      <c r="A30" s="10" t="s">
        <v>112</v>
      </c>
      <c r="C30" s="125">
        <f>-IFERROR((VLOOKUP(250401,Balanza!A:F,6,FALSE)),0)</f>
        <v>0</v>
      </c>
      <c r="D30" s="79"/>
    </row>
    <row r="31" spans="1:8" s="10" customFormat="1" ht="13" customHeight="1" x14ac:dyDescent="0.25">
      <c r="A31" s="16" t="s">
        <v>113</v>
      </c>
      <c r="C31" s="137"/>
      <c r="D31" s="85">
        <f>SUM(C26:C30)</f>
        <v>1677801.9500000002</v>
      </c>
    </row>
    <row r="32" spans="1:8" s="10" customFormat="1" ht="13" customHeight="1" x14ac:dyDescent="0.25">
      <c r="A32" s="16" t="s">
        <v>114</v>
      </c>
      <c r="C32" s="122"/>
      <c r="D32" s="79"/>
    </row>
    <row r="33" spans="1:7" s="10" customFormat="1" ht="13" customHeight="1" x14ac:dyDescent="0.2">
      <c r="A33" s="10" t="s">
        <v>115</v>
      </c>
      <c r="C33" s="121">
        <f>-(VLOOKUP(27,Balanza!A:F,6,FALSE))</f>
        <v>966420.84</v>
      </c>
      <c r="D33" s="79"/>
    </row>
    <row r="34" spans="1:7" s="10" customFormat="1" ht="13" customHeight="1" x14ac:dyDescent="0.2">
      <c r="A34" s="9" t="s">
        <v>116</v>
      </c>
      <c r="C34" s="121">
        <f>-(VLOOKUP(28,Balanza!A:F,6,FALSE))</f>
        <v>102356.19</v>
      </c>
      <c r="D34" s="79"/>
    </row>
    <row r="35" spans="1:7" s="10" customFormat="1" ht="13" customHeight="1" x14ac:dyDescent="0.2">
      <c r="A35" s="10" t="s">
        <v>598</v>
      </c>
      <c r="C35" s="125">
        <f>-(VLOOKUP(29,Balanza!A:F,6,FALSE))</f>
        <v>3073.59</v>
      </c>
      <c r="D35" s="79"/>
    </row>
    <row r="36" spans="1:7" s="10" customFormat="1" ht="13" customHeight="1" x14ac:dyDescent="0.25">
      <c r="A36" s="16" t="s">
        <v>118</v>
      </c>
      <c r="C36" s="137"/>
      <c r="D36" s="85">
        <f>SUM(C33:C35)</f>
        <v>1071850.6200000001</v>
      </c>
    </row>
    <row r="37" spans="1:7" s="10" customFormat="1" ht="13" customHeight="1" x14ac:dyDescent="0.25">
      <c r="A37" s="16" t="s">
        <v>119</v>
      </c>
      <c r="C37" s="121"/>
      <c r="D37" s="79"/>
    </row>
    <row r="38" spans="1:7" s="10" customFormat="1" ht="13" customHeight="1" x14ac:dyDescent="0.2">
      <c r="A38" s="10" t="s">
        <v>120</v>
      </c>
      <c r="C38" s="121">
        <f>-((VLOOKUP(220101,Balanza!A:F,6,FALSE))-(VLOOKUP(2202,Balanza!A:F,6,FALSE)))</f>
        <v>22830.14</v>
      </c>
      <c r="D38" s="79"/>
    </row>
    <row r="39" spans="1:7" s="10" customFormat="1" ht="13" customHeight="1" x14ac:dyDescent="0.2">
      <c r="A39" s="10" t="s">
        <v>121</v>
      </c>
      <c r="C39" s="125">
        <f>(-(VLOOKUP(220102,Balanza!A:F,6,FALSE))-(VLOOKUP(220103,Balanza!A:F,6,FALSE))-(VLOOKUP(220104,Balanza!A:F,6,FALSE))-(VLOOKUP(220109,Balanza!A:F,6,FALSE))-(VLOOKUP(2203,Balanza!A:F,6,FALSE))-(VLOOKUP(2204,Balanza!A:F,6,FALSE))-(VLOOKUP(2205,Balanza!A:F,6,FALSE))-(VLOOKUP(2206,Balanza!A:F,6,FALSE))-(VLOOKUP(2207,Balanza!A:F,6,FALSE))-(VLOOKUP(2208,Balanza!A:F,6,FALSE)))</f>
        <v>1789905.56</v>
      </c>
      <c r="D39" s="79"/>
    </row>
    <row r="40" spans="1:7" s="10" customFormat="1" ht="13" customHeight="1" x14ac:dyDescent="0.25">
      <c r="A40" s="16" t="s">
        <v>122</v>
      </c>
      <c r="C40" s="137"/>
      <c r="D40" s="81">
        <f>SUM(C38:C39)</f>
        <v>1812735.7</v>
      </c>
    </row>
    <row r="41" spans="1:7" s="10" customFormat="1" ht="13" customHeight="1" x14ac:dyDescent="0.25">
      <c r="A41" s="16" t="s">
        <v>50</v>
      </c>
      <c r="C41" s="121"/>
      <c r="D41" s="79"/>
    </row>
    <row r="42" spans="1:7" s="10" customFormat="1" ht="13" customHeight="1" x14ac:dyDescent="0.2">
      <c r="A42" s="10" t="s">
        <v>123</v>
      </c>
      <c r="C42" s="121">
        <f>-(VLOOKUP(2301,Balanza!A:F,6,FALSE))</f>
        <v>3551794.49</v>
      </c>
    </row>
    <row r="43" spans="1:7" s="10" customFormat="1" ht="13" customHeight="1" x14ac:dyDescent="0.2">
      <c r="A43" s="10" t="s">
        <v>124</v>
      </c>
      <c r="C43" s="125">
        <f>-(VLOOKUP(2302,Balanza!A:F,6,FALSE))</f>
        <v>532295.22</v>
      </c>
    </row>
    <row r="44" spans="1:7" s="10" customFormat="1" ht="13" customHeight="1" x14ac:dyDescent="0.25">
      <c r="A44" s="16" t="s">
        <v>125</v>
      </c>
      <c r="C44" s="124"/>
      <c r="D44" s="83">
        <f>SUM(C42:C43)</f>
        <v>4084089.71</v>
      </c>
    </row>
    <row r="45" spans="1:7" s="10" customFormat="1" ht="13" customHeight="1" x14ac:dyDescent="0.25">
      <c r="A45" s="16" t="s">
        <v>126</v>
      </c>
      <c r="C45" s="124"/>
      <c r="D45" s="83">
        <f>SUM(D31:D44)</f>
        <v>8646477.9800000004</v>
      </c>
      <c r="F45" s="46"/>
    </row>
    <row r="46" spans="1:7" s="10" customFormat="1" ht="13" customHeight="1" x14ac:dyDescent="0.2">
      <c r="A46" s="10" t="s">
        <v>105</v>
      </c>
      <c r="C46" s="124"/>
      <c r="D46" s="77"/>
      <c r="G46" s="73"/>
    </row>
    <row r="47" spans="1:7" s="10" customFormat="1" ht="13" customHeight="1" x14ac:dyDescent="0.25">
      <c r="A47" s="16" t="s">
        <v>127</v>
      </c>
      <c r="C47" s="124"/>
      <c r="D47" s="77"/>
    </row>
    <row r="48" spans="1:7" s="10" customFormat="1" ht="13" customHeight="1" x14ac:dyDescent="0.2">
      <c r="A48" s="10" t="s">
        <v>128</v>
      </c>
      <c r="C48" s="121">
        <f>-(VLOOKUP(3101,Balanza!A:F,6,FALSE))</f>
        <v>11015000</v>
      </c>
      <c r="D48" s="79"/>
      <c r="F48" s="73"/>
      <c r="G48" s="73"/>
    </row>
    <row r="49" spans="1:7" s="10" customFormat="1" ht="13" customHeight="1" x14ac:dyDescent="0.2">
      <c r="A49" s="10" t="s">
        <v>173</v>
      </c>
      <c r="C49" s="121">
        <f>-(VLOOKUP(35,Balanza!A:F,6,FALSE))</f>
        <v>740572.54</v>
      </c>
      <c r="D49" s="79"/>
      <c r="F49" s="20"/>
      <c r="G49" s="73"/>
    </row>
    <row r="50" spans="1:7" s="10" customFormat="1" ht="13" customHeight="1" x14ac:dyDescent="0.2">
      <c r="A50" s="10" t="s">
        <v>172</v>
      </c>
      <c r="C50" s="121">
        <f>-(VLOOKUP(36,Balanza!A:F,6,FALSE))</f>
        <v>184527</v>
      </c>
      <c r="D50" s="79"/>
      <c r="F50" s="105"/>
    </row>
    <row r="51" spans="1:7" s="10" customFormat="1" ht="13" customHeight="1" x14ac:dyDescent="0.2">
      <c r="A51" s="10" t="s">
        <v>174</v>
      </c>
      <c r="C51" s="154">
        <f>+ER!E40</f>
        <v>-1250478.149999998</v>
      </c>
      <c r="D51" s="79"/>
      <c r="G51" s="73"/>
    </row>
    <row r="52" spans="1:7" s="10" customFormat="1" ht="13" customHeight="1" x14ac:dyDescent="0.2">
      <c r="A52" s="10" t="s">
        <v>175</v>
      </c>
      <c r="C52" s="155">
        <f>-(VLOOKUP(3802,Balanza!A:F,6,FALSE))</f>
        <v>-236200.57</v>
      </c>
      <c r="D52" s="79"/>
      <c r="G52" s="73"/>
    </row>
    <row r="53" spans="1:7" s="10" customFormat="1" ht="13" customHeight="1" x14ac:dyDescent="0.25">
      <c r="A53" s="16" t="s">
        <v>129</v>
      </c>
      <c r="C53" s="124"/>
      <c r="D53" s="83">
        <f>SUM(C48:C52)</f>
        <v>10453420.82</v>
      </c>
      <c r="F53" s="46"/>
      <c r="G53" s="106"/>
    </row>
    <row r="54" spans="1:7" s="10" customFormat="1" ht="8.15" customHeight="1" x14ac:dyDescent="0.2">
      <c r="C54" s="124"/>
      <c r="D54" s="77"/>
    </row>
    <row r="55" spans="1:7" s="10" customFormat="1" ht="13" customHeight="1" thickBot="1" x14ac:dyDescent="0.3">
      <c r="A55" s="16" t="s">
        <v>130</v>
      </c>
      <c r="C55" s="124"/>
      <c r="D55" s="84">
        <f>SUM(D45:D53)</f>
        <v>19099898.800000001</v>
      </c>
      <c r="G55" s="73"/>
    </row>
    <row r="56" spans="1:7" s="10" customFormat="1" ht="13" customHeight="1" thickTop="1" x14ac:dyDescent="0.2">
      <c r="C56" s="128"/>
    </row>
    <row r="57" spans="1:7" s="10" customFormat="1" ht="13" customHeight="1" x14ac:dyDescent="0.2">
      <c r="C57" s="128"/>
    </row>
    <row r="58" spans="1:7" s="10" customFormat="1" ht="13" customHeight="1" x14ac:dyDescent="0.2">
      <c r="C58" s="128"/>
    </row>
    <row r="59" spans="1:7" s="10" customFormat="1" ht="13" customHeight="1" x14ac:dyDescent="0.2">
      <c r="C59" s="128"/>
    </row>
    <row r="60" spans="1:7" s="10" customFormat="1" ht="13" customHeight="1" x14ac:dyDescent="0.2">
      <c r="A60" s="18" t="s">
        <v>140</v>
      </c>
      <c r="C60" s="128"/>
      <c r="D60" s="191" t="s">
        <v>776</v>
      </c>
    </row>
    <row r="61" spans="1:7" s="10" customFormat="1" ht="13" customHeight="1" x14ac:dyDescent="0.2">
      <c r="A61" s="19" t="s">
        <v>84</v>
      </c>
      <c r="C61" s="128"/>
      <c r="D61" s="19" t="s">
        <v>146</v>
      </c>
    </row>
    <row r="66" spans="6:6" x14ac:dyDescent="0.35">
      <c r="F66" s="133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"/>
  <sheetViews>
    <sheetView showGridLines="0" topLeftCell="A7" zoomScaleNormal="100" workbookViewId="0">
      <selection activeCell="H22" sqref="H22"/>
    </sheetView>
  </sheetViews>
  <sheetFormatPr baseColWidth="10" defaultColWidth="9.1796875" defaultRowHeight="14.5" x14ac:dyDescent="0.35"/>
  <cols>
    <col min="1" max="1" width="15" customWidth="1"/>
    <col min="2" max="2" width="43" customWidth="1"/>
    <col min="3" max="3" width="13.81640625" style="7" customWidth="1"/>
    <col min="4" max="4" width="3.1796875" customWidth="1"/>
    <col min="5" max="5" width="45.1796875" customWidth="1"/>
    <col min="6" max="6" width="13.81640625" customWidth="1"/>
    <col min="7" max="7" width="12.7265625" customWidth="1"/>
    <col min="9" max="9" width="14.1796875" customWidth="1"/>
    <col min="256" max="256" width="18.1796875" customWidth="1"/>
    <col min="257" max="257" width="45.1796875" customWidth="1"/>
    <col min="258" max="258" width="13.81640625" customWidth="1"/>
    <col min="259" max="259" width="9.1796875" customWidth="1"/>
    <col min="260" max="260" width="18.1796875" customWidth="1"/>
    <col min="261" max="261" width="45.1796875" customWidth="1"/>
    <col min="262" max="262" width="13.81640625" customWidth="1"/>
    <col min="263" max="263" width="12.7265625" customWidth="1"/>
    <col min="265" max="265" width="14.1796875" customWidth="1"/>
    <col min="512" max="512" width="18.1796875" customWidth="1"/>
    <col min="513" max="513" width="45.1796875" customWidth="1"/>
    <col min="514" max="514" width="13.81640625" customWidth="1"/>
    <col min="515" max="515" width="9.1796875" customWidth="1"/>
    <col min="516" max="516" width="18.1796875" customWidth="1"/>
    <col min="517" max="517" width="45.1796875" customWidth="1"/>
    <col min="518" max="518" width="13.81640625" customWidth="1"/>
    <col min="519" max="519" width="12.7265625" customWidth="1"/>
    <col min="521" max="521" width="14.1796875" customWidth="1"/>
    <col min="768" max="768" width="18.1796875" customWidth="1"/>
    <col min="769" max="769" width="45.1796875" customWidth="1"/>
    <col min="770" max="770" width="13.81640625" customWidth="1"/>
    <col min="771" max="771" width="9.1796875" customWidth="1"/>
    <col min="772" max="772" width="18.1796875" customWidth="1"/>
    <col min="773" max="773" width="45.1796875" customWidth="1"/>
    <col min="774" max="774" width="13.81640625" customWidth="1"/>
    <col min="775" max="775" width="12.7265625" customWidth="1"/>
    <col min="777" max="777" width="14.1796875" customWidth="1"/>
    <col min="1024" max="1024" width="18.1796875" customWidth="1"/>
    <col min="1025" max="1025" width="45.1796875" customWidth="1"/>
    <col min="1026" max="1026" width="13.81640625" customWidth="1"/>
    <col min="1027" max="1027" width="9.1796875" customWidth="1"/>
    <col min="1028" max="1028" width="18.1796875" customWidth="1"/>
    <col min="1029" max="1029" width="45.1796875" customWidth="1"/>
    <col min="1030" max="1030" width="13.81640625" customWidth="1"/>
    <col min="1031" max="1031" width="12.7265625" customWidth="1"/>
    <col min="1033" max="1033" width="14.1796875" customWidth="1"/>
    <col min="1280" max="1280" width="18.1796875" customWidth="1"/>
    <col min="1281" max="1281" width="45.1796875" customWidth="1"/>
    <col min="1282" max="1282" width="13.81640625" customWidth="1"/>
    <col min="1283" max="1283" width="9.1796875" customWidth="1"/>
    <col min="1284" max="1284" width="18.1796875" customWidth="1"/>
    <col min="1285" max="1285" width="45.1796875" customWidth="1"/>
    <col min="1286" max="1286" width="13.81640625" customWidth="1"/>
    <col min="1287" max="1287" width="12.7265625" customWidth="1"/>
    <col min="1289" max="1289" width="14.1796875" customWidth="1"/>
    <col min="1536" max="1536" width="18.1796875" customWidth="1"/>
    <col min="1537" max="1537" width="45.1796875" customWidth="1"/>
    <col min="1538" max="1538" width="13.81640625" customWidth="1"/>
    <col min="1539" max="1539" width="9.1796875" customWidth="1"/>
    <col min="1540" max="1540" width="18.1796875" customWidth="1"/>
    <col min="1541" max="1541" width="45.1796875" customWidth="1"/>
    <col min="1542" max="1542" width="13.81640625" customWidth="1"/>
    <col min="1543" max="1543" width="12.7265625" customWidth="1"/>
    <col min="1545" max="1545" width="14.1796875" customWidth="1"/>
    <col min="1792" max="1792" width="18.1796875" customWidth="1"/>
    <col min="1793" max="1793" width="45.1796875" customWidth="1"/>
    <col min="1794" max="1794" width="13.81640625" customWidth="1"/>
    <col min="1795" max="1795" width="9.1796875" customWidth="1"/>
    <col min="1796" max="1796" width="18.1796875" customWidth="1"/>
    <col min="1797" max="1797" width="45.1796875" customWidth="1"/>
    <col min="1798" max="1798" width="13.81640625" customWidth="1"/>
    <col min="1799" max="1799" width="12.7265625" customWidth="1"/>
    <col min="1801" max="1801" width="14.1796875" customWidth="1"/>
    <col min="2048" max="2048" width="18.1796875" customWidth="1"/>
    <col min="2049" max="2049" width="45.1796875" customWidth="1"/>
    <col min="2050" max="2050" width="13.81640625" customWidth="1"/>
    <col min="2051" max="2051" width="9.1796875" customWidth="1"/>
    <col min="2052" max="2052" width="18.1796875" customWidth="1"/>
    <col min="2053" max="2053" width="45.1796875" customWidth="1"/>
    <col min="2054" max="2054" width="13.81640625" customWidth="1"/>
    <col min="2055" max="2055" width="12.7265625" customWidth="1"/>
    <col min="2057" max="2057" width="14.1796875" customWidth="1"/>
    <col min="2304" max="2304" width="18.1796875" customWidth="1"/>
    <col min="2305" max="2305" width="45.1796875" customWidth="1"/>
    <col min="2306" max="2306" width="13.81640625" customWidth="1"/>
    <col min="2307" max="2307" width="9.1796875" customWidth="1"/>
    <col min="2308" max="2308" width="18.1796875" customWidth="1"/>
    <col min="2309" max="2309" width="45.1796875" customWidth="1"/>
    <col min="2310" max="2310" width="13.81640625" customWidth="1"/>
    <col min="2311" max="2311" width="12.7265625" customWidth="1"/>
    <col min="2313" max="2313" width="14.1796875" customWidth="1"/>
    <col min="2560" max="2560" width="18.1796875" customWidth="1"/>
    <col min="2561" max="2561" width="45.1796875" customWidth="1"/>
    <col min="2562" max="2562" width="13.81640625" customWidth="1"/>
    <col min="2563" max="2563" width="9.1796875" customWidth="1"/>
    <col min="2564" max="2564" width="18.1796875" customWidth="1"/>
    <col min="2565" max="2565" width="45.1796875" customWidth="1"/>
    <col min="2566" max="2566" width="13.81640625" customWidth="1"/>
    <col min="2567" max="2567" width="12.7265625" customWidth="1"/>
    <col min="2569" max="2569" width="14.1796875" customWidth="1"/>
    <col min="2816" max="2816" width="18.1796875" customWidth="1"/>
    <col min="2817" max="2817" width="45.1796875" customWidth="1"/>
    <col min="2818" max="2818" width="13.81640625" customWidth="1"/>
    <col min="2819" max="2819" width="9.1796875" customWidth="1"/>
    <col min="2820" max="2820" width="18.1796875" customWidth="1"/>
    <col min="2821" max="2821" width="45.1796875" customWidth="1"/>
    <col min="2822" max="2822" width="13.81640625" customWidth="1"/>
    <col min="2823" max="2823" width="12.7265625" customWidth="1"/>
    <col min="2825" max="2825" width="14.1796875" customWidth="1"/>
    <col min="3072" max="3072" width="18.1796875" customWidth="1"/>
    <col min="3073" max="3073" width="45.1796875" customWidth="1"/>
    <col min="3074" max="3074" width="13.81640625" customWidth="1"/>
    <col min="3075" max="3075" width="9.1796875" customWidth="1"/>
    <col min="3076" max="3076" width="18.1796875" customWidth="1"/>
    <col min="3077" max="3077" width="45.1796875" customWidth="1"/>
    <col min="3078" max="3078" width="13.81640625" customWidth="1"/>
    <col min="3079" max="3079" width="12.7265625" customWidth="1"/>
    <col min="3081" max="3081" width="14.1796875" customWidth="1"/>
    <col min="3328" max="3328" width="18.1796875" customWidth="1"/>
    <col min="3329" max="3329" width="45.1796875" customWidth="1"/>
    <col min="3330" max="3330" width="13.81640625" customWidth="1"/>
    <col min="3331" max="3331" width="9.1796875" customWidth="1"/>
    <col min="3332" max="3332" width="18.1796875" customWidth="1"/>
    <col min="3333" max="3333" width="45.1796875" customWidth="1"/>
    <col min="3334" max="3334" width="13.81640625" customWidth="1"/>
    <col min="3335" max="3335" width="12.7265625" customWidth="1"/>
    <col min="3337" max="3337" width="14.1796875" customWidth="1"/>
    <col min="3584" max="3584" width="18.1796875" customWidth="1"/>
    <col min="3585" max="3585" width="45.1796875" customWidth="1"/>
    <col min="3586" max="3586" width="13.81640625" customWidth="1"/>
    <col min="3587" max="3587" width="9.1796875" customWidth="1"/>
    <col min="3588" max="3588" width="18.1796875" customWidth="1"/>
    <col min="3589" max="3589" width="45.1796875" customWidth="1"/>
    <col min="3590" max="3590" width="13.81640625" customWidth="1"/>
    <col min="3591" max="3591" width="12.7265625" customWidth="1"/>
    <col min="3593" max="3593" width="14.1796875" customWidth="1"/>
    <col min="3840" max="3840" width="18.1796875" customWidth="1"/>
    <col min="3841" max="3841" width="45.1796875" customWidth="1"/>
    <col min="3842" max="3842" width="13.81640625" customWidth="1"/>
    <col min="3843" max="3843" width="9.1796875" customWidth="1"/>
    <col min="3844" max="3844" width="18.1796875" customWidth="1"/>
    <col min="3845" max="3845" width="45.1796875" customWidth="1"/>
    <col min="3846" max="3846" width="13.81640625" customWidth="1"/>
    <col min="3847" max="3847" width="12.7265625" customWidth="1"/>
    <col min="3849" max="3849" width="14.1796875" customWidth="1"/>
    <col min="4096" max="4096" width="18.1796875" customWidth="1"/>
    <col min="4097" max="4097" width="45.1796875" customWidth="1"/>
    <col min="4098" max="4098" width="13.81640625" customWidth="1"/>
    <col min="4099" max="4099" width="9.1796875" customWidth="1"/>
    <col min="4100" max="4100" width="18.1796875" customWidth="1"/>
    <col min="4101" max="4101" width="45.1796875" customWidth="1"/>
    <col min="4102" max="4102" width="13.81640625" customWidth="1"/>
    <col min="4103" max="4103" width="12.7265625" customWidth="1"/>
    <col min="4105" max="4105" width="14.1796875" customWidth="1"/>
    <col min="4352" max="4352" width="18.1796875" customWidth="1"/>
    <col min="4353" max="4353" width="45.1796875" customWidth="1"/>
    <col min="4354" max="4354" width="13.81640625" customWidth="1"/>
    <col min="4355" max="4355" width="9.1796875" customWidth="1"/>
    <col min="4356" max="4356" width="18.1796875" customWidth="1"/>
    <col min="4357" max="4357" width="45.1796875" customWidth="1"/>
    <col min="4358" max="4358" width="13.81640625" customWidth="1"/>
    <col min="4359" max="4359" width="12.7265625" customWidth="1"/>
    <col min="4361" max="4361" width="14.1796875" customWidth="1"/>
    <col min="4608" max="4608" width="18.1796875" customWidth="1"/>
    <col min="4609" max="4609" width="45.1796875" customWidth="1"/>
    <col min="4610" max="4610" width="13.81640625" customWidth="1"/>
    <col min="4611" max="4611" width="9.1796875" customWidth="1"/>
    <col min="4612" max="4612" width="18.1796875" customWidth="1"/>
    <col min="4613" max="4613" width="45.1796875" customWidth="1"/>
    <col min="4614" max="4614" width="13.81640625" customWidth="1"/>
    <col min="4615" max="4615" width="12.7265625" customWidth="1"/>
    <col min="4617" max="4617" width="14.1796875" customWidth="1"/>
    <col min="4864" max="4864" width="18.1796875" customWidth="1"/>
    <col min="4865" max="4865" width="45.1796875" customWidth="1"/>
    <col min="4866" max="4866" width="13.81640625" customWidth="1"/>
    <col min="4867" max="4867" width="9.1796875" customWidth="1"/>
    <col min="4868" max="4868" width="18.1796875" customWidth="1"/>
    <col min="4869" max="4869" width="45.1796875" customWidth="1"/>
    <col min="4870" max="4870" width="13.81640625" customWidth="1"/>
    <col min="4871" max="4871" width="12.7265625" customWidth="1"/>
    <col min="4873" max="4873" width="14.1796875" customWidth="1"/>
    <col min="5120" max="5120" width="18.1796875" customWidth="1"/>
    <col min="5121" max="5121" width="45.1796875" customWidth="1"/>
    <col min="5122" max="5122" width="13.81640625" customWidth="1"/>
    <col min="5123" max="5123" width="9.1796875" customWidth="1"/>
    <col min="5124" max="5124" width="18.1796875" customWidth="1"/>
    <col min="5125" max="5125" width="45.1796875" customWidth="1"/>
    <col min="5126" max="5126" width="13.81640625" customWidth="1"/>
    <col min="5127" max="5127" width="12.7265625" customWidth="1"/>
    <col min="5129" max="5129" width="14.1796875" customWidth="1"/>
    <col min="5376" max="5376" width="18.1796875" customWidth="1"/>
    <col min="5377" max="5377" width="45.1796875" customWidth="1"/>
    <col min="5378" max="5378" width="13.81640625" customWidth="1"/>
    <col min="5379" max="5379" width="9.1796875" customWidth="1"/>
    <col min="5380" max="5380" width="18.1796875" customWidth="1"/>
    <col min="5381" max="5381" width="45.1796875" customWidth="1"/>
    <col min="5382" max="5382" width="13.81640625" customWidth="1"/>
    <col min="5383" max="5383" width="12.7265625" customWidth="1"/>
    <col min="5385" max="5385" width="14.1796875" customWidth="1"/>
    <col min="5632" max="5632" width="18.1796875" customWidth="1"/>
    <col min="5633" max="5633" width="45.1796875" customWidth="1"/>
    <col min="5634" max="5634" width="13.81640625" customWidth="1"/>
    <col min="5635" max="5635" width="9.1796875" customWidth="1"/>
    <col min="5636" max="5636" width="18.1796875" customWidth="1"/>
    <col min="5637" max="5637" width="45.1796875" customWidth="1"/>
    <col min="5638" max="5638" width="13.81640625" customWidth="1"/>
    <col min="5639" max="5639" width="12.7265625" customWidth="1"/>
    <col min="5641" max="5641" width="14.1796875" customWidth="1"/>
    <col min="5888" max="5888" width="18.1796875" customWidth="1"/>
    <col min="5889" max="5889" width="45.1796875" customWidth="1"/>
    <col min="5890" max="5890" width="13.81640625" customWidth="1"/>
    <col min="5891" max="5891" width="9.1796875" customWidth="1"/>
    <col min="5892" max="5892" width="18.1796875" customWidth="1"/>
    <col min="5893" max="5893" width="45.1796875" customWidth="1"/>
    <col min="5894" max="5894" width="13.81640625" customWidth="1"/>
    <col min="5895" max="5895" width="12.7265625" customWidth="1"/>
    <col min="5897" max="5897" width="14.1796875" customWidth="1"/>
    <col min="6144" max="6144" width="18.1796875" customWidth="1"/>
    <col min="6145" max="6145" width="45.1796875" customWidth="1"/>
    <col min="6146" max="6146" width="13.81640625" customWidth="1"/>
    <col min="6147" max="6147" width="9.1796875" customWidth="1"/>
    <col min="6148" max="6148" width="18.1796875" customWidth="1"/>
    <col min="6149" max="6149" width="45.1796875" customWidth="1"/>
    <col min="6150" max="6150" width="13.81640625" customWidth="1"/>
    <col min="6151" max="6151" width="12.7265625" customWidth="1"/>
    <col min="6153" max="6153" width="14.1796875" customWidth="1"/>
    <col min="6400" max="6400" width="18.1796875" customWidth="1"/>
    <col min="6401" max="6401" width="45.1796875" customWidth="1"/>
    <col min="6402" max="6402" width="13.81640625" customWidth="1"/>
    <col min="6403" max="6403" width="9.1796875" customWidth="1"/>
    <col min="6404" max="6404" width="18.1796875" customWidth="1"/>
    <col min="6405" max="6405" width="45.1796875" customWidth="1"/>
    <col min="6406" max="6406" width="13.81640625" customWidth="1"/>
    <col min="6407" max="6407" width="12.7265625" customWidth="1"/>
    <col min="6409" max="6409" width="14.1796875" customWidth="1"/>
    <col min="6656" max="6656" width="18.1796875" customWidth="1"/>
    <col min="6657" max="6657" width="45.1796875" customWidth="1"/>
    <col min="6658" max="6658" width="13.81640625" customWidth="1"/>
    <col min="6659" max="6659" width="9.1796875" customWidth="1"/>
    <col min="6660" max="6660" width="18.1796875" customWidth="1"/>
    <col min="6661" max="6661" width="45.1796875" customWidth="1"/>
    <col min="6662" max="6662" width="13.81640625" customWidth="1"/>
    <col min="6663" max="6663" width="12.7265625" customWidth="1"/>
    <col min="6665" max="6665" width="14.1796875" customWidth="1"/>
    <col min="6912" max="6912" width="18.1796875" customWidth="1"/>
    <col min="6913" max="6913" width="45.1796875" customWidth="1"/>
    <col min="6914" max="6914" width="13.81640625" customWidth="1"/>
    <col min="6915" max="6915" width="9.1796875" customWidth="1"/>
    <col min="6916" max="6916" width="18.1796875" customWidth="1"/>
    <col min="6917" max="6917" width="45.1796875" customWidth="1"/>
    <col min="6918" max="6918" width="13.81640625" customWidth="1"/>
    <col min="6919" max="6919" width="12.7265625" customWidth="1"/>
    <col min="6921" max="6921" width="14.1796875" customWidth="1"/>
    <col min="7168" max="7168" width="18.1796875" customWidth="1"/>
    <col min="7169" max="7169" width="45.1796875" customWidth="1"/>
    <col min="7170" max="7170" width="13.81640625" customWidth="1"/>
    <col min="7171" max="7171" width="9.1796875" customWidth="1"/>
    <col min="7172" max="7172" width="18.1796875" customWidth="1"/>
    <col min="7173" max="7173" width="45.1796875" customWidth="1"/>
    <col min="7174" max="7174" width="13.81640625" customWidth="1"/>
    <col min="7175" max="7175" width="12.7265625" customWidth="1"/>
    <col min="7177" max="7177" width="14.1796875" customWidth="1"/>
    <col min="7424" max="7424" width="18.1796875" customWidth="1"/>
    <col min="7425" max="7425" width="45.1796875" customWidth="1"/>
    <col min="7426" max="7426" width="13.81640625" customWidth="1"/>
    <col min="7427" max="7427" width="9.1796875" customWidth="1"/>
    <col min="7428" max="7428" width="18.1796875" customWidth="1"/>
    <col min="7429" max="7429" width="45.1796875" customWidth="1"/>
    <col min="7430" max="7430" width="13.81640625" customWidth="1"/>
    <col min="7431" max="7431" width="12.7265625" customWidth="1"/>
    <col min="7433" max="7433" width="14.1796875" customWidth="1"/>
    <col min="7680" max="7680" width="18.1796875" customWidth="1"/>
    <col min="7681" max="7681" width="45.1796875" customWidth="1"/>
    <col min="7682" max="7682" width="13.81640625" customWidth="1"/>
    <col min="7683" max="7683" width="9.1796875" customWidth="1"/>
    <col min="7684" max="7684" width="18.1796875" customWidth="1"/>
    <col min="7685" max="7685" width="45.1796875" customWidth="1"/>
    <col min="7686" max="7686" width="13.81640625" customWidth="1"/>
    <col min="7687" max="7687" width="12.7265625" customWidth="1"/>
    <col min="7689" max="7689" width="14.1796875" customWidth="1"/>
    <col min="7936" max="7936" width="18.1796875" customWidth="1"/>
    <col min="7937" max="7937" width="45.1796875" customWidth="1"/>
    <col min="7938" max="7938" width="13.81640625" customWidth="1"/>
    <col min="7939" max="7939" width="9.1796875" customWidth="1"/>
    <col min="7940" max="7940" width="18.1796875" customWidth="1"/>
    <col min="7941" max="7941" width="45.1796875" customWidth="1"/>
    <col min="7942" max="7942" width="13.81640625" customWidth="1"/>
    <col min="7943" max="7943" width="12.7265625" customWidth="1"/>
    <col min="7945" max="7945" width="14.1796875" customWidth="1"/>
    <col min="8192" max="8192" width="18.1796875" customWidth="1"/>
    <col min="8193" max="8193" width="45.1796875" customWidth="1"/>
    <col min="8194" max="8194" width="13.81640625" customWidth="1"/>
    <col min="8195" max="8195" width="9.1796875" customWidth="1"/>
    <col min="8196" max="8196" width="18.1796875" customWidth="1"/>
    <col min="8197" max="8197" width="45.1796875" customWidth="1"/>
    <col min="8198" max="8198" width="13.81640625" customWidth="1"/>
    <col min="8199" max="8199" width="12.7265625" customWidth="1"/>
    <col min="8201" max="8201" width="14.1796875" customWidth="1"/>
    <col min="8448" max="8448" width="18.1796875" customWidth="1"/>
    <col min="8449" max="8449" width="45.1796875" customWidth="1"/>
    <col min="8450" max="8450" width="13.81640625" customWidth="1"/>
    <col min="8451" max="8451" width="9.1796875" customWidth="1"/>
    <col min="8452" max="8452" width="18.1796875" customWidth="1"/>
    <col min="8453" max="8453" width="45.1796875" customWidth="1"/>
    <col min="8454" max="8454" width="13.81640625" customWidth="1"/>
    <col min="8455" max="8455" width="12.7265625" customWidth="1"/>
    <col min="8457" max="8457" width="14.1796875" customWidth="1"/>
    <col min="8704" max="8704" width="18.1796875" customWidth="1"/>
    <col min="8705" max="8705" width="45.1796875" customWidth="1"/>
    <col min="8706" max="8706" width="13.81640625" customWidth="1"/>
    <col min="8707" max="8707" width="9.1796875" customWidth="1"/>
    <col min="8708" max="8708" width="18.1796875" customWidth="1"/>
    <col min="8709" max="8709" width="45.1796875" customWidth="1"/>
    <col min="8710" max="8710" width="13.81640625" customWidth="1"/>
    <col min="8711" max="8711" width="12.7265625" customWidth="1"/>
    <col min="8713" max="8713" width="14.1796875" customWidth="1"/>
    <col min="8960" max="8960" width="18.1796875" customWidth="1"/>
    <col min="8961" max="8961" width="45.1796875" customWidth="1"/>
    <col min="8962" max="8962" width="13.81640625" customWidth="1"/>
    <col min="8963" max="8963" width="9.1796875" customWidth="1"/>
    <col min="8964" max="8964" width="18.1796875" customWidth="1"/>
    <col min="8965" max="8965" width="45.1796875" customWidth="1"/>
    <col min="8966" max="8966" width="13.81640625" customWidth="1"/>
    <col min="8967" max="8967" width="12.7265625" customWidth="1"/>
    <col min="8969" max="8969" width="14.1796875" customWidth="1"/>
    <col min="9216" max="9216" width="18.1796875" customWidth="1"/>
    <col min="9217" max="9217" width="45.1796875" customWidth="1"/>
    <col min="9218" max="9218" width="13.81640625" customWidth="1"/>
    <col min="9219" max="9219" width="9.1796875" customWidth="1"/>
    <col min="9220" max="9220" width="18.1796875" customWidth="1"/>
    <col min="9221" max="9221" width="45.1796875" customWidth="1"/>
    <col min="9222" max="9222" width="13.81640625" customWidth="1"/>
    <col min="9223" max="9223" width="12.7265625" customWidth="1"/>
    <col min="9225" max="9225" width="14.1796875" customWidth="1"/>
    <col min="9472" max="9472" width="18.1796875" customWidth="1"/>
    <col min="9473" max="9473" width="45.1796875" customWidth="1"/>
    <col min="9474" max="9474" width="13.81640625" customWidth="1"/>
    <col min="9475" max="9475" width="9.1796875" customWidth="1"/>
    <col min="9476" max="9476" width="18.1796875" customWidth="1"/>
    <col min="9477" max="9477" width="45.1796875" customWidth="1"/>
    <col min="9478" max="9478" width="13.81640625" customWidth="1"/>
    <col min="9479" max="9479" width="12.7265625" customWidth="1"/>
    <col min="9481" max="9481" width="14.1796875" customWidth="1"/>
    <col min="9728" max="9728" width="18.1796875" customWidth="1"/>
    <col min="9729" max="9729" width="45.1796875" customWidth="1"/>
    <col min="9730" max="9730" width="13.81640625" customWidth="1"/>
    <col min="9731" max="9731" width="9.1796875" customWidth="1"/>
    <col min="9732" max="9732" width="18.1796875" customWidth="1"/>
    <col min="9733" max="9733" width="45.1796875" customWidth="1"/>
    <col min="9734" max="9734" width="13.81640625" customWidth="1"/>
    <col min="9735" max="9735" width="12.7265625" customWidth="1"/>
    <col min="9737" max="9737" width="14.1796875" customWidth="1"/>
    <col min="9984" max="9984" width="18.1796875" customWidth="1"/>
    <col min="9985" max="9985" width="45.1796875" customWidth="1"/>
    <col min="9986" max="9986" width="13.81640625" customWidth="1"/>
    <col min="9987" max="9987" width="9.1796875" customWidth="1"/>
    <col min="9988" max="9988" width="18.1796875" customWidth="1"/>
    <col min="9989" max="9989" width="45.1796875" customWidth="1"/>
    <col min="9990" max="9990" width="13.81640625" customWidth="1"/>
    <col min="9991" max="9991" width="12.7265625" customWidth="1"/>
    <col min="9993" max="9993" width="14.1796875" customWidth="1"/>
    <col min="10240" max="10240" width="18.1796875" customWidth="1"/>
    <col min="10241" max="10241" width="45.1796875" customWidth="1"/>
    <col min="10242" max="10242" width="13.81640625" customWidth="1"/>
    <col min="10243" max="10243" width="9.1796875" customWidth="1"/>
    <col min="10244" max="10244" width="18.1796875" customWidth="1"/>
    <col min="10245" max="10245" width="45.1796875" customWidth="1"/>
    <col min="10246" max="10246" width="13.81640625" customWidth="1"/>
    <col min="10247" max="10247" width="12.7265625" customWidth="1"/>
    <col min="10249" max="10249" width="14.1796875" customWidth="1"/>
    <col min="10496" max="10496" width="18.1796875" customWidth="1"/>
    <col min="10497" max="10497" width="45.1796875" customWidth="1"/>
    <col min="10498" max="10498" width="13.81640625" customWidth="1"/>
    <col min="10499" max="10499" width="9.1796875" customWidth="1"/>
    <col min="10500" max="10500" width="18.1796875" customWidth="1"/>
    <col min="10501" max="10501" width="45.1796875" customWidth="1"/>
    <col min="10502" max="10502" width="13.81640625" customWidth="1"/>
    <col min="10503" max="10503" width="12.7265625" customWidth="1"/>
    <col min="10505" max="10505" width="14.1796875" customWidth="1"/>
    <col min="10752" max="10752" width="18.1796875" customWidth="1"/>
    <col min="10753" max="10753" width="45.1796875" customWidth="1"/>
    <col min="10754" max="10754" width="13.81640625" customWidth="1"/>
    <col min="10755" max="10755" width="9.1796875" customWidth="1"/>
    <col min="10756" max="10756" width="18.1796875" customWidth="1"/>
    <col min="10757" max="10757" width="45.1796875" customWidth="1"/>
    <col min="10758" max="10758" width="13.81640625" customWidth="1"/>
    <col min="10759" max="10759" width="12.7265625" customWidth="1"/>
    <col min="10761" max="10761" width="14.1796875" customWidth="1"/>
    <col min="11008" max="11008" width="18.1796875" customWidth="1"/>
    <col min="11009" max="11009" width="45.1796875" customWidth="1"/>
    <col min="11010" max="11010" width="13.81640625" customWidth="1"/>
    <col min="11011" max="11011" width="9.1796875" customWidth="1"/>
    <col min="11012" max="11012" width="18.1796875" customWidth="1"/>
    <col min="11013" max="11013" width="45.1796875" customWidth="1"/>
    <col min="11014" max="11014" width="13.81640625" customWidth="1"/>
    <col min="11015" max="11015" width="12.7265625" customWidth="1"/>
    <col min="11017" max="11017" width="14.1796875" customWidth="1"/>
    <col min="11264" max="11264" width="18.1796875" customWidth="1"/>
    <col min="11265" max="11265" width="45.1796875" customWidth="1"/>
    <col min="11266" max="11266" width="13.81640625" customWidth="1"/>
    <col min="11267" max="11267" width="9.1796875" customWidth="1"/>
    <col min="11268" max="11268" width="18.1796875" customWidth="1"/>
    <col min="11269" max="11269" width="45.1796875" customWidth="1"/>
    <col min="11270" max="11270" width="13.81640625" customWidth="1"/>
    <col min="11271" max="11271" width="12.7265625" customWidth="1"/>
    <col min="11273" max="11273" width="14.1796875" customWidth="1"/>
    <col min="11520" max="11520" width="18.1796875" customWidth="1"/>
    <col min="11521" max="11521" width="45.1796875" customWidth="1"/>
    <col min="11522" max="11522" width="13.81640625" customWidth="1"/>
    <col min="11523" max="11523" width="9.1796875" customWidth="1"/>
    <col min="11524" max="11524" width="18.1796875" customWidth="1"/>
    <col min="11525" max="11525" width="45.1796875" customWidth="1"/>
    <col min="11526" max="11526" width="13.81640625" customWidth="1"/>
    <col min="11527" max="11527" width="12.7265625" customWidth="1"/>
    <col min="11529" max="11529" width="14.1796875" customWidth="1"/>
    <col min="11776" max="11776" width="18.1796875" customWidth="1"/>
    <col min="11777" max="11777" width="45.1796875" customWidth="1"/>
    <col min="11778" max="11778" width="13.81640625" customWidth="1"/>
    <col min="11779" max="11779" width="9.1796875" customWidth="1"/>
    <col min="11780" max="11780" width="18.1796875" customWidth="1"/>
    <col min="11781" max="11781" width="45.1796875" customWidth="1"/>
    <col min="11782" max="11782" width="13.81640625" customWidth="1"/>
    <col min="11783" max="11783" width="12.7265625" customWidth="1"/>
    <col min="11785" max="11785" width="14.1796875" customWidth="1"/>
    <col min="12032" max="12032" width="18.1796875" customWidth="1"/>
    <col min="12033" max="12033" width="45.1796875" customWidth="1"/>
    <col min="12034" max="12034" width="13.81640625" customWidth="1"/>
    <col min="12035" max="12035" width="9.1796875" customWidth="1"/>
    <col min="12036" max="12036" width="18.1796875" customWidth="1"/>
    <col min="12037" max="12037" width="45.1796875" customWidth="1"/>
    <col min="12038" max="12038" width="13.81640625" customWidth="1"/>
    <col min="12039" max="12039" width="12.7265625" customWidth="1"/>
    <col min="12041" max="12041" width="14.1796875" customWidth="1"/>
    <col min="12288" max="12288" width="18.1796875" customWidth="1"/>
    <col min="12289" max="12289" width="45.1796875" customWidth="1"/>
    <col min="12290" max="12290" width="13.81640625" customWidth="1"/>
    <col min="12291" max="12291" width="9.1796875" customWidth="1"/>
    <col min="12292" max="12292" width="18.1796875" customWidth="1"/>
    <col min="12293" max="12293" width="45.1796875" customWidth="1"/>
    <col min="12294" max="12294" width="13.81640625" customWidth="1"/>
    <col min="12295" max="12295" width="12.7265625" customWidth="1"/>
    <col min="12297" max="12297" width="14.1796875" customWidth="1"/>
    <col min="12544" max="12544" width="18.1796875" customWidth="1"/>
    <col min="12545" max="12545" width="45.1796875" customWidth="1"/>
    <col min="12546" max="12546" width="13.81640625" customWidth="1"/>
    <col min="12547" max="12547" width="9.1796875" customWidth="1"/>
    <col min="12548" max="12548" width="18.1796875" customWidth="1"/>
    <col min="12549" max="12549" width="45.1796875" customWidth="1"/>
    <col min="12550" max="12550" width="13.81640625" customWidth="1"/>
    <col min="12551" max="12551" width="12.7265625" customWidth="1"/>
    <col min="12553" max="12553" width="14.1796875" customWidth="1"/>
    <col min="12800" max="12800" width="18.1796875" customWidth="1"/>
    <col min="12801" max="12801" width="45.1796875" customWidth="1"/>
    <col min="12802" max="12802" width="13.81640625" customWidth="1"/>
    <col min="12803" max="12803" width="9.1796875" customWidth="1"/>
    <col min="12804" max="12804" width="18.1796875" customWidth="1"/>
    <col min="12805" max="12805" width="45.1796875" customWidth="1"/>
    <col min="12806" max="12806" width="13.81640625" customWidth="1"/>
    <col min="12807" max="12807" width="12.7265625" customWidth="1"/>
    <col min="12809" max="12809" width="14.1796875" customWidth="1"/>
    <col min="13056" max="13056" width="18.1796875" customWidth="1"/>
    <col min="13057" max="13057" width="45.1796875" customWidth="1"/>
    <col min="13058" max="13058" width="13.81640625" customWidth="1"/>
    <col min="13059" max="13059" width="9.1796875" customWidth="1"/>
    <col min="13060" max="13060" width="18.1796875" customWidth="1"/>
    <col min="13061" max="13061" width="45.1796875" customWidth="1"/>
    <col min="13062" max="13062" width="13.81640625" customWidth="1"/>
    <col min="13063" max="13063" width="12.7265625" customWidth="1"/>
    <col min="13065" max="13065" width="14.1796875" customWidth="1"/>
    <col min="13312" max="13312" width="18.1796875" customWidth="1"/>
    <col min="13313" max="13313" width="45.1796875" customWidth="1"/>
    <col min="13314" max="13314" width="13.81640625" customWidth="1"/>
    <col min="13315" max="13315" width="9.1796875" customWidth="1"/>
    <col min="13316" max="13316" width="18.1796875" customWidth="1"/>
    <col min="13317" max="13317" width="45.1796875" customWidth="1"/>
    <col min="13318" max="13318" width="13.81640625" customWidth="1"/>
    <col min="13319" max="13319" width="12.7265625" customWidth="1"/>
    <col min="13321" max="13321" width="14.1796875" customWidth="1"/>
    <col min="13568" max="13568" width="18.1796875" customWidth="1"/>
    <col min="13569" max="13569" width="45.1796875" customWidth="1"/>
    <col min="13570" max="13570" width="13.81640625" customWidth="1"/>
    <col min="13571" max="13571" width="9.1796875" customWidth="1"/>
    <col min="13572" max="13572" width="18.1796875" customWidth="1"/>
    <col min="13573" max="13573" width="45.1796875" customWidth="1"/>
    <col min="13574" max="13574" width="13.81640625" customWidth="1"/>
    <col min="13575" max="13575" width="12.7265625" customWidth="1"/>
    <col min="13577" max="13577" width="14.1796875" customWidth="1"/>
    <col min="13824" max="13824" width="18.1796875" customWidth="1"/>
    <col min="13825" max="13825" width="45.1796875" customWidth="1"/>
    <col min="13826" max="13826" width="13.81640625" customWidth="1"/>
    <col min="13827" max="13827" width="9.1796875" customWidth="1"/>
    <col min="13828" max="13828" width="18.1796875" customWidth="1"/>
    <col min="13829" max="13829" width="45.1796875" customWidth="1"/>
    <col min="13830" max="13830" width="13.81640625" customWidth="1"/>
    <col min="13831" max="13831" width="12.7265625" customWidth="1"/>
    <col min="13833" max="13833" width="14.1796875" customWidth="1"/>
    <col min="14080" max="14080" width="18.1796875" customWidth="1"/>
    <col min="14081" max="14081" width="45.1796875" customWidth="1"/>
    <col min="14082" max="14082" width="13.81640625" customWidth="1"/>
    <col min="14083" max="14083" width="9.1796875" customWidth="1"/>
    <col min="14084" max="14084" width="18.1796875" customWidth="1"/>
    <col min="14085" max="14085" width="45.1796875" customWidth="1"/>
    <col min="14086" max="14086" width="13.81640625" customWidth="1"/>
    <col min="14087" max="14087" width="12.7265625" customWidth="1"/>
    <col min="14089" max="14089" width="14.1796875" customWidth="1"/>
    <col min="14336" max="14336" width="18.1796875" customWidth="1"/>
    <col min="14337" max="14337" width="45.1796875" customWidth="1"/>
    <col min="14338" max="14338" width="13.81640625" customWidth="1"/>
    <col min="14339" max="14339" width="9.1796875" customWidth="1"/>
    <col min="14340" max="14340" width="18.1796875" customWidth="1"/>
    <col min="14341" max="14341" width="45.1796875" customWidth="1"/>
    <col min="14342" max="14342" width="13.81640625" customWidth="1"/>
    <col min="14343" max="14343" width="12.7265625" customWidth="1"/>
    <col min="14345" max="14345" width="14.1796875" customWidth="1"/>
    <col min="14592" max="14592" width="18.1796875" customWidth="1"/>
    <col min="14593" max="14593" width="45.1796875" customWidth="1"/>
    <col min="14594" max="14594" width="13.81640625" customWidth="1"/>
    <col min="14595" max="14595" width="9.1796875" customWidth="1"/>
    <col min="14596" max="14596" width="18.1796875" customWidth="1"/>
    <col min="14597" max="14597" width="45.1796875" customWidth="1"/>
    <col min="14598" max="14598" width="13.81640625" customWidth="1"/>
    <col min="14599" max="14599" width="12.7265625" customWidth="1"/>
    <col min="14601" max="14601" width="14.1796875" customWidth="1"/>
    <col min="14848" max="14848" width="18.1796875" customWidth="1"/>
    <col min="14849" max="14849" width="45.1796875" customWidth="1"/>
    <col min="14850" max="14850" width="13.81640625" customWidth="1"/>
    <col min="14851" max="14851" width="9.1796875" customWidth="1"/>
    <col min="14852" max="14852" width="18.1796875" customWidth="1"/>
    <col min="14853" max="14853" width="45.1796875" customWidth="1"/>
    <col min="14854" max="14854" width="13.81640625" customWidth="1"/>
    <col min="14855" max="14855" width="12.7265625" customWidth="1"/>
    <col min="14857" max="14857" width="14.1796875" customWidth="1"/>
    <col min="15104" max="15104" width="18.1796875" customWidth="1"/>
    <col min="15105" max="15105" width="45.1796875" customWidth="1"/>
    <col min="15106" max="15106" width="13.81640625" customWidth="1"/>
    <col min="15107" max="15107" width="9.1796875" customWidth="1"/>
    <col min="15108" max="15108" width="18.1796875" customWidth="1"/>
    <col min="15109" max="15109" width="45.1796875" customWidth="1"/>
    <col min="15110" max="15110" width="13.81640625" customWidth="1"/>
    <col min="15111" max="15111" width="12.7265625" customWidth="1"/>
    <col min="15113" max="15113" width="14.1796875" customWidth="1"/>
    <col min="15360" max="15360" width="18.1796875" customWidth="1"/>
    <col min="15361" max="15361" width="45.1796875" customWidth="1"/>
    <col min="15362" max="15362" width="13.81640625" customWidth="1"/>
    <col min="15363" max="15363" width="9.1796875" customWidth="1"/>
    <col min="15364" max="15364" width="18.1796875" customWidth="1"/>
    <col min="15365" max="15365" width="45.1796875" customWidth="1"/>
    <col min="15366" max="15366" width="13.81640625" customWidth="1"/>
    <col min="15367" max="15367" width="12.7265625" customWidth="1"/>
    <col min="15369" max="15369" width="14.1796875" customWidth="1"/>
    <col min="15616" max="15616" width="18.1796875" customWidth="1"/>
    <col min="15617" max="15617" width="45.1796875" customWidth="1"/>
    <col min="15618" max="15618" width="13.81640625" customWidth="1"/>
    <col min="15619" max="15619" width="9.1796875" customWidth="1"/>
    <col min="15620" max="15620" width="18.1796875" customWidth="1"/>
    <col min="15621" max="15621" width="45.1796875" customWidth="1"/>
    <col min="15622" max="15622" width="13.81640625" customWidth="1"/>
    <col min="15623" max="15623" width="12.7265625" customWidth="1"/>
    <col min="15625" max="15625" width="14.1796875" customWidth="1"/>
    <col min="15872" max="15872" width="18.1796875" customWidth="1"/>
    <col min="15873" max="15873" width="45.1796875" customWidth="1"/>
    <col min="15874" max="15874" width="13.81640625" customWidth="1"/>
    <col min="15875" max="15875" width="9.1796875" customWidth="1"/>
    <col min="15876" max="15876" width="18.1796875" customWidth="1"/>
    <col min="15877" max="15877" width="45.1796875" customWidth="1"/>
    <col min="15878" max="15878" width="13.81640625" customWidth="1"/>
    <col min="15879" max="15879" width="12.7265625" customWidth="1"/>
    <col min="15881" max="15881" width="14.1796875" customWidth="1"/>
    <col min="16128" max="16128" width="18.1796875" customWidth="1"/>
    <col min="16129" max="16129" width="45.1796875" customWidth="1"/>
    <col min="16130" max="16130" width="13.81640625" customWidth="1"/>
    <col min="16131" max="16131" width="9.1796875" customWidth="1"/>
    <col min="16132" max="16132" width="18.1796875" customWidth="1"/>
    <col min="16133" max="16133" width="45.1796875" customWidth="1"/>
    <col min="16134" max="16134" width="13.81640625" customWidth="1"/>
    <col min="16135" max="16135" width="12.7265625" customWidth="1"/>
    <col min="16137" max="16137" width="14.1796875" customWidth="1"/>
  </cols>
  <sheetData>
    <row r="1" spans="1:3" s="22" customFormat="1" ht="20.149999999999999" customHeight="1" x14ac:dyDescent="0.35">
      <c r="B1" s="23" t="s">
        <v>78</v>
      </c>
      <c r="C1" s="4"/>
    </row>
    <row r="2" spans="1:3" ht="18" customHeight="1" x14ac:dyDescent="0.35">
      <c r="B2" s="3" t="s">
        <v>143</v>
      </c>
      <c r="C2" s="4"/>
    </row>
    <row r="3" spans="1:3" ht="18" customHeight="1" x14ac:dyDescent="0.35">
      <c r="B3" s="3" t="s">
        <v>79</v>
      </c>
      <c r="C3" s="4"/>
    </row>
    <row r="4" spans="1:3" ht="18" customHeight="1" x14ac:dyDescent="0.35">
      <c r="B4" s="3"/>
      <c r="C4" s="4"/>
    </row>
    <row r="5" spans="1:3" ht="18" customHeight="1" x14ac:dyDescent="0.35">
      <c r="B5" s="3"/>
      <c r="C5" s="4"/>
    </row>
    <row r="6" spans="1:3" ht="15" customHeight="1" x14ac:dyDescent="0.35"/>
    <row r="7" spans="1:3" ht="13" customHeight="1" x14ac:dyDescent="0.35">
      <c r="A7" s="40" t="s">
        <v>96</v>
      </c>
      <c r="B7" s="10"/>
      <c r="C7" s="31"/>
    </row>
    <row r="8" spans="1:3" s="10" customFormat="1" ht="13" customHeight="1" x14ac:dyDescent="0.2">
      <c r="A8" s="21"/>
      <c r="C8" s="31"/>
    </row>
    <row r="9" spans="1:3" s="10" customFormat="1" ht="13" customHeight="1" x14ac:dyDescent="0.25">
      <c r="A9" s="40" t="s">
        <v>97</v>
      </c>
      <c r="C9" s="31"/>
    </row>
    <row r="10" spans="1:3" s="10" customFormat="1" ht="13" customHeight="1" x14ac:dyDescent="0.2">
      <c r="A10" s="21" t="s">
        <v>98</v>
      </c>
      <c r="C10" s="31" t="e">
        <f>+Balanza!#REF!+Balanza!#REF!+Balanza!#REF!</f>
        <v>#REF!</v>
      </c>
    </row>
    <row r="11" spans="1:3" s="10" customFormat="1" ht="13" customHeight="1" x14ac:dyDescent="0.2">
      <c r="A11" s="21" t="s">
        <v>133</v>
      </c>
      <c r="C11" s="31" t="e">
        <f>+Balanza!#REF!+Balanza!#REF!+Balanza!#REF!</f>
        <v>#REF!</v>
      </c>
    </row>
    <row r="12" spans="1:3" s="10" customFormat="1" ht="13" hidden="1" customHeight="1" x14ac:dyDescent="0.2">
      <c r="A12" s="21" t="s">
        <v>134</v>
      </c>
      <c r="C12" s="31">
        <v>0</v>
      </c>
    </row>
    <row r="13" spans="1:3" s="10" customFormat="1" ht="13" hidden="1" customHeight="1" x14ac:dyDescent="0.2">
      <c r="A13" s="21" t="s">
        <v>135</v>
      </c>
      <c r="C13" s="31">
        <v>0</v>
      </c>
    </row>
    <row r="14" spans="1:3" s="10" customFormat="1" ht="13" hidden="1" customHeight="1" x14ac:dyDescent="0.2">
      <c r="A14" s="21" t="s">
        <v>99</v>
      </c>
      <c r="C14" s="31">
        <v>0</v>
      </c>
    </row>
    <row r="15" spans="1:3" s="10" customFormat="1" ht="13" customHeight="1" x14ac:dyDescent="0.25">
      <c r="A15" s="40" t="s">
        <v>100</v>
      </c>
      <c r="C15" s="41" t="e">
        <f>SUM(C10:C14)</f>
        <v>#REF!</v>
      </c>
    </row>
    <row r="16" spans="1:3" s="10" customFormat="1" ht="13" customHeight="1" x14ac:dyDescent="0.2">
      <c r="A16" s="21"/>
      <c r="C16" s="31"/>
    </row>
    <row r="17" spans="1:3" s="10" customFormat="1" ht="12.75" customHeight="1" x14ac:dyDescent="0.25">
      <c r="A17" s="40" t="s">
        <v>7</v>
      </c>
      <c r="C17" s="31"/>
    </row>
    <row r="18" spans="1:3" s="10" customFormat="1" ht="13" hidden="1" customHeight="1" x14ac:dyDescent="0.2">
      <c r="A18" s="21" t="s">
        <v>101</v>
      </c>
      <c r="C18" s="31">
        <v>0</v>
      </c>
    </row>
    <row r="19" spans="1:3" s="10" customFormat="1" ht="13" customHeight="1" x14ac:dyDescent="0.2">
      <c r="A19" s="21" t="s">
        <v>117</v>
      </c>
      <c r="C19" s="31" t="e">
        <f>+Balanza!#REF!</f>
        <v>#REF!</v>
      </c>
    </row>
    <row r="20" spans="1:3" s="10" customFormat="1" ht="13" customHeight="1" x14ac:dyDescent="0.25">
      <c r="A20" s="40" t="s">
        <v>102</v>
      </c>
      <c r="C20" s="41" t="e">
        <f>SUM(C18:C19)</f>
        <v>#REF!</v>
      </c>
    </row>
    <row r="21" spans="1:3" s="10" customFormat="1" ht="13" customHeight="1" x14ac:dyDescent="0.2">
      <c r="C21" s="32"/>
    </row>
    <row r="22" spans="1:3" s="10" customFormat="1" ht="13" customHeight="1" x14ac:dyDescent="0.25">
      <c r="A22" s="40" t="s">
        <v>103</v>
      </c>
      <c r="C22" s="31"/>
    </row>
    <row r="23" spans="1:3" s="10" customFormat="1" ht="13" customHeight="1" x14ac:dyDescent="0.2">
      <c r="A23" s="10" t="s">
        <v>136</v>
      </c>
      <c r="C23" s="32" t="e">
        <f>+Balanza!#REF!</f>
        <v>#REF!</v>
      </c>
    </row>
    <row r="24" spans="1:3" s="10" customFormat="1" ht="13" customHeight="1" x14ac:dyDescent="0.25">
      <c r="A24" s="16" t="s">
        <v>104</v>
      </c>
      <c r="C24" s="33" t="e">
        <f>SUM(C23)</f>
        <v>#REF!</v>
      </c>
    </row>
    <row r="25" spans="1:3" s="10" customFormat="1" ht="13" customHeight="1" x14ac:dyDescent="0.2">
      <c r="A25" s="21" t="s">
        <v>105</v>
      </c>
      <c r="C25" s="31"/>
    </row>
    <row r="26" spans="1:3" s="10" customFormat="1" ht="13" customHeight="1" x14ac:dyDescent="0.25">
      <c r="A26" s="30" t="s">
        <v>106</v>
      </c>
      <c r="C26" s="41" t="e">
        <f>+C15+C20+C24</f>
        <v>#REF!</v>
      </c>
    </row>
    <row r="27" spans="1:3" s="10" customFormat="1" ht="13" customHeight="1" x14ac:dyDescent="0.2">
      <c r="A27" s="9" t="s">
        <v>105</v>
      </c>
      <c r="C27" s="31"/>
    </row>
    <row r="28" spans="1:3" s="10" customFormat="1" ht="13" customHeight="1" x14ac:dyDescent="0.2">
      <c r="A28" s="9"/>
      <c r="C28" s="31"/>
    </row>
    <row r="29" spans="1:3" s="10" customFormat="1" ht="13" customHeight="1" x14ac:dyDescent="0.25">
      <c r="A29" s="40" t="s">
        <v>132</v>
      </c>
      <c r="C29" s="31"/>
    </row>
    <row r="30" spans="1:3" s="10" customFormat="1" ht="13" customHeight="1" x14ac:dyDescent="0.2">
      <c r="A30" s="9"/>
      <c r="C30" s="31"/>
    </row>
    <row r="31" spans="1:3" s="10" customFormat="1" ht="13" hidden="1" customHeight="1" x14ac:dyDescent="0.25">
      <c r="A31" s="30" t="s">
        <v>107</v>
      </c>
      <c r="C31" s="31"/>
    </row>
    <row r="32" spans="1:3" s="10" customFormat="1" ht="13" hidden="1" customHeight="1" x14ac:dyDescent="0.2">
      <c r="A32" s="9" t="s">
        <v>108</v>
      </c>
      <c r="C32" s="31">
        <v>0</v>
      </c>
    </row>
    <row r="33" spans="1:3" s="10" customFormat="1" ht="13" hidden="1" customHeight="1" x14ac:dyDescent="0.2">
      <c r="A33" s="21" t="s">
        <v>109</v>
      </c>
      <c r="C33" s="31">
        <v>0</v>
      </c>
    </row>
    <row r="34" spans="1:3" s="10" customFormat="1" ht="13" hidden="1" customHeight="1" x14ac:dyDescent="0.2">
      <c r="A34" s="21" t="s">
        <v>110</v>
      </c>
      <c r="C34" s="31">
        <v>0</v>
      </c>
    </row>
    <row r="35" spans="1:3" s="10" customFormat="1" ht="13" hidden="1" customHeight="1" x14ac:dyDescent="0.2">
      <c r="A35" s="21" t="s">
        <v>111</v>
      </c>
      <c r="C35" s="31">
        <v>0</v>
      </c>
    </row>
    <row r="36" spans="1:3" s="10" customFormat="1" ht="13" hidden="1" customHeight="1" x14ac:dyDescent="0.2">
      <c r="A36" s="10" t="s">
        <v>112</v>
      </c>
      <c r="C36" s="32">
        <v>0</v>
      </c>
    </row>
    <row r="37" spans="1:3" s="10" customFormat="1" ht="13" hidden="1" customHeight="1" x14ac:dyDescent="0.25">
      <c r="A37" s="16" t="s">
        <v>113</v>
      </c>
      <c r="C37" s="33">
        <f>SUM(C32:C36)</f>
        <v>0</v>
      </c>
    </row>
    <row r="38" spans="1:3" s="10" customFormat="1" ht="13" hidden="1" customHeight="1" x14ac:dyDescent="0.2">
      <c r="C38" s="32"/>
    </row>
    <row r="39" spans="1:3" s="10" customFormat="1" ht="13" customHeight="1" x14ac:dyDescent="0.25">
      <c r="A39" s="16" t="s">
        <v>114</v>
      </c>
      <c r="C39" s="32"/>
    </row>
    <row r="40" spans="1:3" s="10" customFormat="1" ht="13" customHeight="1" x14ac:dyDescent="0.2">
      <c r="A40" s="10" t="s">
        <v>115</v>
      </c>
      <c r="C40" s="32" t="e">
        <f>+Balanza!#REF!*-1</f>
        <v>#REF!</v>
      </c>
    </row>
    <row r="41" spans="1:3" s="10" customFormat="1" ht="13" customHeight="1" x14ac:dyDescent="0.2">
      <c r="A41" s="9" t="s">
        <v>116</v>
      </c>
      <c r="C41" s="32" t="e">
        <f>+Balanza!#REF!*-1</f>
        <v>#REF!</v>
      </c>
    </row>
    <row r="42" spans="1:3" s="10" customFormat="1" ht="13" hidden="1" customHeight="1" x14ac:dyDescent="0.2">
      <c r="A42" s="10" t="s">
        <v>117</v>
      </c>
      <c r="C42" s="32" t="e">
        <f>+Balanza!#REF!*-1</f>
        <v>#REF!</v>
      </c>
    </row>
    <row r="43" spans="1:3" s="10" customFormat="1" ht="15" customHeight="1" x14ac:dyDescent="0.25">
      <c r="A43" s="16" t="s">
        <v>118</v>
      </c>
      <c r="C43" s="33" t="e">
        <f>SUM(C40:C42)</f>
        <v>#REF!</v>
      </c>
    </row>
    <row r="44" spans="1:3" s="10" customFormat="1" ht="15" customHeight="1" x14ac:dyDescent="0.2">
      <c r="B44" s="18"/>
      <c r="C44" s="31"/>
    </row>
    <row r="45" spans="1:3" s="10" customFormat="1" ht="15" hidden="1" customHeight="1" x14ac:dyDescent="0.25">
      <c r="A45" s="16" t="s">
        <v>119</v>
      </c>
      <c r="C45" s="32"/>
    </row>
    <row r="46" spans="1:3" s="10" customFormat="1" ht="15" hidden="1" customHeight="1" x14ac:dyDescent="0.2">
      <c r="A46" s="10" t="s">
        <v>120</v>
      </c>
      <c r="C46" s="32">
        <v>0</v>
      </c>
    </row>
    <row r="47" spans="1:3" s="10" customFormat="1" ht="15" hidden="1" customHeight="1" x14ac:dyDescent="0.2">
      <c r="A47" s="10" t="s">
        <v>121</v>
      </c>
      <c r="C47" s="32">
        <v>0</v>
      </c>
    </row>
    <row r="48" spans="1:3" s="10" customFormat="1" ht="15" hidden="1" customHeight="1" x14ac:dyDescent="0.25">
      <c r="A48" s="16" t="s">
        <v>122</v>
      </c>
      <c r="C48" s="33">
        <f>SUM(C46:C47)</f>
        <v>0</v>
      </c>
    </row>
    <row r="49" spans="1:6" s="10" customFormat="1" ht="15" hidden="1" customHeight="1" x14ac:dyDescent="0.2">
      <c r="C49" s="32"/>
      <c r="E49" s="13"/>
    </row>
    <row r="50" spans="1:6" s="10" customFormat="1" ht="15" hidden="1" customHeight="1" x14ac:dyDescent="0.25">
      <c r="A50" s="16" t="s">
        <v>50</v>
      </c>
      <c r="C50" s="32"/>
    </row>
    <row r="51" spans="1:6" s="10" customFormat="1" ht="15" hidden="1" customHeight="1" x14ac:dyDescent="0.2">
      <c r="A51" s="10" t="s">
        <v>123</v>
      </c>
      <c r="C51" s="31">
        <v>0</v>
      </c>
    </row>
    <row r="52" spans="1:6" s="10" customFormat="1" ht="15" hidden="1" customHeight="1" x14ac:dyDescent="0.2">
      <c r="A52" s="10" t="s">
        <v>124</v>
      </c>
      <c r="C52" s="31">
        <v>0</v>
      </c>
    </row>
    <row r="53" spans="1:6" s="10" customFormat="1" ht="15" hidden="1" customHeight="1" x14ac:dyDescent="0.25">
      <c r="A53" s="16" t="s">
        <v>125</v>
      </c>
      <c r="C53" s="41">
        <f>SUM(C51:C52)</f>
        <v>0</v>
      </c>
    </row>
    <row r="54" spans="1:6" s="10" customFormat="1" ht="15" hidden="1" customHeight="1" x14ac:dyDescent="0.2">
      <c r="C54" s="31"/>
    </row>
    <row r="55" spans="1:6" s="10" customFormat="1" ht="15" customHeight="1" x14ac:dyDescent="0.25">
      <c r="A55" s="16" t="s">
        <v>126</v>
      </c>
      <c r="C55" s="41" t="e">
        <f>+C37+C43+C48+C53</f>
        <v>#REF!</v>
      </c>
    </row>
    <row r="56" spans="1:6" s="10" customFormat="1" ht="15" customHeight="1" x14ac:dyDescent="0.2">
      <c r="A56" s="10" t="s">
        <v>105</v>
      </c>
      <c r="C56" s="31"/>
    </row>
    <row r="57" spans="1:6" s="10" customFormat="1" ht="15" customHeight="1" x14ac:dyDescent="0.25">
      <c r="A57" s="16" t="s">
        <v>127</v>
      </c>
      <c r="C57" s="31"/>
    </row>
    <row r="58" spans="1:6" s="10" customFormat="1" ht="15" customHeight="1" x14ac:dyDescent="0.2">
      <c r="A58" s="10" t="s">
        <v>128</v>
      </c>
      <c r="C58" s="31" t="e">
        <f>+Balanza!#REF!*-1</f>
        <v>#REF!</v>
      </c>
    </row>
    <row r="59" spans="1:6" s="10" customFormat="1" ht="15" customHeight="1" x14ac:dyDescent="0.2">
      <c r="A59" s="10" t="s">
        <v>131</v>
      </c>
      <c r="C59" s="31" t="e">
        <f>(Balanza!#REF!+Balanza!#REF!+Balanza!#REF!+96004.04)*-1</f>
        <v>#REF!</v>
      </c>
    </row>
    <row r="60" spans="1:6" s="10" customFormat="1" ht="15" customHeight="1" x14ac:dyDescent="0.25">
      <c r="A60" s="16" t="s">
        <v>129</v>
      </c>
      <c r="C60" s="41" t="e">
        <f>SUM(C58:C59)</f>
        <v>#REF!</v>
      </c>
    </row>
    <row r="61" spans="1:6" s="10" customFormat="1" ht="15" customHeight="1" x14ac:dyDescent="0.2">
      <c r="C61" s="31"/>
    </row>
    <row r="62" spans="1:6" s="10" customFormat="1" ht="15" customHeight="1" x14ac:dyDescent="0.25">
      <c r="A62" s="16" t="s">
        <v>130</v>
      </c>
      <c r="C62" s="41" t="e">
        <f>+C55+C60</f>
        <v>#REF!</v>
      </c>
      <c r="F62" s="46" t="e">
        <f>+C26-C62</f>
        <v>#REF!</v>
      </c>
    </row>
    <row r="63" spans="1:6" s="10" customFormat="1" ht="15" customHeight="1" x14ac:dyDescent="0.2"/>
    <row r="64" spans="1:6" s="10" customFormat="1" ht="15" customHeight="1" x14ac:dyDescent="0.2"/>
    <row r="65" spans="1:3" s="10" customFormat="1" ht="15" customHeight="1" x14ac:dyDescent="0.2"/>
    <row r="66" spans="1:3" s="10" customFormat="1" ht="15" customHeight="1" x14ac:dyDescent="0.2"/>
    <row r="67" spans="1:3" s="10" customFormat="1" ht="15" customHeight="1" x14ac:dyDescent="0.2"/>
    <row r="68" spans="1:3" s="10" customFormat="1" ht="15" customHeight="1" x14ac:dyDescent="0.2"/>
    <row r="69" spans="1:3" s="10" customFormat="1" ht="15" customHeight="1" x14ac:dyDescent="0.2">
      <c r="A69" s="18" t="s">
        <v>82</v>
      </c>
      <c r="C69" s="18" t="s">
        <v>83</v>
      </c>
    </row>
    <row r="70" spans="1:3" s="10" customFormat="1" ht="15" customHeight="1" x14ac:dyDescent="0.2">
      <c r="A70" s="19" t="s">
        <v>84</v>
      </c>
      <c r="C70" s="19" t="s">
        <v>85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7250-608D-4A2F-9BCA-9701807D8E24}">
  <sheetPr>
    <tabColor theme="0" tint="-0.249977111117893"/>
  </sheetPr>
  <dimension ref="A1:G60"/>
  <sheetViews>
    <sheetView showGridLines="0" zoomScaleNormal="100" workbookViewId="0">
      <selection activeCell="G15" sqref="G15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4" s="22" customFormat="1" ht="20.149999999999999" customHeight="1" x14ac:dyDescent="0.35">
      <c r="B1" s="23" t="s">
        <v>78</v>
      </c>
      <c r="C1" s="23"/>
      <c r="D1" s="4"/>
    </row>
    <row r="2" spans="1:4" ht="18" customHeight="1" x14ac:dyDescent="0.35">
      <c r="B2" s="3" t="s">
        <v>171</v>
      </c>
      <c r="C2" s="3"/>
      <c r="D2" s="4"/>
    </row>
    <row r="3" spans="1:4" ht="18" customHeight="1" x14ac:dyDescent="0.35">
      <c r="B3" s="3" t="s">
        <v>79</v>
      </c>
      <c r="C3" s="3"/>
      <c r="D3" s="4"/>
    </row>
    <row r="4" spans="1:4" ht="15" customHeight="1" x14ac:dyDescent="0.35">
      <c r="B4" s="3"/>
      <c r="C4" s="3"/>
      <c r="D4" s="4"/>
    </row>
    <row r="5" spans="1:4" ht="15" customHeight="1" x14ac:dyDescent="0.35">
      <c r="B5" s="3"/>
      <c r="C5" s="3"/>
      <c r="D5" s="4"/>
    </row>
    <row r="6" spans="1:4" ht="13" customHeight="1" x14ac:dyDescent="0.35">
      <c r="A6" s="40" t="s">
        <v>96</v>
      </c>
      <c r="B6" s="10"/>
      <c r="C6" s="10"/>
      <c r="D6" s="31"/>
    </row>
    <row r="7" spans="1:4" s="10" customFormat="1" ht="13" customHeight="1" x14ac:dyDescent="0.25">
      <c r="A7" s="40" t="s">
        <v>97</v>
      </c>
      <c r="D7" s="31"/>
    </row>
    <row r="8" spans="1:4" s="10" customFormat="1" ht="13" customHeight="1" x14ac:dyDescent="0.2">
      <c r="A8" s="21" t="s">
        <v>98</v>
      </c>
      <c r="C8" s="11" t="e">
        <f>(Balanza!#REF!+Balanza!#REF!+Balanza!#REF!)-(Balanza!#REF!+Balanza!#REF!+Balanza!#REF!)</f>
        <v>#REF!</v>
      </c>
      <c r="D8" s="20"/>
    </row>
    <row r="9" spans="1:4" s="10" customFormat="1" ht="13" customHeight="1" x14ac:dyDescent="0.2">
      <c r="A9" s="21" t="s">
        <v>167</v>
      </c>
      <c r="C9" s="59" t="e">
        <f>(Balanza!#REF!)-(Balanza!#REF!)</f>
        <v>#REF!</v>
      </c>
      <c r="D9" s="20"/>
    </row>
    <row r="10" spans="1:4" s="10" customFormat="1" ht="13" customHeight="1" x14ac:dyDescent="0.2">
      <c r="A10" s="21" t="s">
        <v>133</v>
      </c>
      <c r="C10" s="59" t="e">
        <f>(Balanza!#REF!)-(Balanza!#REF!)</f>
        <v>#REF!</v>
      </c>
      <c r="D10" s="20"/>
    </row>
    <row r="11" spans="1:4" s="10" customFormat="1" ht="13" customHeight="1" x14ac:dyDescent="0.2">
      <c r="A11" s="21" t="s">
        <v>134</v>
      </c>
      <c r="C11" s="59" t="e">
        <f>(Balanza!#REF!)-(Balanza!#REF!)</f>
        <v>#REF!</v>
      </c>
      <c r="D11" s="11"/>
    </row>
    <row r="12" spans="1:4" s="10" customFormat="1" ht="13" customHeight="1" x14ac:dyDescent="0.2">
      <c r="A12" s="21" t="s">
        <v>135</v>
      </c>
      <c r="C12" s="59" t="e">
        <f>(Balanza!#REF!)-(Balanza!#REF!)</f>
        <v>#REF!</v>
      </c>
      <c r="D12" s="11"/>
    </row>
    <row r="13" spans="1:4" s="10" customFormat="1" ht="13" customHeight="1" x14ac:dyDescent="0.2">
      <c r="A13" s="21" t="s">
        <v>99</v>
      </c>
      <c r="C13" s="59" t="e">
        <f>(Balanza!#REF!)-(Balanza!#REF!)</f>
        <v>#REF!</v>
      </c>
      <c r="D13" s="11"/>
    </row>
    <row r="14" spans="1:4" s="10" customFormat="1" ht="13" customHeight="1" x14ac:dyDescent="0.25">
      <c r="A14" s="40" t="s">
        <v>100</v>
      </c>
      <c r="C14" s="60"/>
      <c r="D14" s="17" t="e">
        <f>SUM(C8:C13)</f>
        <v>#REF!</v>
      </c>
    </row>
    <row r="15" spans="1:4" s="10" customFormat="1" ht="13" customHeight="1" x14ac:dyDescent="0.25">
      <c r="A15" s="40" t="s">
        <v>7</v>
      </c>
      <c r="C15" s="20"/>
      <c r="D15" s="11"/>
    </row>
    <row r="16" spans="1:4" s="10" customFormat="1" ht="13" customHeight="1" x14ac:dyDescent="0.2">
      <c r="A16" s="21" t="s">
        <v>168</v>
      </c>
      <c r="C16" s="59" t="e">
        <f>(Balanza!#REF!+Balanza!#REF!)-(Balanza!#REF!+Balanza!#REF!)</f>
        <v>#REF!</v>
      </c>
      <c r="D16" s="11"/>
    </row>
    <row r="17" spans="1:4" s="10" customFormat="1" ht="13" customHeight="1" x14ac:dyDescent="0.2">
      <c r="A17" s="21" t="s">
        <v>101</v>
      </c>
      <c r="C17" s="59" t="e">
        <f>(Balanza!#REF!)-(Balanza!#REF!)</f>
        <v>#REF!</v>
      </c>
      <c r="D17" s="11"/>
    </row>
    <row r="18" spans="1:4" s="10" customFormat="1" ht="13" customHeight="1" x14ac:dyDescent="0.2">
      <c r="A18" s="21" t="s">
        <v>117</v>
      </c>
      <c r="C18" s="39" t="e">
        <f>(Balanza!#REF!+Balanza!#REF!+Balanza!#REF!+Balanza!#REF!+Balanza!#REF!)-(Balanza!#REF!+Balanza!#REF!+Balanza!#REF!+Balanza!#REF!+Balanza!#REF!)</f>
        <v>#REF!</v>
      </c>
      <c r="D18" s="20"/>
    </row>
    <row r="19" spans="1:4" s="10" customFormat="1" ht="13" customHeight="1" x14ac:dyDescent="0.25">
      <c r="A19" s="40" t="s">
        <v>102</v>
      </c>
      <c r="C19" s="20"/>
      <c r="D19" s="17" t="e">
        <f>SUM(C16:C18)</f>
        <v>#REF!</v>
      </c>
    </row>
    <row r="20" spans="1:4" s="10" customFormat="1" ht="13" customHeight="1" x14ac:dyDescent="0.25">
      <c r="A20" s="40" t="s">
        <v>103</v>
      </c>
      <c r="C20" s="20"/>
      <c r="D20" s="11"/>
    </row>
    <row r="21" spans="1:4" s="10" customFormat="1" ht="13" customHeight="1" x14ac:dyDescent="0.2">
      <c r="A21" s="10" t="s">
        <v>136</v>
      </c>
      <c r="C21" s="53" t="e">
        <f>(Balanza!#REF!)-(Balanza!#REF!)</f>
        <v>#REF!</v>
      </c>
      <c r="D21" s="20"/>
    </row>
    <row r="22" spans="1:4" s="10" customFormat="1" ht="13" customHeight="1" x14ac:dyDescent="0.25">
      <c r="A22" s="16" t="s">
        <v>104</v>
      </c>
      <c r="C22" s="20"/>
      <c r="D22" s="50" t="e">
        <f>SUM(C21)</f>
        <v>#REF!</v>
      </c>
    </row>
    <row r="23" spans="1:4" s="10" customFormat="1" ht="13" customHeight="1" thickBot="1" x14ac:dyDescent="0.3">
      <c r="A23" s="30" t="s">
        <v>106</v>
      </c>
      <c r="C23" s="20"/>
      <c r="D23" s="55" t="e">
        <f>+D14+D19+D22</f>
        <v>#REF!</v>
      </c>
    </row>
    <row r="24" spans="1:4" s="10" customFormat="1" ht="13" customHeight="1" thickTop="1" x14ac:dyDescent="0.2">
      <c r="A24" s="9" t="s">
        <v>105</v>
      </c>
      <c r="C24" s="20"/>
      <c r="D24" s="11"/>
    </row>
    <row r="25" spans="1:4" s="10" customFormat="1" ht="13" customHeight="1" x14ac:dyDescent="0.25">
      <c r="A25" s="40" t="s">
        <v>132</v>
      </c>
      <c r="C25" s="20"/>
      <c r="D25" s="11"/>
    </row>
    <row r="26" spans="1:4" s="10" customFormat="1" ht="13" customHeight="1" x14ac:dyDescent="0.25">
      <c r="A26" s="30" t="s">
        <v>107</v>
      </c>
      <c r="C26" s="20"/>
      <c r="D26" s="11"/>
    </row>
    <row r="27" spans="1:4" s="10" customFormat="1" ht="13" customHeight="1" x14ac:dyDescent="0.2">
      <c r="A27" s="9" t="s">
        <v>108</v>
      </c>
      <c r="C27" s="61" t="e">
        <f>(Balanza!#REF!*-1)-(Balanza!#REF!*-1)</f>
        <v>#REF!</v>
      </c>
      <c r="D27" s="11"/>
    </row>
    <row r="28" spans="1:4" s="10" customFormat="1" ht="13" customHeight="1" x14ac:dyDescent="0.2">
      <c r="A28" s="21" t="s">
        <v>109</v>
      </c>
      <c r="C28" s="61" t="e">
        <f>(Balanza!#REF!*-1)-(Balanza!#REF!*-1)</f>
        <v>#REF!</v>
      </c>
      <c r="D28" s="11"/>
    </row>
    <row r="29" spans="1:4" s="10" customFormat="1" ht="13" customHeight="1" x14ac:dyDescent="0.2">
      <c r="A29" s="21" t="s">
        <v>110</v>
      </c>
      <c r="C29" s="61" t="e">
        <f>(Balanza!#REF!*-1)-(Balanza!#REF!*-1)</f>
        <v>#REF!</v>
      </c>
      <c r="D29" s="11"/>
    </row>
    <row r="30" spans="1:4" s="10" customFormat="1" ht="13" customHeight="1" x14ac:dyDescent="0.2">
      <c r="A30" s="21" t="s">
        <v>111</v>
      </c>
      <c r="C30" s="61" t="e">
        <f>(Balanza!#REF!*-1)-(Balanza!#REF!*-1)</f>
        <v>#REF!</v>
      </c>
      <c r="D30" s="11"/>
    </row>
    <row r="31" spans="1:4" s="10" customFormat="1" ht="13" customHeight="1" x14ac:dyDescent="0.2">
      <c r="A31" s="10" t="s">
        <v>112</v>
      </c>
      <c r="C31" s="61" t="e">
        <f>(Balanza!#REF!*-1)-(Balanza!#REF!*-1)</f>
        <v>#REF!</v>
      </c>
      <c r="D31" s="20"/>
    </row>
    <row r="32" spans="1:4" s="10" customFormat="1" ht="13" customHeight="1" x14ac:dyDescent="0.25">
      <c r="A32" s="16" t="s">
        <v>113</v>
      </c>
      <c r="C32" s="60"/>
      <c r="D32" s="57" t="e">
        <f>SUM(C27:C31)</f>
        <v>#REF!</v>
      </c>
    </row>
    <row r="33" spans="1:4" s="10" customFormat="1" ht="13" customHeight="1" x14ac:dyDescent="0.25">
      <c r="A33" s="16" t="s">
        <v>114</v>
      </c>
      <c r="C33" s="61"/>
      <c r="D33" s="20"/>
    </row>
    <row r="34" spans="1:4" s="10" customFormat="1" ht="13" customHeight="1" x14ac:dyDescent="0.2">
      <c r="A34" s="10" t="s">
        <v>115</v>
      </c>
      <c r="C34" s="61" t="e">
        <f>(Balanza!#REF!*-1)-(Balanza!#REF!*-1)</f>
        <v>#REF!</v>
      </c>
      <c r="D34" s="20"/>
    </row>
    <row r="35" spans="1:4" s="10" customFormat="1" ht="13" customHeight="1" x14ac:dyDescent="0.2">
      <c r="A35" s="9" t="s">
        <v>116</v>
      </c>
      <c r="C35" s="61" t="e">
        <f>(Balanza!#REF!*-1)-(Balanza!#REF!*-1)</f>
        <v>#REF!</v>
      </c>
      <c r="D35" s="20"/>
    </row>
    <row r="36" spans="1:4" s="10" customFormat="1" ht="13" customHeight="1" x14ac:dyDescent="0.2">
      <c r="A36" s="10" t="s">
        <v>117</v>
      </c>
      <c r="C36" s="61" t="e">
        <f>(Balanza!#REF!*-1)-(Balanza!#REF!*-1)</f>
        <v>#REF!</v>
      </c>
      <c r="D36" s="20"/>
    </row>
    <row r="37" spans="1:4" s="10" customFormat="1" ht="13" customHeight="1" x14ac:dyDescent="0.25">
      <c r="A37" s="16" t="s">
        <v>118</v>
      </c>
      <c r="C37" s="60"/>
      <c r="D37" s="57" t="e">
        <f>SUM(C34:C36)</f>
        <v>#REF!</v>
      </c>
    </row>
    <row r="38" spans="1:4" s="10" customFormat="1" ht="13" customHeight="1" x14ac:dyDescent="0.25">
      <c r="A38" s="16" t="s">
        <v>119</v>
      </c>
      <c r="C38" s="20"/>
      <c r="D38" s="20"/>
    </row>
    <row r="39" spans="1:4" s="10" customFormat="1" ht="13" customHeight="1" x14ac:dyDescent="0.2">
      <c r="A39" s="10" t="s">
        <v>120</v>
      </c>
      <c r="C39" s="61" t="e">
        <f>(Balanza!#REF!*-1)+(Balanza!#REF!*-1)-(Balanza!#REF!*-1)+(Balanza!#REF!*-1)</f>
        <v>#REF!</v>
      </c>
      <c r="D39" s="20"/>
    </row>
    <row r="40" spans="1:4" s="10" customFormat="1" ht="13" customHeight="1" x14ac:dyDescent="0.2">
      <c r="A40" s="10" t="s">
        <v>121</v>
      </c>
      <c r="C40" s="61" t="e">
        <f>((Balanza!#REF!*-1)+(Balanza!#REF!*-1)+(Balanza!#REF!*-1)+(Balanza!#REF!*-1)+(Balanza!#REF!*-1)+(Balanza!#REF!*-1)+(Balanza!#REF!*-1)+(Balanza!#REF!*-1)+(Balanza!#REF!*-1)+(Balanza!#REF!*-1)-((Balanza!#REF!*-1)+(Balanza!#REF!*-1)+(Balanza!#REF!*-1)+(Balanza!#REF!*-1)+(Balanza!#REF!*-1)+(Balanza!#REF!*-1)+(Balanza!#REF!*-1)+(Balanza!#REF!*-1)+(Balanza!#REF!*-1)+(Balanza!#REF!*-1)))</f>
        <v>#REF!</v>
      </c>
      <c r="D40" s="20"/>
    </row>
    <row r="41" spans="1:4" s="10" customFormat="1" ht="13" customHeight="1" x14ac:dyDescent="0.25">
      <c r="A41" s="16" t="s">
        <v>122</v>
      </c>
      <c r="C41" s="60"/>
      <c r="D41" s="47" t="e">
        <f>SUM(C39:C40)</f>
        <v>#REF!</v>
      </c>
    </row>
    <row r="42" spans="1:4" s="10" customFormat="1" ht="13" customHeight="1" x14ac:dyDescent="0.25">
      <c r="A42" s="16" t="s">
        <v>50</v>
      </c>
      <c r="C42" s="20"/>
      <c r="D42" s="20"/>
    </row>
    <row r="43" spans="1:4" s="10" customFormat="1" ht="13" customHeight="1" x14ac:dyDescent="0.2">
      <c r="A43" s="10" t="s">
        <v>123</v>
      </c>
      <c r="C43" s="61" t="e">
        <f>(Balanza!#REF!*-1)-(Balanza!#REF!*-1)</f>
        <v>#REF!</v>
      </c>
    </row>
    <row r="44" spans="1:4" s="10" customFormat="1" ht="13" customHeight="1" x14ac:dyDescent="0.2">
      <c r="A44" s="10" t="s">
        <v>124</v>
      </c>
      <c r="C44" s="53" t="e">
        <f>(Balanza!#REF!*-1)-(Balanza!#REF!*-1)</f>
        <v>#REF!</v>
      </c>
    </row>
    <row r="45" spans="1:4" s="10" customFormat="1" ht="13" customHeight="1" x14ac:dyDescent="0.25">
      <c r="A45" s="16" t="s">
        <v>125</v>
      </c>
      <c r="C45" s="20"/>
      <c r="D45" s="54" t="e">
        <f>SUM(C43:C44)</f>
        <v>#REF!</v>
      </c>
    </row>
    <row r="46" spans="1:4" s="10" customFormat="1" ht="13" customHeight="1" x14ac:dyDescent="0.25">
      <c r="A46" s="16" t="s">
        <v>126</v>
      </c>
      <c r="C46" s="20"/>
      <c r="D46" s="54" t="e">
        <f>+D32+D37+D41+D45</f>
        <v>#REF!</v>
      </c>
    </row>
    <row r="47" spans="1:4" s="10" customFormat="1" ht="13" customHeight="1" x14ac:dyDescent="0.2">
      <c r="A47" s="10" t="s">
        <v>105</v>
      </c>
      <c r="C47" s="20"/>
      <c r="D47" s="11"/>
    </row>
    <row r="48" spans="1:4" s="10" customFormat="1" ht="13" customHeight="1" x14ac:dyDescent="0.25">
      <c r="A48" s="16" t="s">
        <v>127</v>
      </c>
      <c r="C48" s="20"/>
      <c r="D48" s="11"/>
    </row>
    <row r="49" spans="1:7" s="10" customFormat="1" ht="13" customHeight="1" x14ac:dyDescent="0.2">
      <c r="A49" s="10" t="s">
        <v>128</v>
      </c>
      <c r="C49" s="11" t="e">
        <f>(Balanza!#REF!*-1)-(Balanza!#REF!*-1)</f>
        <v>#REF!</v>
      </c>
      <c r="D49" s="20"/>
    </row>
    <row r="50" spans="1:7" s="10" customFormat="1" ht="13" customHeight="1" x14ac:dyDescent="0.2">
      <c r="A50" s="10" t="s">
        <v>131</v>
      </c>
      <c r="C50" s="39" t="e">
        <f>((Balanza!#REF!+Balanza!#REF!+Balanza!#REF!-724657.37)*-1)-((Balanza!#REF!+Balanza!#REF!+Balanza!#REF!-489400.26)*-1)</f>
        <v>#REF!</v>
      </c>
      <c r="D50" s="20"/>
    </row>
    <row r="51" spans="1:7" s="10" customFormat="1" ht="13" customHeight="1" x14ac:dyDescent="0.25">
      <c r="A51" s="16" t="s">
        <v>129</v>
      </c>
      <c r="C51" s="20"/>
      <c r="D51" s="54" t="e">
        <f>SUM(C49:C50)</f>
        <v>#REF!</v>
      </c>
    </row>
    <row r="52" spans="1:7" s="10" customFormat="1" ht="13" customHeight="1" x14ac:dyDescent="0.2">
      <c r="C52" s="20"/>
      <c r="D52" s="11"/>
    </row>
    <row r="53" spans="1:7" s="10" customFormat="1" ht="13" customHeight="1" thickBot="1" x14ac:dyDescent="0.3">
      <c r="A53" s="16" t="s">
        <v>130</v>
      </c>
      <c r="C53" s="20"/>
      <c r="D53" s="55" t="e">
        <f>+D46+D51</f>
        <v>#REF!</v>
      </c>
      <c r="G53" s="46" t="e">
        <f>+D23-D53</f>
        <v>#REF!</v>
      </c>
    </row>
    <row r="54" spans="1:7" s="10" customFormat="1" ht="13" customHeight="1" thickTop="1" x14ac:dyDescent="0.2"/>
    <row r="55" spans="1:7" s="10" customFormat="1" ht="13" customHeight="1" x14ac:dyDescent="0.2"/>
    <row r="56" spans="1:7" s="10" customFormat="1" ht="13" customHeight="1" x14ac:dyDescent="0.2"/>
    <row r="57" spans="1:7" s="10" customFormat="1" ht="13" customHeight="1" x14ac:dyDescent="0.2"/>
    <row r="58" spans="1:7" s="10" customFormat="1" ht="13" customHeight="1" x14ac:dyDescent="0.2"/>
    <row r="59" spans="1:7" s="10" customFormat="1" ht="13" customHeight="1" x14ac:dyDescent="0.2">
      <c r="A59" s="18" t="s">
        <v>82</v>
      </c>
      <c r="D59" s="18" t="s">
        <v>145</v>
      </c>
    </row>
    <row r="60" spans="1:7" s="10" customFormat="1" ht="13" customHeight="1" x14ac:dyDescent="0.2">
      <c r="A60" s="19" t="s">
        <v>84</v>
      </c>
      <c r="D60" s="19" t="s">
        <v>146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9"/>
  <sheetViews>
    <sheetView showGridLines="0" zoomScaleNormal="100" workbookViewId="0">
      <selection activeCell="C59" sqref="C59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4" s="22" customFormat="1" ht="20.149999999999999" customHeight="1" x14ac:dyDescent="0.35">
      <c r="B1" s="23" t="s">
        <v>78</v>
      </c>
      <c r="C1" s="23"/>
      <c r="D1" s="4"/>
    </row>
    <row r="2" spans="1:4" ht="18" customHeight="1" x14ac:dyDescent="0.35">
      <c r="B2" s="3" t="s">
        <v>148</v>
      </c>
      <c r="C2" s="3"/>
      <c r="D2" s="4"/>
    </row>
    <row r="3" spans="1:4" ht="18" customHeight="1" x14ac:dyDescent="0.35">
      <c r="B3" s="3" t="s">
        <v>79</v>
      </c>
      <c r="C3" s="3"/>
      <c r="D3" s="4"/>
    </row>
    <row r="4" spans="1:4" ht="18" customHeight="1" x14ac:dyDescent="0.35">
      <c r="B4" s="3"/>
      <c r="C4" s="3"/>
      <c r="D4" s="4"/>
    </row>
    <row r="5" spans="1:4" ht="18" customHeight="1" x14ac:dyDescent="0.35">
      <c r="B5" s="3"/>
      <c r="C5" s="3"/>
      <c r="D5" s="4"/>
    </row>
    <row r="6" spans="1:4" ht="15" customHeight="1" x14ac:dyDescent="0.35"/>
    <row r="7" spans="1:4" ht="13" customHeight="1" x14ac:dyDescent="0.35">
      <c r="A7" s="40" t="s">
        <v>96</v>
      </c>
      <c r="B7" s="10"/>
      <c r="C7" s="10"/>
      <c r="D7" s="31"/>
    </row>
    <row r="8" spans="1:4" s="10" customFormat="1" ht="13" customHeight="1" x14ac:dyDescent="0.2">
      <c r="A8" s="21"/>
      <c r="D8" s="31"/>
    </row>
    <row r="9" spans="1:4" s="10" customFormat="1" ht="13" customHeight="1" x14ac:dyDescent="0.25">
      <c r="A9" s="40" t="s">
        <v>97</v>
      </c>
      <c r="D9" s="31"/>
    </row>
    <row r="10" spans="1:4" s="10" customFormat="1" ht="13" customHeight="1" x14ac:dyDescent="0.2">
      <c r="A10" s="21" t="s">
        <v>98</v>
      </c>
      <c r="C10" s="11" t="e">
        <f>((+Balanza!#REF!+Balanza!#REF!+Balanza!#REF!)-(+Balanza!#REF!+Balanza!#REF!+Balanza!#REF!))</f>
        <v>#REF!</v>
      </c>
      <c r="D10" s="20"/>
    </row>
    <row r="11" spans="1:4" s="10" customFormat="1" ht="13" customHeight="1" x14ac:dyDescent="0.2">
      <c r="A11" s="21" t="s">
        <v>133</v>
      </c>
      <c r="C11" s="39" t="e">
        <f>((+Balanza!#REF!+Balanza!#REF!+Balanza!#REF!)-(+Balanza!#REF!+Balanza!#REF!+Balanza!#REF!))</f>
        <v>#REF!</v>
      </c>
      <c r="D11" s="20"/>
    </row>
    <row r="12" spans="1:4" s="10" customFormat="1" ht="13" hidden="1" customHeight="1" x14ac:dyDescent="0.2">
      <c r="A12" s="21" t="s">
        <v>134</v>
      </c>
      <c r="C12" s="20"/>
      <c r="D12" s="11">
        <v>0</v>
      </c>
    </row>
    <row r="13" spans="1:4" s="10" customFormat="1" ht="13" hidden="1" customHeight="1" x14ac:dyDescent="0.2">
      <c r="A13" s="21" t="s">
        <v>135</v>
      </c>
      <c r="C13" s="20"/>
      <c r="D13" s="11">
        <v>0</v>
      </c>
    </row>
    <row r="14" spans="1:4" s="10" customFormat="1" ht="13" hidden="1" customHeight="1" x14ac:dyDescent="0.2">
      <c r="A14" s="21" t="s">
        <v>99</v>
      </c>
      <c r="C14" s="20"/>
      <c r="D14" s="11">
        <v>0</v>
      </c>
    </row>
    <row r="15" spans="1:4" s="10" customFormat="1" ht="13" customHeight="1" x14ac:dyDescent="0.25">
      <c r="A15" s="40" t="s">
        <v>100</v>
      </c>
      <c r="C15" s="20"/>
      <c r="D15" s="17" t="e">
        <f>SUM(C9:C13)</f>
        <v>#REF!</v>
      </c>
    </row>
    <row r="16" spans="1:4" s="10" customFormat="1" ht="13" customHeight="1" x14ac:dyDescent="0.2">
      <c r="A16" s="21"/>
      <c r="C16" s="20"/>
      <c r="D16" s="11"/>
    </row>
    <row r="17" spans="1:4" s="10" customFormat="1" ht="12.75" customHeight="1" x14ac:dyDescent="0.25">
      <c r="A17" s="40" t="s">
        <v>7</v>
      </c>
      <c r="C17" s="20"/>
      <c r="D17" s="11"/>
    </row>
    <row r="18" spans="1:4" s="10" customFormat="1" ht="13" hidden="1" customHeight="1" x14ac:dyDescent="0.2">
      <c r="A18" s="21" t="s">
        <v>101</v>
      </c>
      <c r="C18" s="20"/>
      <c r="D18" s="11">
        <v>0</v>
      </c>
    </row>
    <row r="19" spans="1:4" s="10" customFormat="1" ht="13" customHeight="1" x14ac:dyDescent="0.2">
      <c r="A19" s="21" t="s">
        <v>117</v>
      </c>
      <c r="C19" s="39" t="e">
        <f>((+Balanza!#REF!)-(+Balanza!#REF!))</f>
        <v>#REF!</v>
      </c>
      <c r="D19" s="20"/>
    </row>
    <row r="20" spans="1:4" s="10" customFormat="1" ht="13" customHeight="1" x14ac:dyDescent="0.25">
      <c r="A20" s="40" t="s">
        <v>102</v>
      </c>
      <c r="C20" s="20"/>
      <c r="D20" s="17" t="e">
        <f>SUM(C18:C19)</f>
        <v>#REF!</v>
      </c>
    </row>
    <row r="21" spans="1:4" s="10" customFormat="1" ht="13" customHeight="1" x14ac:dyDescent="0.2">
      <c r="C21" s="20"/>
      <c r="D21" s="20"/>
    </row>
    <row r="22" spans="1:4" s="10" customFormat="1" ht="13" customHeight="1" x14ac:dyDescent="0.25">
      <c r="A22" s="40" t="s">
        <v>103</v>
      </c>
      <c r="C22" s="20"/>
      <c r="D22" s="11"/>
    </row>
    <row r="23" spans="1:4" s="10" customFormat="1" ht="13" customHeight="1" x14ac:dyDescent="0.2">
      <c r="A23" s="10" t="s">
        <v>136</v>
      </c>
      <c r="C23" s="39" t="e">
        <f>((+Balanza!#REF!)-(+Balanza!#REF!))</f>
        <v>#REF!</v>
      </c>
      <c r="D23" s="20"/>
    </row>
    <row r="24" spans="1:4" s="10" customFormat="1" ht="13" customHeight="1" x14ac:dyDescent="0.25">
      <c r="A24" s="16" t="s">
        <v>104</v>
      </c>
      <c r="C24" s="20"/>
      <c r="D24" s="50" t="e">
        <f>SUM(C23)</f>
        <v>#REF!</v>
      </c>
    </row>
    <row r="25" spans="1:4" s="10" customFormat="1" ht="13" customHeight="1" x14ac:dyDescent="0.2">
      <c r="A25" s="21" t="s">
        <v>105</v>
      </c>
      <c r="C25" s="20"/>
      <c r="D25" s="11"/>
    </row>
    <row r="26" spans="1:4" s="10" customFormat="1" ht="13" customHeight="1" thickBot="1" x14ac:dyDescent="0.3">
      <c r="A26" s="30" t="s">
        <v>106</v>
      </c>
      <c r="C26" s="20"/>
      <c r="D26" s="55" t="e">
        <f>+D15+D20+D24</f>
        <v>#REF!</v>
      </c>
    </row>
    <row r="27" spans="1:4" s="10" customFormat="1" ht="13" customHeight="1" thickTop="1" x14ac:dyDescent="0.2">
      <c r="A27" s="9" t="s">
        <v>105</v>
      </c>
      <c r="C27" s="20"/>
      <c r="D27" s="11"/>
    </row>
    <row r="28" spans="1:4" s="10" customFormat="1" ht="13" customHeight="1" x14ac:dyDescent="0.2">
      <c r="A28" s="9"/>
      <c r="C28" s="20"/>
      <c r="D28" s="11"/>
    </row>
    <row r="29" spans="1:4" s="10" customFormat="1" ht="13" customHeight="1" x14ac:dyDescent="0.25">
      <c r="A29" s="40" t="s">
        <v>132</v>
      </c>
      <c r="C29" s="20"/>
      <c r="D29" s="11"/>
    </row>
    <row r="30" spans="1:4" s="10" customFormat="1" ht="13" customHeight="1" x14ac:dyDescent="0.2">
      <c r="A30" s="9"/>
      <c r="C30" s="20"/>
      <c r="D30" s="11"/>
    </row>
    <row r="31" spans="1:4" s="10" customFormat="1" ht="13" customHeight="1" x14ac:dyDescent="0.25">
      <c r="A31" s="30" t="s">
        <v>107</v>
      </c>
      <c r="C31" s="20"/>
      <c r="D31" s="11"/>
    </row>
    <row r="32" spans="1:4" s="10" customFormat="1" ht="13" hidden="1" customHeight="1" x14ac:dyDescent="0.2">
      <c r="A32" s="9" t="s">
        <v>108</v>
      </c>
      <c r="C32" s="20"/>
      <c r="D32" s="11">
        <v>0</v>
      </c>
    </row>
    <row r="33" spans="1:4" s="10" customFormat="1" ht="13" customHeight="1" x14ac:dyDescent="0.2">
      <c r="A33" s="21" t="s">
        <v>109</v>
      </c>
      <c r="C33" s="20" t="e">
        <f>(Balanza!#REF!*-1)-(Balanza!#REF!*-1)</f>
        <v>#REF!</v>
      </c>
      <c r="D33" s="11"/>
    </row>
    <row r="34" spans="1:4" s="10" customFormat="1" ht="13" hidden="1" customHeight="1" x14ac:dyDescent="0.2">
      <c r="A34" s="21" t="s">
        <v>110</v>
      </c>
      <c r="C34" s="20"/>
      <c r="D34" s="11">
        <v>0</v>
      </c>
    </row>
    <row r="35" spans="1:4" s="10" customFormat="1" ht="13" hidden="1" customHeight="1" x14ac:dyDescent="0.2">
      <c r="A35" s="21" t="s">
        <v>111</v>
      </c>
      <c r="C35" s="20"/>
      <c r="D35" s="11">
        <v>0</v>
      </c>
    </row>
    <row r="36" spans="1:4" s="10" customFormat="1" ht="13" hidden="1" customHeight="1" x14ac:dyDescent="0.2">
      <c r="A36" s="10" t="s">
        <v>112</v>
      </c>
      <c r="C36" s="20"/>
      <c r="D36" s="20">
        <v>0</v>
      </c>
    </row>
    <row r="37" spans="1:4" s="10" customFormat="1" ht="13" customHeight="1" x14ac:dyDescent="0.25">
      <c r="A37" s="16" t="s">
        <v>113</v>
      </c>
      <c r="C37" s="20"/>
      <c r="D37" s="47" t="e">
        <f>SUM(C32:C36)</f>
        <v>#REF!</v>
      </c>
    </row>
    <row r="38" spans="1:4" s="10" customFormat="1" ht="13" customHeight="1" x14ac:dyDescent="0.2">
      <c r="C38" s="20"/>
      <c r="D38" s="20"/>
    </row>
    <row r="39" spans="1:4" s="10" customFormat="1" ht="13" customHeight="1" x14ac:dyDescent="0.25">
      <c r="A39" s="16" t="s">
        <v>114</v>
      </c>
      <c r="C39" s="20"/>
      <c r="D39" s="20"/>
    </row>
    <row r="40" spans="1:4" s="10" customFormat="1" ht="13" customHeight="1" x14ac:dyDescent="0.2">
      <c r="A40" s="10" t="s">
        <v>115</v>
      </c>
      <c r="C40" s="20" t="e">
        <f>(Balanza!#REF!*-1)-(Balanza!#REF!*-1)</f>
        <v>#REF!</v>
      </c>
      <c r="D40" s="20"/>
    </row>
    <row r="41" spans="1:4" s="10" customFormat="1" ht="13" customHeight="1" x14ac:dyDescent="0.2">
      <c r="A41" s="9" t="s">
        <v>116</v>
      </c>
      <c r="C41" s="53" t="e">
        <f>(Balanza!#REF!*-1)-(Balanza!#REF!*-1)</f>
        <v>#REF!</v>
      </c>
      <c r="D41" s="20"/>
    </row>
    <row r="42" spans="1:4" s="10" customFormat="1" ht="13" hidden="1" customHeight="1" x14ac:dyDescent="0.2">
      <c r="A42" s="10" t="s">
        <v>117</v>
      </c>
      <c r="C42" s="20" t="e">
        <f>+Balanza!#REF!*-1</f>
        <v>#REF!</v>
      </c>
      <c r="D42" s="20"/>
    </row>
    <row r="43" spans="1:4" s="10" customFormat="1" ht="15" customHeight="1" x14ac:dyDescent="0.25">
      <c r="A43" s="16" t="s">
        <v>118</v>
      </c>
      <c r="C43" s="20"/>
      <c r="D43" s="50" t="e">
        <f>SUM(C40:C42)</f>
        <v>#REF!</v>
      </c>
    </row>
    <row r="44" spans="1:4" s="10" customFormat="1" ht="15" customHeight="1" x14ac:dyDescent="0.2">
      <c r="B44" s="18"/>
      <c r="C44" s="48"/>
      <c r="D44" s="11"/>
    </row>
    <row r="45" spans="1:4" s="10" customFormat="1" ht="15" hidden="1" customHeight="1" x14ac:dyDescent="0.25">
      <c r="A45" s="16" t="s">
        <v>119</v>
      </c>
      <c r="C45" s="20"/>
      <c r="D45" s="20"/>
    </row>
    <row r="46" spans="1:4" s="10" customFormat="1" ht="15" hidden="1" customHeight="1" x14ac:dyDescent="0.2">
      <c r="A46" s="10" t="s">
        <v>120</v>
      </c>
      <c r="C46" s="20"/>
      <c r="D46" s="20">
        <v>0</v>
      </c>
    </row>
    <row r="47" spans="1:4" s="10" customFormat="1" ht="15" hidden="1" customHeight="1" x14ac:dyDescent="0.2">
      <c r="A47" s="10" t="s">
        <v>121</v>
      </c>
      <c r="C47" s="20"/>
      <c r="D47" s="20">
        <v>0</v>
      </c>
    </row>
    <row r="48" spans="1:4" s="10" customFormat="1" ht="15" hidden="1" customHeight="1" x14ac:dyDescent="0.25">
      <c r="A48" s="16" t="s">
        <v>122</v>
      </c>
      <c r="C48" s="20"/>
      <c r="D48" s="47">
        <f>SUM(D46:D47)</f>
        <v>0</v>
      </c>
    </row>
    <row r="49" spans="1:7" s="10" customFormat="1" ht="15" hidden="1" customHeight="1" x14ac:dyDescent="0.2">
      <c r="C49" s="20"/>
      <c r="D49" s="20"/>
      <c r="F49" s="13"/>
    </row>
    <row r="50" spans="1:7" s="10" customFormat="1" ht="15" hidden="1" customHeight="1" x14ac:dyDescent="0.25">
      <c r="A50" s="16" t="s">
        <v>50</v>
      </c>
      <c r="C50" s="20"/>
      <c r="D50" s="20"/>
    </row>
    <row r="51" spans="1:7" s="10" customFormat="1" ht="15" hidden="1" customHeight="1" x14ac:dyDescent="0.2">
      <c r="A51" s="10" t="s">
        <v>123</v>
      </c>
      <c r="C51" s="20"/>
      <c r="D51" s="11">
        <v>0</v>
      </c>
    </row>
    <row r="52" spans="1:7" s="10" customFormat="1" ht="15" hidden="1" customHeight="1" x14ac:dyDescent="0.2">
      <c r="A52" s="10" t="s">
        <v>124</v>
      </c>
      <c r="C52" s="20"/>
      <c r="D52" s="11">
        <v>0</v>
      </c>
    </row>
    <row r="53" spans="1:7" s="10" customFormat="1" ht="15" hidden="1" customHeight="1" x14ac:dyDescent="0.25">
      <c r="A53" s="16" t="s">
        <v>125</v>
      </c>
      <c r="C53" s="20"/>
      <c r="D53" s="17">
        <f>SUM(D51:D52)</f>
        <v>0</v>
      </c>
    </row>
    <row r="54" spans="1:7" s="10" customFormat="1" ht="15" hidden="1" customHeight="1" x14ac:dyDescent="0.2">
      <c r="C54" s="20"/>
      <c r="D54" s="11"/>
    </row>
    <row r="55" spans="1:7" s="10" customFormat="1" ht="15" customHeight="1" x14ac:dyDescent="0.25">
      <c r="A55" s="16" t="s">
        <v>126</v>
      </c>
      <c r="C55" s="20"/>
      <c r="D55" s="17" t="e">
        <f>+D37+D43+D48+D53</f>
        <v>#REF!</v>
      </c>
    </row>
    <row r="56" spans="1:7" s="10" customFormat="1" ht="15" customHeight="1" x14ac:dyDescent="0.2">
      <c r="A56" s="10" t="s">
        <v>105</v>
      </c>
      <c r="C56" s="20"/>
      <c r="D56" s="11"/>
    </row>
    <row r="57" spans="1:7" s="10" customFormat="1" ht="15" customHeight="1" x14ac:dyDescent="0.25">
      <c r="A57" s="16" t="s">
        <v>127</v>
      </c>
      <c r="C57" s="20"/>
      <c r="D57" s="11"/>
    </row>
    <row r="58" spans="1:7" s="10" customFormat="1" ht="15" customHeight="1" x14ac:dyDescent="0.2">
      <c r="A58" s="10" t="s">
        <v>128</v>
      </c>
      <c r="C58" s="11" t="e">
        <f>(Balanza!#REF!*-1)-(Balanza!#REF!*-1)</f>
        <v>#REF!</v>
      </c>
      <c r="D58" s="20"/>
    </row>
    <row r="59" spans="1:7" s="10" customFormat="1" ht="15" customHeight="1" x14ac:dyDescent="0.2">
      <c r="A59" s="10" t="s">
        <v>131</v>
      </c>
      <c r="C59" s="39" t="e">
        <f>((Balanza!#REF!+Balanza!#REF!+Balanza!#REF!+45485.33)*-1)-(Balanza!#REF!+Balanza!#REF!+Balanza!#REF!+9775.55)*-1</f>
        <v>#REF!</v>
      </c>
      <c r="D59" s="20"/>
    </row>
    <row r="60" spans="1:7" s="10" customFormat="1" ht="15" customHeight="1" x14ac:dyDescent="0.25">
      <c r="A60" s="16" t="s">
        <v>129</v>
      </c>
      <c r="C60" s="20"/>
      <c r="D60" s="54" t="e">
        <f>SUM(C58:C59)</f>
        <v>#REF!</v>
      </c>
    </row>
    <row r="61" spans="1:7" s="10" customFormat="1" ht="15" customHeight="1" x14ac:dyDescent="0.2">
      <c r="C61" s="20"/>
      <c r="D61" s="11"/>
    </row>
    <row r="62" spans="1:7" s="10" customFormat="1" ht="15" customHeight="1" thickBot="1" x14ac:dyDescent="0.3">
      <c r="A62" s="16" t="s">
        <v>130</v>
      </c>
      <c r="C62" s="20"/>
      <c r="D62" s="55" t="e">
        <f>+D55+D60</f>
        <v>#REF!</v>
      </c>
      <c r="G62" s="46" t="e">
        <f>+D26-D62</f>
        <v>#REF!</v>
      </c>
    </row>
    <row r="63" spans="1:7" s="10" customFormat="1" ht="15" customHeight="1" thickTop="1" x14ac:dyDescent="0.2"/>
    <row r="64" spans="1:7" s="10" customFormat="1" ht="15" customHeight="1" x14ac:dyDescent="0.2"/>
    <row r="65" spans="1:4" s="10" customFormat="1" ht="15" customHeight="1" x14ac:dyDescent="0.2"/>
    <row r="66" spans="1:4" s="10" customFormat="1" ht="15" customHeight="1" x14ac:dyDescent="0.2"/>
    <row r="67" spans="1:4" s="10" customFormat="1" ht="15" customHeight="1" x14ac:dyDescent="0.2"/>
    <row r="68" spans="1:4" s="10" customFormat="1" ht="15" customHeight="1" x14ac:dyDescent="0.2">
      <c r="A68" s="18" t="s">
        <v>82</v>
      </c>
      <c r="D68" s="18" t="s">
        <v>145</v>
      </c>
    </row>
    <row r="69" spans="1:4" s="10" customFormat="1" ht="15" customHeight="1" x14ac:dyDescent="0.2">
      <c r="A69" s="19" t="s">
        <v>84</v>
      </c>
      <c r="D69" s="19" t="s">
        <v>142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G45"/>
  <sheetViews>
    <sheetView showGridLines="0" zoomScaleNormal="100" workbookViewId="0">
      <selection activeCell="B35" sqref="B35"/>
    </sheetView>
  </sheetViews>
  <sheetFormatPr baseColWidth="10" defaultColWidth="9.1796875" defaultRowHeight="14.5" x14ac:dyDescent="0.35"/>
  <cols>
    <col min="1" max="1" width="15.54296875" customWidth="1"/>
    <col min="2" max="2" width="44" customWidth="1"/>
    <col min="3" max="3" width="12.7265625" customWidth="1"/>
    <col min="4" max="4" width="7.81640625" customWidth="1"/>
    <col min="5" max="5" width="15.54296875" customWidth="1"/>
    <col min="6" max="6" width="44" customWidth="1"/>
    <col min="7" max="8" width="12.7265625" customWidth="1"/>
    <col min="12" max="13" width="13.26953125" customWidth="1"/>
    <col min="257" max="257" width="15.54296875" customWidth="1"/>
    <col min="258" max="258" width="44" customWidth="1"/>
    <col min="259" max="259" width="12.7265625" customWidth="1"/>
    <col min="260" max="260" width="7.81640625" customWidth="1"/>
    <col min="261" max="261" width="15.54296875" customWidth="1"/>
    <col min="262" max="262" width="44" customWidth="1"/>
    <col min="263" max="264" width="12.7265625" customWidth="1"/>
    <col min="268" max="269" width="13.26953125" customWidth="1"/>
    <col min="513" max="513" width="15.54296875" customWidth="1"/>
    <col min="514" max="514" width="44" customWidth="1"/>
    <col min="515" max="515" width="12.7265625" customWidth="1"/>
    <col min="516" max="516" width="7.81640625" customWidth="1"/>
    <col min="517" max="517" width="15.54296875" customWidth="1"/>
    <col min="518" max="518" width="44" customWidth="1"/>
    <col min="519" max="520" width="12.7265625" customWidth="1"/>
    <col min="524" max="525" width="13.26953125" customWidth="1"/>
    <col min="769" max="769" width="15.54296875" customWidth="1"/>
    <col min="770" max="770" width="44" customWidth="1"/>
    <col min="771" max="771" width="12.7265625" customWidth="1"/>
    <col min="772" max="772" width="7.81640625" customWidth="1"/>
    <col min="773" max="773" width="15.54296875" customWidth="1"/>
    <col min="774" max="774" width="44" customWidth="1"/>
    <col min="775" max="776" width="12.7265625" customWidth="1"/>
    <col min="780" max="781" width="13.26953125" customWidth="1"/>
    <col min="1025" max="1025" width="15.54296875" customWidth="1"/>
    <col min="1026" max="1026" width="44" customWidth="1"/>
    <col min="1027" max="1027" width="12.7265625" customWidth="1"/>
    <col min="1028" max="1028" width="7.81640625" customWidth="1"/>
    <col min="1029" max="1029" width="15.54296875" customWidth="1"/>
    <col min="1030" max="1030" width="44" customWidth="1"/>
    <col min="1031" max="1032" width="12.7265625" customWidth="1"/>
    <col min="1036" max="1037" width="13.26953125" customWidth="1"/>
    <col min="1281" max="1281" width="15.54296875" customWidth="1"/>
    <col min="1282" max="1282" width="44" customWidth="1"/>
    <col min="1283" max="1283" width="12.7265625" customWidth="1"/>
    <col min="1284" max="1284" width="7.81640625" customWidth="1"/>
    <col min="1285" max="1285" width="15.54296875" customWidth="1"/>
    <col min="1286" max="1286" width="44" customWidth="1"/>
    <col min="1287" max="1288" width="12.7265625" customWidth="1"/>
    <col min="1292" max="1293" width="13.26953125" customWidth="1"/>
    <col min="1537" max="1537" width="15.54296875" customWidth="1"/>
    <col min="1538" max="1538" width="44" customWidth="1"/>
    <col min="1539" max="1539" width="12.7265625" customWidth="1"/>
    <col min="1540" max="1540" width="7.81640625" customWidth="1"/>
    <col min="1541" max="1541" width="15.54296875" customWidth="1"/>
    <col min="1542" max="1542" width="44" customWidth="1"/>
    <col min="1543" max="1544" width="12.7265625" customWidth="1"/>
    <col min="1548" max="1549" width="13.26953125" customWidth="1"/>
    <col min="1793" max="1793" width="15.54296875" customWidth="1"/>
    <col min="1794" max="1794" width="44" customWidth="1"/>
    <col min="1795" max="1795" width="12.7265625" customWidth="1"/>
    <col min="1796" max="1796" width="7.81640625" customWidth="1"/>
    <col min="1797" max="1797" width="15.54296875" customWidth="1"/>
    <col min="1798" max="1798" width="44" customWidth="1"/>
    <col min="1799" max="1800" width="12.7265625" customWidth="1"/>
    <col min="1804" max="1805" width="13.26953125" customWidth="1"/>
    <col min="2049" max="2049" width="15.54296875" customWidth="1"/>
    <col min="2050" max="2050" width="44" customWidth="1"/>
    <col min="2051" max="2051" width="12.7265625" customWidth="1"/>
    <col min="2052" max="2052" width="7.81640625" customWidth="1"/>
    <col min="2053" max="2053" width="15.54296875" customWidth="1"/>
    <col min="2054" max="2054" width="44" customWidth="1"/>
    <col min="2055" max="2056" width="12.7265625" customWidth="1"/>
    <col min="2060" max="2061" width="13.26953125" customWidth="1"/>
    <col min="2305" max="2305" width="15.54296875" customWidth="1"/>
    <col min="2306" max="2306" width="44" customWidth="1"/>
    <col min="2307" max="2307" width="12.7265625" customWidth="1"/>
    <col min="2308" max="2308" width="7.81640625" customWidth="1"/>
    <col min="2309" max="2309" width="15.54296875" customWidth="1"/>
    <col min="2310" max="2310" width="44" customWidth="1"/>
    <col min="2311" max="2312" width="12.7265625" customWidth="1"/>
    <col min="2316" max="2317" width="13.26953125" customWidth="1"/>
    <col min="2561" max="2561" width="15.54296875" customWidth="1"/>
    <col min="2562" max="2562" width="44" customWidth="1"/>
    <col min="2563" max="2563" width="12.7265625" customWidth="1"/>
    <col min="2564" max="2564" width="7.81640625" customWidth="1"/>
    <col min="2565" max="2565" width="15.54296875" customWidth="1"/>
    <col min="2566" max="2566" width="44" customWidth="1"/>
    <col min="2567" max="2568" width="12.7265625" customWidth="1"/>
    <col min="2572" max="2573" width="13.26953125" customWidth="1"/>
    <col min="2817" max="2817" width="15.54296875" customWidth="1"/>
    <col min="2818" max="2818" width="44" customWidth="1"/>
    <col min="2819" max="2819" width="12.7265625" customWidth="1"/>
    <col min="2820" max="2820" width="7.81640625" customWidth="1"/>
    <col min="2821" max="2821" width="15.54296875" customWidth="1"/>
    <col min="2822" max="2822" width="44" customWidth="1"/>
    <col min="2823" max="2824" width="12.7265625" customWidth="1"/>
    <col min="2828" max="2829" width="13.26953125" customWidth="1"/>
    <col min="3073" max="3073" width="15.54296875" customWidth="1"/>
    <col min="3074" max="3074" width="44" customWidth="1"/>
    <col min="3075" max="3075" width="12.7265625" customWidth="1"/>
    <col min="3076" max="3076" width="7.81640625" customWidth="1"/>
    <col min="3077" max="3077" width="15.54296875" customWidth="1"/>
    <col min="3078" max="3078" width="44" customWidth="1"/>
    <col min="3079" max="3080" width="12.7265625" customWidth="1"/>
    <col min="3084" max="3085" width="13.26953125" customWidth="1"/>
    <col min="3329" max="3329" width="15.54296875" customWidth="1"/>
    <col min="3330" max="3330" width="44" customWidth="1"/>
    <col min="3331" max="3331" width="12.7265625" customWidth="1"/>
    <col min="3332" max="3332" width="7.81640625" customWidth="1"/>
    <col min="3333" max="3333" width="15.54296875" customWidth="1"/>
    <col min="3334" max="3334" width="44" customWidth="1"/>
    <col min="3335" max="3336" width="12.7265625" customWidth="1"/>
    <col min="3340" max="3341" width="13.26953125" customWidth="1"/>
    <col min="3585" max="3585" width="15.54296875" customWidth="1"/>
    <col min="3586" max="3586" width="44" customWidth="1"/>
    <col min="3587" max="3587" width="12.7265625" customWidth="1"/>
    <col min="3588" max="3588" width="7.81640625" customWidth="1"/>
    <col min="3589" max="3589" width="15.54296875" customWidth="1"/>
    <col min="3590" max="3590" width="44" customWidth="1"/>
    <col min="3591" max="3592" width="12.7265625" customWidth="1"/>
    <col min="3596" max="3597" width="13.26953125" customWidth="1"/>
    <col min="3841" max="3841" width="15.54296875" customWidth="1"/>
    <col min="3842" max="3842" width="44" customWidth="1"/>
    <col min="3843" max="3843" width="12.7265625" customWidth="1"/>
    <col min="3844" max="3844" width="7.81640625" customWidth="1"/>
    <col min="3845" max="3845" width="15.54296875" customWidth="1"/>
    <col min="3846" max="3846" width="44" customWidth="1"/>
    <col min="3847" max="3848" width="12.7265625" customWidth="1"/>
    <col min="3852" max="3853" width="13.26953125" customWidth="1"/>
    <col min="4097" max="4097" width="15.54296875" customWidth="1"/>
    <col min="4098" max="4098" width="44" customWidth="1"/>
    <col min="4099" max="4099" width="12.7265625" customWidth="1"/>
    <col min="4100" max="4100" width="7.81640625" customWidth="1"/>
    <col min="4101" max="4101" width="15.54296875" customWidth="1"/>
    <col min="4102" max="4102" width="44" customWidth="1"/>
    <col min="4103" max="4104" width="12.7265625" customWidth="1"/>
    <col min="4108" max="4109" width="13.26953125" customWidth="1"/>
    <col min="4353" max="4353" width="15.54296875" customWidth="1"/>
    <col min="4354" max="4354" width="44" customWidth="1"/>
    <col min="4355" max="4355" width="12.7265625" customWidth="1"/>
    <col min="4356" max="4356" width="7.81640625" customWidth="1"/>
    <col min="4357" max="4357" width="15.54296875" customWidth="1"/>
    <col min="4358" max="4358" width="44" customWidth="1"/>
    <col min="4359" max="4360" width="12.7265625" customWidth="1"/>
    <col min="4364" max="4365" width="13.26953125" customWidth="1"/>
    <col min="4609" max="4609" width="15.54296875" customWidth="1"/>
    <col min="4610" max="4610" width="44" customWidth="1"/>
    <col min="4611" max="4611" width="12.7265625" customWidth="1"/>
    <col min="4612" max="4612" width="7.81640625" customWidth="1"/>
    <col min="4613" max="4613" width="15.54296875" customWidth="1"/>
    <col min="4614" max="4614" width="44" customWidth="1"/>
    <col min="4615" max="4616" width="12.7265625" customWidth="1"/>
    <col min="4620" max="4621" width="13.26953125" customWidth="1"/>
    <col min="4865" max="4865" width="15.54296875" customWidth="1"/>
    <col min="4866" max="4866" width="44" customWidth="1"/>
    <col min="4867" max="4867" width="12.7265625" customWidth="1"/>
    <col min="4868" max="4868" width="7.81640625" customWidth="1"/>
    <col min="4869" max="4869" width="15.54296875" customWidth="1"/>
    <col min="4870" max="4870" width="44" customWidth="1"/>
    <col min="4871" max="4872" width="12.7265625" customWidth="1"/>
    <col min="4876" max="4877" width="13.26953125" customWidth="1"/>
    <col min="5121" max="5121" width="15.54296875" customWidth="1"/>
    <col min="5122" max="5122" width="44" customWidth="1"/>
    <col min="5123" max="5123" width="12.7265625" customWidth="1"/>
    <col min="5124" max="5124" width="7.81640625" customWidth="1"/>
    <col min="5125" max="5125" width="15.54296875" customWidth="1"/>
    <col min="5126" max="5126" width="44" customWidth="1"/>
    <col min="5127" max="5128" width="12.7265625" customWidth="1"/>
    <col min="5132" max="5133" width="13.26953125" customWidth="1"/>
    <col min="5377" max="5377" width="15.54296875" customWidth="1"/>
    <col min="5378" max="5378" width="44" customWidth="1"/>
    <col min="5379" max="5379" width="12.7265625" customWidth="1"/>
    <col min="5380" max="5380" width="7.81640625" customWidth="1"/>
    <col min="5381" max="5381" width="15.54296875" customWidth="1"/>
    <col min="5382" max="5382" width="44" customWidth="1"/>
    <col min="5383" max="5384" width="12.7265625" customWidth="1"/>
    <col min="5388" max="5389" width="13.26953125" customWidth="1"/>
    <col min="5633" max="5633" width="15.54296875" customWidth="1"/>
    <col min="5634" max="5634" width="44" customWidth="1"/>
    <col min="5635" max="5635" width="12.7265625" customWidth="1"/>
    <col min="5636" max="5636" width="7.81640625" customWidth="1"/>
    <col min="5637" max="5637" width="15.54296875" customWidth="1"/>
    <col min="5638" max="5638" width="44" customWidth="1"/>
    <col min="5639" max="5640" width="12.7265625" customWidth="1"/>
    <col min="5644" max="5645" width="13.26953125" customWidth="1"/>
    <col min="5889" max="5889" width="15.54296875" customWidth="1"/>
    <col min="5890" max="5890" width="44" customWidth="1"/>
    <col min="5891" max="5891" width="12.7265625" customWidth="1"/>
    <col min="5892" max="5892" width="7.81640625" customWidth="1"/>
    <col min="5893" max="5893" width="15.54296875" customWidth="1"/>
    <col min="5894" max="5894" width="44" customWidth="1"/>
    <col min="5895" max="5896" width="12.7265625" customWidth="1"/>
    <col min="5900" max="5901" width="13.26953125" customWidth="1"/>
    <col min="6145" max="6145" width="15.54296875" customWidth="1"/>
    <col min="6146" max="6146" width="44" customWidth="1"/>
    <col min="6147" max="6147" width="12.7265625" customWidth="1"/>
    <col min="6148" max="6148" width="7.81640625" customWidth="1"/>
    <col min="6149" max="6149" width="15.54296875" customWidth="1"/>
    <col min="6150" max="6150" width="44" customWidth="1"/>
    <col min="6151" max="6152" width="12.7265625" customWidth="1"/>
    <col min="6156" max="6157" width="13.26953125" customWidth="1"/>
    <col min="6401" max="6401" width="15.54296875" customWidth="1"/>
    <col min="6402" max="6402" width="44" customWidth="1"/>
    <col min="6403" max="6403" width="12.7265625" customWidth="1"/>
    <col min="6404" max="6404" width="7.81640625" customWidth="1"/>
    <col min="6405" max="6405" width="15.54296875" customWidth="1"/>
    <col min="6406" max="6406" width="44" customWidth="1"/>
    <col min="6407" max="6408" width="12.7265625" customWidth="1"/>
    <col min="6412" max="6413" width="13.26953125" customWidth="1"/>
    <col min="6657" max="6657" width="15.54296875" customWidth="1"/>
    <col min="6658" max="6658" width="44" customWidth="1"/>
    <col min="6659" max="6659" width="12.7265625" customWidth="1"/>
    <col min="6660" max="6660" width="7.81640625" customWidth="1"/>
    <col min="6661" max="6661" width="15.54296875" customWidth="1"/>
    <col min="6662" max="6662" width="44" customWidth="1"/>
    <col min="6663" max="6664" width="12.7265625" customWidth="1"/>
    <col min="6668" max="6669" width="13.26953125" customWidth="1"/>
    <col min="6913" max="6913" width="15.54296875" customWidth="1"/>
    <col min="6914" max="6914" width="44" customWidth="1"/>
    <col min="6915" max="6915" width="12.7265625" customWidth="1"/>
    <col min="6916" max="6916" width="7.81640625" customWidth="1"/>
    <col min="6917" max="6917" width="15.54296875" customWidth="1"/>
    <col min="6918" max="6918" width="44" customWidth="1"/>
    <col min="6919" max="6920" width="12.7265625" customWidth="1"/>
    <col min="6924" max="6925" width="13.26953125" customWidth="1"/>
    <col min="7169" max="7169" width="15.54296875" customWidth="1"/>
    <col min="7170" max="7170" width="44" customWidth="1"/>
    <col min="7171" max="7171" width="12.7265625" customWidth="1"/>
    <col min="7172" max="7172" width="7.81640625" customWidth="1"/>
    <col min="7173" max="7173" width="15.54296875" customWidth="1"/>
    <col min="7174" max="7174" width="44" customWidth="1"/>
    <col min="7175" max="7176" width="12.7265625" customWidth="1"/>
    <col min="7180" max="7181" width="13.26953125" customWidth="1"/>
    <col min="7425" max="7425" width="15.54296875" customWidth="1"/>
    <col min="7426" max="7426" width="44" customWidth="1"/>
    <col min="7427" max="7427" width="12.7265625" customWidth="1"/>
    <col min="7428" max="7428" width="7.81640625" customWidth="1"/>
    <col min="7429" max="7429" width="15.54296875" customWidth="1"/>
    <col min="7430" max="7430" width="44" customWidth="1"/>
    <col min="7431" max="7432" width="12.7265625" customWidth="1"/>
    <col min="7436" max="7437" width="13.26953125" customWidth="1"/>
    <col min="7681" max="7681" width="15.54296875" customWidth="1"/>
    <col min="7682" max="7682" width="44" customWidth="1"/>
    <col min="7683" max="7683" width="12.7265625" customWidth="1"/>
    <col min="7684" max="7684" width="7.81640625" customWidth="1"/>
    <col min="7685" max="7685" width="15.54296875" customWidth="1"/>
    <col min="7686" max="7686" width="44" customWidth="1"/>
    <col min="7687" max="7688" width="12.7265625" customWidth="1"/>
    <col min="7692" max="7693" width="13.26953125" customWidth="1"/>
    <col min="7937" max="7937" width="15.54296875" customWidth="1"/>
    <col min="7938" max="7938" width="44" customWidth="1"/>
    <col min="7939" max="7939" width="12.7265625" customWidth="1"/>
    <col min="7940" max="7940" width="7.81640625" customWidth="1"/>
    <col min="7941" max="7941" width="15.54296875" customWidth="1"/>
    <col min="7942" max="7942" width="44" customWidth="1"/>
    <col min="7943" max="7944" width="12.7265625" customWidth="1"/>
    <col min="7948" max="7949" width="13.26953125" customWidth="1"/>
    <col min="8193" max="8193" width="15.54296875" customWidth="1"/>
    <col min="8194" max="8194" width="44" customWidth="1"/>
    <col min="8195" max="8195" width="12.7265625" customWidth="1"/>
    <col min="8196" max="8196" width="7.81640625" customWidth="1"/>
    <col min="8197" max="8197" width="15.54296875" customWidth="1"/>
    <col min="8198" max="8198" width="44" customWidth="1"/>
    <col min="8199" max="8200" width="12.7265625" customWidth="1"/>
    <col min="8204" max="8205" width="13.26953125" customWidth="1"/>
    <col min="8449" max="8449" width="15.54296875" customWidth="1"/>
    <col min="8450" max="8450" width="44" customWidth="1"/>
    <col min="8451" max="8451" width="12.7265625" customWidth="1"/>
    <col min="8452" max="8452" width="7.81640625" customWidth="1"/>
    <col min="8453" max="8453" width="15.54296875" customWidth="1"/>
    <col min="8454" max="8454" width="44" customWidth="1"/>
    <col min="8455" max="8456" width="12.7265625" customWidth="1"/>
    <col min="8460" max="8461" width="13.26953125" customWidth="1"/>
    <col min="8705" max="8705" width="15.54296875" customWidth="1"/>
    <col min="8706" max="8706" width="44" customWidth="1"/>
    <col min="8707" max="8707" width="12.7265625" customWidth="1"/>
    <col min="8708" max="8708" width="7.81640625" customWidth="1"/>
    <col min="8709" max="8709" width="15.54296875" customWidth="1"/>
    <col min="8710" max="8710" width="44" customWidth="1"/>
    <col min="8711" max="8712" width="12.7265625" customWidth="1"/>
    <col min="8716" max="8717" width="13.26953125" customWidth="1"/>
    <col min="8961" max="8961" width="15.54296875" customWidth="1"/>
    <col min="8962" max="8962" width="44" customWidth="1"/>
    <col min="8963" max="8963" width="12.7265625" customWidth="1"/>
    <col min="8964" max="8964" width="7.81640625" customWidth="1"/>
    <col min="8965" max="8965" width="15.54296875" customWidth="1"/>
    <col min="8966" max="8966" width="44" customWidth="1"/>
    <col min="8967" max="8968" width="12.7265625" customWidth="1"/>
    <col min="8972" max="8973" width="13.26953125" customWidth="1"/>
    <col min="9217" max="9217" width="15.54296875" customWidth="1"/>
    <col min="9218" max="9218" width="44" customWidth="1"/>
    <col min="9219" max="9219" width="12.7265625" customWidth="1"/>
    <col min="9220" max="9220" width="7.81640625" customWidth="1"/>
    <col min="9221" max="9221" width="15.54296875" customWidth="1"/>
    <col min="9222" max="9222" width="44" customWidth="1"/>
    <col min="9223" max="9224" width="12.7265625" customWidth="1"/>
    <col min="9228" max="9229" width="13.26953125" customWidth="1"/>
    <col min="9473" max="9473" width="15.54296875" customWidth="1"/>
    <col min="9474" max="9474" width="44" customWidth="1"/>
    <col min="9475" max="9475" width="12.7265625" customWidth="1"/>
    <col min="9476" max="9476" width="7.81640625" customWidth="1"/>
    <col min="9477" max="9477" width="15.54296875" customWidth="1"/>
    <col min="9478" max="9478" width="44" customWidth="1"/>
    <col min="9479" max="9480" width="12.7265625" customWidth="1"/>
    <col min="9484" max="9485" width="13.26953125" customWidth="1"/>
    <col min="9729" max="9729" width="15.54296875" customWidth="1"/>
    <col min="9730" max="9730" width="44" customWidth="1"/>
    <col min="9731" max="9731" width="12.7265625" customWidth="1"/>
    <col min="9732" max="9732" width="7.81640625" customWidth="1"/>
    <col min="9733" max="9733" width="15.54296875" customWidth="1"/>
    <col min="9734" max="9734" width="44" customWidth="1"/>
    <col min="9735" max="9736" width="12.7265625" customWidth="1"/>
    <col min="9740" max="9741" width="13.26953125" customWidth="1"/>
    <col min="9985" max="9985" width="15.54296875" customWidth="1"/>
    <col min="9986" max="9986" width="44" customWidth="1"/>
    <col min="9987" max="9987" width="12.7265625" customWidth="1"/>
    <col min="9988" max="9988" width="7.81640625" customWidth="1"/>
    <col min="9989" max="9989" width="15.54296875" customWidth="1"/>
    <col min="9990" max="9990" width="44" customWidth="1"/>
    <col min="9991" max="9992" width="12.7265625" customWidth="1"/>
    <col min="9996" max="9997" width="13.26953125" customWidth="1"/>
    <col min="10241" max="10241" width="15.54296875" customWidth="1"/>
    <col min="10242" max="10242" width="44" customWidth="1"/>
    <col min="10243" max="10243" width="12.7265625" customWidth="1"/>
    <col min="10244" max="10244" width="7.81640625" customWidth="1"/>
    <col min="10245" max="10245" width="15.54296875" customWidth="1"/>
    <col min="10246" max="10246" width="44" customWidth="1"/>
    <col min="10247" max="10248" width="12.7265625" customWidth="1"/>
    <col min="10252" max="10253" width="13.26953125" customWidth="1"/>
    <col min="10497" max="10497" width="15.54296875" customWidth="1"/>
    <col min="10498" max="10498" width="44" customWidth="1"/>
    <col min="10499" max="10499" width="12.7265625" customWidth="1"/>
    <col min="10500" max="10500" width="7.81640625" customWidth="1"/>
    <col min="10501" max="10501" width="15.54296875" customWidth="1"/>
    <col min="10502" max="10502" width="44" customWidth="1"/>
    <col min="10503" max="10504" width="12.7265625" customWidth="1"/>
    <col min="10508" max="10509" width="13.26953125" customWidth="1"/>
    <col min="10753" max="10753" width="15.54296875" customWidth="1"/>
    <col min="10754" max="10754" width="44" customWidth="1"/>
    <col min="10755" max="10755" width="12.7265625" customWidth="1"/>
    <col min="10756" max="10756" width="7.81640625" customWidth="1"/>
    <col min="10757" max="10757" width="15.54296875" customWidth="1"/>
    <col min="10758" max="10758" width="44" customWidth="1"/>
    <col min="10759" max="10760" width="12.7265625" customWidth="1"/>
    <col min="10764" max="10765" width="13.26953125" customWidth="1"/>
    <col min="11009" max="11009" width="15.54296875" customWidth="1"/>
    <col min="11010" max="11010" width="44" customWidth="1"/>
    <col min="11011" max="11011" width="12.7265625" customWidth="1"/>
    <col min="11012" max="11012" width="7.81640625" customWidth="1"/>
    <col min="11013" max="11013" width="15.54296875" customWidth="1"/>
    <col min="11014" max="11014" width="44" customWidth="1"/>
    <col min="11015" max="11016" width="12.7265625" customWidth="1"/>
    <col min="11020" max="11021" width="13.26953125" customWidth="1"/>
    <col min="11265" max="11265" width="15.54296875" customWidth="1"/>
    <col min="11266" max="11266" width="44" customWidth="1"/>
    <col min="11267" max="11267" width="12.7265625" customWidth="1"/>
    <col min="11268" max="11268" width="7.81640625" customWidth="1"/>
    <col min="11269" max="11269" width="15.54296875" customWidth="1"/>
    <col min="11270" max="11270" width="44" customWidth="1"/>
    <col min="11271" max="11272" width="12.7265625" customWidth="1"/>
    <col min="11276" max="11277" width="13.26953125" customWidth="1"/>
    <col min="11521" max="11521" width="15.54296875" customWidth="1"/>
    <col min="11522" max="11522" width="44" customWidth="1"/>
    <col min="11523" max="11523" width="12.7265625" customWidth="1"/>
    <col min="11524" max="11524" width="7.81640625" customWidth="1"/>
    <col min="11525" max="11525" width="15.54296875" customWidth="1"/>
    <col min="11526" max="11526" width="44" customWidth="1"/>
    <col min="11527" max="11528" width="12.7265625" customWidth="1"/>
    <col min="11532" max="11533" width="13.26953125" customWidth="1"/>
    <col min="11777" max="11777" width="15.54296875" customWidth="1"/>
    <col min="11778" max="11778" width="44" customWidth="1"/>
    <col min="11779" max="11779" width="12.7265625" customWidth="1"/>
    <col min="11780" max="11780" width="7.81640625" customWidth="1"/>
    <col min="11781" max="11781" width="15.54296875" customWidth="1"/>
    <col min="11782" max="11782" width="44" customWidth="1"/>
    <col min="11783" max="11784" width="12.7265625" customWidth="1"/>
    <col min="11788" max="11789" width="13.26953125" customWidth="1"/>
    <col min="12033" max="12033" width="15.54296875" customWidth="1"/>
    <col min="12034" max="12034" width="44" customWidth="1"/>
    <col min="12035" max="12035" width="12.7265625" customWidth="1"/>
    <col min="12036" max="12036" width="7.81640625" customWidth="1"/>
    <col min="12037" max="12037" width="15.54296875" customWidth="1"/>
    <col min="12038" max="12038" width="44" customWidth="1"/>
    <col min="12039" max="12040" width="12.7265625" customWidth="1"/>
    <col min="12044" max="12045" width="13.26953125" customWidth="1"/>
    <col min="12289" max="12289" width="15.54296875" customWidth="1"/>
    <col min="12290" max="12290" width="44" customWidth="1"/>
    <col min="12291" max="12291" width="12.7265625" customWidth="1"/>
    <col min="12292" max="12292" width="7.81640625" customWidth="1"/>
    <col min="12293" max="12293" width="15.54296875" customWidth="1"/>
    <col min="12294" max="12294" width="44" customWidth="1"/>
    <col min="12295" max="12296" width="12.7265625" customWidth="1"/>
    <col min="12300" max="12301" width="13.26953125" customWidth="1"/>
    <col min="12545" max="12545" width="15.54296875" customWidth="1"/>
    <col min="12546" max="12546" width="44" customWidth="1"/>
    <col min="12547" max="12547" width="12.7265625" customWidth="1"/>
    <col min="12548" max="12548" width="7.81640625" customWidth="1"/>
    <col min="12549" max="12549" width="15.54296875" customWidth="1"/>
    <col min="12550" max="12550" width="44" customWidth="1"/>
    <col min="12551" max="12552" width="12.7265625" customWidth="1"/>
    <col min="12556" max="12557" width="13.26953125" customWidth="1"/>
    <col min="12801" max="12801" width="15.54296875" customWidth="1"/>
    <col min="12802" max="12802" width="44" customWidth="1"/>
    <col min="12803" max="12803" width="12.7265625" customWidth="1"/>
    <col min="12804" max="12804" width="7.81640625" customWidth="1"/>
    <col min="12805" max="12805" width="15.54296875" customWidth="1"/>
    <col min="12806" max="12806" width="44" customWidth="1"/>
    <col min="12807" max="12808" width="12.7265625" customWidth="1"/>
    <col min="12812" max="12813" width="13.26953125" customWidth="1"/>
    <col min="13057" max="13057" width="15.54296875" customWidth="1"/>
    <col min="13058" max="13058" width="44" customWidth="1"/>
    <col min="13059" max="13059" width="12.7265625" customWidth="1"/>
    <col min="13060" max="13060" width="7.81640625" customWidth="1"/>
    <col min="13061" max="13061" width="15.54296875" customWidth="1"/>
    <col min="13062" max="13062" width="44" customWidth="1"/>
    <col min="13063" max="13064" width="12.7265625" customWidth="1"/>
    <col min="13068" max="13069" width="13.26953125" customWidth="1"/>
    <col min="13313" max="13313" width="15.54296875" customWidth="1"/>
    <col min="13314" max="13314" width="44" customWidth="1"/>
    <col min="13315" max="13315" width="12.7265625" customWidth="1"/>
    <col min="13316" max="13316" width="7.81640625" customWidth="1"/>
    <col min="13317" max="13317" width="15.54296875" customWidth="1"/>
    <col min="13318" max="13318" width="44" customWidth="1"/>
    <col min="13319" max="13320" width="12.7265625" customWidth="1"/>
    <col min="13324" max="13325" width="13.26953125" customWidth="1"/>
    <col min="13569" max="13569" width="15.54296875" customWidth="1"/>
    <col min="13570" max="13570" width="44" customWidth="1"/>
    <col min="13571" max="13571" width="12.7265625" customWidth="1"/>
    <col min="13572" max="13572" width="7.81640625" customWidth="1"/>
    <col min="13573" max="13573" width="15.54296875" customWidth="1"/>
    <col min="13574" max="13574" width="44" customWidth="1"/>
    <col min="13575" max="13576" width="12.7265625" customWidth="1"/>
    <col min="13580" max="13581" width="13.26953125" customWidth="1"/>
    <col min="13825" max="13825" width="15.54296875" customWidth="1"/>
    <col min="13826" max="13826" width="44" customWidth="1"/>
    <col min="13827" max="13827" width="12.7265625" customWidth="1"/>
    <col min="13828" max="13828" width="7.81640625" customWidth="1"/>
    <col min="13829" max="13829" width="15.54296875" customWidth="1"/>
    <col min="13830" max="13830" width="44" customWidth="1"/>
    <col min="13831" max="13832" width="12.7265625" customWidth="1"/>
    <col min="13836" max="13837" width="13.26953125" customWidth="1"/>
    <col min="14081" max="14081" width="15.54296875" customWidth="1"/>
    <col min="14082" max="14082" width="44" customWidth="1"/>
    <col min="14083" max="14083" width="12.7265625" customWidth="1"/>
    <col min="14084" max="14084" width="7.81640625" customWidth="1"/>
    <col min="14085" max="14085" width="15.54296875" customWidth="1"/>
    <col min="14086" max="14086" width="44" customWidth="1"/>
    <col min="14087" max="14088" width="12.7265625" customWidth="1"/>
    <col min="14092" max="14093" width="13.26953125" customWidth="1"/>
    <col min="14337" max="14337" width="15.54296875" customWidth="1"/>
    <col min="14338" max="14338" width="44" customWidth="1"/>
    <col min="14339" max="14339" width="12.7265625" customWidth="1"/>
    <col min="14340" max="14340" width="7.81640625" customWidth="1"/>
    <col min="14341" max="14341" width="15.54296875" customWidth="1"/>
    <col min="14342" max="14342" width="44" customWidth="1"/>
    <col min="14343" max="14344" width="12.7265625" customWidth="1"/>
    <col min="14348" max="14349" width="13.26953125" customWidth="1"/>
    <col min="14593" max="14593" width="15.54296875" customWidth="1"/>
    <col min="14594" max="14594" width="44" customWidth="1"/>
    <col min="14595" max="14595" width="12.7265625" customWidth="1"/>
    <col min="14596" max="14596" width="7.81640625" customWidth="1"/>
    <col min="14597" max="14597" width="15.54296875" customWidth="1"/>
    <col min="14598" max="14598" width="44" customWidth="1"/>
    <col min="14599" max="14600" width="12.7265625" customWidth="1"/>
    <col min="14604" max="14605" width="13.26953125" customWidth="1"/>
    <col min="14849" max="14849" width="15.54296875" customWidth="1"/>
    <col min="14850" max="14850" width="44" customWidth="1"/>
    <col min="14851" max="14851" width="12.7265625" customWidth="1"/>
    <col min="14852" max="14852" width="7.81640625" customWidth="1"/>
    <col min="14853" max="14853" width="15.54296875" customWidth="1"/>
    <col min="14854" max="14854" width="44" customWidth="1"/>
    <col min="14855" max="14856" width="12.7265625" customWidth="1"/>
    <col min="14860" max="14861" width="13.26953125" customWidth="1"/>
    <col min="15105" max="15105" width="15.54296875" customWidth="1"/>
    <col min="15106" max="15106" width="44" customWidth="1"/>
    <col min="15107" max="15107" width="12.7265625" customWidth="1"/>
    <col min="15108" max="15108" width="7.81640625" customWidth="1"/>
    <col min="15109" max="15109" width="15.54296875" customWidth="1"/>
    <col min="15110" max="15110" width="44" customWidth="1"/>
    <col min="15111" max="15112" width="12.7265625" customWidth="1"/>
    <col min="15116" max="15117" width="13.26953125" customWidth="1"/>
    <col min="15361" max="15361" width="15.54296875" customWidth="1"/>
    <col min="15362" max="15362" width="44" customWidth="1"/>
    <col min="15363" max="15363" width="12.7265625" customWidth="1"/>
    <col min="15364" max="15364" width="7.81640625" customWidth="1"/>
    <col min="15365" max="15365" width="15.54296875" customWidth="1"/>
    <col min="15366" max="15366" width="44" customWidth="1"/>
    <col min="15367" max="15368" width="12.7265625" customWidth="1"/>
    <col min="15372" max="15373" width="13.26953125" customWidth="1"/>
    <col min="15617" max="15617" width="15.54296875" customWidth="1"/>
    <col min="15618" max="15618" width="44" customWidth="1"/>
    <col min="15619" max="15619" width="12.7265625" customWidth="1"/>
    <col min="15620" max="15620" width="7.81640625" customWidth="1"/>
    <col min="15621" max="15621" width="15.54296875" customWidth="1"/>
    <col min="15622" max="15622" width="44" customWidth="1"/>
    <col min="15623" max="15624" width="12.7265625" customWidth="1"/>
    <col min="15628" max="15629" width="13.26953125" customWidth="1"/>
    <col min="15873" max="15873" width="15.54296875" customWidth="1"/>
    <col min="15874" max="15874" width="44" customWidth="1"/>
    <col min="15875" max="15875" width="12.7265625" customWidth="1"/>
    <col min="15876" max="15876" width="7.81640625" customWidth="1"/>
    <col min="15877" max="15877" width="15.54296875" customWidth="1"/>
    <col min="15878" max="15878" width="44" customWidth="1"/>
    <col min="15879" max="15880" width="12.7265625" customWidth="1"/>
    <col min="15884" max="15885" width="13.26953125" customWidth="1"/>
    <col min="16129" max="16129" width="15.54296875" customWidth="1"/>
    <col min="16130" max="16130" width="44" customWidth="1"/>
    <col min="16131" max="16131" width="12.7265625" customWidth="1"/>
    <col min="16132" max="16132" width="7.81640625" customWidth="1"/>
    <col min="16133" max="16133" width="15.54296875" customWidth="1"/>
    <col min="16134" max="16134" width="44" customWidth="1"/>
    <col min="16135" max="16136" width="12.7265625" customWidth="1"/>
    <col min="16140" max="16141" width="13.26953125" customWidth="1"/>
  </cols>
  <sheetData>
    <row r="1" spans="1:7" ht="15" customHeight="1" x14ac:dyDescent="0.35">
      <c r="A1" s="3"/>
      <c r="B1" s="3"/>
      <c r="C1" s="24"/>
      <c r="D1" s="3" t="s">
        <v>78</v>
      </c>
    </row>
    <row r="2" spans="1:7" ht="15" customHeight="1" x14ac:dyDescent="0.35">
      <c r="A2" s="6"/>
      <c r="B2" s="6"/>
      <c r="C2" s="24"/>
      <c r="D2" s="6" t="s">
        <v>149</v>
      </c>
    </row>
    <row r="3" spans="1:7" ht="15" customHeight="1" x14ac:dyDescent="0.35">
      <c r="A3" s="6"/>
      <c r="B3" s="6"/>
      <c r="C3" s="24"/>
      <c r="D3" s="6" t="s">
        <v>79</v>
      </c>
    </row>
    <row r="4" spans="1:7" ht="15" customHeight="1" x14ac:dyDescent="0.35">
      <c r="A4" s="6"/>
      <c r="B4" s="6"/>
      <c r="C4" s="24"/>
      <c r="D4" s="6"/>
    </row>
    <row r="5" spans="1:7" ht="13" customHeight="1" x14ac:dyDescent="0.35">
      <c r="A5" s="6"/>
      <c r="B5" s="6"/>
      <c r="C5" s="24"/>
      <c r="D5" s="6"/>
    </row>
    <row r="6" spans="1:7" ht="13" customHeight="1" x14ac:dyDescent="0.35">
      <c r="A6" s="6"/>
      <c r="B6" s="6"/>
      <c r="C6" s="24"/>
      <c r="D6" s="6"/>
    </row>
    <row r="7" spans="1:7" ht="13" customHeight="1" x14ac:dyDescent="0.35"/>
    <row r="8" spans="1:7" s="10" customFormat="1" ht="13" customHeight="1" x14ac:dyDescent="0.2">
      <c r="A8" s="21">
        <v>4</v>
      </c>
      <c r="B8" s="10" t="s">
        <v>9</v>
      </c>
      <c r="C8" s="11">
        <f>IFERROR(VLOOKUP(A8,Balanza!#REF!,7,FALSE),0)</f>
        <v>0</v>
      </c>
      <c r="E8" s="21">
        <v>5</v>
      </c>
      <c r="F8" s="10" t="s">
        <v>31</v>
      </c>
      <c r="G8" s="11">
        <f>IFERROR(VLOOKUP(E8,Balanza!#REF!,7,FALSE)*-1,0)</f>
        <v>0</v>
      </c>
    </row>
    <row r="9" spans="1:7" s="10" customFormat="1" ht="13" customHeight="1" x14ac:dyDescent="0.2">
      <c r="A9" s="21">
        <v>47</v>
      </c>
      <c r="B9" s="10" t="s">
        <v>10</v>
      </c>
      <c r="C9" s="11">
        <f>IFERROR(VLOOKUP(A9,Balanza!#REF!,7,FALSE),0)</f>
        <v>0</v>
      </c>
      <c r="E9" s="21">
        <v>57</v>
      </c>
      <c r="F9" s="10" t="s">
        <v>32</v>
      </c>
      <c r="G9" s="11">
        <f>IFERROR(VLOOKUP(E9,Balanza!#REF!,7,FALSE)*-1,0)</f>
        <v>0</v>
      </c>
    </row>
    <row r="10" spans="1:7" s="10" customFormat="1" ht="13" customHeight="1" x14ac:dyDescent="0.2">
      <c r="A10" s="21">
        <v>4701</v>
      </c>
      <c r="B10" s="10" t="s">
        <v>11</v>
      </c>
      <c r="C10" s="11">
        <f>IFERROR(VLOOKUP(A10,Balanza!#REF!,7,FALSE),0)</f>
        <v>0</v>
      </c>
      <c r="E10" s="21">
        <v>5701</v>
      </c>
      <c r="F10" s="10" t="s">
        <v>33</v>
      </c>
      <c r="G10" s="11">
        <f>IFERROR(VLOOKUP(E10,Balanza!#REF!,7,FALSE)*-1,0)</f>
        <v>0</v>
      </c>
    </row>
    <row r="11" spans="1:7" s="10" customFormat="1" ht="13" customHeight="1" x14ac:dyDescent="0.2">
      <c r="A11" s="21">
        <v>48</v>
      </c>
      <c r="B11" s="10" t="s">
        <v>12</v>
      </c>
      <c r="C11" s="11">
        <f>IFERROR(VLOOKUP(A11,Balanza!#REF!,7,FALSE),0)</f>
        <v>0</v>
      </c>
      <c r="E11" s="21">
        <v>5702</v>
      </c>
      <c r="F11" s="10" t="s">
        <v>34</v>
      </c>
      <c r="G11" s="11">
        <f>IFERROR(VLOOKUP(E11,Balanza!#REF!,7,FALSE)*-1,0)</f>
        <v>0</v>
      </c>
    </row>
    <row r="12" spans="1:7" s="10" customFormat="1" ht="13" customHeight="1" x14ac:dyDescent="0.2">
      <c r="A12" s="21">
        <v>4801</v>
      </c>
      <c r="B12" s="10" t="s">
        <v>66</v>
      </c>
      <c r="C12" s="11">
        <f>IFERROR(VLOOKUP(A12,Balanza!#REF!,7,FALSE),0)</f>
        <v>0</v>
      </c>
      <c r="E12" s="21">
        <v>5706</v>
      </c>
      <c r="F12" s="10" t="s">
        <v>62</v>
      </c>
      <c r="G12" s="11">
        <f>IFERROR(VLOOKUP(E12,Balanza!#REF!,7,FALSE)*-1,0)</f>
        <v>0</v>
      </c>
    </row>
    <row r="13" spans="1:7" s="10" customFormat="1" ht="13" customHeight="1" x14ac:dyDescent="0.3">
      <c r="A13" s="21">
        <v>4803</v>
      </c>
      <c r="B13" s="10" t="s">
        <v>13</v>
      </c>
      <c r="C13" s="11">
        <f>IFERROR(VLOOKUP(A13,Balanza!#REF!,7,FALSE),0)</f>
        <v>0</v>
      </c>
      <c r="E13" s="29">
        <v>59</v>
      </c>
      <c r="F13" s="1" t="s">
        <v>35</v>
      </c>
      <c r="G13" s="11">
        <f>IFERROR(VLOOKUP(E13,Balanza!#REF!,7,FALSE)*-1,0)</f>
        <v>0</v>
      </c>
    </row>
    <row r="14" spans="1:7" s="10" customFormat="1" ht="13" customHeight="1" x14ac:dyDescent="0.3">
      <c r="A14" s="21">
        <v>4804</v>
      </c>
      <c r="B14" s="1" t="s">
        <v>67</v>
      </c>
      <c r="C14" s="11">
        <f>IFERROR(VLOOKUP(A14,Balanza!#REF!,7,FALSE),0)</f>
        <v>0</v>
      </c>
      <c r="E14" s="29">
        <v>5901</v>
      </c>
      <c r="F14" s="1" t="s">
        <v>36</v>
      </c>
      <c r="G14" s="11">
        <f>IFERROR(VLOOKUP(E14,Balanza!#REF!,7,FALSE)*-1,0)</f>
        <v>0</v>
      </c>
    </row>
    <row r="15" spans="1:7" s="10" customFormat="1" ht="13" customHeight="1" x14ac:dyDescent="0.3">
      <c r="A15" s="21">
        <v>4805</v>
      </c>
      <c r="B15" s="10" t="s">
        <v>14</v>
      </c>
      <c r="C15" s="11">
        <f>IFERROR(VLOOKUP(A15,Balanza!#REF!,7,FALSE),0)</f>
        <v>0</v>
      </c>
      <c r="E15" s="29">
        <v>5902</v>
      </c>
      <c r="F15" s="1" t="s">
        <v>37</v>
      </c>
      <c r="G15" s="11">
        <f>IFERROR(VLOOKUP(E15,Balanza!#REF!,7,FALSE)*-1,0)</f>
        <v>0</v>
      </c>
    </row>
    <row r="16" spans="1:7" s="10" customFormat="1" ht="13" customHeight="1" x14ac:dyDescent="0.2">
      <c r="A16" s="21">
        <v>4806</v>
      </c>
      <c r="B16" s="10" t="s">
        <v>68</v>
      </c>
      <c r="C16" s="11">
        <f>IFERROR(VLOOKUP(A16,Balanza!#REF!,7,FALSE),0)</f>
        <v>0</v>
      </c>
      <c r="E16" s="9"/>
      <c r="G16" s="11"/>
    </row>
    <row r="17" spans="1:7" s="10" customFormat="1" ht="13" customHeight="1" x14ac:dyDescent="0.2">
      <c r="A17" s="21">
        <v>4808</v>
      </c>
      <c r="B17" s="10" t="s">
        <v>69</v>
      </c>
      <c r="C17" s="11">
        <f>IFERROR(VLOOKUP(A17,Balanza!#REF!,7,FALSE),0)</f>
        <v>0</v>
      </c>
      <c r="E17" s="9"/>
      <c r="G17" s="11"/>
    </row>
    <row r="18" spans="1:7" s="10" customFormat="1" ht="13" customHeight="1" x14ac:dyDescent="0.2">
      <c r="A18" s="21">
        <v>4809</v>
      </c>
      <c r="B18" s="10" t="s">
        <v>15</v>
      </c>
      <c r="C18" s="11">
        <f>IFERROR(VLOOKUP(A18,Balanza!#REF!,7,FALSE),0)</f>
        <v>0</v>
      </c>
    </row>
    <row r="19" spans="1:7" s="10" customFormat="1" ht="13" customHeight="1" x14ac:dyDescent="0.2">
      <c r="A19" s="21">
        <v>49</v>
      </c>
      <c r="B19" s="10" t="s">
        <v>16</v>
      </c>
      <c r="C19" s="11">
        <f>IFERROR(VLOOKUP(A19,Balanza!#REF!,7,FALSE),0)</f>
        <v>0</v>
      </c>
      <c r="E19" s="9"/>
      <c r="G19" s="11"/>
    </row>
    <row r="20" spans="1:7" s="10" customFormat="1" ht="13" customHeight="1" x14ac:dyDescent="0.2">
      <c r="A20" s="21">
        <v>4902</v>
      </c>
      <c r="B20" s="10" t="s">
        <v>17</v>
      </c>
      <c r="C20" s="11">
        <f>IFERROR(VLOOKUP(A20,Balanza!#REF!,7,FALSE),0)</f>
        <v>0</v>
      </c>
      <c r="E20" s="9"/>
      <c r="G20" s="11"/>
    </row>
    <row r="21" spans="1:7" s="10" customFormat="1" ht="13" customHeight="1" x14ac:dyDescent="0.2">
      <c r="E21" s="9"/>
      <c r="G21" s="11"/>
    </row>
    <row r="22" spans="1:7" s="10" customFormat="1" ht="13" customHeight="1" x14ac:dyDescent="0.2">
      <c r="A22" s="9"/>
      <c r="C22" s="11"/>
      <c r="E22" s="9"/>
      <c r="G22" s="11"/>
    </row>
    <row r="23" spans="1:7" s="10" customFormat="1" ht="13" customHeight="1" x14ac:dyDescent="0.2">
      <c r="A23" s="9"/>
      <c r="C23" s="11"/>
      <c r="E23" s="9"/>
      <c r="G23" s="13"/>
    </row>
    <row r="24" spans="1:7" s="10" customFormat="1" ht="13" customHeight="1" x14ac:dyDescent="0.35">
      <c r="A24" s="9"/>
      <c r="C24" s="11"/>
      <c r="F24" s="26"/>
    </row>
    <row r="25" spans="1:7" s="10" customFormat="1" ht="13" customHeight="1" x14ac:dyDescent="0.2">
      <c r="A25" s="9"/>
      <c r="C25" s="11"/>
    </row>
    <row r="26" spans="1:7" s="10" customFormat="1" ht="13" customHeight="1" x14ac:dyDescent="0.2"/>
    <row r="27" spans="1:7" s="10" customFormat="1" ht="13" customHeight="1" x14ac:dyDescent="0.2"/>
    <row r="28" spans="1:7" s="10" customFormat="1" ht="13" customHeight="1" thickBot="1" x14ac:dyDescent="0.3">
      <c r="E28" s="27" t="s">
        <v>87</v>
      </c>
      <c r="G28" s="28">
        <f>+G8-C8</f>
        <v>0</v>
      </c>
    </row>
    <row r="44" spans="2:6" s="10" customFormat="1" ht="13" customHeight="1" x14ac:dyDescent="0.2">
      <c r="B44" s="18" t="s">
        <v>82</v>
      </c>
      <c r="F44" s="18" t="s">
        <v>145</v>
      </c>
    </row>
    <row r="45" spans="2:6" s="10" customFormat="1" ht="13" customHeight="1" x14ac:dyDescent="0.2">
      <c r="B45" s="19" t="s">
        <v>84</v>
      </c>
      <c r="F45" s="19" t="s">
        <v>142</v>
      </c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2:O50"/>
  <sheetViews>
    <sheetView showGridLines="0" topLeftCell="A31" zoomScale="110" zoomScaleNormal="110" workbookViewId="0">
      <selection activeCell="E48" sqref="E48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7.54296875" customWidth="1"/>
    <col min="4" max="4" width="53.7265625" customWidth="1"/>
    <col min="5" max="5" width="13.1796875" style="153" bestFit="1" customWidth="1"/>
    <col min="6" max="6" width="8.81640625" style="116" customWidth="1"/>
    <col min="7" max="7" width="12.453125" style="117" customWidth="1"/>
    <col min="8" max="8" width="8.81640625" style="117" customWidth="1"/>
    <col min="9" max="9" width="14.1796875" style="108" customWidth="1"/>
    <col min="10" max="10" width="11.81640625" style="108" customWidth="1"/>
    <col min="11" max="12" width="13.26953125" style="108" customWidth="1"/>
    <col min="13" max="13" width="9.1796875" customWidth="1"/>
    <col min="14" max="14" width="3" customWidth="1"/>
    <col min="15" max="15" width="11.1796875" bestFit="1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5" ht="15" customHeight="1" x14ac:dyDescent="0.35">
      <c r="B2" s="37"/>
      <c r="D2" s="37" t="s">
        <v>78</v>
      </c>
      <c r="E2" s="138"/>
    </row>
    <row r="3" spans="1:5" ht="15" customHeight="1" x14ac:dyDescent="0.35">
      <c r="B3" s="5"/>
      <c r="D3" s="5" t="s">
        <v>775</v>
      </c>
      <c r="E3" s="139"/>
    </row>
    <row r="4" spans="1:5" ht="15" customHeight="1" x14ac:dyDescent="0.35">
      <c r="B4" s="5"/>
      <c r="D4" s="5" t="s">
        <v>79</v>
      </c>
      <c r="E4" s="139"/>
    </row>
    <row r="5" spans="1:5" ht="14.15" customHeight="1" x14ac:dyDescent="0.35">
      <c r="B5" s="6"/>
      <c r="D5" s="5"/>
      <c r="E5" s="140"/>
    </row>
    <row r="6" spans="1:5" ht="14.15" customHeight="1" x14ac:dyDescent="0.35">
      <c r="B6" s="6"/>
      <c r="C6" s="6"/>
      <c r="D6" s="6"/>
      <c r="E6" s="140"/>
    </row>
    <row r="7" spans="1:5" ht="14.15" customHeight="1" x14ac:dyDescent="0.35">
      <c r="B7" s="6"/>
      <c r="C7" s="6"/>
      <c r="D7" s="6"/>
      <c r="E7" s="140"/>
    </row>
    <row r="8" spans="1:5" ht="14.15" customHeight="1" x14ac:dyDescent="0.35">
      <c r="B8" s="58" t="s">
        <v>159</v>
      </c>
      <c r="C8" s="16"/>
      <c r="D8" s="16"/>
      <c r="E8" s="141"/>
    </row>
    <row r="9" spans="1:5" ht="14.15" customHeight="1" x14ac:dyDescent="0.35">
      <c r="B9" s="58"/>
      <c r="C9" s="38" t="s">
        <v>150</v>
      </c>
      <c r="D9" s="38"/>
      <c r="E9" s="142">
        <f>-(VLOOKUP(51,Balanza!A:F,6,FALSE)+(VLOOKUP(46,Balanza!A:F,6,FALSE)))</f>
        <v>4688351.8599999994</v>
      </c>
    </row>
    <row r="10" spans="1:5" ht="14.15" customHeight="1" x14ac:dyDescent="0.35">
      <c r="B10" s="58"/>
      <c r="C10" s="38" t="s">
        <v>151</v>
      </c>
      <c r="D10" s="38"/>
      <c r="E10" s="142">
        <f>-(VLOOKUP(52,Balanza!A:F,6,FALSE))</f>
        <v>7906908.0700000003</v>
      </c>
    </row>
    <row r="11" spans="1:5" ht="14.15" customHeight="1" x14ac:dyDescent="0.35">
      <c r="B11" s="58"/>
      <c r="C11" s="38" t="s">
        <v>76</v>
      </c>
      <c r="D11" s="38"/>
      <c r="E11" s="142">
        <f>-(VLOOKUP(54,Balanza!A:F,6,FALSE))</f>
        <v>919290.85</v>
      </c>
    </row>
    <row r="12" spans="1:5" ht="14.15" customHeight="1" x14ac:dyDescent="0.35">
      <c r="B12" s="58"/>
      <c r="C12" s="38" t="s">
        <v>152</v>
      </c>
      <c r="D12" s="38"/>
      <c r="E12" s="142">
        <f>-(VLOOKUP(55,Balanza!A:F,6,FALSE))</f>
        <v>391930.38</v>
      </c>
    </row>
    <row r="13" spans="1:5" ht="14.15" customHeight="1" x14ac:dyDescent="0.35">
      <c r="A13" s="42"/>
      <c r="B13" s="10"/>
      <c r="C13" s="38" t="s">
        <v>153</v>
      </c>
      <c r="D13" s="38"/>
      <c r="E13" s="142">
        <f>-(VLOOKUP(57,Balanza!A:F,6,FALSE))</f>
        <v>855592.22</v>
      </c>
    </row>
    <row r="14" spans="1:5" s="10" customFormat="1" ht="14.15" customHeight="1" x14ac:dyDescent="0.25">
      <c r="B14" s="16" t="s">
        <v>158</v>
      </c>
      <c r="C14" s="16"/>
      <c r="D14" s="40"/>
      <c r="E14" s="143">
        <f>SUM(E9:E13)</f>
        <v>14762073.380000001</v>
      </c>
    </row>
    <row r="15" spans="1:5" s="10" customFormat="1" ht="14.15" customHeight="1" x14ac:dyDescent="0.2">
      <c r="E15" s="144"/>
    </row>
    <row r="16" spans="1:5" s="10" customFormat="1" ht="14.15" customHeight="1" x14ac:dyDescent="0.25">
      <c r="B16" s="58" t="s">
        <v>154</v>
      </c>
      <c r="C16" s="16"/>
      <c r="D16" s="16"/>
      <c r="E16" s="145"/>
    </row>
    <row r="17" spans="1:11" s="10" customFormat="1" ht="14.15" customHeight="1" x14ac:dyDescent="0.35">
      <c r="B17" s="30"/>
      <c r="C17" s="38" t="s">
        <v>64</v>
      </c>
      <c r="D17" s="38"/>
      <c r="E17" s="142">
        <f>(VLOOKUP(41,Balanza!A:F,6,FALSE))</f>
        <v>7333964.79</v>
      </c>
      <c r="G17" s="13"/>
      <c r="I17" s="109"/>
    </row>
    <row r="18" spans="1:11" s="10" customFormat="1" ht="14.15" customHeight="1" x14ac:dyDescent="0.35">
      <c r="A18" s="56"/>
      <c r="B18" s="30"/>
      <c r="C18" s="38" t="s">
        <v>65</v>
      </c>
      <c r="D18" s="38"/>
      <c r="E18" s="142">
        <f>(VLOOKUP(42,Balanza!A:F,6,FALSE))</f>
        <v>1039603.05</v>
      </c>
      <c r="G18" s="13"/>
      <c r="I18" s="109"/>
    </row>
    <row r="19" spans="1:11" s="10" customFormat="1" ht="14.15" customHeight="1" x14ac:dyDescent="0.35">
      <c r="A19" s="56"/>
      <c r="B19" s="30"/>
      <c r="C19" s="38" t="s">
        <v>155</v>
      </c>
      <c r="D19" s="38"/>
      <c r="E19" s="142">
        <f>(VLOOKUP(43,Balanza!A:F,6,FALSE))</f>
        <v>4730289.7</v>
      </c>
      <c r="G19" s="13"/>
      <c r="I19" s="109"/>
    </row>
    <row r="20" spans="1:11" s="10" customFormat="1" ht="14.15" customHeight="1" x14ac:dyDescent="0.35">
      <c r="A20" s="56"/>
      <c r="B20" s="30"/>
      <c r="C20" s="38" t="s">
        <v>156</v>
      </c>
      <c r="D20" s="38"/>
      <c r="E20" s="142">
        <f>(VLOOKUP(45,Balanza!A:F,6,FALSE))</f>
        <v>1217331.3400000001</v>
      </c>
      <c r="G20" s="13"/>
      <c r="I20" s="110"/>
    </row>
    <row r="21" spans="1:11" s="10" customFormat="1" ht="14.15" customHeight="1" x14ac:dyDescent="0.35">
      <c r="A21" s="42"/>
      <c r="B21" s="16" t="s">
        <v>157</v>
      </c>
      <c r="C21" s="16"/>
      <c r="D21" s="40"/>
      <c r="E21" s="143">
        <f>SUM(E17:E20)</f>
        <v>14321188.879999999</v>
      </c>
      <c r="G21" s="13"/>
      <c r="I21" s="110"/>
    </row>
    <row r="22" spans="1:11" s="10" customFormat="1" ht="14.15" customHeight="1" x14ac:dyDescent="0.2">
      <c r="A22" s="43"/>
      <c r="C22" s="38"/>
      <c r="D22" s="38"/>
      <c r="E22" s="146"/>
      <c r="G22" s="9"/>
      <c r="H22" s="9"/>
      <c r="I22" s="9"/>
      <c r="J22" s="9"/>
    </row>
    <row r="23" spans="1:11" s="10" customFormat="1" ht="14.15" customHeight="1" x14ac:dyDescent="0.25">
      <c r="A23" s="42"/>
      <c r="B23" s="16"/>
      <c r="C23" s="16" t="s">
        <v>160</v>
      </c>
      <c r="D23" s="40"/>
      <c r="E23" s="147">
        <f>(VLOOKUP(4702,Balanza!A:F,6,FALSE)+(VLOOKUP(4703,Balanza!A:F,6,FALSE))+(VLOOKUP(4704,Balanza!A:F,6,FALSE))+(VLOOKUP(4708,Balanza!A:F,6,FALSE)))</f>
        <v>853285.05</v>
      </c>
      <c r="F23" s="76"/>
      <c r="G23" s="20"/>
      <c r="I23" s="13"/>
      <c r="J23" s="96"/>
    </row>
    <row r="24" spans="1:11" s="10" customFormat="1" ht="14.15" customHeight="1" x14ac:dyDescent="0.35">
      <c r="A24" s="43"/>
      <c r="C24" s="38"/>
      <c r="D24" s="38"/>
      <c r="E24" s="146"/>
      <c r="G24" s="13"/>
      <c r="I24" s="109"/>
    </row>
    <row r="25" spans="1:11" s="10" customFormat="1" ht="14.15" customHeight="1" x14ac:dyDescent="0.35">
      <c r="A25" s="43"/>
      <c r="B25" s="16" t="s">
        <v>161</v>
      </c>
      <c r="C25" s="16"/>
      <c r="D25" s="40"/>
      <c r="E25" s="143">
        <f>+E14-E21-E23</f>
        <v>-412400.54999999818</v>
      </c>
      <c r="G25" s="13"/>
      <c r="I25" s="111"/>
    </row>
    <row r="26" spans="1:11" s="10" customFormat="1" ht="14.15" customHeight="1" x14ac:dyDescent="0.2">
      <c r="A26" s="43"/>
      <c r="C26" s="38"/>
      <c r="D26" s="38"/>
      <c r="E26" s="146"/>
    </row>
    <row r="27" spans="1:11" s="10" customFormat="1" ht="14.15" customHeight="1" x14ac:dyDescent="0.25">
      <c r="A27" s="43"/>
      <c r="B27" s="58" t="s">
        <v>89</v>
      </c>
      <c r="C27" s="38"/>
      <c r="D27" s="38"/>
      <c r="E27" s="146"/>
      <c r="G27" s="96"/>
      <c r="H27" s="96"/>
      <c r="I27" s="96"/>
      <c r="J27" s="96"/>
      <c r="K27" s="96"/>
    </row>
    <row r="28" spans="1:11" s="10" customFormat="1" ht="14.15" customHeight="1" x14ac:dyDescent="0.35">
      <c r="A28" s="43"/>
      <c r="C28" s="38" t="s">
        <v>162</v>
      </c>
      <c r="D28" s="38"/>
      <c r="E28" s="142">
        <f>+(VLOOKUP(4701,Balanza!A:F,6,FALSE))+(VLOOKUP(4709,Balanza!A:F,6,FALSE))</f>
        <v>25507.439999999999</v>
      </c>
      <c r="F28" s="74"/>
      <c r="G28" s="118"/>
      <c r="H28" s="96"/>
      <c r="I28" s="112"/>
    </row>
    <row r="29" spans="1:11" s="10" customFormat="1" ht="14.15" customHeight="1" x14ac:dyDescent="0.35">
      <c r="A29" s="43"/>
      <c r="C29" s="38" t="s">
        <v>163</v>
      </c>
      <c r="D29" s="38"/>
      <c r="E29" s="142">
        <f>+(VLOOKUP(48,Balanza!A:F,6,FALSE))-E38</f>
        <v>1287386.94</v>
      </c>
      <c r="F29" s="74"/>
      <c r="G29" s="119"/>
      <c r="I29" s="109"/>
    </row>
    <row r="30" spans="1:11" s="10" customFormat="1" ht="14.15" customHeight="1" x14ac:dyDescent="0.35">
      <c r="B30" s="16" t="s">
        <v>91</v>
      </c>
      <c r="C30" s="16"/>
      <c r="D30" s="40"/>
      <c r="E30" s="148">
        <f>SUM(E28:E29)</f>
        <v>1312894.3799999999</v>
      </c>
      <c r="F30" s="74"/>
      <c r="G30" s="119"/>
      <c r="I30" s="109"/>
    </row>
    <row r="31" spans="1:11" s="10" customFormat="1" ht="14.15" customHeight="1" x14ac:dyDescent="0.25">
      <c r="B31" s="192"/>
      <c r="C31" s="192"/>
      <c r="D31" s="40"/>
      <c r="E31" s="149"/>
      <c r="F31" s="74"/>
      <c r="G31" s="119"/>
      <c r="I31" s="113"/>
    </row>
    <row r="32" spans="1:11" s="10" customFormat="1" ht="14.15" customHeight="1" x14ac:dyDescent="0.35">
      <c r="B32" s="16" t="s">
        <v>164</v>
      </c>
      <c r="E32" s="143">
        <f>E25-E30</f>
        <v>-1725294.9299999981</v>
      </c>
      <c r="F32" s="74"/>
      <c r="G32" s="119"/>
      <c r="I32" s="114"/>
    </row>
    <row r="33" spans="1:15" s="10" customFormat="1" ht="14.15" customHeight="1" x14ac:dyDescent="0.35">
      <c r="E33" s="144"/>
      <c r="F33" s="74"/>
      <c r="G33" s="119"/>
      <c r="I33" s="114"/>
    </row>
    <row r="34" spans="1:15" s="10" customFormat="1" ht="14.15" customHeight="1" x14ac:dyDescent="0.35">
      <c r="B34" s="16"/>
      <c r="C34" s="16" t="s">
        <v>165</v>
      </c>
      <c r="E34" s="150">
        <f>-(VLOOKUP(49,Balanza!A:F,6,FALSE)+(VLOOKUP(56,Balanza!A:F,6,FALSE))+(VLOOKUP(58,Balanza!A:F,6,FALSE))+(VLOOKUP(59,Balanza!A:F,6,FALSE)))</f>
        <v>474816.78</v>
      </c>
      <c r="F34" s="74"/>
      <c r="G34" s="119"/>
      <c r="I34" s="114"/>
    </row>
    <row r="35" spans="1:15" s="10" customFormat="1" ht="14.15" customHeight="1" x14ac:dyDescent="0.35">
      <c r="B35" s="16"/>
      <c r="E35" s="144"/>
      <c r="F35" s="74"/>
      <c r="G35" s="119"/>
      <c r="I35" s="114"/>
    </row>
    <row r="36" spans="1:15" s="10" customFormat="1" ht="14.15" customHeight="1" x14ac:dyDescent="0.35">
      <c r="B36" s="16" t="s">
        <v>169</v>
      </c>
      <c r="E36" s="149">
        <f>E32+E34</f>
        <v>-1250478.149999998</v>
      </c>
      <c r="F36" s="74"/>
      <c r="G36" s="119"/>
      <c r="I36" s="114"/>
    </row>
    <row r="37" spans="1:15" s="10" customFormat="1" ht="14.15" customHeight="1" x14ac:dyDescent="0.35">
      <c r="B37" s="16"/>
      <c r="E37" s="144"/>
      <c r="F37" s="74"/>
      <c r="G37" s="119"/>
      <c r="I37" s="114"/>
    </row>
    <row r="38" spans="1:15" s="10" customFormat="1" ht="14.15" customHeight="1" x14ac:dyDescent="0.35">
      <c r="B38" s="16"/>
      <c r="C38" s="16" t="s">
        <v>73</v>
      </c>
      <c r="E38" s="150">
        <f>(VLOOKUP(480509004,Balanza!A:F,6,FALSE))</f>
        <v>0</v>
      </c>
      <c r="F38" s="74"/>
      <c r="G38" s="119"/>
      <c r="I38" s="114"/>
      <c r="M38" s="73"/>
    </row>
    <row r="39" spans="1:15" s="10" customFormat="1" ht="14.15" customHeight="1" x14ac:dyDescent="0.35">
      <c r="E39" s="144"/>
      <c r="F39" s="74"/>
      <c r="G39" s="119"/>
      <c r="I39" s="110"/>
    </row>
    <row r="40" spans="1:15" s="10" customFormat="1" ht="14.15" customHeight="1" thickBot="1" x14ac:dyDescent="0.3">
      <c r="A40" s="43"/>
      <c r="B40" s="90" t="s">
        <v>170</v>
      </c>
      <c r="E40" s="151">
        <f>+E36-E38</f>
        <v>-1250478.149999998</v>
      </c>
      <c r="F40" s="100">
        <v>895545.74</v>
      </c>
      <c r="G40" s="120"/>
      <c r="K40" s="13"/>
      <c r="M40" s="56"/>
      <c r="O40" s="73"/>
    </row>
    <row r="41" spans="1:15" s="10" customFormat="1" ht="14.15" customHeight="1" thickTop="1" x14ac:dyDescent="0.2">
      <c r="E41" s="144"/>
      <c r="F41" s="99"/>
      <c r="G41" s="119"/>
      <c r="K41" s="13"/>
    </row>
    <row r="42" spans="1:15" s="10" customFormat="1" ht="13" customHeight="1" x14ac:dyDescent="0.25">
      <c r="E42" s="149"/>
      <c r="F42" s="74"/>
      <c r="G42" s="119"/>
    </row>
    <row r="43" spans="1:15" s="10" customFormat="1" ht="13" customHeight="1" x14ac:dyDescent="0.2">
      <c r="E43" s="144"/>
      <c r="F43" s="74"/>
      <c r="G43" s="119"/>
    </row>
    <row r="44" spans="1:15" s="10" customFormat="1" ht="13" customHeight="1" x14ac:dyDescent="0.2">
      <c r="E44" s="144"/>
      <c r="F44" s="115"/>
      <c r="G44" s="119"/>
    </row>
    <row r="45" spans="1:15" s="10" customFormat="1" ht="13" customHeight="1" x14ac:dyDescent="0.2">
      <c r="E45" s="144"/>
      <c r="F45" s="74"/>
      <c r="G45" s="119"/>
    </row>
    <row r="46" spans="1:15" s="10" customFormat="1" ht="13" customHeight="1" x14ac:dyDescent="0.2">
      <c r="E46" s="144"/>
      <c r="F46" s="74"/>
      <c r="G46" s="119"/>
    </row>
    <row r="47" spans="1:15" s="10" customFormat="1" ht="13" customHeight="1" x14ac:dyDescent="0.2">
      <c r="E47" s="144"/>
      <c r="F47" s="74"/>
      <c r="G47" s="119"/>
    </row>
    <row r="48" spans="1:15" s="10" customFormat="1" ht="13" customHeight="1" x14ac:dyDescent="0.2">
      <c r="C48" s="44" t="s">
        <v>140</v>
      </c>
      <c r="D48" s="44"/>
      <c r="E48" s="191" t="s">
        <v>776</v>
      </c>
      <c r="F48" s="74"/>
      <c r="G48" s="119"/>
    </row>
    <row r="49" spans="3:5" s="10" customFormat="1" ht="13" customHeight="1" x14ac:dyDescent="0.2">
      <c r="C49" s="45" t="s">
        <v>141</v>
      </c>
      <c r="D49" s="45"/>
      <c r="E49" s="152" t="s">
        <v>146</v>
      </c>
    </row>
    <row r="50" spans="3:5" s="10" customFormat="1" ht="13" customHeight="1" x14ac:dyDescent="0.2">
      <c r="E50" s="144"/>
    </row>
  </sheetData>
  <mergeCells count="1">
    <mergeCell ref="B31:C31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Balanza</vt:lpstr>
      <vt:lpstr>Hoja1</vt:lpstr>
      <vt:lpstr>BG1</vt:lpstr>
      <vt:lpstr>BG</vt:lpstr>
      <vt:lpstr>BGv3</vt:lpstr>
      <vt:lpstr>BGvM</vt:lpstr>
      <vt:lpstr>BGvM2</vt:lpstr>
      <vt:lpstr>ER1</vt:lpstr>
      <vt:lpstr>ER</vt:lpstr>
      <vt:lpstr>Indices2025</vt:lpstr>
      <vt:lpstr>pda</vt:lpstr>
      <vt:lpstr>BG GF</vt:lpstr>
      <vt:lpstr>ER GF</vt:lpstr>
      <vt:lpstr>ERv3</vt:lpstr>
      <vt:lpstr>ERvM</vt:lpstr>
      <vt:lpstr>ERvM2</vt:lpstr>
      <vt:lpstr>BG!Área_de_impresión</vt:lpstr>
      <vt:lpstr>'BG GF'!Área_de_impresión</vt:lpstr>
      <vt:lpstr>'BG1'!Área_de_impresión</vt:lpstr>
      <vt:lpstr>'BGv3'!Área_de_impresión</vt:lpstr>
      <vt:lpstr>BGvM!Área_de_impresión</vt:lpstr>
      <vt:lpstr>BGvM2!Área_de_impresión</vt:lpstr>
      <vt:lpstr>ER!Área_de_impresión</vt:lpstr>
      <vt:lpstr>'ER GF'!Área_de_impresión</vt:lpstr>
      <vt:lpstr>ERvM!Área_de_impresión</vt:lpstr>
      <vt:lpstr>ERvM2!Área_de_impresión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Carlos Fidel Alfonso Torres Rivera</cp:lastModifiedBy>
  <cp:lastPrinted>2025-09-01T20:24:39Z</cp:lastPrinted>
  <dcterms:created xsi:type="dcterms:W3CDTF">2019-01-14T16:31:03Z</dcterms:created>
  <dcterms:modified xsi:type="dcterms:W3CDTF">2025-09-06T01:58:52Z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Owner">
    <vt:lpwstr>jpereza@bancatlan.sv</vt:lpwstr>
  </property>
  <property fmtid="{D5CDD505-2E9C-101B-9397-08002B2CF9AE}" pid="5" name="MSIP_Label_d7727152-7100-4514-a083-0e2ba05ba660_SetDate">
    <vt:lpwstr>2020-03-02T22:39:16.4517144Z</vt:lpwstr>
  </property>
  <property fmtid="{D5CDD505-2E9C-101B-9397-08002B2CF9AE}" pid="6" name="MSIP_Label_d7727152-7100-4514-a083-0e2ba05ba660_Name">
    <vt:lpwstr>Restringida Especial</vt:lpwstr>
  </property>
  <property fmtid="{D5CDD505-2E9C-101B-9397-08002B2CF9AE}" pid="7" name="MSIP_Label_d7727152-7100-4514-a083-0e2ba05ba660_Application">
    <vt:lpwstr>Microsoft Azure Information Protection</vt:lpwstr>
  </property>
  <property fmtid="{D5CDD505-2E9C-101B-9397-08002B2CF9AE}" pid="8" name="MSIP_Label_d7727152-7100-4514-a083-0e2ba05ba660_ActionId">
    <vt:lpwstr>c0455ffb-d18c-405d-8b14-debf46010a7a</vt:lpwstr>
  </property>
  <property fmtid="{D5CDD505-2E9C-101B-9397-08002B2CF9AE}" pid="9" name="MSIP_Label_d7727152-7100-4514-a083-0e2ba05ba660_Extended_MSFT_Method">
    <vt:lpwstr>Manual</vt:lpwstr>
  </property>
  <property fmtid="{D5CDD505-2E9C-101B-9397-08002B2CF9AE}" pid="10" name="Sensitivity">
    <vt:lpwstr>Restringida Especial</vt:lpwstr>
  </property>
</Properties>
</file>