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04037\Documents\ENVIO ESTADOS FINANCIEROS\ENVIOS 2021\Mayo\CB04-VALORES CUSCATLAN\"/>
    </mc:Choice>
  </mc:AlternateContent>
  <bookViews>
    <workbookView xWindow="0" yWindow="0" windowWidth="20490" windowHeight="7320" tabRatio="895" firstSheet="2" activeTab="5"/>
  </bookViews>
  <sheets>
    <sheet name="Balance de Comprobación" sheetId="54" state="hidden" r:id="rId1"/>
    <sheet name="Hoja1" sheetId="55" state="hidden" r:id="rId2"/>
    <sheet name="Balance General BVES" sheetId="37" r:id="rId3"/>
    <sheet name="Estado Resultados BVES" sheetId="40" r:id="rId4"/>
    <sheet name="Operaciones Bursatiles BVES" sheetId="38" r:id="rId5"/>
    <sheet name="Operaciones admon cartera BVES" sheetId="39" r:id="rId6"/>
    <sheet name="Fondo Valores" sheetId="51" state="hidden" r:id="rId7"/>
    <sheet name="Anexos valores" sheetId="50" state="hidden" r:id="rId8"/>
    <sheet name="Intercompany Balance" sheetId="33" state="hidden" r:id="rId9"/>
    <sheet name="Intercompany Resultados" sheetId="34" state="hidden" r:id="rId10"/>
    <sheet name="Ventas CCF" sheetId="46" state="hidden" r:id="rId11"/>
    <sheet name="CONSUMIDOR FINAL" sheetId="49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8" hidden="1">'Intercompany Balance'!$A$5:$I$19</definedName>
    <definedName name="_xlnm._FilterDatabase" localSheetId="9" hidden="1">'Intercompany Resultados'!$A$5:$F$35</definedName>
    <definedName name="_xlnm.Print_Area" localSheetId="7">'Anexos valores'!$A$1:$F$820</definedName>
    <definedName name="_xlnm.Print_Area" localSheetId="2">'Balance General BVES'!$A$1:$G$128</definedName>
    <definedName name="_xlnm.Print_Area" localSheetId="3">'Estado Resultados BVES'!$A$1:$G$92</definedName>
    <definedName name="_xlnm.Print_Area" localSheetId="6">'Fondo Valores'!$D$1:$F$40</definedName>
    <definedName name="_xlnm.Print_Area" localSheetId="5">'Operaciones admon cartera BVES'!$A$1:$G$61</definedName>
    <definedName name="_xlnm.Print_Area" localSheetId="4">'Operaciones Bursatiles BVES'!$A$1:$G$73</definedName>
    <definedName name="CALCULO_DE_PAGO_A_CUENTA" localSheetId="7">#REF!</definedName>
    <definedName name="CALCULO_DE_PAGO_A_CUENTA" localSheetId="6">#REF!</definedName>
    <definedName name="CALCULO_DE_PAGO_A_CUENTA" localSheetId="10">#REF!</definedName>
    <definedName name="CALCULO_DE_PAGO_A_CUENTA">#REF!</definedName>
    <definedName name="cinco" localSheetId="7">#REF!</definedName>
    <definedName name="cinco" localSheetId="6">#REF!</definedName>
    <definedName name="cinco" localSheetId="10">#REF!</definedName>
    <definedName name="cinco">#REF!</definedName>
    <definedName name="cuaiva" localSheetId="7">#REF!</definedName>
    <definedName name="cuaiva" localSheetId="6">#REF!</definedName>
    <definedName name="cuaiva" localSheetId="10">#REF!</definedName>
    <definedName name="cuaiva">#REF!</definedName>
    <definedName name="cuatro" localSheetId="7">#REF!</definedName>
    <definedName name="cuatro" localSheetId="6">#REF!</definedName>
    <definedName name="cuatro" localSheetId="10">#REF!</definedName>
    <definedName name="cuatro">#REF!</definedName>
    <definedName name="dos" localSheetId="7">#REF!</definedName>
    <definedName name="dos" localSheetId="6">#REF!</definedName>
    <definedName name="dos" localSheetId="10">#REF!</definedName>
    <definedName name="dos">#REF!</definedName>
    <definedName name="seis" localSheetId="7">#REF!</definedName>
    <definedName name="seis" localSheetId="6">#REF!</definedName>
    <definedName name="seis" localSheetId="10">#REF!</definedName>
    <definedName name="seis">#REF!</definedName>
    <definedName name="siete" localSheetId="7">#REF!</definedName>
    <definedName name="siete" localSheetId="6">#REF!</definedName>
    <definedName name="siete" localSheetId="10">#REF!</definedName>
    <definedName name="siete">#REF!</definedName>
    <definedName name="_xlnm.Print_Titles" localSheetId="7">'Anexos valores'!$1:$14</definedName>
    <definedName name="_xlnm.Print_Titles" localSheetId="2">'Balance General BVES'!$1:$5</definedName>
    <definedName name="_xlnm.Print_Titles" localSheetId="10">'Ventas CCF'!$1:$6</definedName>
    <definedName name="tres" localSheetId="7">#REF!</definedName>
    <definedName name="tres" localSheetId="6">#REF!</definedName>
    <definedName name="tres" localSheetId="10">#REF!</definedName>
    <definedName name="tres">#REF!</definedName>
    <definedName name="uno" localSheetId="7">#REF!</definedName>
    <definedName name="uno" localSheetId="6">#REF!</definedName>
    <definedName name="uno" localSheetId="10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I1110" i="49" l="1"/>
  <c r="I1105" i="49"/>
  <c r="I1103" i="49"/>
  <c r="I1102" i="49"/>
  <c r="I1098" i="49"/>
  <c r="I1096" i="49"/>
  <c r="M1094" i="49"/>
  <c r="L1094" i="49"/>
  <c r="K1094" i="49"/>
  <c r="J1094" i="49"/>
  <c r="I1094" i="49"/>
  <c r="H1094" i="49"/>
  <c r="G1094" i="49"/>
  <c r="M1091" i="49"/>
  <c r="M1090" i="49"/>
  <c r="M1089" i="49"/>
  <c r="M1088" i="49"/>
  <c r="M1087" i="49"/>
  <c r="M1086" i="49"/>
  <c r="M1085" i="49"/>
  <c r="I1068" i="49"/>
  <c r="I1063" i="49"/>
  <c r="I1061" i="49"/>
  <c r="I1060" i="49"/>
  <c r="I1056" i="49"/>
  <c r="I1054" i="49"/>
  <c r="I1052" i="49"/>
  <c r="H1052" i="49"/>
  <c r="G1052" i="49"/>
  <c r="D1031" i="49"/>
  <c r="D1030" i="49"/>
  <c r="D1029" i="49"/>
  <c r="K1023" i="49"/>
  <c r="J1023" i="49"/>
  <c r="I1023" i="49"/>
  <c r="H1023" i="49"/>
  <c r="G1023" i="49"/>
  <c r="K1021" i="49"/>
  <c r="I1021" i="49"/>
  <c r="I1012" i="49"/>
  <c r="I1007" i="49"/>
  <c r="I1005" i="49"/>
  <c r="I1004" i="49"/>
  <c r="I1000" i="49"/>
  <c r="I998" i="49"/>
  <c r="I996" i="49"/>
  <c r="H996" i="49"/>
  <c r="G996" i="49"/>
  <c r="E992" i="49"/>
  <c r="E991" i="49"/>
  <c r="E990" i="49"/>
  <c r="E989" i="49"/>
  <c r="E988" i="49"/>
  <c r="E987" i="49"/>
  <c r="E986" i="49"/>
  <c r="E985" i="49"/>
  <c r="I970" i="49"/>
  <c r="I965" i="49"/>
  <c r="I963" i="49"/>
  <c r="I962" i="49"/>
  <c r="I958" i="49"/>
  <c r="I956" i="49"/>
  <c r="M954" i="49"/>
  <c r="L954" i="49"/>
  <c r="K954" i="49"/>
  <c r="J954" i="49"/>
  <c r="I954" i="49"/>
  <c r="H954" i="49"/>
  <c r="G954" i="49"/>
  <c r="M951" i="49"/>
  <c r="M950" i="49"/>
  <c r="M949" i="49"/>
  <c r="M948" i="49"/>
  <c r="M947" i="49"/>
  <c r="M946" i="49"/>
  <c r="M945" i="49"/>
  <c r="M944" i="49"/>
  <c r="M943" i="49"/>
  <c r="H894" i="49"/>
  <c r="H889" i="49"/>
  <c r="H887" i="49"/>
  <c r="H886" i="49"/>
  <c r="H882" i="49"/>
  <c r="H880" i="49"/>
  <c r="L878" i="49"/>
  <c r="K878" i="49"/>
  <c r="J878" i="49"/>
  <c r="I878" i="49"/>
  <c r="H878" i="49"/>
  <c r="G878" i="49"/>
  <c r="F878" i="49"/>
  <c r="E875" i="49"/>
  <c r="E874" i="49"/>
  <c r="E873" i="49"/>
  <c r="H860" i="49"/>
  <c r="H855" i="49"/>
  <c r="H853" i="49"/>
  <c r="H852" i="49"/>
  <c r="H848" i="49"/>
  <c r="H846" i="49"/>
  <c r="H844" i="49"/>
  <c r="G844" i="49"/>
  <c r="F844" i="49"/>
  <c r="E838" i="49"/>
  <c r="E837" i="49"/>
  <c r="E836" i="49"/>
  <c r="H829" i="49"/>
  <c r="H824" i="49"/>
  <c r="H821" i="49"/>
  <c r="H817" i="49"/>
  <c r="H815" i="49"/>
  <c r="H813" i="49"/>
  <c r="G813" i="49"/>
  <c r="F813" i="49"/>
  <c r="E811" i="49"/>
  <c r="E810" i="49"/>
  <c r="B804" i="49"/>
  <c r="H798" i="49"/>
  <c r="H793" i="49"/>
  <c r="H790" i="49"/>
  <c r="H786" i="49"/>
  <c r="H784" i="49"/>
  <c r="H782" i="49"/>
  <c r="E781" i="49"/>
  <c r="E780" i="49"/>
  <c r="E779" i="49"/>
  <c r="E778" i="49"/>
  <c r="E777" i="49"/>
  <c r="B771" i="49"/>
  <c r="H764" i="49"/>
  <c r="H759" i="49"/>
  <c r="H756" i="49"/>
  <c r="H752" i="49"/>
  <c r="H750" i="49"/>
  <c r="H748" i="49"/>
  <c r="G748" i="49"/>
  <c r="F748" i="49"/>
  <c r="E743" i="49"/>
  <c r="E742" i="49"/>
  <c r="E741" i="49"/>
  <c r="H728" i="49"/>
  <c r="H723" i="49"/>
  <c r="H721" i="49"/>
  <c r="H720" i="49"/>
  <c r="H716" i="49"/>
  <c r="H714" i="49"/>
  <c r="L712" i="49"/>
  <c r="K712" i="49"/>
  <c r="J712" i="49"/>
  <c r="I712" i="49"/>
  <c r="H712" i="49"/>
  <c r="G712" i="49"/>
  <c r="F712" i="49"/>
  <c r="E706" i="49"/>
  <c r="E705" i="49"/>
  <c r="H690" i="49"/>
  <c r="H685" i="49"/>
  <c r="H678" i="49"/>
  <c r="H676" i="49"/>
  <c r="L674" i="49"/>
  <c r="K674" i="49"/>
  <c r="J674" i="49"/>
  <c r="I674" i="49"/>
  <c r="H674" i="49"/>
  <c r="G674" i="49"/>
  <c r="F674" i="49"/>
  <c r="E668" i="49"/>
  <c r="E667" i="49"/>
  <c r="E666" i="49"/>
  <c r="H651" i="49"/>
  <c r="H646" i="49"/>
  <c r="H644" i="49"/>
  <c r="H643" i="49"/>
  <c r="H639" i="49"/>
  <c r="H637" i="49"/>
  <c r="L635" i="49"/>
  <c r="K635" i="49"/>
  <c r="J635" i="49"/>
  <c r="I635" i="49"/>
  <c r="H635" i="49"/>
  <c r="G635" i="49"/>
  <c r="F635" i="49"/>
  <c r="E624" i="49"/>
  <c r="E623" i="49"/>
  <c r="E622" i="49"/>
  <c r="E621" i="49"/>
  <c r="E620" i="49"/>
  <c r="E619" i="49"/>
  <c r="H602" i="49"/>
  <c r="H597" i="49"/>
  <c r="H595" i="49"/>
  <c r="H594" i="49"/>
  <c r="H590" i="49"/>
  <c r="H588" i="49"/>
  <c r="L586" i="49"/>
  <c r="K586" i="49"/>
  <c r="J586" i="49"/>
  <c r="I586" i="49"/>
  <c r="H586" i="49"/>
  <c r="G586" i="49"/>
  <c r="F586" i="49"/>
  <c r="E582" i="49"/>
  <c r="E581" i="49"/>
  <c r="E580" i="49"/>
  <c r="E579" i="49"/>
  <c r="E578" i="49"/>
  <c r="E577" i="49"/>
  <c r="E576" i="49"/>
  <c r="E575" i="49"/>
  <c r="H558" i="49"/>
  <c r="H553" i="49"/>
  <c r="H551" i="49"/>
  <c r="H550" i="49"/>
  <c r="H546" i="49"/>
  <c r="H544" i="49"/>
  <c r="L542" i="49"/>
  <c r="K542" i="49"/>
  <c r="J542" i="49"/>
  <c r="I542" i="49"/>
  <c r="H542" i="49"/>
  <c r="G542" i="49"/>
  <c r="F542" i="49"/>
  <c r="E531" i="49"/>
  <c r="E530" i="49"/>
  <c r="E529" i="49"/>
  <c r="E528" i="49"/>
  <c r="E527" i="49"/>
  <c r="E526" i="49"/>
  <c r="E525" i="49"/>
  <c r="E524" i="49"/>
  <c r="H509" i="49"/>
  <c r="H504" i="49"/>
  <c r="H502" i="49"/>
  <c r="H501" i="49"/>
  <c r="H497" i="49"/>
  <c r="H495" i="49"/>
  <c r="L493" i="49"/>
  <c r="K493" i="49"/>
  <c r="J493" i="49"/>
  <c r="I493" i="49"/>
  <c r="H493" i="49"/>
  <c r="G493" i="49"/>
  <c r="F493" i="49"/>
  <c r="E491" i="49"/>
  <c r="E490" i="49"/>
  <c r="E489" i="49"/>
  <c r="E488" i="49"/>
  <c r="E487" i="49"/>
  <c r="E486" i="49"/>
  <c r="E485" i="49"/>
  <c r="E484" i="49"/>
  <c r="H468" i="49"/>
  <c r="H463" i="49"/>
  <c r="H461" i="49"/>
  <c r="H460" i="49"/>
  <c r="H456" i="49"/>
  <c r="H454" i="49"/>
  <c r="L452" i="49"/>
  <c r="K452" i="49"/>
  <c r="J452" i="49"/>
  <c r="I452" i="49"/>
  <c r="H452" i="49"/>
  <c r="G452" i="49"/>
  <c r="F452" i="49"/>
  <c r="E449" i="49"/>
  <c r="H394" i="49"/>
  <c r="H389" i="49"/>
  <c r="H387" i="49"/>
  <c r="H386" i="49"/>
  <c r="H382" i="49"/>
  <c r="H380" i="49"/>
  <c r="L378" i="49"/>
  <c r="K378" i="49"/>
  <c r="J378" i="49"/>
  <c r="I378" i="49"/>
  <c r="H378" i="49"/>
  <c r="G378" i="49"/>
  <c r="F378" i="49"/>
  <c r="E374" i="49"/>
  <c r="I359" i="49"/>
  <c r="I357" i="49"/>
  <c r="I356" i="49"/>
  <c r="I352" i="49"/>
  <c r="I350" i="49"/>
  <c r="M348" i="49"/>
  <c r="L348" i="49"/>
  <c r="K348" i="49"/>
  <c r="J348" i="49"/>
  <c r="I348" i="49"/>
  <c r="H348" i="49"/>
  <c r="G348" i="49"/>
  <c r="F343" i="49"/>
  <c r="F342" i="49"/>
  <c r="F341" i="49"/>
  <c r="F340" i="49"/>
  <c r="F339" i="49"/>
  <c r="F337" i="49"/>
  <c r="F336" i="49"/>
  <c r="C329" i="49"/>
  <c r="H322" i="49"/>
  <c r="H317" i="49"/>
  <c r="H315" i="49"/>
  <c r="H314" i="49"/>
  <c r="H310" i="49"/>
  <c r="H308" i="49"/>
  <c r="L306" i="49"/>
  <c r="K306" i="49"/>
  <c r="J306" i="49"/>
  <c r="I306" i="49"/>
  <c r="H306" i="49"/>
  <c r="G306" i="49"/>
  <c r="F306" i="49"/>
  <c r="E303" i="49"/>
  <c r="E302" i="49"/>
  <c r="I284" i="49"/>
  <c r="I279" i="49"/>
  <c r="I277" i="49"/>
  <c r="I276" i="49"/>
  <c r="I272" i="49"/>
  <c r="I270" i="49"/>
  <c r="M268" i="49"/>
  <c r="L268" i="49"/>
  <c r="K268" i="49"/>
  <c r="J268" i="49"/>
  <c r="I268" i="49"/>
  <c r="H268" i="49"/>
  <c r="G268" i="49"/>
  <c r="F264" i="49"/>
  <c r="I248" i="49"/>
  <c r="I243" i="49"/>
  <c r="I241" i="49"/>
  <c r="I240" i="49"/>
  <c r="I236" i="49"/>
  <c r="I234" i="49"/>
  <c r="M232" i="49"/>
  <c r="L232" i="49"/>
  <c r="K232" i="49"/>
  <c r="J232" i="49"/>
  <c r="I232" i="49"/>
  <c r="H232" i="49"/>
  <c r="G232" i="49"/>
  <c r="F221" i="49"/>
  <c r="F220" i="49"/>
  <c r="F219" i="49"/>
  <c r="F218" i="49"/>
  <c r="F217" i="49"/>
  <c r="F216" i="49"/>
  <c r="F215" i="49"/>
  <c r="F214" i="49"/>
  <c r="F213" i="49"/>
  <c r="F212" i="49"/>
  <c r="I198" i="49"/>
  <c r="I193" i="49"/>
  <c r="I191" i="49"/>
  <c r="I190" i="49"/>
  <c r="I186" i="49"/>
  <c r="I184" i="49"/>
  <c r="M182" i="49"/>
  <c r="L182" i="49"/>
  <c r="K182" i="49"/>
  <c r="J182" i="49"/>
  <c r="I182" i="49"/>
  <c r="H182" i="49"/>
  <c r="G182" i="49"/>
  <c r="F171" i="49"/>
  <c r="F170" i="49"/>
  <c r="F169" i="49"/>
  <c r="F168" i="49"/>
  <c r="F167" i="49"/>
  <c r="F166" i="49"/>
  <c r="F165" i="49"/>
  <c r="F164" i="49"/>
  <c r="F163" i="49"/>
  <c r="F162" i="49"/>
  <c r="I148" i="49"/>
  <c r="I143" i="49"/>
  <c r="I141" i="49"/>
  <c r="I140" i="49"/>
  <c r="I136" i="49"/>
  <c r="I134" i="49"/>
  <c r="M132" i="49"/>
  <c r="L132" i="49"/>
  <c r="K132" i="49"/>
  <c r="J132" i="49"/>
  <c r="I132" i="49"/>
  <c r="H132" i="49"/>
  <c r="G132" i="49"/>
  <c r="R128" i="49"/>
  <c r="Q128" i="49"/>
  <c r="F121" i="49"/>
  <c r="F120" i="49"/>
  <c r="F119" i="49"/>
  <c r="F118" i="49"/>
  <c r="F117" i="49"/>
  <c r="F116" i="49"/>
  <c r="F115" i="49"/>
  <c r="F114" i="49"/>
  <c r="F113" i="49"/>
  <c r="F112" i="49"/>
  <c r="I96" i="49"/>
  <c r="I91" i="49"/>
  <c r="I89" i="49"/>
  <c r="I88" i="49"/>
  <c r="I84" i="49"/>
  <c r="I82" i="49"/>
  <c r="M80" i="49"/>
  <c r="L80" i="49"/>
  <c r="K80" i="49"/>
  <c r="J80" i="49"/>
  <c r="I80" i="49"/>
  <c r="H80" i="49"/>
  <c r="G80" i="49"/>
  <c r="R76" i="49"/>
  <c r="Q76" i="49"/>
  <c r="F74" i="49"/>
  <c r="F73" i="49"/>
  <c r="F72" i="49"/>
  <c r="H47" i="49"/>
  <c r="H42" i="49"/>
  <c r="H40" i="49"/>
  <c r="H39" i="49"/>
  <c r="H35" i="49"/>
  <c r="H33" i="49"/>
  <c r="L31" i="49"/>
  <c r="K31" i="49"/>
  <c r="J31" i="49"/>
  <c r="I31" i="49"/>
  <c r="H31" i="49"/>
  <c r="G31" i="49"/>
  <c r="F31" i="49"/>
  <c r="P27" i="49"/>
  <c r="E20" i="49"/>
  <c r="E19" i="49"/>
  <c r="E18" i="49"/>
  <c r="E17" i="49"/>
  <c r="E16" i="49"/>
  <c r="E15" i="49"/>
  <c r="E14" i="49"/>
  <c r="E13" i="49"/>
  <c r="E12" i="49"/>
  <c r="E11" i="49"/>
  <c r="B5" i="49"/>
  <c r="R1592" i="46"/>
  <c r="R1591" i="46"/>
  <c r="X1590" i="46"/>
  <c r="R1590" i="46"/>
  <c r="R1589" i="46"/>
  <c r="X1588" i="46"/>
  <c r="R1588" i="46"/>
  <c r="X1587" i="46"/>
  <c r="R1587" i="46"/>
  <c r="R1586" i="46"/>
  <c r="R1585" i="46"/>
  <c r="R1584" i="46"/>
  <c r="R1583" i="46"/>
  <c r="Y1582" i="46"/>
  <c r="X1582" i="46"/>
  <c r="R1582" i="46"/>
  <c r="R1581" i="46"/>
  <c r="R1580" i="46"/>
  <c r="R1579" i="46"/>
  <c r="R1578" i="46"/>
  <c r="R1577" i="46"/>
  <c r="Y1576" i="46"/>
  <c r="R1576" i="46"/>
  <c r="R1575" i="46"/>
  <c r="R1574" i="46"/>
  <c r="Y1573" i="46"/>
  <c r="R1573" i="46"/>
  <c r="Y1572" i="46"/>
  <c r="R1572" i="46"/>
  <c r="R1544" i="46"/>
  <c r="R1543" i="46"/>
  <c r="X1542" i="46"/>
  <c r="R1542" i="46"/>
  <c r="X1541" i="46"/>
  <c r="R1541" i="46"/>
  <c r="X1540" i="46"/>
  <c r="R1540" i="46"/>
  <c r="X1539" i="46"/>
  <c r="R1539" i="46"/>
  <c r="L1539" i="46"/>
  <c r="K1539" i="46"/>
  <c r="J1539" i="46"/>
  <c r="R1538" i="46"/>
  <c r="R1537" i="46"/>
  <c r="R1536" i="46"/>
  <c r="R1535" i="46"/>
  <c r="Z1534" i="46"/>
  <c r="Y1534" i="46"/>
  <c r="X1534" i="46"/>
  <c r="R1534" i="46"/>
  <c r="R1533" i="46"/>
  <c r="R1532" i="46"/>
  <c r="R1531" i="46"/>
  <c r="R1530" i="46"/>
  <c r="R1529" i="46"/>
  <c r="Z1528" i="46"/>
  <c r="Y1528" i="46"/>
  <c r="R1528" i="46"/>
  <c r="R1527" i="46"/>
  <c r="R1526" i="46"/>
  <c r="Y1525" i="46"/>
  <c r="R1525" i="46"/>
  <c r="Y1524" i="46"/>
  <c r="R1524" i="46"/>
  <c r="X1504" i="46"/>
  <c r="L1503" i="46"/>
  <c r="K1503" i="46"/>
  <c r="J1503" i="46"/>
  <c r="I1503" i="46"/>
  <c r="H1503" i="46"/>
  <c r="G1503" i="46"/>
  <c r="X1502" i="46"/>
  <c r="X1497" i="46"/>
  <c r="L1493" i="46"/>
  <c r="E1493" i="46"/>
  <c r="L1492" i="46"/>
  <c r="E1492" i="46"/>
  <c r="L1491" i="46"/>
  <c r="E1491" i="46"/>
  <c r="R1504" i="46" s="1"/>
  <c r="L1490" i="46"/>
  <c r="E1490" i="46"/>
  <c r="L1489" i="46"/>
  <c r="E1489" i="46"/>
  <c r="R1488" i="46"/>
  <c r="L1488" i="46"/>
  <c r="E1488" i="46"/>
  <c r="L1487" i="46"/>
  <c r="E1487" i="46"/>
  <c r="R1492" i="46" s="1"/>
  <c r="Y1488" i="46" s="1"/>
  <c r="G1480" i="46"/>
  <c r="X1468" i="46"/>
  <c r="X1466" i="46"/>
  <c r="N1466" i="46"/>
  <c r="L1466" i="46"/>
  <c r="E1466" i="46"/>
  <c r="N1465" i="46"/>
  <c r="L1465" i="46"/>
  <c r="E1465" i="46"/>
  <c r="N1464" i="46"/>
  <c r="L1464" i="46"/>
  <c r="E1464" i="46"/>
  <c r="N1463" i="46"/>
  <c r="L1463" i="46"/>
  <c r="E1463" i="46"/>
  <c r="R1452" i="46" s="1"/>
  <c r="N1462" i="46"/>
  <c r="L1462" i="46"/>
  <c r="E1462" i="46"/>
  <c r="X1461" i="46"/>
  <c r="R1461" i="46"/>
  <c r="N1461" i="46"/>
  <c r="L1461" i="46"/>
  <c r="E1461" i="46"/>
  <c r="N1460" i="46"/>
  <c r="L1460" i="46"/>
  <c r="E1460" i="46"/>
  <c r="R1459" i="46"/>
  <c r="N1459" i="46"/>
  <c r="L1459" i="46"/>
  <c r="E1459" i="46"/>
  <c r="N1458" i="46"/>
  <c r="L1458" i="46"/>
  <c r="E1458" i="46"/>
  <c r="R1457" i="46"/>
  <c r="N1457" i="46"/>
  <c r="L1457" i="46"/>
  <c r="E1457" i="46"/>
  <c r="N1456" i="46"/>
  <c r="L1456" i="46"/>
  <c r="E1456" i="46"/>
  <c r="R1451" i="46" s="1"/>
  <c r="N1455" i="46"/>
  <c r="L1455" i="46"/>
  <c r="E1455" i="46"/>
  <c r="N1454" i="46"/>
  <c r="L1454" i="46"/>
  <c r="E1454" i="46"/>
  <c r="N1453" i="46"/>
  <c r="L1453" i="46"/>
  <c r="E1453" i="46"/>
  <c r="L1452" i="46"/>
  <c r="E1452" i="46"/>
  <c r="L1451" i="46"/>
  <c r="E1451" i="46"/>
  <c r="R1470" i="46" s="1"/>
  <c r="R1438" i="46"/>
  <c r="R1437" i="46"/>
  <c r="X1436" i="46"/>
  <c r="R1436" i="46"/>
  <c r="X1435" i="46"/>
  <c r="R1435" i="46"/>
  <c r="X1434" i="46"/>
  <c r="R1434" i="46"/>
  <c r="X1433" i="46"/>
  <c r="R1433" i="46"/>
  <c r="R1432" i="46"/>
  <c r="R1431" i="46"/>
  <c r="R1430" i="46"/>
  <c r="H1430" i="46"/>
  <c r="R1429" i="46"/>
  <c r="H1429" i="46"/>
  <c r="Z1428" i="46"/>
  <c r="Y1428" i="46"/>
  <c r="X1428" i="46"/>
  <c r="R1428" i="46"/>
  <c r="H1428" i="46"/>
  <c r="R1427" i="46"/>
  <c r="R1426" i="46"/>
  <c r="R1425" i="46"/>
  <c r="R1424" i="46"/>
  <c r="K1424" i="46"/>
  <c r="J1424" i="46"/>
  <c r="I1424" i="46"/>
  <c r="R1423" i="46"/>
  <c r="Z1422" i="46"/>
  <c r="Y1422" i="46"/>
  <c r="R1422" i="46"/>
  <c r="L1422" i="46"/>
  <c r="G1422" i="46"/>
  <c r="F1422" i="46"/>
  <c r="R1421" i="46"/>
  <c r="L1421" i="46"/>
  <c r="G1421" i="46"/>
  <c r="F1421" i="46"/>
  <c r="R1420" i="46"/>
  <c r="L1420" i="46"/>
  <c r="G1420" i="46"/>
  <c r="F1420" i="46"/>
  <c r="Y1419" i="46"/>
  <c r="R1419" i="46"/>
  <c r="L1419" i="46"/>
  <c r="G1419" i="46"/>
  <c r="F1419" i="46"/>
  <c r="Y1418" i="46"/>
  <c r="R1418" i="46"/>
  <c r="L1418" i="46"/>
  <c r="G1418" i="46"/>
  <c r="F1418" i="46"/>
  <c r="X1411" i="46"/>
  <c r="X1409" i="46"/>
  <c r="X1404" i="46"/>
  <c r="L1402" i="46"/>
  <c r="E1402" i="46"/>
  <c r="L1401" i="46"/>
  <c r="E1401" i="46"/>
  <c r="L1400" i="46"/>
  <c r="E1400" i="46"/>
  <c r="L1399" i="46"/>
  <c r="E1399" i="46"/>
  <c r="L1398" i="46"/>
  <c r="E1398" i="46"/>
  <c r="L1397" i="46"/>
  <c r="E1397" i="46"/>
  <c r="R1406" i="46" s="1"/>
  <c r="L1396" i="46"/>
  <c r="E1396" i="46"/>
  <c r="R1410" i="46" s="1"/>
  <c r="G1389" i="46"/>
  <c r="R1381" i="46"/>
  <c r="R1380" i="46"/>
  <c r="X1379" i="46"/>
  <c r="R1379" i="46"/>
  <c r="X1378" i="46"/>
  <c r="R1378" i="46"/>
  <c r="L1378" i="46"/>
  <c r="K1378" i="46"/>
  <c r="J1378" i="46"/>
  <c r="X1377" i="46"/>
  <c r="R1377" i="46"/>
  <c r="X1376" i="46"/>
  <c r="R1376" i="46"/>
  <c r="R1375" i="46"/>
  <c r="L1375" i="46"/>
  <c r="R1374" i="46"/>
  <c r="L1374" i="46"/>
  <c r="R1373" i="46"/>
  <c r="L1373" i="46"/>
  <c r="R1372" i="46"/>
  <c r="L1372" i="46"/>
  <c r="Z1371" i="46"/>
  <c r="Y1371" i="46"/>
  <c r="X1371" i="46"/>
  <c r="R1371" i="46"/>
  <c r="L1371" i="46"/>
  <c r="R1370" i="46"/>
  <c r="L1370" i="46"/>
  <c r="R1369" i="46"/>
  <c r="L1369" i="46"/>
  <c r="R1368" i="46"/>
  <c r="L1368" i="46"/>
  <c r="R1367" i="46"/>
  <c r="L1367" i="46"/>
  <c r="R1366" i="46"/>
  <c r="L1366" i="46"/>
  <c r="Z1365" i="46"/>
  <c r="Y1365" i="46"/>
  <c r="R1365" i="46"/>
  <c r="L1365" i="46"/>
  <c r="R1364" i="46"/>
  <c r="L1364" i="46"/>
  <c r="R1363" i="46"/>
  <c r="L1363" i="46"/>
  <c r="Y1362" i="46"/>
  <c r="R1362" i="46"/>
  <c r="Y1361" i="46"/>
  <c r="R1361" i="46"/>
  <c r="R1353" i="46"/>
  <c r="R1352" i="46"/>
  <c r="X1351" i="46"/>
  <c r="R1351" i="46"/>
  <c r="X1350" i="46"/>
  <c r="R1350" i="46"/>
  <c r="X1349" i="46"/>
  <c r="R1349" i="46"/>
  <c r="X1348" i="46"/>
  <c r="R1348" i="46"/>
  <c r="R1347" i="46"/>
  <c r="R1346" i="46"/>
  <c r="R1345" i="46"/>
  <c r="R1344" i="46"/>
  <c r="Z1343" i="46"/>
  <c r="Y1343" i="46"/>
  <c r="X1343" i="46"/>
  <c r="R1343" i="46"/>
  <c r="R1342" i="46"/>
  <c r="R1341" i="46"/>
  <c r="R1340" i="46"/>
  <c r="R1339" i="46"/>
  <c r="R1338" i="46"/>
  <c r="Z1337" i="46"/>
  <c r="Y1337" i="46"/>
  <c r="R1337" i="46"/>
  <c r="R1336" i="46"/>
  <c r="R1335" i="46"/>
  <c r="Y1334" i="46"/>
  <c r="R1334" i="46"/>
  <c r="Y1333" i="46"/>
  <c r="R1333" i="46"/>
  <c r="X1326" i="46"/>
  <c r="X1324" i="46"/>
  <c r="X1319" i="46"/>
  <c r="L1313" i="46"/>
  <c r="E1313" i="46"/>
  <c r="L1312" i="46"/>
  <c r="E1312" i="46"/>
  <c r="R1310" i="46" s="1"/>
  <c r="R1311" i="46"/>
  <c r="L1311" i="46"/>
  <c r="E1311" i="46"/>
  <c r="R1309" i="46" s="1"/>
  <c r="X1300" i="46"/>
  <c r="X1298" i="46"/>
  <c r="X1293" i="46"/>
  <c r="L1290" i="46"/>
  <c r="J1290" i="46"/>
  <c r="E1290" i="46"/>
  <c r="L1289" i="46"/>
  <c r="E1289" i="46"/>
  <c r="L1288" i="46"/>
  <c r="E1288" i="46"/>
  <c r="L1287" i="46"/>
  <c r="E1287" i="46"/>
  <c r="L1286" i="46"/>
  <c r="E1286" i="46"/>
  <c r="L1285" i="46"/>
  <c r="E1285" i="46"/>
  <c r="L1284" i="46"/>
  <c r="E1284" i="46"/>
  <c r="R1278" i="46"/>
  <c r="R1277" i="46"/>
  <c r="X1276" i="46"/>
  <c r="R1276" i="46"/>
  <c r="X1275" i="46"/>
  <c r="R1275" i="46"/>
  <c r="X1274" i="46"/>
  <c r="R1274" i="46"/>
  <c r="X1273" i="46"/>
  <c r="R1273" i="46"/>
  <c r="R1272" i="46"/>
  <c r="R1271" i="46"/>
  <c r="R1270" i="46"/>
  <c r="R1269" i="46"/>
  <c r="Z1268" i="46"/>
  <c r="Y1268" i="46"/>
  <c r="X1268" i="46"/>
  <c r="R1268" i="46"/>
  <c r="R1267" i="46"/>
  <c r="R1266" i="46"/>
  <c r="R1265" i="46"/>
  <c r="R1264" i="46"/>
  <c r="L1264" i="46"/>
  <c r="J1264" i="46"/>
  <c r="R1263" i="46"/>
  <c r="L1263" i="46"/>
  <c r="J1263" i="46"/>
  <c r="Z1262" i="46"/>
  <c r="Y1262" i="46"/>
  <c r="R1262" i="46"/>
  <c r="L1262" i="46"/>
  <c r="J1262" i="46"/>
  <c r="R1261" i="46"/>
  <c r="L1261" i="46"/>
  <c r="J1261" i="46"/>
  <c r="R1260" i="46"/>
  <c r="L1260" i="46"/>
  <c r="J1260" i="46"/>
  <c r="Y1259" i="46"/>
  <c r="R1259" i="46"/>
  <c r="Y1258" i="46"/>
  <c r="R1258" i="46"/>
  <c r="X1250" i="46"/>
  <c r="X1248" i="46"/>
  <c r="X1243" i="46"/>
  <c r="L1237" i="46"/>
  <c r="E1237" i="46"/>
  <c r="L1236" i="46"/>
  <c r="E1236" i="46"/>
  <c r="R1233" i="46" s="1"/>
  <c r="L1235" i="46"/>
  <c r="E1235" i="46"/>
  <c r="X1226" i="46"/>
  <c r="L1225" i="46"/>
  <c r="E1225" i="46"/>
  <c r="X1224" i="46"/>
  <c r="L1224" i="46"/>
  <c r="E1224" i="46"/>
  <c r="L1223" i="46"/>
  <c r="E1223" i="46"/>
  <c r="L1222" i="46"/>
  <c r="E1222" i="46"/>
  <c r="L1221" i="46"/>
  <c r="E1221" i="46"/>
  <c r="L1220" i="46"/>
  <c r="E1220" i="46"/>
  <c r="X1219" i="46"/>
  <c r="L1219" i="46"/>
  <c r="E1219" i="46"/>
  <c r="L1218" i="46"/>
  <c r="E1218" i="46"/>
  <c r="L1217" i="46"/>
  <c r="E1217" i="46"/>
  <c r="L1216" i="46"/>
  <c r="E1216" i="46"/>
  <c r="L1215" i="46"/>
  <c r="E1215" i="46"/>
  <c r="L1214" i="46"/>
  <c r="E1214" i="46"/>
  <c r="L1213" i="46"/>
  <c r="E1213" i="46"/>
  <c r="R1210" i="46" s="1"/>
  <c r="L1212" i="46"/>
  <c r="E1212" i="46"/>
  <c r="L1211" i="46"/>
  <c r="E1211" i="46"/>
  <c r="L1193" i="46"/>
  <c r="L1191" i="46"/>
  <c r="L1190" i="46"/>
  <c r="G1190" i="46"/>
  <c r="L1175" i="46"/>
  <c r="K1175" i="46"/>
  <c r="J1175" i="46"/>
  <c r="I1175" i="46"/>
  <c r="H1175" i="46"/>
  <c r="X1172" i="46"/>
  <c r="X1170" i="46"/>
  <c r="L1170" i="46"/>
  <c r="L1169" i="46"/>
  <c r="L1167" i="46"/>
  <c r="E1167" i="46"/>
  <c r="L1166" i="46"/>
  <c r="E1166" i="46"/>
  <c r="X1165" i="46"/>
  <c r="L1165" i="46"/>
  <c r="E1165" i="46"/>
  <c r="L1164" i="46"/>
  <c r="E1164" i="46"/>
  <c r="L1163" i="46"/>
  <c r="E1163" i="46"/>
  <c r="L1162" i="46"/>
  <c r="E1162" i="46"/>
  <c r="L1161" i="46"/>
  <c r="E1161" i="46"/>
  <c r="L1160" i="46"/>
  <c r="E1160" i="46"/>
  <c r="L1159" i="46"/>
  <c r="E1159" i="46"/>
  <c r="L1158" i="46"/>
  <c r="E1158" i="46"/>
  <c r="R1156" i="46" s="1"/>
  <c r="R1157" i="46"/>
  <c r="L1157" i="46"/>
  <c r="E1157" i="46"/>
  <c r="L1149" i="46"/>
  <c r="F1148" i="46"/>
  <c r="L1147" i="46"/>
  <c r="G1147" i="46"/>
  <c r="L1146" i="46"/>
  <c r="G1146" i="46"/>
  <c r="G1149" i="46" s="1"/>
  <c r="F1146" i="46"/>
  <c r="X1132" i="46"/>
  <c r="L1131" i="46"/>
  <c r="K1131" i="46"/>
  <c r="J1131" i="46"/>
  <c r="I1131" i="46"/>
  <c r="H1131" i="46"/>
  <c r="X1130" i="46"/>
  <c r="L1126" i="46"/>
  <c r="X1125" i="46"/>
  <c r="L1125" i="46"/>
  <c r="L1122" i="46"/>
  <c r="E1122" i="46"/>
  <c r="L1121" i="46"/>
  <c r="E1121" i="46"/>
  <c r="L1120" i="46"/>
  <c r="L1119" i="46"/>
  <c r="E1119" i="46"/>
  <c r="L1118" i="46"/>
  <c r="E1118" i="46"/>
  <c r="R1129" i="46" s="1"/>
  <c r="L1117" i="46"/>
  <c r="E1117" i="46"/>
  <c r="L1108" i="46"/>
  <c r="L1106" i="46"/>
  <c r="L1105" i="46"/>
  <c r="G1105" i="46"/>
  <c r="G1108" i="46" s="1"/>
  <c r="L1090" i="46"/>
  <c r="K1090" i="46"/>
  <c r="J1090" i="46"/>
  <c r="I1090" i="46"/>
  <c r="H1090" i="46"/>
  <c r="X1086" i="46"/>
  <c r="X1084" i="46"/>
  <c r="L1082" i="46"/>
  <c r="E1082" i="46"/>
  <c r="L1081" i="46"/>
  <c r="E1081" i="46"/>
  <c r="L1080" i="46"/>
  <c r="E1080" i="46"/>
  <c r="X1079" i="46"/>
  <c r="L1079" i="46"/>
  <c r="E1079" i="46"/>
  <c r="L1078" i="46"/>
  <c r="E1078" i="46"/>
  <c r="L1077" i="46"/>
  <c r="E1077" i="46"/>
  <c r="L1076" i="46"/>
  <c r="E1076" i="46"/>
  <c r="L1075" i="46"/>
  <c r="E1075" i="46"/>
  <c r="L1074" i="46"/>
  <c r="E1074" i="46"/>
  <c r="R1069" i="46" s="1"/>
  <c r="L1073" i="46"/>
  <c r="L1072" i="46"/>
  <c r="E1072" i="46"/>
  <c r="L1071" i="46"/>
  <c r="E1071" i="46"/>
  <c r="L1061" i="46"/>
  <c r="L1059" i="46"/>
  <c r="L1058" i="46"/>
  <c r="G1058" i="46"/>
  <c r="L1048" i="46"/>
  <c r="K1048" i="46"/>
  <c r="J1048" i="46"/>
  <c r="I1048" i="46"/>
  <c r="H1048" i="46"/>
  <c r="X1044" i="46"/>
  <c r="L1043" i="46"/>
  <c r="X1042" i="46"/>
  <c r="L1042" i="46"/>
  <c r="L1040" i="46"/>
  <c r="E1040" i="46"/>
  <c r="L1039" i="46"/>
  <c r="E1039" i="46"/>
  <c r="L1038" i="46"/>
  <c r="E1038" i="46"/>
  <c r="X1037" i="46"/>
  <c r="L1037" i="46"/>
  <c r="E1037" i="46"/>
  <c r="L1036" i="46"/>
  <c r="E1036" i="46"/>
  <c r="L1035" i="46"/>
  <c r="E1035" i="46"/>
  <c r="L1034" i="46"/>
  <c r="L1033" i="46"/>
  <c r="E1033" i="46"/>
  <c r="L1032" i="46"/>
  <c r="E1032" i="46"/>
  <c r="R1035" i="46" s="1"/>
  <c r="L1031" i="46"/>
  <c r="E1031" i="46"/>
  <c r="L1030" i="46"/>
  <c r="E1030" i="46"/>
  <c r="L1029" i="46"/>
  <c r="E1029" i="46"/>
  <c r="L1020" i="46"/>
  <c r="L1018" i="46"/>
  <c r="L1017" i="46"/>
  <c r="G1017" i="46"/>
  <c r="L1002" i="46"/>
  <c r="K1002" i="46"/>
  <c r="J1002" i="46"/>
  <c r="I1002" i="46"/>
  <c r="H1002" i="46"/>
  <c r="G1002" i="46"/>
  <c r="L997" i="46"/>
  <c r="L996" i="46"/>
  <c r="L994" i="46"/>
  <c r="L993" i="46"/>
  <c r="L992" i="46"/>
  <c r="L991" i="46"/>
  <c r="L990" i="46"/>
  <c r="R989" i="46"/>
  <c r="L989" i="46"/>
  <c r="R988" i="46"/>
  <c r="L988" i="46"/>
  <c r="X987" i="46"/>
  <c r="R987" i="46"/>
  <c r="L987" i="46"/>
  <c r="X986" i="46"/>
  <c r="R986" i="46"/>
  <c r="L986" i="46"/>
  <c r="X985" i="46"/>
  <c r="R985" i="46"/>
  <c r="L985" i="46"/>
  <c r="X984" i="46"/>
  <c r="R984" i="46"/>
  <c r="L984" i="46"/>
  <c r="R983" i="46"/>
  <c r="L983" i="46"/>
  <c r="R982" i="46"/>
  <c r="L982" i="46"/>
  <c r="R981" i="46"/>
  <c r="L981" i="46"/>
  <c r="R980" i="46"/>
  <c r="L980" i="46"/>
  <c r="Z979" i="46"/>
  <c r="Y979" i="46"/>
  <c r="X979" i="46"/>
  <c r="R979" i="46"/>
  <c r="L979" i="46"/>
  <c r="Y978" i="46"/>
  <c r="R978" i="46"/>
  <c r="L978" i="46"/>
  <c r="R977" i="46"/>
  <c r="L977" i="46"/>
  <c r="R976" i="46"/>
  <c r="L976" i="46"/>
  <c r="R975" i="46"/>
  <c r="L975" i="46"/>
  <c r="R974" i="46"/>
  <c r="L974" i="46"/>
  <c r="Z973" i="46"/>
  <c r="Y973" i="46"/>
  <c r="R973" i="46"/>
  <c r="L973" i="46"/>
  <c r="R972" i="46"/>
  <c r="L972" i="46"/>
  <c r="R971" i="46"/>
  <c r="L971" i="46"/>
  <c r="Y970" i="46"/>
  <c r="R970" i="46"/>
  <c r="Y969" i="46"/>
  <c r="R969" i="46"/>
  <c r="L963" i="46"/>
  <c r="L962" i="46"/>
  <c r="L961" i="46"/>
  <c r="L960" i="46"/>
  <c r="L959" i="46"/>
  <c r="L958" i="46"/>
  <c r="L957" i="46"/>
  <c r="R956" i="46"/>
  <c r="L956" i="46"/>
  <c r="R955" i="46"/>
  <c r="L955" i="46"/>
  <c r="X954" i="46"/>
  <c r="R954" i="46"/>
  <c r="L954" i="46"/>
  <c r="X953" i="46"/>
  <c r="R953" i="46"/>
  <c r="L953" i="46"/>
  <c r="X952" i="46"/>
  <c r="R952" i="46"/>
  <c r="L952" i="46"/>
  <c r="X951" i="46"/>
  <c r="R951" i="46"/>
  <c r="L951" i="46"/>
  <c r="R950" i="46"/>
  <c r="L950" i="46"/>
  <c r="R949" i="46"/>
  <c r="L949" i="46"/>
  <c r="R948" i="46"/>
  <c r="L948" i="46"/>
  <c r="R947" i="46"/>
  <c r="L947" i="46"/>
  <c r="Z946" i="46"/>
  <c r="Y946" i="46"/>
  <c r="X946" i="46"/>
  <c r="R946" i="46"/>
  <c r="L946" i="46"/>
  <c r="Y945" i="46"/>
  <c r="R945" i="46"/>
  <c r="L945" i="46"/>
  <c r="R944" i="46"/>
  <c r="R943" i="46"/>
  <c r="R942" i="46"/>
  <c r="L942" i="46"/>
  <c r="R941" i="46"/>
  <c r="L941" i="46"/>
  <c r="Z940" i="46"/>
  <c r="Y940" i="46"/>
  <c r="R940" i="46"/>
  <c r="L940" i="46"/>
  <c r="R939" i="46"/>
  <c r="L939" i="46"/>
  <c r="R938" i="46"/>
  <c r="Y937" i="46"/>
  <c r="R937" i="46"/>
  <c r="Y936" i="46"/>
  <c r="R936" i="46"/>
  <c r="R929" i="46"/>
  <c r="R928" i="46"/>
  <c r="X927" i="46"/>
  <c r="R927" i="46"/>
  <c r="X926" i="46"/>
  <c r="R926" i="46"/>
  <c r="X925" i="46"/>
  <c r="R925" i="46"/>
  <c r="X924" i="46"/>
  <c r="R924" i="46"/>
  <c r="R923" i="46"/>
  <c r="R922" i="46"/>
  <c r="R921" i="46"/>
  <c r="R920" i="46"/>
  <c r="Z919" i="46"/>
  <c r="Y919" i="46"/>
  <c r="X919" i="46"/>
  <c r="R919" i="46"/>
  <c r="L919" i="46"/>
  <c r="Y918" i="46"/>
  <c r="R918" i="46"/>
  <c r="L918" i="46"/>
  <c r="R917" i="46"/>
  <c r="L917" i="46"/>
  <c r="R916" i="46"/>
  <c r="L916" i="46"/>
  <c r="R915" i="46"/>
  <c r="L915" i="46"/>
  <c r="R914" i="46"/>
  <c r="L914" i="46"/>
  <c r="Z913" i="46"/>
  <c r="Y913" i="46"/>
  <c r="R913" i="46"/>
  <c r="L913" i="46"/>
  <c r="R912" i="46"/>
  <c r="L912" i="46"/>
  <c r="R911" i="46"/>
  <c r="L911" i="46"/>
  <c r="Y910" i="46"/>
  <c r="R910" i="46"/>
  <c r="Y909" i="46"/>
  <c r="R909" i="46"/>
  <c r="L900" i="46"/>
  <c r="K900" i="46"/>
  <c r="J900" i="46"/>
  <c r="I900" i="46"/>
  <c r="H900" i="46"/>
  <c r="G900" i="46"/>
  <c r="L898" i="46"/>
  <c r="L896" i="46"/>
  <c r="L895" i="46"/>
  <c r="L894" i="46"/>
  <c r="L893" i="46"/>
  <c r="L892" i="46"/>
  <c r="L891" i="46"/>
  <c r="L890" i="46"/>
  <c r="L889" i="46"/>
  <c r="L888" i="46"/>
  <c r="L887" i="46"/>
  <c r="L886" i="46"/>
  <c r="L885" i="46"/>
  <c r="L884" i="46"/>
  <c r="L883" i="46"/>
  <c r="L882" i="46"/>
  <c r="L881" i="46"/>
  <c r="L880" i="46"/>
  <c r="L879" i="46"/>
  <c r="L878" i="46"/>
  <c r="L877" i="46"/>
  <c r="L876" i="46"/>
  <c r="L875" i="46"/>
  <c r="L874" i="46"/>
  <c r="L873" i="46"/>
  <c r="L872" i="46"/>
  <c r="R871" i="46"/>
  <c r="L871" i="46"/>
  <c r="R870" i="46"/>
  <c r="L870" i="46"/>
  <c r="X869" i="46"/>
  <c r="R869" i="46"/>
  <c r="L869" i="46"/>
  <c r="X868" i="46"/>
  <c r="R868" i="46"/>
  <c r="L868" i="46"/>
  <c r="X867" i="46"/>
  <c r="R867" i="46"/>
  <c r="L867" i="46"/>
  <c r="X866" i="46"/>
  <c r="R866" i="46"/>
  <c r="L866" i="46"/>
  <c r="R865" i="46"/>
  <c r="L865" i="46"/>
  <c r="R864" i="46"/>
  <c r="L864" i="46"/>
  <c r="R863" i="46"/>
  <c r="L863" i="46"/>
  <c r="R862" i="46"/>
  <c r="L862" i="46"/>
  <c r="Z861" i="46"/>
  <c r="Y861" i="46"/>
  <c r="X861" i="46"/>
  <c r="R861" i="46"/>
  <c r="L861" i="46"/>
  <c r="Y860" i="46"/>
  <c r="R860" i="46"/>
  <c r="L860" i="46"/>
  <c r="R859" i="46"/>
  <c r="L859" i="46"/>
  <c r="R858" i="46"/>
  <c r="L858" i="46"/>
  <c r="R857" i="46"/>
  <c r="L857" i="46"/>
  <c r="R856" i="46"/>
  <c r="L856" i="46"/>
  <c r="Z855" i="46"/>
  <c r="Y855" i="46"/>
  <c r="R855" i="46"/>
  <c r="L855" i="46"/>
  <c r="R854" i="46"/>
  <c r="L854" i="46"/>
  <c r="R853" i="46"/>
  <c r="L853" i="46"/>
  <c r="Y852" i="46"/>
  <c r="R852" i="46"/>
  <c r="Y851" i="46"/>
  <c r="R851" i="46"/>
  <c r="X842" i="46"/>
  <c r="X840" i="46"/>
  <c r="L840" i="46"/>
  <c r="E840" i="46"/>
  <c r="L839" i="46"/>
  <c r="E839" i="46"/>
  <c r="L838" i="46"/>
  <c r="E838" i="46"/>
  <c r="L837" i="46"/>
  <c r="E837" i="46"/>
  <c r="L836" i="46"/>
  <c r="E836" i="46"/>
  <c r="X835" i="46"/>
  <c r="L835" i="46"/>
  <c r="E835" i="46"/>
  <c r="L834" i="46"/>
  <c r="E834" i="46"/>
  <c r="L833" i="46"/>
  <c r="E833" i="46"/>
  <c r="L832" i="46"/>
  <c r="E832" i="46"/>
  <c r="L831" i="46"/>
  <c r="E831" i="46"/>
  <c r="L830" i="46"/>
  <c r="E830" i="46"/>
  <c r="R840" i="46" s="1"/>
  <c r="Y834" i="46" s="1"/>
  <c r="L829" i="46"/>
  <c r="E829" i="46"/>
  <c r="L828" i="46"/>
  <c r="E828" i="46"/>
  <c r="R832" i="46" s="1"/>
  <c r="X808" i="46"/>
  <c r="X806" i="46"/>
  <c r="L803" i="46"/>
  <c r="E803" i="46"/>
  <c r="L802" i="46"/>
  <c r="E802" i="46"/>
  <c r="X801" i="46"/>
  <c r="L801" i="46"/>
  <c r="E801" i="46"/>
  <c r="L800" i="46"/>
  <c r="E800" i="46"/>
  <c r="L799" i="46"/>
  <c r="E799" i="46"/>
  <c r="L798" i="46"/>
  <c r="E798" i="46"/>
  <c r="L797" i="46"/>
  <c r="E797" i="46"/>
  <c r="L796" i="46"/>
  <c r="E796" i="46"/>
  <c r="L795" i="46"/>
  <c r="E795" i="46"/>
  <c r="R810" i="46" s="1"/>
  <c r="L794" i="46"/>
  <c r="E794" i="46"/>
  <c r="L783" i="46"/>
  <c r="E783" i="46"/>
  <c r="L782" i="46"/>
  <c r="E782" i="46"/>
  <c r="L781" i="46"/>
  <c r="L780" i="46"/>
  <c r="L779" i="46"/>
  <c r="E779" i="46"/>
  <c r="L778" i="46"/>
  <c r="E778" i="46"/>
  <c r="L777" i="46"/>
  <c r="E777" i="46"/>
  <c r="L776" i="46"/>
  <c r="E776" i="46"/>
  <c r="L775" i="46"/>
  <c r="E775" i="46"/>
  <c r="L774" i="46"/>
  <c r="L773" i="46"/>
  <c r="E773" i="46"/>
  <c r="X772" i="46"/>
  <c r="L772" i="46"/>
  <c r="E772" i="46"/>
  <c r="L771" i="46"/>
  <c r="E771" i="46"/>
  <c r="X770" i="46"/>
  <c r="L770" i="46"/>
  <c r="E770" i="46"/>
  <c r="L769" i="46"/>
  <c r="L768" i="46"/>
  <c r="L767" i="46"/>
  <c r="E767" i="46"/>
  <c r="L766" i="46"/>
  <c r="E766" i="46"/>
  <c r="X765" i="46"/>
  <c r="L765" i="46"/>
  <c r="E765" i="46"/>
  <c r="L764" i="46"/>
  <c r="E764" i="46"/>
  <c r="L763" i="46"/>
  <c r="E763" i="46"/>
  <c r="L762" i="46"/>
  <c r="E762" i="46"/>
  <c r="L761" i="46"/>
  <c r="E761" i="46"/>
  <c r="L760" i="46"/>
  <c r="E760" i="46"/>
  <c r="R766" i="46" s="1"/>
  <c r="L759" i="46"/>
  <c r="L758" i="46"/>
  <c r="L743" i="46"/>
  <c r="L741" i="46"/>
  <c r="L740" i="46"/>
  <c r="G740" i="46"/>
  <c r="L725" i="46"/>
  <c r="K725" i="46"/>
  <c r="J725" i="46"/>
  <c r="I725" i="46"/>
  <c r="H725" i="46"/>
  <c r="G725" i="46"/>
  <c r="L720" i="46"/>
  <c r="L719" i="46"/>
  <c r="L717" i="46"/>
  <c r="E717" i="46"/>
  <c r="L716" i="46"/>
  <c r="E716" i="46"/>
  <c r="L715" i="46"/>
  <c r="E715" i="46"/>
  <c r="L714" i="46"/>
  <c r="E714" i="46"/>
  <c r="L713" i="46"/>
  <c r="E713" i="46"/>
  <c r="L712" i="46"/>
  <c r="E712" i="46"/>
  <c r="L711" i="46"/>
  <c r="E711" i="46"/>
  <c r="L710" i="46"/>
  <c r="E710" i="46"/>
  <c r="L709" i="46"/>
  <c r="E709" i="46"/>
  <c r="L708" i="46"/>
  <c r="E708" i="46"/>
  <c r="L707" i="46"/>
  <c r="E707" i="46"/>
  <c r="L706" i="46"/>
  <c r="E706" i="46"/>
  <c r="L705" i="46"/>
  <c r="E705" i="46"/>
  <c r="L704" i="46"/>
  <c r="E704" i="46"/>
  <c r="L703" i="46"/>
  <c r="E703" i="46"/>
  <c r="L702" i="46"/>
  <c r="E702" i="46"/>
  <c r="L701" i="46"/>
  <c r="E701" i="46"/>
  <c r="L700" i="46"/>
  <c r="E700" i="46"/>
  <c r="L699" i="46"/>
  <c r="E699" i="46"/>
  <c r="L698" i="46"/>
  <c r="E698" i="46"/>
  <c r="X697" i="46"/>
  <c r="L697" i="46"/>
  <c r="E697" i="46"/>
  <c r="L696" i="46"/>
  <c r="E696" i="46"/>
  <c r="X695" i="46"/>
  <c r="L695" i="46"/>
  <c r="E695" i="46"/>
  <c r="L694" i="46"/>
  <c r="E694" i="46"/>
  <c r="L693" i="46"/>
  <c r="E693" i="46"/>
  <c r="L692" i="46"/>
  <c r="E692" i="46"/>
  <c r="L691" i="46"/>
  <c r="E691" i="46"/>
  <c r="X690" i="46"/>
  <c r="L690" i="46"/>
  <c r="E690" i="46"/>
  <c r="L689" i="46"/>
  <c r="E689" i="46"/>
  <c r="L688" i="46"/>
  <c r="E688" i="46"/>
  <c r="L687" i="46"/>
  <c r="E687" i="46"/>
  <c r="L686" i="46"/>
  <c r="E686" i="46"/>
  <c r="L685" i="46"/>
  <c r="E685" i="46"/>
  <c r="L684" i="46"/>
  <c r="E684" i="46"/>
  <c r="L683" i="46"/>
  <c r="E683" i="46"/>
  <c r="R692" i="46" s="1"/>
  <c r="L669" i="46"/>
  <c r="K669" i="46"/>
  <c r="J669" i="46"/>
  <c r="I669" i="46"/>
  <c r="H669" i="46"/>
  <c r="G669" i="46"/>
  <c r="L659" i="46"/>
  <c r="E659" i="46"/>
  <c r="L658" i="46"/>
  <c r="E658" i="46"/>
  <c r="L657" i="46"/>
  <c r="E657" i="46"/>
  <c r="L656" i="46"/>
  <c r="E656" i="46"/>
  <c r="L655" i="46"/>
  <c r="E655" i="46"/>
  <c r="L654" i="46"/>
  <c r="E654" i="46"/>
  <c r="L653" i="46"/>
  <c r="E653" i="46"/>
  <c r="L652" i="46"/>
  <c r="E652" i="46"/>
  <c r="L651" i="46"/>
  <c r="E651" i="46"/>
  <c r="L650" i="46"/>
  <c r="E650" i="46"/>
  <c r="X649" i="46"/>
  <c r="L649" i="46"/>
  <c r="E649" i="46"/>
  <c r="L648" i="46"/>
  <c r="E648" i="46"/>
  <c r="X647" i="46"/>
  <c r="L647" i="46"/>
  <c r="E647" i="46"/>
  <c r="L646" i="46"/>
  <c r="E646" i="46"/>
  <c r="L645" i="46"/>
  <c r="E645" i="46"/>
  <c r="L644" i="46"/>
  <c r="E644" i="46"/>
  <c r="L643" i="46"/>
  <c r="E643" i="46"/>
  <c r="X642" i="46"/>
  <c r="L642" i="46"/>
  <c r="E642" i="46"/>
  <c r="L641" i="46"/>
  <c r="E641" i="46"/>
  <c r="L640" i="46"/>
  <c r="E640" i="46"/>
  <c r="L639" i="46"/>
  <c r="E639" i="46"/>
  <c r="L638" i="46"/>
  <c r="E638" i="46"/>
  <c r="L637" i="46"/>
  <c r="E637" i="46"/>
  <c r="R633" i="46" s="1"/>
  <c r="L636" i="46"/>
  <c r="E636" i="46"/>
  <c r="L635" i="46"/>
  <c r="E635" i="46"/>
  <c r="L618" i="46"/>
  <c r="L616" i="46"/>
  <c r="L615" i="46"/>
  <c r="G615" i="46"/>
  <c r="L600" i="46"/>
  <c r="K600" i="46"/>
  <c r="J600" i="46"/>
  <c r="I600" i="46"/>
  <c r="H600" i="46"/>
  <c r="G600" i="46"/>
  <c r="L595" i="46"/>
  <c r="L594" i="46"/>
  <c r="L590" i="46"/>
  <c r="L589" i="46"/>
  <c r="L588" i="46"/>
  <c r="L587" i="46"/>
  <c r="L586" i="46"/>
  <c r="L585" i="46"/>
  <c r="L584" i="46"/>
  <c r="L583" i="46"/>
  <c r="R582" i="46"/>
  <c r="L582" i="46"/>
  <c r="R581" i="46"/>
  <c r="L581" i="46"/>
  <c r="X580" i="46"/>
  <c r="R580" i="46"/>
  <c r="L580" i="46"/>
  <c r="X579" i="46"/>
  <c r="R579" i="46"/>
  <c r="L579" i="46"/>
  <c r="X578" i="46"/>
  <c r="R578" i="46"/>
  <c r="L578" i="46"/>
  <c r="X577" i="46"/>
  <c r="R577" i="46"/>
  <c r="L577" i="46"/>
  <c r="R576" i="46"/>
  <c r="L576" i="46"/>
  <c r="R575" i="46"/>
  <c r="L575" i="46"/>
  <c r="R574" i="46"/>
  <c r="L574" i="46"/>
  <c r="R573" i="46"/>
  <c r="L573" i="46"/>
  <c r="R572" i="46"/>
  <c r="L572" i="46"/>
  <c r="R571" i="46"/>
  <c r="L571" i="46"/>
  <c r="Z570" i="46"/>
  <c r="Y570" i="46"/>
  <c r="X570" i="46"/>
  <c r="R570" i="46"/>
  <c r="L570" i="46"/>
  <c r="Y569" i="46"/>
  <c r="R569" i="46"/>
  <c r="L569" i="46"/>
  <c r="R568" i="46"/>
  <c r="L568" i="46"/>
  <c r="R567" i="46"/>
  <c r="L567" i="46"/>
  <c r="Z566" i="46"/>
  <c r="Y566" i="46"/>
  <c r="R566" i="46"/>
  <c r="L566" i="46"/>
  <c r="R565" i="46"/>
  <c r="L565" i="46"/>
  <c r="R564" i="46"/>
  <c r="L564" i="46"/>
  <c r="Y563" i="46"/>
  <c r="R563" i="46"/>
  <c r="Y562" i="46"/>
  <c r="R562" i="46"/>
  <c r="L542" i="46"/>
  <c r="L540" i="46"/>
  <c r="L539" i="46"/>
  <c r="G539" i="46"/>
  <c r="L524" i="46"/>
  <c r="K524" i="46"/>
  <c r="J524" i="46"/>
  <c r="I524" i="46"/>
  <c r="H524" i="46"/>
  <c r="G524" i="46"/>
  <c r="L519" i="46"/>
  <c r="L518" i="46"/>
  <c r="L517" i="46"/>
  <c r="L516" i="46"/>
  <c r="L515" i="46"/>
  <c r="L514" i="46"/>
  <c r="L513" i="46"/>
  <c r="L512" i="46"/>
  <c r="L511" i="46"/>
  <c r="L510" i="46"/>
  <c r="L509" i="46"/>
  <c r="X508" i="46"/>
  <c r="L508" i="46"/>
  <c r="E508" i="46"/>
  <c r="L507" i="46"/>
  <c r="E507" i="46"/>
  <c r="X506" i="46"/>
  <c r="L506" i="46"/>
  <c r="E506" i="46"/>
  <c r="L505" i="46"/>
  <c r="E505" i="46"/>
  <c r="L504" i="46"/>
  <c r="E504" i="46"/>
  <c r="L503" i="46"/>
  <c r="E503" i="46"/>
  <c r="L502" i="46"/>
  <c r="E502" i="46"/>
  <c r="L501" i="46"/>
  <c r="E501" i="46"/>
  <c r="L500" i="46"/>
  <c r="E500" i="46"/>
  <c r="X499" i="46"/>
  <c r="L499" i="46"/>
  <c r="E499" i="46"/>
  <c r="L498" i="46"/>
  <c r="E498" i="46"/>
  <c r="L497" i="46"/>
  <c r="E497" i="46"/>
  <c r="L496" i="46"/>
  <c r="E496" i="46"/>
  <c r="L495" i="46"/>
  <c r="E495" i="46"/>
  <c r="L494" i="46"/>
  <c r="E494" i="46"/>
  <c r="L474" i="46"/>
  <c r="L472" i="46"/>
  <c r="L471" i="46"/>
  <c r="G471" i="46"/>
  <c r="L456" i="46"/>
  <c r="K456" i="46"/>
  <c r="J456" i="46"/>
  <c r="I456" i="46"/>
  <c r="H456" i="46"/>
  <c r="G456" i="46"/>
  <c r="R451" i="46"/>
  <c r="L451" i="46"/>
  <c r="R450" i="46"/>
  <c r="L450" i="46"/>
  <c r="R449" i="46"/>
  <c r="L449" i="46"/>
  <c r="X448" i="46"/>
  <c r="R448" i="46"/>
  <c r="L448" i="46"/>
  <c r="X447" i="46"/>
  <c r="R447" i="46"/>
  <c r="L447" i="46"/>
  <c r="X446" i="46"/>
  <c r="R446" i="46"/>
  <c r="L446" i="46"/>
  <c r="X445" i="46"/>
  <c r="R445" i="46"/>
  <c r="L445" i="46"/>
  <c r="R444" i="46"/>
  <c r="L444" i="46"/>
  <c r="R443" i="46"/>
  <c r="L443" i="46"/>
  <c r="R442" i="46"/>
  <c r="L442" i="46"/>
  <c r="R441" i="46"/>
  <c r="L441" i="46"/>
  <c r="R440" i="46"/>
  <c r="L440" i="46"/>
  <c r="R439" i="46"/>
  <c r="L439" i="46"/>
  <c r="Z438" i="46"/>
  <c r="Y438" i="46"/>
  <c r="X438" i="46"/>
  <c r="R438" i="46"/>
  <c r="L438" i="46"/>
  <c r="Y437" i="46"/>
  <c r="R437" i="46"/>
  <c r="L437" i="46"/>
  <c r="R436" i="46"/>
  <c r="L436" i="46"/>
  <c r="Y435" i="46"/>
  <c r="R435" i="46"/>
  <c r="L435" i="46"/>
  <c r="Z434" i="46"/>
  <c r="Y434" i="46"/>
  <c r="R434" i="46"/>
  <c r="L434" i="46"/>
  <c r="R433" i="46"/>
  <c r="L433" i="46"/>
  <c r="R432" i="46"/>
  <c r="Y431" i="46"/>
  <c r="R431" i="46"/>
  <c r="Y430" i="46"/>
  <c r="R430" i="46"/>
  <c r="L417" i="46"/>
  <c r="L415" i="46"/>
  <c r="L414" i="46"/>
  <c r="G414" i="46"/>
  <c r="L404" i="46"/>
  <c r="K404" i="46"/>
  <c r="J404" i="46"/>
  <c r="I404" i="46"/>
  <c r="H404" i="46"/>
  <c r="G404" i="46"/>
  <c r="L402" i="46"/>
  <c r="L401" i="46"/>
  <c r="L400" i="46"/>
  <c r="L399" i="46"/>
  <c r="E399" i="46"/>
  <c r="L398" i="46"/>
  <c r="E398" i="46"/>
  <c r="L397" i="46"/>
  <c r="E397" i="46"/>
  <c r="L396" i="46"/>
  <c r="E396" i="46"/>
  <c r="L395" i="46"/>
  <c r="E395" i="46"/>
  <c r="L394" i="46"/>
  <c r="E394" i="46"/>
  <c r="L393" i="46"/>
  <c r="E393" i="46"/>
  <c r="X392" i="46"/>
  <c r="L392" i="46"/>
  <c r="E392" i="46"/>
  <c r="L391" i="46"/>
  <c r="E391" i="46"/>
  <c r="X390" i="46"/>
  <c r="L390" i="46"/>
  <c r="E390" i="46"/>
  <c r="L389" i="46"/>
  <c r="E389" i="46"/>
  <c r="L388" i="46"/>
  <c r="E388" i="46"/>
  <c r="L387" i="46"/>
  <c r="E387" i="46"/>
  <c r="L386" i="46"/>
  <c r="E386" i="46"/>
  <c r="L385" i="46"/>
  <c r="E385" i="46"/>
  <c r="L384" i="46"/>
  <c r="E384" i="46"/>
  <c r="X383" i="46"/>
  <c r="L383" i="46"/>
  <c r="E383" i="46"/>
  <c r="L382" i="46"/>
  <c r="E382" i="46"/>
  <c r="L381" i="46"/>
  <c r="E381" i="46"/>
  <c r="L380" i="46"/>
  <c r="E380" i="46"/>
  <c r="L379" i="46"/>
  <c r="E379" i="46"/>
  <c r="L378" i="46"/>
  <c r="E378" i="46"/>
  <c r="R375" i="46" s="1"/>
  <c r="L377" i="46"/>
  <c r="E377" i="46"/>
  <c r="R376" i="46" s="1"/>
  <c r="L335" i="46"/>
  <c r="E335" i="46"/>
  <c r="L334" i="46"/>
  <c r="E334" i="46"/>
  <c r="L333" i="46"/>
  <c r="E333" i="46"/>
  <c r="X332" i="46"/>
  <c r="L332" i="46"/>
  <c r="E332" i="46"/>
  <c r="L331" i="46"/>
  <c r="E331" i="46"/>
  <c r="L330" i="46"/>
  <c r="E330" i="46"/>
  <c r="L329" i="46"/>
  <c r="E329" i="46"/>
  <c r="L328" i="46"/>
  <c r="E328" i="46"/>
  <c r="L327" i="46"/>
  <c r="E327" i="46"/>
  <c r="L326" i="46"/>
  <c r="E326" i="46"/>
  <c r="X325" i="46"/>
  <c r="L325" i="46"/>
  <c r="E325" i="46"/>
  <c r="L324" i="46"/>
  <c r="E324" i="46"/>
  <c r="L323" i="46"/>
  <c r="E323" i="46"/>
  <c r="L322" i="46"/>
  <c r="E322" i="46"/>
  <c r="L321" i="46"/>
  <c r="E321" i="46"/>
  <c r="L320" i="46"/>
  <c r="E320" i="46"/>
  <c r="L296" i="46"/>
  <c r="L294" i="46"/>
  <c r="L293" i="46"/>
  <c r="R285" i="46"/>
  <c r="R284" i="46"/>
  <c r="R283" i="46"/>
  <c r="R282" i="46"/>
  <c r="R281" i="46"/>
  <c r="X280" i="46"/>
  <c r="R280" i="46"/>
  <c r="R279" i="46"/>
  <c r="X278" i="46"/>
  <c r="R278" i="46"/>
  <c r="L278" i="46"/>
  <c r="K278" i="46"/>
  <c r="J278" i="46"/>
  <c r="I278" i="46"/>
  <c r="H278" i="46"/>
  <c r="G278" i="46"/>
  <c r="X277" i="46"/>
  <c r="R277" i="46"/>
  <c r="R276" i="46"/>
  <c r="R275" i="46"/>
  <c r="R274" i="46"/>
  <c r="R273" i="46"/>
  <c r="L273" i="46"/>
  <c r="R272" i="46"/>
  <c r="L272" i="46"/>
  <c r="R271" i="46"/>
  <c r="Z270" i="46"/>
  <c r="Y270" i="46"/>
  <c r="X270" i="46"/>
  <c r="R270" i="46"/>
  <c r="L270" i="46"/>
  <c r="Y269" i="46"/>
  <c r="R269" i="46"/>
  <c r="L269" i="46"/>
  <c r="R268" i="46"/>
  <c r="L268" i="46"/>
  <c r="Y267" i="46"/>
  <c r="R267" i="46"/>
  <c r="L267" i="46"/>
  <c r="Z266" i="46"/>
  <c r="Y266" i="46"/>
  <c r="R266" i="46"/>
  <c r="Y265" i="46"/>
  <c r="R265" i="46"/>
  <c r="Y264" i="46"/>
  <c r="R264" i="46"/>
  <c r="L248" i="46"/>
  <c r="G248" i="46"/>
  <c r="L246" i="46"/>
  <c r="G246" i="46"/>
  <c r="L245" i="46"/>
  <c r="G245" i="46"/>
  <c r="R238" i="46"/>
  <c r="R237" i="46"/>
  <c r="R236" i="46"/>
  <c r="R235" i="46"/>
  <c r="R234" i="46"/>
  <c r="X233" i="46"/>
  <c r="R233" i="46"/>
  <c r="R232" i="46"/>
  <c r="X231" i="46"/>
  <c r="R231" i="46"/>
  <c r="X230" i="46"/>
  <c r="R230" i="46"/>
  <c r="L230" i="46"/>
  <c r="K230" i="46"/>
  <c r="J230" i="46"/>
  <c r="I230" i="46"/>
  <c r="H230" i="46"/>
  <c r="G230" i="46"/>
  <c r="R229" i="46"/>
  <c r="R228" i="46"/>
  <c r="R227" i="46"/>
  <c r="R226" i="46"/>
  <c r="R225" i="46"/>
  <c r="L225" i="46"/>
  <c r="R224" i="46"/>
  <c r="L224" i="46"/>
  <c r="Z223" i="46"/>
  <c r="Y223" i="46"/>
  <c r="X223" i="46"/>
  <c r="R223" i="46"/>
  <c r="L223" i="46"/>
  <c r="Y222" i="46"/>
  <c r="R222" i="46"/>
  <c r="L222" i="46"/>
  <c r="R221" i="46"/>
  <c r="L221" i="46"/>
  <c r="Y220" i="46"/>
  <c r="X220" i="46"/>
  <c r="R220" i="46"/>
  <c r="L220" i="46"/>
  <c r="Z219" i="46"/>
  <c r="Y219" i="46"/>
  <c r="R219" i="46"/>
  <c r="Z218" i="46"/>
  <c r="Y218" i="46"/>
  <c r="R218" i="46"/>
  <c r="Z217" i="46"/>
  <c r="Y217" i="46"/>
  <c r="R217" i="46"/>
  <c r="R211" i="46"/>
  <c r="R210" i="46"/>
  <c r="R209" i="46"/>
  <c r="R208" i="46"/>
  <c r="R207" i="46"/>
  <c r="X206" i="46"/>
  <c r="R206" i="46"/>
  <c r="X205" i="46"/>
  <c r="R205" i="46"/>
  <c r="X204" i="46"/>
  <c r="R204" i="46"/>
  <c r="X203" i="46"/>
  <c r="R203" i="46"/>
  <c r="R202" i="46"/>
  <c r="R201" i="46"/>
  <c r="R200" i="46"/>
  <c r="R199" i="46"/>
  <c r="R198" i="46"/>
  <c r="R197" i="46"/>
  <c r="L197" i="46"/>
  <c r="K197" i="46"/>
  <c r="R196" i="46"/>
  <c r="L196" i="46"/>
  <c r="K196" i="46"/>
  <c r="R195" i="46"/>
  <c r="L195" i="46"/>
  <c r="Z194" i="46"/>
  <c r="Y194" i="46"/>
  <c r="X194" i="46"/>
  <c r="R194" i="46"/>
  <c r="L194" i="46"/>
  <c r="R193" i="46"/>
  <c r="L193" i="46"/>
  <c r="Z192" i="46"/>
  <c r="Y192" i="46"/>
  <c r="R192" i="46"/>
  <c r="Z191" i="46"/>
  <c r="Y191" i="46"/>
  <c r="R191" i="46"/>
  <c r="Z190" i="46"/>
  <c r="Y190" i="46"/>
  <c r="R190" i="46"/>
  <c r="R171" i="46"/>
  <c r="R170" i="46"/>
  <c r="R169" i="46"/>
  <c r="R168" i="46"/>
  <c r="X167" i="46"/>
  <c r="R167" i="46"/>
  <c r="X166" i="46"/>
  <c r="R166" i="46"/>
  <c r="X165" i="46"/>
  <c r="R165" i="46"/>
  <c r="X164" i="46"/>
  <c r="R164" i="46"/>
  <c r="R163" i="46"/>
  <c r="R162" i="46"/>
  <c r="R161" i="46"/>
  <c r="R160" i="46"/>
  <c r="R159" i="46"/>
  <c r="R158" i="46"/>
  <c r="R157" i="46"/>
  <c r="Z156" i="46"/>
  <c r="Y156" i="46"/>
  <c r="R156" i="46"/>
  <c r="R155" i="46"/>
  <c r="Z154" i="46"/>
  <c r="Y154" i="46"/>
  <c r="R154" i="46"/>
  <c r="Z153" i="46"/>
  <c r="Y153" i="46"/>
  <c r="R153" i="46"/>
  <c r="Z152" i="46"/>
  <c r="Y152" i="46"/>
  <c r="R152" i="46"/>
  <c r="R140" i="46"/>
  <c r="R139" i="46"/>
  <c r="L139" i="46"/>
  <c r="K139" i="46"/>
  <c r="J139" i="46"/>
  <c r="I139" i="46"/>
  <c r="H139" i="46"/>
  <c r="G139" i="46"/>
  <c r="R138" i="46"/>
  <c r="R137" i="46"/>
  <c r="R136" i="46"/>
  <c r="R135" i="46"/>
  <c r="X134" i="46"/>
  <c r="R134" i="46"/>
  <c r="L134" i="46"/>
  <c r="R133" i="46"/>
  <c r="X132" i="46"/>
  <c r="R132" i="46"/>
  <c r="X131" i="46"/>
  <c r="R131" i="46"/>
  <c r="R130" i="46"/>
  <c r="R129" i="46"/>
  <c r="R128" i="46"/>
  <c r="R127" i="46"/>
  <c r="R126" i="46"/>
  <c r="Z125" i="46"/>
  <c r="Y125" i="46"/>
  <c r="R125" i="46"/>
  <c r="R124" i="46"/>
  <c r="Z123" i="46"/>
  <c r="Y123" i="46"/>
  <c r="R123" i="46"/>
  <c r="Z122" i="46"/>
  <c r="Y122" i="46"/>
  <c r="R122" i="46"/>
  <c r="Z121" i="46"/>
  <c r="Y121" i="46"/>
  <c r="R121" i="46"/>
  <c r="X111" i="46"/>
  <c r="X109" i="46"/>
  <c r="L105" i="46"/>
  <c r="K105" i="46"/>
  <c r="J105" i="46"/>
  <c r="I105" i="46"/>
  <c r="H105" i="46"/>
  <c r="G105" i="46"/>
  <c r="L100" i="46"/>
  <c r="Z99" i="46"/>
  <c r="L99" i="46"/>
  <c r="E99" i="46"/>
  <c r="Y98" i="46"/>
  <c r="Z98" i="46" s="1"/>
  <c r="L98" i="46"/>
  <c r="E98" i="46"/>
  <c r="L97" i="46"/>
  <c r="E97" i="46"/>
  <c r="R108" i="46" s="1"/>
  <c r="R82" i="46"/>
  <c r="R81" i="46"/>
  <c r="X80" i="46"/>
  <c r="R80" i="46"/>
  <c r="X79" i="46"/>
  <c r="R79" i="46"/>
  <c r="X78" i="46"/>
  <c r="R78" i="46"/>
  <c r="X77" i="46"/>
  <c r="R77" i="46"/>
  <c r="R76" i="46"/>
  <c r="R75" i="46"/>
  <c r="R74" i="46"/>
  <c r="R73" i="46"/>
  <c r="R72" i="46"/>
  <c r="Z71" i="46"/>
  <c r="Y71" i="46"/>
  <c r="R71" i="46"/>
  <c r="R70" i="46"/>
  <c r="Z69" i="46"/>
  <c r="Y69" i="46"/>
  <c r="R69" i="46"/>
  <c r="Z68" i="46"/>
  <c r="Y68" i="46"/>
  <c r="R68" i="46"/>
  <c r="Z67" i="46"/>
  <c r="Y67" i="46"/>
  <c r="R67" i="46"/>
  <c r="Z66" i="46"/>
  <c r="Y66" i="46"/>
  <c r="R66" i="46"/>
  <c r="Z65" i="46"/>
  <c r="Y65" i="46"/>
  <c r="R65" i="46"/>
  <c r="R32" i="46"/>
  <c r="R31" i="46"/>
  <c r="R30" i="46"/>
  <c r="R29" i="46"/>
  <c r="R28" i="46"/>
  <c r="R27" i="46"/>
  <c r="R26" i="46"/>
  <c r="R25" i="46"/>
  <c r="R24" i="46"/>
  <c r="R23" i="46"/>
  <c r="Z22" i="46"/>
  <c r="Y22" i="46"/>
  <c r="X22" i="46"/>
  <c r="R22" i="46"/>
  <c r="R21" i="46"/>
  <c r="Z20" i="46"/>
  <c r="Y20" i="46"/>
  <c r="R20" i="46"/>
  <c r="Z19" i="46"/>
  <c r="Y19" i="46"/>
  <c r="R19" i="46"/>
  <c r="Z18" i="46"/>
  <c r="Y18" i="46"/>
  <c r="R18" i="46"/>
  <c r="Z17" i="46"/>
  <c r="Y17" i="46"/>
  <c r="R17" i="46"/>
  <c r="Z16" i="46"/>
  <c r="Y16" i="46"/>
  <c r="R16" i="46"/>
  <c r="Z15" i="46"/>
  <c r="Y15" i="46"/>
  <c r="R15" i="46"/>
  <c r="E37" i="34"/>
  <c r="E34" i="34"/>
  <c r="E33" i="34"/>
  <c r="E32" i="34"/>
  <c r="E31" i="34"/>
  <c r="E30" i="34"/>
  <c r="D30" i="34"/>
  <c r="E29" i="34"/>
  <c r="D29" i="34"/>
  <c r="E28" i="34"/>
  <c r="D28" i="34"/>
  <c r="E27" i="34"/>
  <c r="D27" i="34"/>
  <c r="E26" i="34"/>
  <c r="D26" i="34"/>
  <c r="E25" i="34"/>
  <c r="E24" i="34"/>
  <c r="E23" i="34"/>
  <c r="E22" i="34"/>
  <c r="D22" i="34"/>
  <c r="E21" i="34"/>
  <c r="D21" i="34"/>
  <c r="E20" i="34"/>
  <c r="E19" i="34"/>
  <c r="E18" i="34"/>
  <c r="D18" i="34"/>
  <c r="E17" i="34"/>
  <c r="D17" i="34"/>
  <c r="E16" i="34"/>
  <c r="E15" i="34"/>
  <c r="D15" i="34"/>
  <c r="E14" i="34"/>
  <c r="D14" i="34"/>
  <c r="R13" i="34"/>
  <c r="E13" i="34"/>
  <c r="D13" i="34"/>
  <c r="E12" i="34"/>
  <c r="D12" i="34"/>
  <c r="E11" i="34"/>
  <c r="D11" i="34"/>
  <c r="E10" i="34"/>
  <c r="D10" i="34"/>
  <c r="E9" i="34"/>
  <c r="D9" i="34"/>
  <c r="E8" i="34"/>
  <c r="D8" i="34"/>
  <c r="E7" i="34"/>
  <c r="D7" i="34"/>
  <c r="E6" i="34"/>
  <c r="D6" i="34"/>
  <c r="E19" i="33"/>
  <c r="G19" i="33" s="1"/>
  <c r="E18" i="33"/>
  <c r="G18" i="33" s="1"/>
  <c r="E17" i="33"/>
  <c r="G17" i="33" s="1"/>
  <c r="E16" i="33"/>
  <c r="G16" i="33" s="1"/>
  <c r="D16" i="33"/>
  <c r="E15" i="33"/>
  <c r="G15" i="33" s="1"/>
  <c r="D15" i="33"/>
  <c r="E14" i="33"/>
  <c r="G14" i="33" s="1"/>
  <c r="D14" i="33"/>
  <c r="E13" i="33"/>
  <c r="G13" i="33" s="1"/>
  <c r="D13" i="33"/>
  <c r="E12" i="33"/>
  <c r="G12" i="33" s="1"/>
  <c r="D12" i="33"/>
  <c r="E11" i="33"/>
  <c r="G11" i="33" s="1"/>
  <c r="D11" i="33"/>
  <c r="E10" i="33"/>
  <c r="G10" i="33" s="1"/>
  <c r="D10" i="33"/>
  <c r="E9" i="33"/>
  <c r="G9" i="33" s="1"/>
  <c r="D9" i="33"/>
  <c r="E8" i="33"/>
  <c r="G8" i="33" s="1"/>
  <c r="D8" i="33"/>
  <c r="E7" i="33"/>
  <c r="G7" i="33" s="1"/>
  <c r="D7" i="33"/>
  <c r="E6" i="33"/>
  <c r="G6" i="33" s="1"/>
  <c r="D6" i="33"/>
  <c r="D819" i="50"/>
  <c r="D816" i="50"/>
  <c r="D811" i="50"/>
  <c r="D796" i="50"/>
  <c r="D795" i="50"/>
  <c r="C795" i="50"/>
  <c r="B780" i="50"/>
  <c r="B779" i="50"/>
  <c r="B778" i="50"/>
  <c r="B777" i="50"/>
  <c r="B776" i="50"/>
  <c r="B775" i="50"/>
  <c r="B774" i="50"/>
  <c r="B773" i="50"/>
  <c r="B769" i="50"/>
  <c r="B768" i="50"/>
  <c r="B767" i="50"/>
  <c r="F766" i="50"/>
  <c r="B765" i="50"/>
  <c r="B764" i="50"/>
  <c r="B763" i="50"/>
  <c r="B762" i="50"/>
  <c r="D760" i="50"/>
  <c r="B758" i="50"/>
  <c r="B756" i="50"/>
  <c r="B755" i="50"/>
  <c r="B754" i="50"/>
  <c r="B753" i="50"/>
  <c r="B752" i="50"/>
  <c r="B751" i="50"/>
  <c r="F748" i="50"/>
  <c r="B747" i="50"/>
  <c r="B746" i="50"/>
  <c r="D745" i="50"/>
  <c r="B744" i="50"/>
  <c r="B743" i="50"/>
  <c r="B742" i="50"/>
  <c r="B741" i="50"/>
  <c r="B740" i="50"/>
  <c r="B739" i="50"/>
  <c r="B738" i="50"/>
  <c r="F737" i="50"/>
  <c r="B736" i="50"/>
  <c r="B735" i="50"/>
  <c r="B734" i="50"/>
  <c r="F733" i="50"/>
  <c r="B732" i="50"/>
  <c r="B731" i="50"/>
  <c r="B730" i="50"/>
  <c r="B729" i="50"/>
  <c r="B728" i="50"/>
  <c r="F727" i="50"/>
  <c r="B726" i="50"/>
  <c r="B725" i="50"/>
  <c r="B724" i="50"/>
  <c r="B723" i="50"/>
  <c r="B722" i="50"/>
  <c r="B721" i="50"/>
  <c r="B720" i="50"/>
  <c r="B719" i="50"/>
  <c r="B718" i="50"/>
  <c r="B717" i="50"/>
  <c r="B716" i="50"/>
  <c r="B715" i="50"/>
  <c r="B714" i="50"/>
  <c r="B713" i="50"/>
  <c r="B712" i="50"/>
  <c r="B711" i="50"/>
  <c r="B710" i="50"/>
  <c r="B708" i="50"/>
  <c r="B707" i="50"/>
  <c r="B706" i="50"/>
  <c r="B705" i="50"/>
  <c r="B704" i="50"/>
  <c r="B703" i="50"/>
  <c r="B702" i="50"/>
  <c r="B701" i="50"/>
  <c r="B700" i="50"/>
  <c r="B699" i="50"/>
  <c r="B698" i="50"/>
  <c r="B697" i="50"/>
  <c r="B696" i="50"/>
  <c r="B695" i="50"/>
  <c r="B694" i="50"/>
  <c r="B693" i="50"/>
  <c r="B692" i="50"/>
  <c r="B691" i="50"/>
  <c r="B690" i="50"/>
  <c r="B689" i="50"/>
  <c r="B688" i="50"/>
  <c r="B687" i="50"/>
  <c r="B686" i="50"/>
  <c r="B685" i="50"/>
  <c r="F671" i="50"/>
  <c r="F666" i="50"/>
  <c r="F658" i="50"/>
  <c r="F657" i="50"/>
  <c r="F656" i="50"/>
  <c r="K652" i="50"/>
  <c r="F648" i="50"/>
  <c r="F640" i="50"/>
  <c r="F637" i="50"/>
  <c r="F636" i="50"/>
  <c r="B634" i="50"/>
  <c r="F633" i="50"/>
  <c r="B632" i="50"/>
  <c r="F631" i="50"/>
  <c r="F629" i="50"/>
  <c r="B628" i="50"/>
  <c r="B626" i="50"/>
  <c r="B625" i="50"/>
  <c r="B624" i="50"/>
  <c r="B623" i="50"/>
  <c r="B622" i="50"/>
  <c r="B621" i="50"/>
  <c r="B620" i="50"/>
  <c r="B619" i="50"/>
  <c r="B618" i="50"/>
  <c r="B617" i="50"/>
  <c r="B616" i="50"/>
  <c r="B615" i="50"/>
  <c r="B614" i="50"/>
  <c r="B613" i="50"/>
  <c r="B612" i="50"/>
  <c r="B611" i="50"/>
  <c r="B610" i="50"/>
  <c r="B609" i="50"/>
  <c r="B608" i="50"/>
  <c r="B607" i="50"/>
  <c r="B606" i="50"/>
  <c r="B605" i="50"/>
  <c r="B604" i="50"/>
  <c r="B603" i="50"/>
  <c r="B602" i="50"/>
  <c r="B601" i="50"/>
  <c r="B600" i="50"/>
  <c r="B599" i="50"/>
  <c r="B598" i="50"/>
  <c r="B597" i="50"/>
  <c r="B596" i="50"/>
  <c r="B595" i="50"/>
  <c r="B594" i="50"/>
  <c r="B593" i="50"/>
  <c r="B592" i="50"/>
  <c r="B591" i="50"/>
  <c r="B590" i="50"/>
  <c r="B589" i="50"/>
  <c r="B588" i="50"/>
  <c r="B587" i="50"/>
  <c r="B586" i="50"/>
  <c r="B585" i="50"/>
  <c r="B584" i="50"/>
  <c r="B583" i="50"/>
  <c r="B582" i="50"/>
  <c r="B581" i="50"/>
  <c r="B580" i="50"/>
  <c r="B579" i="50"/>
  <c r="B578" i="50"/>
  <c r="B577" i="50"/>
  <c r="B576" i="50"/>
  <c r="B575" i="50"/>
  <c r="B574" i="50"/>
  <c r="B573" i="50"/>
  <c r="B572" i="50"/>
  <c r="B571" i="50"/>
  <c r="B569" i="50"/>
  <c r="B562" i="50"/>
  <c r="B561" i="50"/>
  <c r="B560" i="50"/>
  <c r="F557" i="50"/>
  <c r="E557" i="50"/>
  <c r="B556" i="50"/>
  <c r="B555" i="50"/>
  <c r="B554" i="50"/>
  <c r="D542" i="50"/>
  <c r="F542" i="50" s="1"/>
  <c r="D539" i="50"/>
  <c r="F539" i="50" s="1"/>
  <c r="B537" i="50"/>
  <c r="B536" i="50"/>
  <c r="B535" i="50"/>
  <c r="B534" i="50"/>
  <c r="D525" i="50"/>
  <c r="F525" i="50" s="1"/>
  <c r="B523" i="50"/>
  <c r="B522" i="50"/>
  <c r="B521" i="50"/>
  <c r="B520" i="50"/>
  <c r="B519" i="50"/>
  <c r="D518" i="50"/>
  <c r="F518" i="50" s="1"/>
  <c r="F516" i="50"/>
  <c r="B514" i="50"/>
  <c r="B513" i="50"/>
  <c r="B512" i="50"/>
  <c r="B511" i="50"/>
  <c r="D510" i="50"/>
  <c r="F510" i="50" s="1"/>
  <c r="B508" i="50"/>
  <c r="B505" i="50"/>
  <c r="B504" i="50"/>
  <c r="B503" i="50"/>
  <c r="B502" i="50"/>
  <c r="B501" i="50"/>
  <c r="B500" i="50"/>
  <c r="B499" i="50"/>
  <c r="F493" i="50"/>
  <c r="F491" i="50"/>
  <c r="B487" i="50"/>
  <c r="F486" i="50"/>
  <c r="B484" i="50"/>
  <c r="B483" i="50"/>
  <c r="B482" i="50"/>
  <c r="B481" i="50"/>
  <c r="B480" i="50"/>
  <c r="B477" i="50"/>
  <c r="B476" i="50"/>
  <c r="B474" i="50"/>
  <c r="B473" i="50"/>
  <c r="B472" i="50"/>
  <c r="B471" i="50"/>
  <c r="B468" i="50"/>
  <c r="B467" i="50"/>
  <c r="D466" i="50"/>
  <c r="F466" i="50" s="1"/>
  <c r="B464" i="50"/>
  <c r="F463" i="50"/>
  <c r="D456" i="50"/>
  <c r="F456" i="50" s="1"/>
  <c r="F454" i="50"/>
  <c r="F452" i="50"/>
  <c r="F449" i="50"/>
  <c r="D446" i="50"/>
  <c r="D445" i="50" s="1"/>
  <c r="F445" i="50" s="1"/>
  <c r="F443" i="50"/>
  <c r="D442" i="50"/>
  <c r="F442" i="50" s="1"/>
  <c r="D436" i="50"/>
  <c r="F436" i="50" s="1"/>
  <c r="F430" i="50"/>
  <c r="F422" i="50"/>
  <c r="F418" i="50"/>
  <c r="F414" i="50"/>
  <c r="F408" i="50"/>
  <c r="F406" i="50"/>
  <c r="D405" i="50"/>
  <c r="F401" i="50"/>
  <c r="F397" i="50"/>
  <c r="F393" i="50"/>
  <c r="F389" i="50"/>
  <c r="F385" i="50"/>
  <c r="F381" i="50"/>
  <c r="D380" i="50"/>
  <c r="F378" i="50"/>
  <c r="F377" i="50"/>
  <c r="D374" i="50"/>
  <c r="D373" i="50"/>
  <c r="D372" i="50"/>
  <c r="F370" i="50"/>
  <c r="F369" i="50"/>
  <c r="F368" i="50"/>
  <c r="F367" i="50"/>
  <c r="F366" i="50"/>
  <c r="F364" i="50"/>
  <c r="F362" i="50"/>
  <c r="F359" i="50"/>
  <c r="F358" i="50"/>
  <c r="F357" i="50"/>
  <c r="F356" i="50"/>
  <c r="F355" i="50"/>
  <c r="D355" i="50"/>
  <c r="F354" i="50"/>
  <c r="F353" i="50"/>
  <c r="F352" i="50"/>
  <c r="F351" i="50"/>
  <c r="F350" i="50"/>
  <c r="F349" i="50"/>
  <c r="F347" i="50"/>
  <c r="F345" i="50"/>
  <c r="F342" i="50"/>
  <c r="F341" i="50"/>
  <c r="F340" i="50"/>
  <c r="F339" i="50"/>
  <c r="F338" i="50"/>
  <c r="D338" i="50"/>
  <c r="F337" i="50"/>
  <c r="F336" i="50"/>
  <c r="F335" i="50"/>
  <c r="F334" i="50"/>
  <c r="F333" i="50"/>
  <c r="F332" i="50"/>
  <c r="F330" i="50"/>
  <c r="F328" i="50"/>
  <c r="F325" i="50"/>
  <c r="F324" i="50"/>
  <c r="F323" i="50"/>
  <c r="F322" i="50"/>
  <c r="F321" i="50"/>
  <c r="D321" i="50"/>
  <c r="F320" i="50"/>
  <c r="D320" i="50"/>
  <c r="F319" i="50"/>
  <c r="F318" i="50"/>
  <c r="F317" i="50"/>
  <c r="F316" i="50"/>
  <c r="F314" i="50"/>
  <c r="F313" i="50"/>
  <c r="D313" i="50"/>
  <c r="F312" i="50"/>
  <c r="F310" i="50"/>
  <c r="F308" i="50"/>
  <c r="F307" i="50"/>
  <c r="F305" i="50"/>
  <c r="D303" i="50"/>
  <c r="D302" i="50"/>
  <c r="F301" i="50"/>
  <c r="F298" i="50"/>
  <c r="F294" i="50"/>
  <c r="F292" i="50"/>
  <c r="F289" i="50"/>
  <c r="F278" i="50"/>
  <c r="F276" i="50"/>
  <c r="F274" i="50"/>
  <c r="F272" i="50"/>
  <c r="F271" i="50"/>
  <c r="F270" i="50"/>
  <c r="F265" i="50"/>
  <c r="F261" i="50"/>
  <c r="F245" i="50"/>
  <c r="F244" i="50"/>
  <c r="F241" i="50"/>
  <c r="F239" i="50"/>
  <c r="F236" i="50"/>
  <c r="D234" i="50"/>
  <c r="F226" i="50"/>
  <c r="F224" i="50"/>
  <c r="F223" i="50"/>
  <c r="D222" i="50"/>
  <c r="F220" i="50"/>
  <c r="F219" i="50"/>
  <c r="B217" i="50"/>
  <c r="B216" i="50"/>
  <c r="B215" i="50"/>
  <c r="B214" i="50"/>
  <c r="B213" i="50"/>
  <c r="B211" i="50"/>
  <c r="B210" i="50"/>
  <c r="B209" i="50"/>
  <c r="B207" i="50"/>
  <c r="B206" i="50"/>
  <c r="B205" i="50"/>
  <c r="B197" i="50"/>
  <c r="B196" i="50"/>
  <c r="B195" i="50"/>
  <c r="B194" i="50"/>
  <c r="B193" i="50"/>
  <c r="B192" i="50"/>
  <c r="B191" i="50"/>
  <c r="B190" i="50"/>
  <c r="B188" i="50"/>
  <c r="B187" i="50"/>
  <c r="B184" i="50"/>
  <c r="B182" i="50"/>
  <c r="B181" i="50"/>
  <c r="B180" i="50"/>
  <c r="B179" i="50"/>
  <c r="B178" i="50"/>
  <c r="B177" i="50"/>
  <c r="B176" i="50"/>
  <c r="B175" i="50"/>
  <c r="B174" i="50"/>
  <c r="B173" i="50"/>
  <c r="B172" i="50"/>
  <c r="B169" i="50"/>
  <c r="B168" i="50"/>
  <c r="B167" i="50"/>
  <c r="B163" i="50"/>
  <c r="B161" i="50"/>
  <c r="B160" i="50"/>
  <c r="B159" i="50"/>
  <c r="F158" i="50"/>
  <c r="B156" i="50"/>
  <c r="B155" i="50"/>
  <c r="B154" i="50"/>
  <c r="B153" i="50"/>
  <c r="B151" i="50"/>
  <c r="B150" i="50"/>
  <c r="B149" i="50"/>
  <c r="B148" i="50"/>
  <c r="B140" i="50"/>
  <c r="B139" i="50"/>
  <c r="B138" i="50"/>
  <c r="B137" i="50"/>
  <c r="B136" i="50"/>
  <c r="B135" i="50"/>
  <c r="B134" i="50"/>
  <c r="B133" i="50"/>
  <c r="B132" i="50"/>
  <c r="B131" i="50"/>
  <c r="B130" i="50"/>
  <c r="B129" i="50"/>
  <c r="B128" i="50"/>
  <c r="B127" i="50"/>
  <c r="B126" i="50"/>
  <c r="B125" i="50"/>
  <c r="B124" i="50"/>
  <c r="B123" i="50"/>
  <c r="B122" i="50"/>
  <c r="B121" i="50"/>
  <c r="B120" i="50"/>
  <c r="B119" i="50"/>
  <c r="B118" i="50"/>
  <c r="B117" i="50"/>
  <c r="B116" i="50"/>
  <c r="B115" i="50"/>
  <c r="B114" i="50"/>
  <c r="B113" i="50"/>
  <c r="B112" i="50"/>
  <c r="B111" i="50"/>
  <c r="B110" i="50"/>
  <c r="B109" i="50"/>
  <c r="B108" i="50"/>
  <c r="B107" i="50"/>
  <c r="B106" i="50"/>
  <c r="B105" i="50"/>
  <c r="B104" i="50"/>
  <c r="B103" i="50"/>
  <c r="B102" i="50"/>
  <c r="B101" i="50"/>
  <c r="B100" i="50"/>
  <c r="B99" i="50"/>
  <c r="B98" i="50"/>
  <c r="B97" i="50"/>
  <c r="B96" i="50"/>
  <c r="B95" i="50"/>
  <c r="B94" i="50"/>
  <c r="B93" i="50"/>
  <c r="B92" i="50"/>
  <c r="B91" i="50"/>
  <c r="B90" i="50"/>
  <c r="B89" i="50"/>
  <c r="B88" i="50"/>
  <c r="B87" i="50"/>
  <c r="B86" i="50"/>
  <c r="B85" i="50"/>
  <c r="B84" i="50"/>
  <c r="B83" i="50"/>
  <c r="B82" i="50"/>
  <c r="B81" i="50"/>
  <c r="B80" i="50"/>
  <c r="B79" i="50"/>
  <c r="B78" i="50"/>
  <c r="B77" i="50"/>
  <c r="B76" i="50"/>
  <c r="B75" i="50"/>
  <c r="B74" i="50"/>
  <c r="B73" i="50"/>
  <c r="B72" i="50"/>
  <c r="B71" i="50"/>
  <c r="B70" i="50"/>
  <c r="B69" i="50"/>
  <c r="B68" i="50"/>
  <c r="B67" i="50"/>
  <c r="B66" i="50"/>
  <c r="B65" i="50"/>
  <c r="B64" i="50"/>
  <c r="B63" i="50"/>
  <c r="B62" i="50"/>
  <c r="B61" i="50"/>
  <c r="B60" i="50"/>
  <c r="B59" i="50"/>
  <c r="B58" i="50"/>
  <c r="B57" i="50"/>
  <c r="B56" i="50"/>
  <c r="B55" i="50"/>
  <c r="B54" i="50"/>
  <c r="B53" i="50"/>
  <c r="B52" i="50"/>
  <c r="B51" i="50"/>
  <c r="B50" i="50"/>
  <c r="B49" i="50"/>
  <c r="B48" i="50"/>
  <c r="B47" i="50"/>
  <c r="B46" i="50"/>
  <c r="B44" i="50"/>
  <c r="B43" i="50"/>
  <c r="B42" i="50"/>
  <c r="B41" i="50"/>
  <c r="B40" i="50"/>
  <c r="B39" i="50"/>
  <c r="B38" i="50"/>
  <c r="B37" i="50"/>
  <c r="B36" i="50"/>
  <c r="B35" i="50"/>
  <c r="B34" i="50"/>
  <c r="B33" i="50"/>
  <c r="F32" i="50"/>
  <c r="D26" i="50"/>
  <c r="E37" i="51"/>
  <c r="E36" i="51"/>
  <c r="D36" i="51"/>
  <c r="H27" i="51"/>
  <c r="H26" i="51"/>
  <c r="H20" i="51"/>
  <c r="H19" i="51"/>
  <c r="D7" i="51"/>
  <c r="D772" i="50"/>
  <c r="F772" i="50" s="1"/>
  <c r="D568" i="50"/>
  <c r="D559" i="50"/>
  <c r="F559" i="50" s="1"/>
  <c r="D553" i="50"/>
  <c r="D770" i="50"/>
  <c r="F770" i="50" s="1"/>
  <c r="D684" i="50"/>
  <c r="D528" i="50"/>
  <c r="F528" i="50" s="1"/>
  <c r="D507" i="50"/>
  <c r="F507" i="50" s="1"/>
  <c r="D498" i="50"/>
  <c r="F498" i="50" s="1"/>
  <c r="D299" i="50"/>
  <c r="F299" i="50" s="1"/>
  <c r="D288" i="50"/>
  <c r="D286" i="50"/>
  <c r="D268" i="50"/>
  <c r="D267" i="50" s="1"/>
  <c r="D264" i="50"/>
  <c r="F264" i="50" s="1"/>
  <c r="D263" i="50"/>
  <c r="F263" i="50" s="1"/>
  <c r="D262" i="50"/>
  <c r="F262" i="50" s="1"/>
  <c r="D260" i="50"/>
  <c r="F260" i="50" s="1"/>
  <c r="D258" i="50"/>
  <c r="F258" i="50" s="1"/>
  <c r="D257" i="50"/>
  <c r="F257" i="50" s="1"/>
  <c r="D255" i="50"/>
  <c r="D253" i="50"/>
  <c r="D30" i="50"/>
  <c r="F30" i="50" s="1"/>
  <c r="D22" i="50"/>
  <c r="F22" i="50" s="1"/>
  <c r="D21" i="50"/>
  <c r="F21" i="50" s="1"/>
  <c r="D20" i="50"/>
  <c r="D19" i="50"/>
  <c r="D18" i="50"/>
  <c r="D17" i="50"/>
  <c r="K18" i="38"/>
  <c r="K102" i="37"/>
  <c r="K81" i="37"/>
  <c r="K47" i="37"/>
  <c r="R1467" i="46" l="1"/>
  <c r="R645" i="46"/>
  <c r="R1042" i="46"/>
  <c r="R1029" i="46"/>
  <c r="R1088" i="46"/>
  <c r="R1118" i="46"/>
  <c r="Y1115" i="46" s="1"/>
  <c r="R1174" i="46"/>
  <c r="R1395" i="46"/>
  <c r="R1402" i="46"/>
  <c r="R1407" i="46"/>
  <c r="R1412" i="46"/>
  <c r="R1454" i="46"/>
  <c r="Y1451" i="46" s="1"/>
  <c r="R1491" i="46"/>
  <c r="R1493" i="46"/>
  <c r="R1498" i="46"/>
  <c r="R1505" i="46"/>
  <c r="R326" i="46"/>
  <c r="R500" i="46"/>
  <c r="R638" i="46"/>
  <c r="R844" i="46"/>
  <c r="R1223" i="46"/>
  <c r="R1403" i="46"/>
  <c r="R1408" i="46"/>
  <c r="R1463" i="46"/>
  <c r="Y1455" i="46" s="1"/>
  <c r="Z1455" i="46" s="1"/>
  <c r="Z1461" i="46" s="1"/>
  <c r="R1465" i="46"/>
  <c r="R1468" i="46"/>
  <c r="R1494" i="46"/>
  <c r="R1499" i="46"/>
  <c r="R1456" i="46"/>
  <c r="Y1452" i="46" s="1"/>
  <c r="R1458" i="46"/>
  <c r="R1460" i="46"/>
  <c r="R1487" i="46"/>
  <c r="R1489" i="46"/>
  <c r="R1495" i="46"/>
  <c r="R1500" i="46"/>
  <c r="R1506" i="46"/>
  <c r="R1469" i="46"/>
  <c r="R1496" i="46"/>
  <c r="R1501" i="46"/>
  <c r="R797" i="46"/>
  <c r="R1401" i="46"/>
  <c r="R1041" i="46"/>
  <c r="R1217" i="46"/>
  <c r="R1394" i="46"/>
  <c r="R1405" i="46"/>
  <c r="R1411" i="46"/>
  <c r="R335" i="46"/>
  <c r="R388" i="46"/>
  <c r="R765" i="46"/>
  <c r="R1032" i="46"/>
  <c r="Y1028" i="46" s="1"/>
  <c r="R1302" i="46"/>
  <c r="R1397" i="46"/>
  <c r="Y1394" i="46" s="1"/>
  <c r="R1399" i="46"/>
  <c r="Y1395" i="46" s="1"/>
  <c r="R395" i="46"/>
  <c r="Y380" i="46" s="1"/>
  <c r="R756" i="46"/>
  <c r="R1030" i="46"/>
  <c r="Y1027" i="46" s="1"/>
  <c r="R1398" i="46"/>
  <c r="R1400" i="46"/>
  <c r="R1404" i="46"/>
  <c r="R1409" i="46"/>
  <c r="R1413" i="46"/>
  <c r="Y1398" i="46" s="1"/>
  <c r="Z1398" i="46" s="1"/>
  <c r="Z1404" i="46" s="1"/>
  <c r="R98" i="46"/>
  <c r="R769" i="46"/>
  <c r="R1162" i="46"/>
  <c r="R1211" i="46"/>
  <c r="R1300" i="46"/>
  <c r="R1327" i="46"/>
  <c r="R377" i="46"/>
  <c r="R636" i="46"/>
  <c r="R646" i="46"/>
  <c r="G1059" i="46"/>
  <c r="G1061" i="46" s="1"/>
  <c r="R1127" i="46"/>
  <c r="R1134" i="46"/>
  <c r="R1245" i="46"/>
  <c r="R1396" i="46"/>
  <c r="R1453" i="46"/>
  <c r="R1471" i="46" s="1"/>
  <c r="X1467" i="46" s="1"/>
  <c r="X1469" i="46" s="1"/>
  <c r="R1455" i="46"/>
  <c r="R1497" i="46"/>
  <c r="R1502" i="46"/>
  <c r="R1503" i="46"/>
  <c r="R1462" i="46"/>
  <c r="R1464" i="46"/>
  <c r="R1466" i="46"/>
  <c r="R1490" i="46"/>
  <c r="Y1487" i="46" s="1"/>
  <c r="R509" i="46"/>
  <c r="G472" i="46"/>
  <c r="G474" i="46" s="1"/>
  <c r="G540" i="46"/>
  <c r="G542" i="46" s="1"/>
  <c r="R510" i="46"/>
  <c r="R493" i="46"/>
  <c r="R101" i="46"/>
  <c r="R110" i="46"/>
  <c r="R319" i="46"/>
  <c r="R99" i="46"/>
  <c r="R103" i="46"/>
  <c r="R105" i="46"/>
  <c r="R109" i="46"/>
  <c r="R111" i="46"/>
  <c r="R113" i="46"/>
  <c r="R318" i="46"/>
  <c r="R321" i="46"/>
  <c r="R324" i="46"/>
  <c r="R325" i="46"/>
  <c r="R328" i="46"/>
  <c r="R332" i="46"/>
  <c r="Y324" i="46" s="1"/>
  <c r="R333" i="46"/>
  <c r="R334" i="46"/>
  <c r="R379" i="46"/>
  <c r="R382" i="46"/>
  <c r="R383" i="46"/>
  <c r="R386" i="46"/>
  <c r="R390" i="46"/>
  <c r="Y382" i="46" s="1"/>
  <c r="R391" i="46"/>
  <c r="R392" i="46"/>
  <c r="R393" i="46"/>
  <c r="R394" i="46"/>
  <c r="G415" i="46"/>
  <c r="G417" i="46" s="1"/>
  <c r="R492" i="46"/>
  <c r="R495" i="46"/>
  <c r="R498" i="46"/>
  <c r="R499" i="46"/>
  <c r="R502" i="46"/>
  <c r="R506" i="46"/>
  <c r="Y498" i="46" s="1"/>
  <c r="R507" i="46"/>
  <c r="R508" i="46"/>
  <c r="R511" i="46"/>
  <c r="G616" i="46"/>
  <c r="G618" i="46" s="1"/>
  <c r="R632" i="46"/>
  <c r="R634" i="46"/>
  <c r="R640" i="46"/>
  <c r="R644" i="46"/>
  <c r="R683" i="46"/>
  <c r="Y680" i="46" s="1"/>
  <c r="R685" i="46"/>
  <c r="Y681" i="46" s="1"/>
  <c r="R689" i="46"/>
  <c r="R690" i="46"/>
  <c r="G741" i="46"/>
  <c r="G743" i="46" s="1"/>
  <c r="R755" i="46"/>
  <c r="R760" i="46"/>
  <c r="Y756" i="46" s="1"/>
  <c r="R763" i="46"/>
  <c r="R768" i="46"/>
  <c r="R774" i="46"/>
  <c r="R795" i="46"/>
  <c r="R796" i="46"/>
  <c r="Y792" i="46" s="1"/>
  <c r="R801" i="46"/>
  <c r="R839" i="46"/>
  <c r="R831" i="46"/>
  <c r="R829" i="46"/>
  <c r="R826" i="46"/>
  <c r="R837" i="46"/>
  <c r="Y829" i="46" s="1"/>
  <c r="Z829" i="46" s="1"/>
  <c r="Z835" i="46" s="1"/>
  <c r="R833" i="46"/>
  <c r="R827" i="46"/>
  <c r="R825" i="46"/>
  <c r="R843" i="46"/>
  <c r="R841" i="46"/>
  <c r="R838" i="46"/>
  <c r="R835" i="46"/>
  <c r="R834" i="46"/>
  <c r="R830" i="46"/>
  <c r="Y826" i="46" s="1"/>
  <c r="R828" i="46"/>
  <c r="Y825" i="46" s="1"/>
  <c r="R842" i="46"/>
  <c r="R97" i="46"/>
  <c r="R112" i="46"/>
  <c r="R330" i="46"/>
  <c r="R337" i="46"/>
  <c r="R104" i="46"/>
  <c r="R106" i="46"/>
  <c r="R320" i="46"/>
  <c r="Y317" i="46" s="1"/>
  <c r="R322" i="46"/>
  <c r="Y318" i="46" s="1"/>
  <c r="R323" i="46"/>
  <c r="R327" i="46"/>
  <c r="R331" i="46"/>
  <c r="R336" i="46"/>
  <c r="R378" i="46"/>
  <c r="Y375" i="46" s="1"/>
  <c r="R380" i="46"/>
  <c r="Y376" i="46" s="1"/>
  <c r="R381" i="46"/>
  <c r="R385" i="46"/>
  <c r="R389" i="46"/>
  <c r="R494" i="46"/>
  <c r="Y491" i="46" s="1"/>
  <c r="R496" i="46"/>
  <c r="Y492" i="46" s="1"/>
  <c r="R497" i="46"/>
  <c r="R501" i="46"/>
  <c r="R505" i="46"/>
  <c r="R639" i="46"/>
  <c r="R643" i="46"/>
  <c r="R647" i="46"/>
  <c r="Y641" i="46" s="1"/>
  <c r="R648" i="46"/>
  <c r="R649" i="46"/>
  <c r="R650" i="46"/>
  <c r="R651" i="46"/>
  <c r="R680" i="46"/>
  <c r="R682" i="46"/>
  <c r="R688" i="46"/>
  <c r="R695" i="46"/>
  <c r="Y689" i="46" s="1"/>
  <c r="R696" i="46"/>
  <c r="R697" i="46"/>
  <c r="R698" i="46"/>
  <c r="R699" i="46"/>
  <c r="Y684" i="46" s="1"/>
  <c r="Z684" i="46" s="1"/>
  <c r="Z690" i="46" s="1"/>
  <c r="R758" i="46"/>
  <c r="Y755" i="46" s="1"/>
  <c r="R770" i="46"/>
  <c r="Y764" i="46" s="1"/>
  <c r="R771" i="46"/>
  <c r="R772" i="46"/>
  <c r="R773" i="46"/>
  <c r="R792" i="46"/>
  <c r="R794" i="46"/>
  <c r="Y791" i="46" s="1"/>
  <c r="R836" i="46"/>
  <c r="R491" i="46"/>
  <c r="R504" i="46"/>
  <c r="R687" i="46"/>
  <c r="R691" i="46"/>
  <c r="R694" i="46"/>
  <c r="R767" i="46"/>
  <c r="R805" i="46"/>
  <c r="R107" i="46"/>
  <c r="R317" i="46"/>
  <c r="R384" i="46"/>
  <c r="R100" i="46"/>
  <c r="R102" i="46"/>
  <c r="R329" i="46"/>
  <c r="R387" i="46"/>
  <c r="Y379" i="46" s="1"/>
  <c r="Z379" i="46" s="1"/>
  <c r="Z383" i="46" s="1"/>
  <c r="R503" i="46"/>
  <c r="Y495" i="46" s="1"/>
  <c r="Z495" i="46" s="1"/>
  <c r="Z499" i="46" s="1"/>
  <c r="R635" i="46"/>
  <c r="Y632" i="46" s="1"/>
  <c r="R637" i="46"/>
  <c r="Y633" i="46" s="1"/>
  <c r="R641" i="46"/>
  <c r="R642" i="46"/>
  <c r="R681" i="46"/>
  <c r="R684" i="46"/>
  <c r="R686" i="46"/>
  <c r="R693" i="46"/>
  <c r="R757" i="46"/>
  <c r="R759" i="46"/>
  <c r="R761" i="46"/>
  <c r="R764" i="46"/>
  <c r="R809" i="46"/>
  <c r="R791" i="46"/>
  <c r="R793" i="46"/>
  <c r="R799" i="46"/>
  <c r="R803" i="46"/>
  <c r="Y795" i="46" s="1"/>
  <c r="Z795" i="46" s="1"/>
  <c r="Z801" i="46" s="1"/>
  <c r="R1037" i="46"/>
  <c r="R1040" i="46"/>
  <c r="R1044" i="46"/>
  <c r="R1046" i="46"/>
  <c r="R1070" i="46"/>
  <c r="R1071" i="46"/>
  <c r="R1076" i="46"/>
  <c r="R1121" i="46"/>
  <c r="R1123" i="46"/>
  <c r="R1126" i="46"/>
  <c r="R1130" i="46"/>
  <c r="R1131" i="46"/>
  <c r="R1133" i="46"/>
  <c r="R1155" i="46"/>
  <c r="R1159" i="46"/>
  <c r="R1161" i="46"/>
  <c r="R1165" i="46"/>
  <c r="R1169" i="46"/>
  <c r="R1171" i="46"/>
  <c r="R1173" i="46"/>
  <c r="G1191" i="46"/>
  <c r="G1193" i="46" s="1"/>
  <c r="R1209" i="46"/>
  <c r="R1213" i="46"/>
  <c r="R1215" i="46"/>
  <c r="R1219" i="46"/>
  <c r="R1222" i="46"/>
  <c r="R1226" i="46"/>
  <c r="R1228" i="46"/>
  <c r="R1234" i="46"/>
  <c r="R1235" i="46"/>
  <c r="R1241" i="46"/>
  <c r="R1246" i="46"/>
  <c r="R1249" i="46"/>
  <c r="R1251" i="46"/>
  <c r="R1287" i="46"/>
  <c r="R1289" i="46"/>
  <c r="R1290" i="46"/>
  <c r="R1295" i="46"/>
  <c r="Y1287" i="46" s="1"/>
  <c r="Z1287" i="46" s="1"/>
  <c r="Z1293" i="46" s="1"/>
  <c r="R1314" i="46"/>
  <c r="Y1310" i="46" s="1"/>
  <c r="R1318" i="46"/>
  <c r="R1323" i="46"/>
  <c r="R762" i="46"/>
  <c r="R798" i="46"/>
  <c r="R802" i="46"/>
  <c r="R804" i="46"/>
  <c r="R807" i="46"/>
  <c r="G1018" i="46"/>
  <c r="G1020" i="46" s="1"/>
  <c r="G1048" i="46" s="1"/>
  <c r="R1027" i="46"/>
  <c r="R1031" i="46"/>
  <c r="R1033" i="46"/>
  <c r="R1036" i="46"/>
  <c r="R1039" i="46"/>
  <c r="Y1031" i="46" s="1"/>
  <c r="Z1031" i="46" s="1"/>
  <c r="Z1037" i="46" s="1"/>
  <c r="R1073" i="46"/>
  <c r="R1075" i="46"/>
  <c r="R1079" i="46"/>
  <c r="R1082" i="46"/>
  <c r="R1085" i="46"/>
  <c r="R1087" i="46"/>
  <c r="G1106" i="46"/>
  <c r="R1115" i="46"/>
  <c r="R1119" i="46"/>
  <c r="R1120" i="46"/>
  <c r="Y1116" i="46" s="1"/>
  <c r="R1124" i="46"/>
  <c r="R1158" i="46"/>
  <c r="Y1155" i="46" s="1"/>
  <c r="Y1165" i="46" s="1"/>
  <c r="R1160" i="46"/>
  <c r="Y1156" i="46" s="1"/>
  <c r="R1164" i="46"/>
  <c r="R1167" i="46"/>
  <c r="Y1159" i="46" s="1"/>
  <c r="Z1159" i="46" s="1"/>
  <c r="Z1165" i="46" s="1"/>
  <c r="R1212" i="46"/>
  <c r="Y1209" i="46" s="1"/>
  <c r="R1214" i="46"/>
  <c r="Y1210" i="46" s="1"/>
  <c r="R1218" i="46"/>
  <c r="R1221" i="46"/>
  <c r="R1238" i="46"/>
  <c r="Y1234" i="46" s="1"/>
  <c r="R1242" i="46"/>
  <c r="R1247" i="46"/>
  <c r="R1286" i="46"/>
  <c r="Y1283" i="46" s="1"/>
  <c r="R1288" i="46"/>
  <c r="Y1284" i="46" s="1"/>
  <c r="R1291" i="46"/>
  <c r="R1296" i="46"/>
  <c r="R1299" i="46"/>
  <c r="R1301" i="46"/>
  <c r="R1313" i="46"/>
  <c r="R1315" i="46"/>
  <c r="R1319" i="46"/>
  <c r="R1320" i="46"/>
  <c r="R1324" i="46"/>
  <c r="R1326" i="46"/>
  <c r="R1328" i="46"/>
  <c r="R1038" i="46"/>
  <c r="R1043" i="46"/>
  <c r="R1045" i="46"/>
  <c r="R1074" i="46"/>
  <c r="Y1070" i="46" s="1"/>
  <c r="R1078" i="46"/>
  <c r="R1081" i="46"/>
  <c r="Y1073" i="46" s="1"/>
  <c r="Z1073" i="46" s="1"/>
  <c r="Z1079" i="46" s="1"/>
  <c r="R1083" i="46"/>
  <c r="R1128" i="46"/>
  <c r="R1132" i="46"/>
  <c r="R1163" i="46"/>
  <c r="R1166" i="46"/>
  <c r="R1168" i="46"/>
  <c r="R1170" i="46"/>
  <c r="R1172" i="46"/>
  <c r="R1220" i="46"/>
  <c r="R1224" i="46"/>
  <c r="R1225" i="46"/>
  <c r="R1227" i="46"/>
  <c r="R1237" i="46"/>
  <c r="R1239" i="46"/>
  <c r="R1243" i="46"/>
  <c r="R1244" i="46"/>
  <c r="R1248" i="46"/>
  <c r="R1250" i="46"/>
  <c r="R1252" i="46"/>
  <c r="Y1237" i="46" s="1"/>
  <c r="Z1237" i="46" s="1"/>
  <c r="Z1243" i="46" s="1"/>
  <c r="R1283" i="46"/>
  <c r="R1284" i="46"/>
  <c r="R1285" i="46"/>
  <c r="R1292" i="46"/>
  <c r="R1297" i="46"/>
  <c r="R1312" i="46"/>
  <c r="Y1309" i="46" s="1"/>
  <c r="R1316" i="46"/>
  <c r="R1321" i="46"/>
  <c r="Y1313" i="46" s="1"/>
  <c r="Z1313" i="46" s="1"/>
  <c r="Z1319" i="46" s="1"/>
  <c r="R800" i="46"/>
  <c r="R806" i="46"/>
  <c r="Y800" i="46" s="1"/>
  <c r="R808" i="46"/>
  <c r="R1028" i="46"/>
  <c r="R1034" i="46"/>
  <c r="R1072" i="46"/>
  <c r="Y1069" i="46" s="1"/>
  <c r="R1077" i="46"/>
  <c r="R1080" i="46"/>
  <c r="R1084" i="46"/>
  <c r="R1086" i="46"/>
  <c r="R1116" i="46"/>
  <c r="R1117" i="46"/>
  <c r="R1122" i="46"/>
  <c r="R1125" i="46"/>
  <c r="R1216" i="46"/>
  <c r="R1236" i="46"/>
  <c r="Y1233" i="46" s="1"/>
  <c r="R1240" i="46"/>
  <c r="R1293" i="46"/>
  <c r="R1294" i="46"/>
  <c r="R1298" i="46"/>
  <c r="R1317" i="46"/>
  <c r="R1322" i="46"/>
  <c r="R1325" i="46"/>
  <c r="H21" i="51"/>
  <c r="K21" i="51" s="1"/>
  <c r="H28" i="51"/>
  <c r="D16" i="50"/>
  <c r="D15" i="50" s="1"/>
  <c r="D709" i="50"/>
  <c r="F709" i="50" s="1"/>
  <c r="D670" i="50"/>
  <c r="D479" i="50"/>
  <c r="F479" i="50" s="1"/>
  <c r="E38" i="34"/>
  <c r="E39" i="34" s="1"/>
  <c r="D252" i="50"/>
  <c r="D251" i="50" s="1"/>
  <c r="F553" i="50"/>
  <c r="F563" i="50" s="1"/>
  <c r="D563" i="50"/>
  <c r="D285" i="50"/>
  <c r="D284" i="50" s="1"/>
  <c r="D470" i="50"/>
  <c r="F470" i="50" s="1"/>
  <c r="D761" i="50"/>
  <c r="F761" i="50" s="1"/>
  <c r="F568" i="50"/>
  <c r="D757" i="50"/>
  <c r="F757" i="50" s="1"/>
  <c r="D750" i="50"/>
  <c r="F750" i="50" s="1"/>
  <c r="D759" i="50"/>
  <c r="F759" i="50" s="1"/>
  <c r="K28" i="51"/>
  <c r="H29" i="51"/>
  <c r="F684" i="50"/>
  <c r="E35" i="34"/>
  <c r="G1090" i="46" l="1"/>
  <c r="G1131" i="46" s="1"/>
  <c r="G1175" i="46" s="1"/>
  <c r="Y1497" i="46"/>
  <c r="Y759" i="46"/>
  <c r="Z759" i="46" s="1"/>
  <c r="Z765" i="46" s="1"/>
  <c r="Y1404" i="46"/>
  <c r="R1414" i="46"/>
  <c r="X1410" i="46" s="1"/>
  <c r="X1412" i="46" s="1"/>
  <c r="Y1491" i="46"/>
  <c r="Z1491" i="46" s="1"/>
  <c r="Z1497" i="46" s="1"/>
  <c r="Y1461" i="46"/>
  <c r="Y1125" i="46"/>
  <c r="R1253" i="46"/>
  <c r="X1249" i="46" s="1"/>
  <c r="X1251" i="46" s="1"/>
  <c r="R1089" i="46"/>
  <c r="X1085" i="46" s="1"/>
  <c r="X1087" i="46" s="1"/>
  <c r="Y321" i="46"/>
  <c r="Z321" i="46" s="1"/>
  <c r="Z325" i="46" s="1"/>
  <c r="Y1119" i="46"/>
  <c r="Z1119" i="46" s="1"/>
  <c r="Z1125" i="46" s="1"/>
  <c r="R1507" i="46"/>
  <c r="X1503" i="46" s="1"/>
  <c r="X1505" i="46" s="1"/>
  <c r="H23" i="51"/>
  <c r="R512" i="46"/>
  <c r="X507" i="46" s="1"/>
  <c r="X509" i="46" s="1"/>
  <c r="Y496" i="46"/>
  <c r="Y499" i="46" s="1"/>
  <c r="Y1079" i="46"/>
  <c r="Y1319" i="46"/>
  <c r="Y1293" i="46"/>
  <c r="Y1213" i="46"/>
  <c r="Z1213" i="46" s="1"/>
  <c r="Z1219" i="46" s="1"/>
  <c r="Y801" i="46"/>
  <c r="R845" i="46"/>
  <c r="X841" i="46" s="1"/>
  <c r="X843" i="46" s="1"/>
  <c r="Y690" i="46"/>
  <c r="R652" i="46"/>
  <c r="X648" i="46" s="1"/>
  <c r="X650" i="46" s="1"/>
  <c r="Y97" i="46"/>
  <c r="R1303" i="46"/>
  <c r="X1299" i="46" s="1"/>
  <c r="X1301" i="46" s="1"/>
  <c r="R1229" i="46"/>
  <c r="X1225" i="46" s="1"/>
  <c r="X1227" i="46" s="1"/>
  <c r="R1175" i="46"/>
  <c r="X1171" i="46" s="1"/>
  <c r="X1173" i="46" s="1"/>
  <c r="Y322" i="46"/>
  <c r="Y835" i="46"/>
  <c r="Y636" i="46"/>
  <c r="Z636" i="46" s="1"/>
  <c r="Z642" i="46" s="1"/>
  <c r="Y1243" i="46"/>
  <c r="R811" i="46"/>
  <c r="X807" i="46" s="1"/>
  <c r="X809" i="46" s="1"/>
  <c r="R700" i="46"/>
  <c r="X696" i="46" s="1"/>
  <c r="X698" i="46" s="1"/>
  <c r="Y1219" i="46"/>
  <c r="R1135" i="46"/>
  <c r="X1131" i="46" s="1"/>
  <c r="X1133" i="46" s="1"/>
  <c r="R1047" i="46"/>
  <c r="X1043" i="46" s="1"/>
  <c r="X1045" i="46" s="1"/>
  <c r="R1329" i="46"/>
  <c r="X1325" i="46" s="1"/>
  <c r="X1327" i="46" s="1"/>
  <c r="R338" i="46"/>
  <c r="X333" i="46" s="1"/>
  <c r="X335" i="46" s="1"/>
  <c r="Y1037" i="46"/>
  <c r="Y383" i="46"/>
  <c r="R114" i="46"/>
  <c r="R775" i="46"/>
  <c r="X771" i="46" s="1"/>
  <c r="X773" i="46" s="1"/>
  <c r="R396" i="46"/>
  <c r="X391" i="46" s="1"/>
  <c r="X393" i="46" s="1"/>
  <c r="E41" i="34"/>
  <c r="D490" i="50"/>
  <c r="D489" i="50" s="1"/>
  <c r="F489" i="50" s="1"/>
  <c r="F546" i="50" s="1"/>
  <c r="F548" i="50" s="1"/>
  <c r="E21" i="51" s="1"/>
  <c r="D783" i="50"/>
  <c r="F670" i="50"/>
  <c r="F674" i="50" s="1"/>
  <c r="D674" i="50"/>
  <c r="D669" i="50"/>
  <c r="E14" i="51"/>
  <c r="F783" i="50"/>
  <c r="Y765" i="46" l="1"/>
  <c r="Y325" i="46"/>
  <c r="Y100" i="46"/>
  <c r="X110" i="46" s="1"/>
  <c r="X112" i="46" s="1"/>
  <c r="Z97" i="46"/>
  <c r="Z100" i="46" s="1"/>
  <c r="Y642" i="46"/>
  <c r="D546" i="50"/>
  <c r="D803" i="50" s="1"/>
  <c r="H71" i="40"/>
  <c r="E20" i="51"/>
  <c r="D804" i="50"/>
  <c r="E16" i="51"/>
  <c r="D815" i="50"/>
  <c r="D818" i="50" s="1"/>
  <c r="D820" i="50" s="1"/>
  <c r="E26" i="51"/>
  <c r="F785" i="50"/>
  <c r="E27" i="51" s="1"/>
  <c r="D810" i="50" l="1"/>
  <c r="D812" i="50" s="1"/>
  <c r="E19" i="51"/>
  <c r="I23" i="51" s="1"/>
  <c r="D570" i="50" l="1"/>
  <c r="E570" i="50" l="1"/>
  <c r="F570" i="50" s="1"/>
  <c r="F641" i="50" s="1"/>
  <c r="D641" i="50"/>
  <c r="D644" i="50" s="1"/>
  <c r="E15" i="51" l="1"/>
  <c r="H16" i="51" s="1"/>
  <c r="H24" i="51" s="1"/>
  <c r="F644" i="50"/>
  <c r="F676" i="50" s="1"/>
  <c r="D676" i="50"/>
  <c r="J644" i="50"/>
  <c r="K668" i="50" s="1"/>
  <c r="E13" i="51" l="1"/>
  <c r="F789" i="50"/>
  <c r="E29" i="51" s="1"/>
  <c r="F680" i="50"/>
  <c r="E23" i="51" s="1"/>
  <c r="F787" i="50"/>
  <c r="E28" i="51" s="1"/>
  <c r="F678" i="50"/>
  <c r="E22" i="51" s="1"/>
  <c r="H31" i="51" l="1"/>
  <c r="H30" i="51"/>
  <c r="H25" i="51"/>
</calcChain>
</file>

<file path=xl/comments1.xml><?xml version="1.0" encoding="utf-8"?>
<comments xmlns="http://schemas.openxmlformats.org/spreadsheetml/2006/main">
  <authors>
    <author>renefp</author>
  </authors>
  <commentList>
    <comment ref="E14" authorId="0" shapeId="0">
      <text>
        <r>
          <rPr>
            <b/>
            <sz val="8"/>
            <color indexed="81"/>
            <rFont val="Tahoma"/>
            <family val="2"/>
          </rPr>
          <t>renefp:</t>
        </r>
        <r>
          <rPr>
            <sz val="8"/>
            <color indexed="81"/>
            <rFont val="Tahoma"/>
            <family val="2"/>
          </rPr>
          <t xml:space="preserve">
Totalizar 1,2 y 3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renefp:</t>
        </r>
        <r>
          <rPr>
            <sz val="8"/>
            <color indexed="81"/>
            <rFont val="Tahoma"/>
            <family val="2"/>
          </rPr>
          <t xml:space="preserve">
Revisar contra saldo de balance final</t>
        </r>
      </text>
    </comment>
  </commentList>
</comments>
</file>

<file path=xl/comments2.xml><?xml version="1.0" encoding="utf-8"?>
<comments xmlns="http://schemas.openxmlformats.org/spreadsheetml/2006/main">
  <authors>
    <author>renefp</author>
  </authors>
  <commentList>
    <comment ref="E570" authorId="0" shapeId="0">
      <text>
        <r>
          <rPr>
            <b/>
            <sz val="12"/>
            <color indexed="81"/>
            <rFont val="Tahoma"/>
            <family val="2"/>
          </rPr>
          <t>renefp: El porcenta si es perdida se aplica= 1 y si es utilidad % 0.50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am78643</author>
  </authors>
  <commentList>
    <comment ref="H5" authorId="0" shapeId="0">
      <text>
        <r>
          <rPr>
            <sz val="8"/>
            <color indexed="81"/>
            <rFont val="Tahoma"/>
            <family val="2"/>
          </rPr>
          <t>Dejar en cero(0) o en blanco si moviemiento es de balance</t>
        </r>
      </text>
    </comment>
  </commentList>
</comments>
</file>

<file path=xl/sharedStrings.xml><?xml version="1.0" encoding="utf-8"?>
<sst xmlns="http://schemas.openxmlformats.org/spreadsheetml/2006/main" count="8681" uniqueCount="1756">
  <si>
    <t>IVA POR PAGAR</t>
  </si>
  <si>
    <t>IVA DEBITO FISCAL</t>
  </si>
  <si>
    <t>SISA</t>
  </si>
  <si>
    <t>INVERSIONES BOTES CORTO PLAZO</t>
  </si>
  <si>
    <t>OTROS SEGUROS</t>
  </si>
  <si>
    <t>REVALUACIONES</t>
  </si>
  <si>
    <t>COM.BOLSA MERCADO SECUNDARIO</t>
  </si>
  <si>
    <t>COM.BOLSA REPORTOS</t>
  </si>
  <si>
    <t>COMISIONES COBRADAS POR OPERACIONES DE REPORTO EN BOLSA</t>
  </si>
  <si>
    <t>IMPUESTOS A LA RENTA</t>
  </si>
  <si>
    <t>INGxSERV COLOC MERC PRIM-CASA</t>
  </si>
  <si>
    <t>OTROS IMPTOS Y TRIBUTOS (ADMON)</t>
  </si>
  <si>
    <t>COMIS.CASA MERC.SECUNDARIO</t>
  </si>
  <si>
    <t>GARANTIAS OTORGADAS</t>
  </si>
  <si>
    <t>POR OPERACIONES BURSATILES</t>
  </si>
  <si>
    <t>CUENTA CORRIENTE</t>
  </si>
  <si>
    <t>ACTIVOS INTANGIBLES</t>
  </si>
  <si>
    <t>DERECHOS DE EXPLOT. PUESTO DE BOLSA</t>
  </si>
  <si>
    <t>AMORTIZ. ACUM. EXPLOT. PUESTO BOLSA</t>
  </si>
  <si>
    <t>GASTOS FINANCIEROS</t>
  </si>
  <si>
    <t>0101</t>
  </si>
  <si>
    <t>0201</t>
  </si>
  <si>
    <t>0202</t>
  </si>
  <si>
    <t xml:space="preserve">VAL. DE EMIS. EXISTENCIA xNEGOCIAR </t>
  </si>
  <si>
    <t>INGRESOS POR INTERESES</t>
  </si>
  <si>
    <t>INTER Y DIV. CARTERA DE INV. FINANC</t>
  </si>
  <si>
    <t>DIVIDENDOS BVES</t>
  </si>
  <si>
    <t>DIVIDENDOS CEDEVAL</t>
  </si>
  <si>
    <t>PASIVO NO CORRIENTE</t>
  </si>
  <si>
    <t>TITULOS DE RENTA VARIABLE</t>
  </si>
  <si>
    <t>INVERSIONES EUROBONOS GUATE07</t>
  </si>
  <si>
    <t>AUDITORIA EXTERNA FISCAL (BOLSA)</t>
  </si>
  <si>
    <t>CREDITOS DIFERIDOS</t>
  </si>
  <si>
    <t>INTERESES</t>
  </si>
  <si>
    <t>OBLIGACIONES POR FONDOS RECIBIDOS DE CLIENTES</t>
  </si>
  <si>
    <t>PERSONAS JURIDICAS</t>
  </si>
  <si>
    <t>OTROS IMPUESTOS Y CONTRIBUCIONES</t>
  </si>
  <si>
    <t>PROPORCIONALIDAD DEL IVA</t>
  </si>
  <si>
    <t>CONTRACUENTA VALORES Y BIENES PROPIOS EN CUSTODIA</t>
  </si>
  <si>
    <t>CUENTA OPERATIVA POR CLIENTE</t>
  </si>
  <si>
    <t>IVA, CREDITO FISCAL</t>
  </si>
  <si>
    <t>LIBRO DE VENTAS AL CONTRIBUYENTE</t>
  </si>
  <si>
    <t>Moneda: US Dolares</t>
  </si>
  <si>
    <t>TIPO</t>
  </si>
  <si>
    <t>00</t>
  </si>
  <si>
    <t>INVERSIONISTAS</t>
  </si>
  <si>
    <t>FACTURA</t>
  </si>
  <si>
    <t>CREDITO FISCAL</t>
  </si>
  <si>
    <t>CAPITAL SOCIAL</t>
  </si>
  <si>
    <t>CAPITAL SUSCRITO MINIMO</t>
  </si>
  <si>
    <t>-</t>
  </si>
  <si>
    <t>99</t>
  </si>
  <si>
    <t>OPERADORES LOGISTICOS RANSA</t>
  </si>
  <si>
    <t>BANCOS LOCALES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</si>
  <si>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</si>
  <si>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</si>
  <si>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</si>
  <si>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</si>
  <si>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</si>
  <si>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</si>
  <si>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</si>
  <si>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</si>
  <si>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</si>
  <si>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</si>
  <si>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</si>
  <si>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</si>
  <si>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</si>
  <si>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</si>
  <si>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</si>
  <si>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</si>
  <si>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</si>
  <si>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ACTIVO CORRIENTE</t>
  </si>
  <si>
    <t>DESCRIPCION CUENTA</t>
  </si>
  <si>
    <t>FIDEICOM.KATE DIERKS HOFM</t>
  </si>
  <si>
    <t>RESULTADOS DESPUES DE  IMPUESTOS</t>
  </si>
  <si>
    <t>GASTOS EXTRAORDINARIOS</t>
  </si>
  <si>
    <t>RESULTADO DEL PERIODO</t>
  </si>
  <si>
    <t>UTILIDAD (PERDIDA) RETENIDAS AL PRINCIPIAR EL AÑO</t>
  </si>
  <si>
    <t>TITULOS VALORES PROPIOS</t>
  </si>
  <si>
    <t>DEPOSITOS</t>
  </si>
  <si>
    <t>DEPOSITO EN GARANTIA A LA BVES</t>
  </si>
  <si>
    <t>MANFRED BENDIX ROMERO</t>
  </si>
  <si>
    <t>DERECHOS Y PARTICIPACIONES</t>
  </si>
  <si>
    <t>INVERSIONES CONJUNTAS</t>
  </si>
  <si>
    <t>AFILIADAS</t>
  </si>
  <si>
    <t>SERVICIOS DE INFORMATICA</t>
  </si>
  <si>
    <t>OBLIGACIONES POR OPERACIONES BURSATILES</t>
  </si>
  <si>
    <t>INGRESOS EXTRAORDINARIOS</t>
  </si>
  <si>
    <t>RESERVA TECNICA INTERESES</t>
  </si>
  <si>
    <t>IVA</t>
  </si>
  <si>
    <t>146-5</t>
  </si>
  <si>
    <t>DEPOSITOS EN GARANTIA</t>
  </si>
  <si>
    <t>IMPUESTOS RETENIDOS</t>
  </si>
  <si>
    <t>IMPUESTO RETENIDO A PROVEEDORES</t>
  </si>
  <si>
    <t>VENTAS</t>
  </si>
  <si>
    <t>CUENTAS POR PAGAR</t>
  </si>
  <si>
    <t>AUDITORIA EXTERNA (ADMON.)</t>
  </si>
  <si>
    <t>RESULTADOS</t>
  </si>
  <si>
    <t>RESULT. ACUM. DE EJERC. ANTERIORES</t>
  </si>
  <si>
    <t>UTIL.ACUM. DE EJERCICIOS ANTERIORES</t>
  </si>
  <si>
    <t>DEPOSITOS EN GARANTIA EN M.L.</t>
  </si>
  <si>
    <t>COM.SERV-FIDEICOM KATE HOFMAN</t>
  </si>
  <si>
    <t>CTAS DEUDORAS x SERV.ADMON.CARTERA</t>
  </si>
  <si>
    <t>113900000100</t>
  </si>
  <si>
    <t>113900000101</t>
  </si>
  <si>
    <t>113900000102</t>
  </si>
  <si>
    <t>PRESTAMOS A ENTIDADES DEL ESTADO</t>
  </si>
  <si>
    <t>CUENTAS BANCARIAS - ADMINISTRACION DE CARTERA</t>
  </si>
  <si>
    <t>RENDIMIENTOS POR COBRAR</t>
  </si>
  <si>
    <t>RESULTADOS ACUMULADOS</t>
  </si>
  <si>
    <t>GASTOS PAG.X ANTICIPADO X SERVICIOS</t>
  </si>
  <si>
    <t>VALORES CUSCATLAN</t>
  </si>
  <si>
    <t>CONTROL DE VALORES RECIBIDOS PARA CUSTODIA</t>
  </si>
  <si>
    <t>CUSTODIOS DE VALORES</t>
  </si>
  <si>
    <t>OTROS GASTOS DIVERSOS</t>
  </si>
  <si>
    <t>GTOS.GRALES.DE ADMON.Y PERSONAL DE OP. BURSATILES</t>
  </si>
  <si>
    <t>CENTRAL DEP. Y CUSTODIA DE VALORES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</si>
  <si>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</si>
  <si>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</si>
  <si>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</si>
  <si>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</si>
  <si>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</si>
  <si>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</si>
  <si>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</si>
  <si>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</si>
  <si>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</si>
  <si>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</si>
  <si>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</si>
  <si>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</si>
  <si>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</si>
  <si>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</si>
  <si>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IMPUESTOS SOBRE LA RENTA</t>
  </si>
  <si>
    <t>INGxSERV COLOC MERC PRIM-BOLSA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</si>
  <si>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</si>
  <si>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</si>
  <si>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</si>
  <si>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</si>
  <si>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</si>
  <si>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</si>
  <si>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</si>
  <si>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</si>
  <si>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</si>
  <si>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0702</t>
  </si>
  <si>
    <t>9901</t>
  </si>
  <si>
    <t>ACTIVO NO CORRIENTE</t>
  </si>
  <si>
    <t>PARA OPERACIONES DEL EXTERIOR</t>
  </si>
  <si>
    <t>UTILIDAD POR APLICAR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</si>
  <si>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</si>
  <si>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</si>
  <si>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</si>
  <si>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</si>
  <si>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</si>
  <si>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</si>
  <si>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</si>
  <si>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</si>
  <si>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INGRESOS DIFERIDOS</t>
  </si>
  <si>
    <t xml:space="preserve">OPERACIONES ACREEDORAS CON BANCOS </t>
  </si>
  <si>
    <t>0301</t>
  </si>
  <si>
    <t>0302</t>
  </si>
  <si>
    <t>0401</t>
  </si>
  <si>
    <t>0402</t>
  </si>
  <si>
    <t>03</t>
  </si>
  <si>
    <t>0601</t>
  </si>
  <si>
    <t>0501</t>
  </si>
  <si>
    <t>0701</t>
  </si>
  <si>
    <t>GASTOS PAGADOS POR ANTICIPADO Y CARGOS DIFERIDOS</t>
  </si>
  <si>
    <t>GASTOS DE OPERACIONES POR INVERSIONES PROPIAS</t>
  </si>
  <si>
    <t>OBLIGACIONES POR ADMON DE CARTERA</t>
  </si>
  <si>
    <t>COMISION BOLSA OPERAC.EXTERIOR</t>
  </si>
  <si>
    <t>9902</t>
  </si>
  <si>
    <t>DESEMBOLSOS Y RECUPERACIONES POR APLICAR</t>
  </si>
  <si>
    <t>PRESTAMOS A EMPRESAS PRIVADAS</t>
  </si>
  <si>
    <t>DEPOSITOS EN CUENTAS DE AHORRO</t>
  </si>
  <si>
    <t>DEPRECIACION ACUMULADA</t>
  </si>
  <si>
    <t>OBLIGACIONES A LA VISTA</t>
  </si>
  <si>
    <t>VALORES CUSCATLAN EL SALVADOR, S.A. DE C.V.</t>
  </si>
  <si>
    <t>0100</t>
  </si>
  <si>
    <t>0200</t>
  </si>
  <si>
    <t>DEPOSITOS EN CUENTA CORRIENTE</t>
  </si>
  <si>
    <t xml:space="preserve"> </t>
  </si>
  <si>
    <t>FONDOS DISPONIBLES</t>
  </si>
  <si>
    <t>VALORES RECIB.PARA CUSTODIA Y COBRO</t>
  </si>
  <si>
    <t>CARTAS DE CREDITO</t>
  </si>
  <si>
    <t>VALORES RECIBIDOS PARA CUSTODIA Y COBRO</t>
  </si>
  <si>
    <t>VENCIMIENTO DE REPORTOS DE BANCOS</t>
  </si>
  <si>
    <t>EMPRESA1</t>
  </si>
  <si>
    <t>PAIS1</t>
  </si>
  <si>
    <t>IMPUESTOS POR PAGAR PROPIOS</t>
  </si>
  <si>
    <t>IMPUESTO S/RENTA RETEN S/DEP PL</t>
  </si>
  <si>
    <t>CONTINGENCIAS POR AVALES Y FIANZAS</t>
  </si>
  <si>
    <t>OTRAS CONTINGENCIAS Y COMPROMISOS</t>
  </si>
  <si>
    <t>ADMON. DE CARTERA</t>
  </si>
  <si>
    <t>06</t>
  </si>
  <si>
    <t>MANUAL</t>
  </si>
  <si>
    <t>SISA VIDA, S.A.</t>
  </si>
  <si>
    <t>INTERESES POR SALDOS EN CUENTAS DE AHORROS</t>
  </si>
  <si>
    <t>PRESTAMOS VENCIDOS</t>
  </si>
  <si>
    <t>CUPONES</t>
  </si>
  <si>
    <t>CITIBANK N.A.</t>
  </si>
  <si>
    <t>DEPOSITO Y CUSTODIA DE VALORES</t>
  </si>
  <si>
    <t>AUDITORIA EXTERNA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</si>
  <si>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</si>
  <si>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</si>
  <si>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</si>
  <si>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</si>
  <si>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IMPUESTO SOBRE LA RENTA RETENIDO</t>
  </si>
  <si>
    <t>PRESTAMOS A EMPRESAS NO DOMICILIADAS</t>
  </si>
  <si>
    <t>OBLIG.x FONDOS R.C.x OP. BURSATILES</t>
  </si>
  <si>
    <t>CONTING.COMPROMISOS Y CONTROL PROP.</t>
  </si>
  <si>
    <t>CTAS CONTING.DE COMPROMISO DEUDORAS</t>
  </si>
  <si>
    <t>IMP. S/LA RENTA RETENIDO A CLIENTES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</si>
  <si>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</si>
  <si>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</si>
  <si>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</si>
  <si>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</si>
  <si>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</si>
  <si>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</si>
  <si>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</si>
  <si>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</si>
  <si>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EQUIPO DE SEGURIDAD</t>
  </si>
  <si>
    <t>GTS GRALS D/ADMON  D/PNAL D/OPE BUR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</si>
  <si>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</si>
  <si>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</si>
  <si>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</si>
  <si>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</si>
  <si>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</si>
  <si>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</si>
  <si>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</si>
  <si>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GASTOS X SERV RECIBIDOS DE TERCEROS</t>
  </si>
  <si>
    <t>GASTOS DIVERSOS</t>
  </si>
  <si>
    <t>ACTIVO</t>
  </si>
  <si>
    <t>PASIVO</t>
  </si>
  <si>
    <t>TITULOS VALORES EN CUSTODIA</t>
  </si>
  <si>
    <t>BANCOS</t>
  </si>
  <si>
    <t>SEGUROS E INVERSIONES, S.A.</t>
  </si>
  <si>
    <t>IMPUESTOS Y CONTRIBUCIONES</t>
  </si>
  <si>
    <t>COMISIONES COBRADAS POR  SERVICIOS DE CEDEVAL</t>
  </si>
  <si>
    <t>COMISIONES POR OPERACIONE EN BOLSA</t>
  </si>
  <si>
    <t>RESPONSABILIDAD POR GARANTIAS OTORGADAS</t>
  </si>
  <si>
    <t>PRESTAMOS A BANCOS</t>
  </si>
  <si>
    <t>PRESTAMOS A PARTICULARES</t>
  </si>
  <si>
    <t>CUENTAS POR PAGAR RELACIONADAS</t>
  </si>
  <si>
    <t>PATRIMONIO</t>
  </si>
  <si>
    <t>CAPITAL SOCIAL PAGADO</t>
  </si>
  <si>
    <t>RESERVAS DE CAPITAL</t>
  </si>
  <si>
    <t>RESULTADOS POR APLICAR</t>
  </si>
  <si>
    <t>CAJA</t>
  </si>
  <si>
    <t>DEPOSITOS EN EL BCR</t>
  </si>
  <si>
    <t>DOCUMENTOS A CARGO DE OTROS BANCOS</t>
  </si>
  <si>
    <t>DEPOSITOS EN BANCOS LOCALES</t>
  </si>
  <si>
    <t>DEPOSITOS EN BANCOS EXTRANJEROS</t>
  </si>
  <si>
    <t>OPERACIONES BURSATILES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</si>
  <si>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</si>
  <si>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</si>
  <si>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</si>
  <si>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</si>
  <si>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</si>
  <si>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TOTAL</t>
  </si>
  <si>
    <t>DOCUMENTO</t>
  </si>
  <si>
    <t>REGISTRO</t>
  </si>
  <si>
    <t>MUEBLES</t>
  </si>
  <si>
    <t>MOBILIARIO DE OFICINA</t>
  </si>
  <si>
    <t>EQUIPOS DE COMPUTACION</t>
  </si>
  <si>
    <t>ACCIONES</t>
  </si>
  <si>
    <t>BOLSA DE VALORES</t>
  </si>
  <si>
    <t>Valores Cuscatlan, S.A. de C.V.</t>
  </si>
  <si>
    <t>GASTOS</t>
  </si>
  <si>
    <t>GASTOS OPERAC DE SERVS. BURSATILES</t>
  </si>
  <si>
    <t>GTOS.x COMIS. BOLSA DE VAL.x OPERAC</t>
  </si>
  <si>
    <t>BANCOS Y OTRAS INSTIT FINANC</t>
  </si>
  <si>
    <t>BANCOS Y OTRAS INSTIT FINANC LOCALE</t>
  </si>
  <si>
    <t>TITULOS DE EMISION PROPIA</t>
  </si>
  <si>
    <t>CUENTAS DEUDORAS POR EFECTIVO Y DERECHOS POR SERVICIOS</t>
  </si>
  <si>
    <t>OTROS IMPUESTOS RETENIDOS</t>
  </si>
  <si>
    <t>CUENTAS CONTINGENTES Y COMPROMISOS</t>
  </si>
  <si>
    <t>RESPONSAB. POR GARANTIAS OTORGADAS</t>
  </si>
  <si>
    <t>RESP.x GARANTIAS OTORG.INST.FINANC.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</si>
  <si>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</si>
  <si>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</si>
  <si>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</si>
  <si>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</si>
  <si>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OBLIGACIONES POR OPERACS BURSATILES</t>
  </si>
  <si>
    <t>SEGUROS E INVERSIONES,SA</t>
  </si>
  <si>
    <t>PORTAFOLIO 10</t>
  </si>
  <si>
    <t>RESULTADOS DE EJERCICIOS ANTERIORES</t>
  </si>
  <si>
    <t>EQUIPO DE COMPUTACION</t>
  </si>
  <si>
    <t>EQUIPO DE OFICINA</t>
  </si>
  <si>
    <t>OTROS</t>
  </si>
  <si>
    <t>RESPONSABILIDAD POR OTRAS CONTINGENCIAS Y COMPROMI</t>
  </si>
  <si>
    <t>COMISIONES COBRADAS POR OPERACIONES EN BOLSA</t>
  </si>
  <si>
    <t>COMISIONES COBRADAS POR OPERACIONES DE CUSTODIA CEDEVAL</t>
  </si>
  <si>
    <t>IMPUESTO SOBRE LA RENTA</t>
  </si>
  <si>
    <t>RETENCIONES</t>
  </si>
  <si>
    <t>PROVISIONES</t>
  </si>
  <si>
    <t>CUENTA_CONTABLE1</t>
  </si>
  <si>
    <t>SLD_MONEDA_LOCAL1</t>
  </si>
  <si>
    <t>TASA_CAMBIO1</t>
  </si>
  <si>
    <t>SLD_MONEDA_DOLAR1</t>
  </si>
  <si>
    <t>MonthlyRevenue</t>
  </si>
  <si>
    <t>EMPRESA2</t>
  </si>
  <si>
    <t>Destiny Entity Code</t>
  </si>
  <si>
    <t>PAIS2</t>
  </si>
  <si>
    <t>SV</t>
  </si>
  <si>
    <t>PROVISION PARA INCOBRABILIDAD DE PRESTAMOS</t>
  </si>
  <si>
    <t>BIENES RECIBIDOS EN PAGO O ADJUDICADOS</t>
  </si>
  <si>
    <t>113900000103</t>
  </si>
  <si>
    <t>FIDEICOMISOS</t>
  </si>
  <si>
    <t>INMUEBLES</t>
  </si>
  <si>
    <t>RESERVA LEGAL</t>
  </si>
  <si>
    <t>INVER FINANCIERAS A LARGO PLAZO</t>
  </si>
  <si>
    <t>INVERS CONSERVDAS PARA NEGOCIACION</t>
  </si>
  <si>
    <t>ACCIONES CEDEVAL</t>
  </si>
  <si>
    <t>COMISIONES POR SERVICIOS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</si>
  <si>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</si>
  <si>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</si>
  <si>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</si>
  <si>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</si>
  <si>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</si>
  <si>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</si>
  <si>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</si>
  <si>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</si>
  <si>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</si>
  <si>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>CTS. Y DOC. x COBRAR RELACIONADAS.</t>
  </si>
  <si>
    <t>CTS. Y DOC. x COB. EMPRES. RELAC.</t>
  </si>
  <si>
    <t>RESERVA TECNICA CAPITAL</t>
  </si>
  <si>
    <t xml:space="preserve">TOTAL </t>
  </si>
  <si>
    <t>NO SUJETAS</t>
  </si>
  <si>
    <t>EXENTAS</t>
  </si>
  <si>
    <t xml:space="preserve">VALOR NETO </t>
  </si>
  <si>
    <t>589-4</t>
  </si>
  <si>
    <t>PROVISION POR PERDIDAS</t>
  </si>
  <si>
    <t>CUENTAS POR COBRAR</t>
  </si>
  <si>
    <t>RENDIMIENTOS POR PAGAR</t>
  </si>
  <si>
    <t xml:space="preserve">                                                </t>
  </si>
  <si>
    <t xml:space="preserve">                                            </t>
  </si>
  <si>
    <t>Contador</t>
  </si>
  <si>
    <t>SERVICIOS DE CUSTODIA DE VALORES</t>
  </si>
  <si>
    <t>SERVICIOS DE PUBLICIDAD</t>
  </si>
  <si>
    <t>DEPREC. ACUM. MOBILIARIO Y EQUIPO</t>
  </si>
  <si>
    <t>PASIVO CORRIENTE</t>
  </si>
  <si>
    <t>Diferencia</t>
  </si>
  <si>
    <t>ACREEDORES VARIOS</t>
  </si>
  <si>
    <t>216</t>
  </si>
  <si>
    <t>PATRIMONIO NETO</t>
  </si>
  <si>
    <t>CAPITAL</t>
  </si>
  <si>
    <t>OTROS GASTOS EXTRAORDINARIOS</t>
  </si>
  <si>
    <t>INGRESOS POR SERVICIOS BURSATILES</t>
  </si>
  <si>
    <t>TITULOS DE RENTA FIJA</t>
  </si>
  <si>
    <t>CLIENTES PARTICULARES</t>
  </si>
  <si>
    <t>PROVISION PARA VALUACION DE INVERSIONES</t>
  </si>
  <si>
    <t>GASTOS NO DEDUCIBLES</t>
  </si>
  <si>
    <t>SEGUROS E INVERSIONES, S.A DE C.V.</t>
  </si>
  <si>
    <t>OTRAS GARANTIAS CEDIDAS</t>
  </si>
  <si>
    <t>DEPOSITOS EN GARANTIA A BVES</t>
  </si>
  <si>
    <t>CONTRIBUCIONES ACABOLSA.</t>
  </si>
  <si>
    <t>VALORES CUSCATLAN, S. A. DE C.V.   REGISTRO 57974-2</t>
  </si>
  <si>
    <t>REPORTE DE VENTAS CONSUMIDOR FINAL</t>
  </si>
  <si>
    <t>DISPONIBLE RESTRINGIDO</t>
  </si>
  <si>
    <t>CUENTAS Y DOCUMENTOS POR COBRAR</t>
  </si>
  <si>
    <t>CREDITO FISCAL IVA</t>
  </si>
  <si>
    <t>PAGO A CUENTA IMPUESTO A LA RENTA</t>
  </si>
  <si>
    <t>PAGO A CUENTA DE IMP A LA RENTA</t>
  </si>
  <si>
    <t>OTROS EQUIPOS DE OFICINA</t>
  </si>
  <si>
    <t>MAQUINARIA EQUIPO Y HERRAMIENTA</t>
  </si>
  <si>
    <t>DEPREC ACUM DE MOBILIARI Y EQUI</t>
  </si>
  <si>
    <t>ACCIONES BVES</t>
  </si>
  <si>
    <t>DERECHO DE EXPLOT. PUESTO BOLSA</t>
  </si>
  <si>
    <t>AMORTIZACION PUESTO BOLSA</t>
  </si>
  <si>
    <t>COMISIONES OPER.BOLSAxPAG BVES</t>
  </si>
  <si>
    <t>IMPUESTOS S/RENTA ANUAL PROVISI</t>
  </si>
  <si>
    <t>GASTOS DE OPERACION</t>
  </si>
  <si>
    <t>GTOS. OPERAC. x SERVIC. BURSATILES</t>
  </si>
  <si>
    <t>SEGUROS PARA EL PERSONAL - ADMO</t>
  </si>
  <si>
    <t>SERV DE CUSTODI DE VALORES-BOLSA</t>
  </si>
  <si>
    <t>SERVICIO DE PUBLICIDAD (BOLSA)</t>
  </si>
  <si>
    <t>SERVICIOS DE PUBLICIDAD (ADMON)</t>
  </si>
  <si>
    <t>CONTRIBUCIONES ASIB (BOLSA)</t>
  </si>
  <si>
    <t>INGRESOS DE OPERACION</t>
  </si>
  <si>
    <t>INGR x SERVIC DE OPERAC BURSATILES</t>
  </si>
  <si>
    <t>INGR x SERVICIO DE COLOC MERC SEC</t>
  </si>
  <si>
    <t>COMIS.BOLSA MERC.SECUNDARIO</t>
  </si>
  <si>
    <t>INGRESOS POR SERVICIOS DE REPORTO</t>
  </si>
  <si>
    <t>INGR x SERV REPORTO BOLSA</t>
  </si>
  <si>
    <t>INGRESO x SERV REPORTO CASA</t>
  </si>
  <si>
    <t>COMISION CASA OPERAC EXTERIOR</t>
  </si>
  <si>
    <t>INGRESOS X INVERSIONES FINANCIERAS</t>
  </si>
  <si>
    <t>ING.x CTAS Y DOC.x COBRAR</t>
  </si>
  <si>
    <t>REND. x CTAS Y DOC.x COBRAR</t>
  </si>
  <si>
    <t>ADMON DE CARTERA</t>
  </si>
  <si>
    <t>CUENTAS DE CONTROL</t>
  </si>
  <si>
    <t>VALORES Y BIENES PROPIOS CUSTODIA</t>
  </si>
  <si>
    <t>TITULOS VALS EN CUSTODIA</t>
  </si>
  <si>
    <t>VAL- BIEN.PROP.CEDIDOS EN GARANTIA</t>
  </si>
  <si>
    <t>CONTING.COMPROMISO Y CONTROL PROP.</t>
  </si>
  <si>
    <t>RESPxGTIAS OTORGA A INSTI FINAN</t>
  </si>
  <si>
    <t>RESP.x OTRAS CONTING.Y COMPROMISOS</t>
  </si>
  <si>
    <t>RESPONS.x PAGOS x CTA. DE EMISORES</t>
  </si>
  <si>
    <t>RESPONS X PAGOSX CTA DE EMISORES</t>
  </si>
  <si>
    <t>CUENTAS DE CONTROL ACREEDORAS</t>
  </si>
  <si>
    <t>CONTRACUENTA VAL Y B.PROP.CUSTODIA</t>
  </si>
  <si>
    <t>CONTRA CTA VALS Y BIEN PROP CUST</t>
  </si>
  <si>
    <t>CONTRACUENTA VAL Y B.P.C.GARANTIA</t>
  </si>
  <si>
    <t>OP.SERV.BURSATILES Y ADMON.CARTERA</t>
  </si>
  <si>
    <t>CTAS .DEUDOR.x  OPERAC. BURSATILES</t>
  </si>
  <si>
    <t>SISA VIDA, SA.SEGUROS PERSONAS</t>
  </si>
  <si>
    <t>CUENTAS BANCARIAS ADMON  CARTERA</t>
  </si>
  <si>
    <t>PORTAFOLIO CTAS. OPERATIVAS</t>
  </si>
  <si>
    <t>PORTAFOLIO 01</t>
  </si>
  <si>
    <t>PORTAFOLIO 03</t>
  </si>
  <si>
    <t>PORTAFOLIO 08</t>
  </si>
  <si>
    <t>PORTAFOLIO 09</t>
  </si>
  <si>
    <t>OBLIG.xS.OP.BURSAT.-ADMON. CARTERA</t>
  </si>
  <si>
    <t>OBLIG.x FONDOS RECIB. DE CLIENTES</t>
  </si>
  <si>
    <t>VENCIMIENTO DE REPORTOS DE BANC</t>
  </si>
  <si>
    <t>CONTROL VALORES RECIB. X CUSTODIA</t>
  </si>
  <si>
    <t>CTAS ACREED.xOBLIG.xADMON.CARTERA</t>
  </si>
  <si>
    <t>OBLIG. POR A. DE C. P-03</t>
  </si>
  <si>
    <t>OBLIG. POR A. DE C. P-10</t>
  </si>
  <si>
    <t>OBLIG. POR ADMON. DE CARTERA P-08 PJ</t>
  </si>
  <si>
    <t>OBLIG. POR ADMON. DE CARTERA P-09 PN</t>
  </si>
  <si>
    <t>KPMG AUDITORIA FINANCIERA</t>
  </si>
  <si>
    <t>KPMG AUDITORIA FISCAL</t>
  </si>
  <si>
    <t>CUENTA_CONTABLE COBIS</t>
  </si>
  <si>
    <t>ARRENDAMIENTO DE BIENES DE USO</t>
  </si>
  <si>
    <t>DEPOSITOS EFECTIVO GARANTIA A BVES</t>
  </si>
  <si>
    <t>GARANTIA EN EFECTIVO POR INTERMEDIACION</t>
  </si>
  <si>
    <t>COMISION CEDEVAL</t>
  </si>
  <si>
    <t>COMISION MERCADO PRIMARIO</t>
  </si>
  <si>
    <t>REMANENTE IVA CREDITO FISCAL PR</t>
  </si>
  <si>
    <t>PORTAFOLIO INVERSION A PLAZO</t>
  </si>
  <si>
    <t>BANCOS Y FINANCIERAS</t>
  </si>
  <si>
    <t>PORTAFOLIO PRO RETIRO</t>
  </si>
  <si>
    <t>PORTAFOLIO MAS PN</t>
  </si>
  <si>
    <t>ALQUILER DE LOCALES INTERCOMPANY EDIFICIO PIRAMIDE</t>
  </si>
  <si>
    <t>OTRAS CUENTAS POR COBRAR</t>
  </si>
  <si>
    <t>SEGURO DE PERSONAL</t>
  </si>
  <si>
    <t>PROVEEDORES</t>
  </si>
  <si>
    <t>LIQUIDACION AP INTERCOMPANY</t>
  </si>
  <si>
    <t>ANTICIPOS A PROVEEDORES</t>
  </si>
  <si>
    <t>CUENTA CTE BCO. CUSCATLAN 382301000003169_EXENTA</t>
  </si>
  <si>
    <t>CUENTA CTE BCO CUSCATLAN 1803-04011</t>
  </si>
  <si>
    <t>CUENTA CTE BCO. CUSCATLAN 382301000003062_EXENTA</t>
  </si>
  <si>
    <t>BCO. CUSCATLAN EL SALVADOR, S.A.</t>
  </si>
  <si>
    <t>BANCO CUSCATLAN COM.BOLSA</t>
  </si>
  <si>
    <t>BANCO CUSCATLAN</t>
  </si>
  <si>
    <t>CTAS. X PAGAR BANCO CUSCATLAN DE EL SALVADOR</t>
  </si>
  <si>
    <t>GANANCIA VENTA MUEBLES</t>
  </si>
  <si>
    <t>GANANCIA VENTA EQUIPO</t>
  </si>
  <si>
    <t>BCO. CUSCATLAN CTA. 1803-04176</t>
  </si>
  <si>
    <t>BCO. CUSCATLAN CTA. 1803-05973</t>
  </si>
  <si>
    <t>INVERSIONES FINANCIERAS CUSCATLAN</t>
  </si>
  <si>
    <t>BANCO CUSCATLAN DE EL SALVADOR,S.A</t>
  </si>
  <si>
    <t>BCO CUSCATLAN DE EL SALVADOR,S.A</t>
  </si>
  <si>
    <t>BANCO CUSCATLAN 364-01-5</t>
  </si>
  <si>
    <t>BANCO CUSCATLAN 364-01-6</t>
  </si>
  <si>
    <t>BANCO CUSCATLAN ES</t>
  </si>
  <si>
    <t>BCO. CUSCATLAN DE EL SALVADOR .R.VARIAB</t>
  </si>
  <si>
    <t>MES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</si>
  <si>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</si>
  <si>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</si>
  <si>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</si>
  <si>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</si>
  <si>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</si>
  <si>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</si>
  <si>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</si>
  <si>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Ingresos Mensuales</t>
  </si>
  <si>
    <t>SEGUROS PAGADOS POR ANTICIPADO</t>
  </si>
  <si>
    <t>PAGO ANTICIPADO SEGURO RIESGOS BANCARIOS</t>
  </si>
  <si>
    <t>PAGO ANTICIPADO SEGURO DE PROPIEDAD</t>
  </si>
  <si>
    <t>GASTOS POR SEGUROS</t>
  </si>
  <si>
    <t>SEGU P/BIENE D/ PROP PLANTA Y EQUIP</t>
  </si>
  <si>
    <t>SEGURO DE PROPIEDAD</t>
  </si>
  <si>
    <t>SEGURO RIESGOS BANCARIOS</t>
  </si>
  <si>
    <t xml:space="preserve">GASTO MENSUAL DE SEGURO PAGADO POR ANTICIPADO </t>
  </si>
  <si>
    <t>GASTO DE ARRENDAMIENTOS BANCO CUSCATLAN</t>
  </si>
  <si>
    <t>AlQUILER DE ESPACIO EDIFICIO PIRAMIDE</t>
  </si>
  <si>
    <t>CUENTAS AREEDORAS POR OBLIGACIONES POR SERVICIOS EN ADMINISTRACION DE CARTERA</t>
  </si>
  <si>
    <t>399</t>
  </si>
  <si>
    <t>Ingresos operativos</t>
  </si>
  <si>
    <t>Ingresos Intercompany</t>
  </si>
  <si>
    <t>Intercompany</t>
  </si>
  <si>
    <t>INVERSIONES FINANCIERAS IMPERIA CUSCATLAN, S.A.</t>
  </si>
  <si>
    <t>ANULADO</t>
  </si>
  <si>
    <t>ALMACENAMIENTO DE DOCUMENTACION (ADMON.)</t>
  </si>
  <si>
    <t>ALMACENAMIENTO DE DOCUMENTACION (BOLSA)</t>
  </si>
  <si>
    <t>IMPUESTO S/RENTA RETENIDO S/REPORTOS</t>
  </si>
  <si>
    <t>Citibank NA</t>
  </si>
  <si>
    <t>Cod</t>
  </si>
  <si>
    <t>Cliente</t>
  </si>
  <si>
    <t>Banco Cuscatlan</t>
  </si>
  <si>
    <t>SISA VIDA</t>
  </si>
  <si>
    <t>Ingresos intercompany</t>
  </si>
  <si>
    <t>Gastos intercompany</t>
  </si>
  <si>
    <t>Resultados intercompany</t>
  </si>
  <si>
    <t>BANCO CUSCATLAN DE EL SALVADOR</t>
  </si>
  <si>
    <t>CUENTAS PASIVAS</t>
  </si>
  <si>
    <t>INVERSIONES FINANCIERAS IMPERIA CUSCATLAN, SA</t>
  </si>
  <si>
    <t>250443-6</t>
  </si>
  <si>
    <t>CUENTAS CONTINGENTES DE COMPROMISO DEUDORAS</t>
  </si>
  <si>
    <t>COLOCACION EN PERCADO PRIMARIO</t>
  </si>
  <si>
    <t>Venta con Factura</t>
  </si>
  <si>
    <t>Devolucion de comision por inactividad de cuentas de ahorro</t>
  </si>
  <si>
    <t>328</t>
  </si>
  <si>
    <t>334</t>
  </si>
  <si>
    <t>378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</si>
  <si>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</si>
  <si>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</si>
  <si>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</si>
  <si>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</si>
  <si>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</si>
  <si>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</si>
  <si>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</si>
  <si>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</si>
  <si>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</si>
  <si>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</si>
  <si>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</si>
  <si>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</si>
  <si>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</si>
  <si>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</si>
  <si>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</si>
  <si>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</si>
  <si>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</si>
  <si>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</si>
  <si>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</si>
  <si>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</si>
  <si>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</si>
  <si>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</si>
  <si>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</si>
  <si>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</si>
  <si>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</si>
  <si>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</si>
  <si>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</si>
  <si>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</si>
  <si>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</si>
  <si>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0097</t>
  </si>
  <si>
    <t>00419</t>
  </si>
  <si>
    <t>00420</t>
  </si>
  <si>
    <t>LIQ. IVA DEBITO FISCAL DEL MES - COMP. CREDITO FISCAL</t>
  </si>
  <si>
    <t>LIQ. IVA DEBITO FISCAL DEL MES - PAGO DEL REMANENTE</t>
  </si>
  <si>
    <t>CITIBANK, N.A. SUCURSAL EL SALVADOR</t>
  </si>
  <si>
    <t>CTA AHOR BANCO INDUSTRIAL No. 21-505-000046-3</t>
  </si>
  <si>
    <t>00421</t>
  </si>
  <si>
    <t>00422</t>
  </si>
  <si>
    <t>00423</t>
  </si>
  <si>
    <t>00424</t>
  </si>
  <si>
    <t>00425</t>
  </si>
  <si>
    <t>00426</t>
  </si>
  <si>
    <t>00427</t>
  </si>
  <si>
    <t>CTA AHOR APOYO INTEGRAL 021-015-000395058-01</t>
  </si>
  <si>
    <t>2008</t>
  </si>
  <si>
    <t>284</t>
  </si>
  <si>
    <t>283</t>
  </si>
  <si>
    <t>00428</t>
  </si>
  <si>
    <t>00429</t>
  </si>
  <si>
    <t>00430</t>
  </si>
  <si>
    <t>CTA CTE REMUNERADA BAC No.114187974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</si>
  <si>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</si>
  <si>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</si>
  <si>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</si>
  <si>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</si>
  <si>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</si>
  <si>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</si>
  <si>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</si>
  <si>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</si>
  <si>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1994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</si>
  <si>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</si>
  <si>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</si>
  <si>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</si>
  <si>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</si>
  <si>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</si>
  <si>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</si>
  <si>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</si>
  <si>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</si>
  <si>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</si>
  <si>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</si>
  <si>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</si>
  <si>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</si>
  <si>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</si>
  <si>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</si>
  <si>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</si>
  <si>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</si>
  <si>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</t>
  </si>
  <si>
    <t>SEPTIEMBRE</t>
  </si>
  <si>
    <t>00457</t>
  </si>
  <si>
    <t>00458</t>
  </si>
  <si>
    <t>00459</t>
  </si>
  <si>
    <t>00460</t>
  </si>
  <si>
    <t>VENTAS CONSUMIDOR FINAL</t>
  </si>
  <si>
    <t>VENTAS CONTRIBUYENTES</t>
  </si>
  <si>
    <t>VENTAS EXENTAS</t>
  </si>
  <si>
    <t>CALCULO DEL DEBITO FISCAL</t>
  </si>
  <si>
    <t>13% IMPUESTO</t>
  </si>
  <si>
    <t>TOTAL VENTAS GRAVADAS</t>
  </si>
  <si>
    <t>392</t>
  </si>
  <si>
    <t>391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</si>
  <si>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</si>
  <si>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</si>
  <si>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</si>
  <si>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</si>
  <si>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</si>
  <si>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</si>
  <si>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</si>
  <si>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</si>
  <si>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</si>
  <si>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</si>
  <si>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</si>
  <si>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</si>
  <si>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</si>
  <si>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</si>
  <si>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</si>
  <si>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</si>
  <si>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</si>
  <si>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</si>
  <si>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</si>
  <si>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</si>
  <si>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CTA AHOR BCO CUSCATLAN 18-6868-6</t>
  </si>
  <si>
    <t>00481</t>
  </si>
  <si>
    <t>00482</t>
  </si>
  <si>
    <t>00483</t>
  </si>
  <si>
    <t>00484</t>
  </si>
  <si>
    <t>00486</t>
  </si>
  <si>
    <t>00485</t>
  </si>
  <si>
    <t>00487</t>
  </si>
  <si>
    <t>00488</t>
  </si>
  <si>
    <t>00489</t>
  </si>
  <si>
    <t>00490</t>
  </si>
  <si>
    <t>00496</t>
  </si>
  <si>
    <t>00495</t>
  </si>
  <si>
    <t>00492</t>
  </si>
  <si>
    <t>00493</t>
  </si>
  <si>
    <t>00491</t>
  </si>
  <si>
    <t>00497</t>
  </si>
  <si>
    <t>00498</t>
  </si>
  <si>
    <t>00499</t>
  </si>
  <si>
    <t>00500</t>
  </si>
  <si>
    <t>00001</t>
  </si>
  <si>
    <t>00002</t>
  </si>
  <si>
    <t>0003</t>
  </si>
  <si>
    <t>0004</t>
  </si>
  <si>
    <t>OCTUBRE</t>
  </si>
  <si>
    <r>
      <t xml:space="preserve">VALORES CUSCATLAN, S. A. DE C.V.   </t>
    </r>
    <r>
      <rPr>
        <sz val="16"/>
        <rFont val="Cambria"/>
        <family val="1"/>
        <scheme val="major"/>
      </rPr>
      <t>REGISTRO 57974-2</t>
    </r>
  </si>
  <si>
    <t xml:space="preserve">Numero de </t>
  </si>
  <si>
    <t>1% retencion IVA</t>
  </si>
  <si>
    <t>DEL NO.</t>
  </si>
  <si>
    <t>AL NO.</t>
  </si>
  <si>
    <t>GRAVADAS</t>
  </si>
  <si>
    <t>Comprobante de retencion</t>
  </si>
  <si>
    <t>Entidades de gobierno</t>
  </si>
  <si>
    <t>01987</t>
  </si>
  <si>
    <t>01982</t>
  </si>
  <si>
    <t>1983</t>
  </si>
  <si>
    <t>1984</t>
  </si>
  <si>
    <t>1991</t>
  </si>
  <si>
    <t>TOTAL VENTAS NO SUJETAS</t>
  </si>
  <si>
    <t>TOTAL VENTAS EXENTAS</t>
  </si>
  <si>
    <t>Liq. IVA deb. del mes factura</t>
  </si>
  <si>
    <t>Total del mes</t>
  </si>
  <si>
    <t>F</t>
  </si>
  <si>
    <t>Contador General.</t>
  </si>
  <si>
    <t>CENTRAL DE VALORES</t>
  </si>
  <si>
    <t>VENCIMIENTO DE REPORTOS DE BCU</t>
  </si>
  <si>
    <t>0005</t>
  </si>
  <si>
    <t>0006</t>
  </si>
  <si>
    <t>0007</t>
  </si>
  <si>
    <t>0008</t>
  </si>
  <si>
    <t>0009</t>
  </si>
  <si>
    <t>0010</t>
  </si>
  <si>
    <t>0011</t>
  </si>
  <si>
    <t>0012</t>
  </si>
  <si>
    <t>00015</t>
  </si>
  <si>
    <t>00016</t>
  </si>
  <si>
    <t>00014</t>
  </si>
  <si>
    <t>00013</t>
  </si>
  <si>
    <t>00017</t>
  </si>
  <si>
    <t>00018</t>
  </si>
  <si>
    <t>00019</t>
  </si>
  <si>
    <t>00020</t>
  </si>
  <si>
    <t>NOVIEMBRE</t>
  </si>
  <si>
    <t>1993</t>
  </si>
  <si>
    <t>1992</t>
  </si>
  <si>
    <t>321</t>
  </si>
  <si>
    <t>DICIEMBRE</t>
  </si>
  <si>
    <t>1995</t>
  </si>
  <si>
    <t>1996</t>
  </si>
  <si>
    <t>1997</t>
  </si>
  <si>
    <t>1998</t>
  </si>
  <si>
    <t>07/12/2018</t>
  </si>
  <si>
    <t>00021</t>
  </si>
  <si>
    <t>00022</t>
  </si>
  <si>
    <t>00027</t>
  </si>
  <si>
    <t>00028</t>
  </si>
  <si>
    <t>00031</t>
  </si>
  <si>
    <t>00032</t>
  </si>
  <si>
    <t>00033</t>
  </si>
  <si>
    <t>00034</t>
  </si>
  <si>
    <t>00035</t>
  </si>
  <si>
    <t>00036</t>
  </si>
  <si>
    <t>00039</t>
  </si>
  <si>
    <t>00038</t>
  </si>
  <si>
    <t>00037</t>
  </si>
  <si>
    <t>0023</t>
  </si>
  <si>
    <t>0024</t>
  </si>
  <si>
    <t>CONTINGENTES DE COMPROMISO Y CONTROL ACREEDORAS</t>
  </si>
  <si>
    <t>200</t>
  </si>
  <si>
    <t>2030</t>
  </si>
  <si>
    <t>02005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</si>
  <si>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</si>
  <si>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</si>
  <si>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</si>
  <si>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</si>
  <si>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</si>
  <si>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</si>
  <si>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</si>
  <si>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</si>
  <si>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</si>
  <si>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</si>
  <si>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</si>
  <si>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00053</t>
  </si>
  <si>
    <t>00054</t>
  </si>
  <si>
    <t>00055</t>
  </si>
  <si>
    <t>00056</t>
  </si>
  <si>
    <t>00057</t>
  </si>
  <si>
    <t>00058</t>
  </si>
  <si>
    <t>23/01/2019</t>
  </si>
  <si>
    <t>00059</t>
  </si>
  <si>
    <t>00060</t>
  </si>
  <si>
    <t>00063</t>
  </si>
  <si>
    <t>00064</t>
  </si>
  <si>
    <t>00067</t>
  </si>
  <si>
    <t>00068</t>
  </si>
  <si>
    <t>30-001-2019</t>
  </si>
  <si>
    <t>00069</t>
  </si>
  <si>
    <t>00070</t>
  </si>
  <si>
    <t>00065</t>
  </si>
  <si>
    <t>00066</t>
  </si>
  <si>
    <t>ENERO - 2019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</si>
  <si>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</si>
  <si>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</si>
  <si>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</si>
  <si>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</si>
  <si>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</si>
  <si>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</si>
  <si>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</si>
  <si>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</si>
  <si>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00081</t>
  </si>
  <si>
    <t>00082</t>
  </si>
  <si>
    <t>00083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</si>
  <si>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</si>
  <si>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</si>
  <si>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</si>
  <si>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</si>
  <si>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</si>
  <si>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</si>
  <si>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</si>
  <si>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</si>
  <si>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</si>
  <si>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</si>
  <si>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</si>
  <si>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</si>
  <si>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</si>
  <si>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</si>
  <si>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FEBRERO 2019</t>
  </si>
  <si>
    <t>2017</t>
  </si>
  <si>
    <t>02006</t>
  </si>
  <si>
    <t>01/03/2019</t>
  </si>
  <si>
    <t>05/03/2019</t>
  </si>
  <si>
    <t>25/03/2019</t>
  </si>
  <si>
    <t>100</t>
  </si>
  <si>
    <t>04/03/2019</t>
  </si>
  <si>
    <t>101</t>
  </si>
  <si>
    <t>102</t>
  </si>
  <si>
    <t>103</t>
  </si>
  <si>
    <t>104</t>
  </si>
  <si>
    <t>06/03/2019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</si>
  <si>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</si>
  <si>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</si>
  <si>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</si>
  <si>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</si>
  <si>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</si>
  <si>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</si>
  <si>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</si>
  <si>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</si>
  <si>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</si>
  <si>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</si>
  <si>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</si>
  <si>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</si>
  <si>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</si>
  <si>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</si>
  <si>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</si>
  <si>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</si>
  <si>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</si>
  <si>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121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</si>
  <si>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</si>
  <si>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</si>
  <si>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</si>
  <si>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</si>
  <si>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</si>
  <si>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</si>
  <si>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</si>
  <si>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</si>
  <si>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</si>
  <si>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</si>
  <si>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</si>
  <si>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2007</t>
  </si>
  <si>
    <t>MARZO 2019</t>
  </si>
  <si>
    <t>ABRIL 2019</t>
  </si>
  <si>
    <t>00141</t>
  </si>
  <si>
    <t>00142</t>
  </si>
  <si>
    <t>00139</t>
  </si>
  <si>
    <t>00140</t>
  </si>
  <si>
    <t>00143</t>
  </si>
  <si>
    <t>00144</t>
  </si>
  <si>
    <t>00145</t>
  </si>
  <si>
    <t>00146</t>
  </si>
  <si>
    <t>00147</t>
  </si>
  <si>
    <t>00148</t>
  </si>
  <si>
    <t>00137</t>
  </si>
  <si>
    <t>00138</t>
  </si>
  <si>
    <t>00149</t>
  </si>
  <si>
    <t>00150</t>
  </si>
  <si>
    <t>00151</t>
  </si>
  <si>
    <t>00152</t>
  </si>
  <si>
    <t>00126</t>
  </si>
  <si>
    <t>00153</t>
  </si>
  <si>
    <t>00154</t>
  </si>
  <si>
    <t>00155</t>
  </si>
  <si>
    <t>00159</t>
  </si>
  <si>
    <t>00160</t>
  </si>
  <si>
    <t>00157</t>
  </si>
  <si>
    <t>00158</t>
  </si>
  <si>
    <t>00161</t>
  </si>
  <si>
    <t>00162</t>
  </si>
  <si>
    <t>00163</t>
  </si>
  <si>
    <t>00164</t>
  </si>
  <si>
    <t>00165</t>
  </si>
  <si>
    <t>00166</t>
  </si>
  <si>
    <t>22/05/2019</t>
  </si>
  <si>
    <t>00167</t>
  </si>
  <si>
    <t>00168</t>
  </si>
  <si>
    <t>00169</t>
  </si>
  <si>
    <t>00170</t>
  </si>
  <si>
    <t>00171</t>
  </si>
  <si>
    <t>00172</t>
  </si>
  <si>
    <t>MAYO 2019</t>
  </si>
  <si>
    <t>00173</t>
  </si>
  <si>
    <t>00174</t>
  </si>
  <si>
    <t>11/06/2019</t>
  </si>
  <si>
    <t>00175</t>
  </si>
  <si>
    <t>00176</t>
  </si>
  <si>
    <t>13/06/2019</t>
  </si>
  <si>
    <t>00177</t>
  </si>
  <si>
    <t>00178</t>
  </si>
  <si>
    <t>18/06/2019</t>
  </si>
  <si>
    <t>00179</t>
  </si>
  <si>
    <t>00180</t>
  </si>
  <si>
    <t>19/06/2019</t>
  </si>
  <si>
    <t>00181</t>
  </si>
  <si>
    <t>00182</t>
  </si>
  <si>
    <t>24/06/2019</t>
  </si>
  <si>
    <t>00183</t>
  </si>
  <si>
    <t>00184</t>
  </si>
  <si>
    <t>00185</t>
  </si>
  <si>
    <t>JUNIO 2019</t>
  </si>
  <si>
    <t>2012</t>
  </si>
  <si>
    <t>2099</t>
  </si>
  <si>
    <t>02002</t>
  </si>
  <si>
    <t>02003</t>
  </si>
  <si>
    <t>02004</t>
  </si>
  <si>
    <t>02009</t>
  </si>
  <si>
    <t>FID. ARTURO - ALCALDIA MUNICIPAL DE METAPAN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</si>
  <si>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</si>
  <si>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</si>
  <si>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</si>
  <si>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</si>
  <si>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</si>
  <si>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</si>
  <si>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</si>
  <si>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</si>
  <si>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</si>
  <si>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</si>
  <si>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</si>
  <si>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</si>
  <si>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</si>
  <si>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</si>
  <si>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</si>
  <si>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</si>
  <si>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</si>
  <si>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</si>
  <si>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</si>
  <si>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</si>
  <si>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</si>
  <si>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</si>
  <si>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</si>
  <si>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</si>
  <si>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</si>
  <si>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22/07/2019</t>
  </si>
  <si>
    <t>213</t>
  </si>
  <si>
    <t>249</t>
  </si>
  <si>
    <t>250</t>
  </si>
  <si>
    <t>214</t>
  </si>
  <si>
    <t>215</t>
  </si>
  <si>
    <t>217</t>
  </si>
  <si>
    <t>218</t>
  </si>
  <si>
    <t>219</t>
  </si>
  <si>
    <t>220</t>
  </si>
  <si>
    <t>247</t>
  </si>
  <si>
    <t>248</t>
  </si>
  <si>
    <t>221</t>
  </si>
  <si>
    <t>222</t>
  </si>
  <si>
    <t>223</t>
  </si>
  <si>
    <t>224</t>
  </si>
  <si>
    <t>225</t>
  </si>
  <si>
    <t>226</t>
  </si>
  <si>
    <t>JULIO 2019</t>
  </si>
  <si>
    <t>00227</t>
  </si>
  <si>
    <t>00228</t>
  </si>
  <si>
    <t>15/08/2019</t>
  </si>
  <si>
    <t>00229</t>
  </si>
  <si>
    <t>00230</t>
  </si>
  <si>
    <t>16/08/2019</t>
  </si>
  <si>
    <t>00231</t>
  </si>
  <si>
    <t>00232</t>
  </si>
  <si>
    <t>00233</t>
  </si>
  <si>
    <t>22/08/2019</t>
  </si>
  <si>
    <t>00235</t>
  </si>
  <si>
    <t>00236</t>
  </si>
  <si>
    <t>AGOSTO 2019</t>
  </si>
  <si>
    <t>02018</t>
  </si>
  <si>
    <t>00237</t>
  </si>
  <si>
    <t>00238</t>
  </si>
  <si>
    <t>00243</t>
  </si>
  <si>
    <t>00244</t>
  </si>
  <si>
    <t>00245</t>
  </si>
  <si>
    <t>00246</t>
  </si>
  <si>
    <t>00241</t>
  </si>
  <si>
    <t>00242</t>
  </si>
  <si>
    <t>00239</t>
  </si>
  <si>
    <t>00240</t>
  </si>
  <si>
    <t>00253</t>
  </si>
  <si>
    <t>00254</t>
  </si>
  <si>
    <t>00251</t>
  </si>
  <si>
    <t>00252</t>
  </si>
  <si>
    <t>12/09/2019</t>
  </si>
  <si>
    <t>00255</t>
  </si>
  <si>
    <t>00256</t>
  </si>
  <si>
    <t>00257</t>
  </si>
  <si>
    <t>00258</t>
  </si>
  <si>
    <t>00234</t>
  </si>
  <si>
    <t>00262</t>
  </si>
  <si>
    <t>00259</t>
  </si>
  <si>
    <t>00260</t>
  </si>
  <si>
    <t>00261</t>
  </si>
  <si>
    <t>00263</t>
  </si>
  <si>
    <t>00264</t>
  </si>
  <si>
    <t>SEPTIEMBRE 2019</t>
  </si>
  <si>
    <t>2019</t>
  </si>
  <si>
    <t>2020</t>
  </si>
  <si>
    <t>00342</t>
  </si>
  <si>
    <t>00343</t>
  </si>
  <si>
    <t>00344</t>
  </si>
  <si>
    <t>00345</t>
  </si>
  <si>
    <t>28/10/2019</t>
  </si>
  <si>
    <t>00265</t>
  </si>
  <si>
    <t>00266</t>
  </si>
  <si>
    <t>00267</t>
  </si>
  <si>
    <t>00268</t>
  </si>
  <si>
    <t>00297</t>
  </si>
  <si>
    <t>00298</t>
  </si>
  <si>
    <t>00299</t>
  </si>
  <si>
    <t>00300</t>
  </si>
  <si>
    <t>00269</t>
  </si>
  <si>
    <t>00270</t>
  </si>
  <si>
    <t>00273</t>
  </si>
  <si>
    <t>00274</t>
  </si>
  <si>
    <t>00271</t>
  </si>
  <si>
    <t>00272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</si>
  <si>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</si>
  <si>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</si>
  <si>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</si>
  <si>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</si>
  <si>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</si>
  <si>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</si>
  <si>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</si>
  <si>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</si>
  <si>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29/10/2019</t>
  </si>
  <si>
    <t>00295</t>
  </si>
  <si>
    <t>00296</t>
  </si>
  <si>
    <t>2021</t>
  </si>
  <si>
    <t>2022</t>
  </si>
  <si>
    <t>2023</t>
  </si>
  <si>
    <t>2024</t>
  </si>
  <si>
    <t>2025</t>
  </si>
  <si>
    <t>2026</t>
  </si>
  <si>
    <t>11-11-019</t>
  </si>
  <si>
    <t>285</t>
  </si>
  <si>
    <t>286</t>
  </si>
  <si>
    <t>289</t>
  </si>
  <si>
    <t>290</t>
  </si>
  <si>
    <t>288</t>
  </si>
  <si>
    <t>287</t>
  </si>
  <si>
    <t>25/11/2019</t>
  </si>
  <si>
    <t>291</t>
  </si>
  <si>
    <t>292</t>
  </si>
  <si>
    <t>293</t>
  </si>
  <si>
    <t>294</t>
  </si>
  <si>
    <t>2033</t>
  </si>
  <si>
    <t>2034</t>
  </si>
  <si>
    <t>Noviembre</t>
  </si>
  <si>
    <t>419</t>
  </si>
  <si>
    <t>310</t>
  </si>
  <si>
    <t>05/12/2019</t>
  </si>
  <si>
    <t>301</t>
  </si>
  <si>
    <t>302</t>
  </si>
  <si>
    <t>304</t>
  </si>
  <si>
    <t>06/12/2019</t>
  </si>
  <si>
    <t>306</t>
  </si>
  <si>
    <t>303</t>
  </si>
  <si>
    <t>305</t>
  </si>
  <si>
    <t>13/12/2019</t>
  </si>
  <si>
    <t>308</t>
  </si>
  <si>
    <t>307</t>
  </si>
  <si>
    <t>309</t>
  </si>
  <si>
    <t>312</t>
  </si>
  <si>
    <t>311</t>
  </si>
  <si>
    <t>2035</t>
  </si>
  <si>
    <t>2036</t>
  </si>
  <si>
    <t>2027</t>
  </si>
  <si>
    <t>2028</t>
  </si>
  <si>
    <t>2029</t>
  </si>
  <si>
    <t>343</t>
  </si>
  <si>
    <t>344</t>
  </si>
  <si>
    <t>345</t>
  </si>
  <si>
    <t>346</t>
  </si>
  <si>
    <t>313</t>
  </si>
  <si>
    <t>314</t>
  </si>
  <si>
    <t>2039</t>
  </si>
  <si>
    <t xml:space="preserve">ENERO </t>
  </si>
  <si>
    <t>Empresas Relacionadas</t>
  </si>
  <si>
    <t>315</t>
  </si>
  <si>
    <t>316</t>
  </si>
  <si>
    <t>317</t>
  </si>
  <si>
    <t>318</t>
  </si>
  <si>
    <t>319</t>
  </si>
  <si>
    <t>320</t>
  </si>
  <si>
    <t>325</t>
  </si>
  <si>
    <t>326</t>
  </si>
  <si>
    <t>324</t>
  </si>
  <si>
    <t>323</t>
  </si>
  <si>
    <t>VALORES CUSCATLAN, S.A. de C.V.</t>
  </si>
  <si>
    <t>ACTIVOS,DERECHOS FUTUROS Y CONTINGENCIAS SUJETOS A PONDERACION</t>
  </si>
  <si>
    <t>FACTOR DE</t>
  </si>
  <si>
    <t xml:space="preserve">         SALDOS</t>
  </si>
  <si>
    <t>PONDERACION</t>
  </si>
  <si>
    <t xml:space="preserve">           SALDOS</t>
  </si>
  <si>
    <t xml:space="preserve">               C U E N T A S</t>
  </si>
  <si>
    <t xml:space="preserve">      PONDERADOS</t>
  </si>
  <si>
    <t>1110</t>
  </si>
  <si>
    <t>01</t>
  </si>
  <si>
    <t>OFICINA CENTRAL-MN</t>
  </si>
  <si>
    <t>AGENCIAS-MN</t>
  </si>
  <si>
    <t>AGENCIAS-ME</t>
  </si>
  <si>
    <t>FONDOS FIJOS-MN</t>
  </si>
  <si>
    <t>REMESAS LOCALES EN TRANSITO-MN</t>
  </si>
  <si>
    <t>REMESAS LOCALES EN TRANSITO-ME</t>
  </si>
  <si>
    <t>02</t>
  </si>
  <si>
    <t>1110030100</t>
  </si>
  <si>
    <t>COMPENSACIONES PENDIENTES-MN</t>
  </si>
  <si>
    <t>1110030200</t>
  </si>
  <si>
    <t>RECHAZOS POR COMPENSACION-MN</t>
  </si>
  <si>
    <t>04</t>
  </si>
  <si>
    <t>111006010101</t>
  </si>
  <si>
    <t>111006010102</t>
  </si>
  <si>
    <t>111006010103</t>
  </si>
  <si>
    <t>111006010104</t>
  </si>
  <si>
    <t>111006010105</t>
  </si>
  <si>
    <t>111006010106</t>
  </si>
  <si>
    <t>111006010107</t>
  </si>
  <si>
    <t>111006010108</t>
  </si>
  <si>
    <t>111006010109</t>
  </si>
  <si>
    <t>111006010110</t>
  </si>
  <si>
    <t>111006010111</t>
  </si>
  <si>
    <t>111006010112</t>
  </si>
  <si>
    <t>111006010113</t>
  </si>
  <si>
    <t>111006010114</t>
  </si>
  <si>
    <t>111006010115</t>
  </si>
  <si>
    <t>111006010116</t>
  </si>
  <si>
    <t>111006010117</t>
  </si>
  <si>
    <t>111006010118</t>
  </si>
  <si>
    <t>111006010119</t>
  </si>
  <si>
    <t>111006010120</t>
  </si>
  <si>
    <t>111006010121</t>
  </si>
  <si>
    <t>111006010122</t>
  </si>
  <si>
    <t>111006010123</t>
  </si>
  <si>
    <t>111006010124</t>
  </si>
  <si>
    <t>111006010125</t>
  </si>
  <si>
    <t>111006010126</t>
  </si>
  <si>
    <t>111006010127</t>
  </si>
  <si>
    <t>111006010128</t>
  </si>
  <si>
    <t>111006010129</t>
  </si>
  <si>
    <t>111006010130</t>
  </si>
  <si>
    <t>111006010131</t>
  </si>
  <si>
    <t>111006010132</t>
  </si>
  <si>
    <t>111006010133</t>
  </si>
  <si>
    <t>111006010134</t>
  </si>
  <si>
    <t>111006010135</t>
  </si>
  <si>
    <t>111006010136</t>
  </si>
  <si>
    <t>111006010137</t>
  </si>
  <si>
    <t>111006010138</t>
  </si>
  <si>
    <t>111006010139</t>
  </si>
  <si>
    <t>111006010140</t>
  </si>
  <si>
    <t>111006010141</t>
  </si>
  <si>
    <t>111006010142</t>
  </si>
  <si>
    <t>111006010143</t>
  </si>
  <si>
    <t>111006010144</t>
  </si>
  <si>
    <t>111006010145</t>
  </si>
  <si>
    <t>111006010146</t>
  </si>
  <si>
    <t>111006010147</t>
  </si>
  <si>
    <t>111006010148</t>
  </si>
  <si>
    <t>111006010149</t>
  </si>
  <si>
    <t>111006010150</t>
  </si>
  <si>
    <t>111006010151</t>
  </si>
  <si>
    <t>111006010154</t>
  </si>
  <si>
    <t>111006010155</t>
  </si>
  <si>
    <t>111006010156</t>
  </si>
  <si>
    <t>111006010157</t>
  </si>
  <si>
    <t>111006010158</t>
  </si>
  <si>
    <t>111006010159</t>
  </si>
  <si>
    <t>111006010160</t>
  </si>
  <si>
    <t>111006010161</t>
  </si>
  <si>
    <t>111006010162</t>
  </si>
  <si>
    <t>111006010163</t>
  </si>
  <si>
    <t>111006010164</t>
  </si>
  <si>
    <t>111006010165</t>
  </si>
  <si>
    <t>111006010166</t>
  </si>
  <si>
    <t>111006010167</t>
  </si>
  <si>
    <t>111006010168</t>
  </si>
  <si>
    <t>111006010169</t>
  </si>
  <si>
    <t>111006010170</t>
  </si>
  <si>
    <t>111006010172</t>
  </si>
  <si>
    <t>111006010174</t>
  </si>
  <si>
    <t>111006010175</t>
  </si>
  <si>
    <t>111006010176</t>
  </si>
  <si>
    <t>111006010177</t>
  </si>
  <si>
    <t>111006010178</t>
  </si>
  <si>
    <t>111006010179</t>
  </si>
  <si>
    <t>111006010180</t>
  </si>
  <si>
    <t>111006010181</t>
  </si>
  <si>
    <t>111006010185</t>
  </si>
  <si>
    <t>111006010187</t>
  </si>
  <si>
    <t>111006010189</t>
  </si>
  <si>
    <t>111006010190</t>
  </si>
  <si>
    <t>111006010191</t>
  </si>
  <si>
    <t>111006010192</t>
  </si>
  <si>
    <t>111006010193</t>
  </si>
  <si>
    <t>111006010194</t>
  </si>
  <si>
    <t>111006010195</t>
  </si>
  <si>
    <t>111006010196</t>
  </si>
  <si>
    <t>111006010197</t>
  </si>
  <si>
    <t>111006010199</t>
  </si>
  <si>
    <t>111006010204</t>
  </si>
  <si>
    <t>111006010209</t>
  </si>
  <si>
    <t>111006010213</t>
  </si>
  <si>
    <t>111006010214</t>
  </si>
  <si>
    <t>111006010216</t>
  </si>
  <si>
    <t>111006010222</t>
  </si>
  <si>
    <t>111006010224</t>
  </si>
  <si>
    <t>111006010227</t>
  </si>
  <si>
    <t>111006010234</t>
  </si>
  <si>
    <t>111006010252</t>
  </si>
  <si>
    <t>111006010253</t>
  </si>
  <si>
    <t>111006010254</t>
  </si>
  <si>
    <t>111006010255</t>
  </si>
  <si>
    <t>111006010257</t>
  </si>
  <si>
    <t>111006010271</t>
  </si>
  <si>
    <t>111006010273</t>
  </si>
  <si>
    <t>111006010291</t>
  </si>
  <si>
    <t>111006010298</t>
  </si>
  <si>
    <t>111006020101</t>
  </si>
  <si>
    <t>111006020105</t>
  </si>
  <si>
    <t>111006020106</t>
  </si>
  <si>
    <t>111006020108</t>
  </si>
  <si>
    <t>111006020114</t>
  </si>
  <si>
    <t>111006020116</t>
  </si>
  <si>
    <t>111006020120</t>
  </si>
  <si>
    <t>111006020133</t>
  </si>
  <si>
    <t>111006020136</t>
  </si>
  <si>
    <t>111006020137</t>
  </si>
  <si>
    <t>111006020144</t>
  </si>
  <si>
    <t>111006020173</t>
  </si>
  <si>
    <t>111006020179</t>
  </si>
  <si>
    <t>111006020198</t>
  </si>
  <si>
    <t>111006020213</t>
  </si>
  <si>
    <t>1110069901</t>
  </si>
  <si>
    <t>1110069902</t>
  </si>
  <si>
    <t>DEPOSITOS EN BANCOS EXTRANJEROS DE PRIMERA LINEA</t>
  </si>
  <si>
    <t>111006020113</t>
  </si>
  <si>
    <t>111006990105</t>
  </si>
  <si>
    <t>111006990106</t>
  </si>
  <si>
    <t>111006990114</t>
  </si>
  <si>
    <t>111006990120</t>
  </si>
  <si>
    <t>111006990133</t>
  </si>
  <si>
    <t>111006990137</t>
  </si>
  <si>
    <t>111006990144</t>
  </si>
  <si>
    <t>111006990213</t>
  </si>
  <si>
    <t>1110060301</t>
  </si>
  <si>
    <t>REMESAS EN TRANSITO</t>
  </si>
  <si>
    <t>1110060302</t>
  </si>
  <si>
    <t>REMESAS EN TRANSITO_ME</t>
  </si>
  <si>
    <t>1121</t>
  </si>
  <si>
    <t>DOCUMENTOS COMPRADOS CON PACTO DE RETROVENTA HASTA UN AÑO PLAZO</t>
  </si>
  <si>
    <t>OPERACIONES DE REPORTO CON BCR</t>
  </si>
  <si>
    <t>OPERACIONES DE REPORTO CON ENTIDADES DEL ESTADO</t>
  </si>
  <si>
    <t xml:space="preserve"> O3</t>
  </si>
  <si>
    <t>OPERAC. DE REPORTO CON EMPRESAS PRIVADAS</t>
  </si>
  <si>
    <t>112104</t>
  </si>
  <si>
    <t>OPERAC. DE REPORTO CON PARTICULARES</t>
  </si>
  <si>
    <t>112105</t>
  </si>
  <si>
    <t>05</t>
  </si>
  <si>
    <t>OPERAC. DE REPORTO CON BANCOS</t>
  </si>
  <si>
    <t>112106</t>
  </si>
  <si>
    <t>OPERAC. DE REPORTO CON OTRAS ENTIDADES DEL SIST. FINANCIERO</t>
  </si>
  <si>
    <t>112107</t>
  </si>
  <si>
    <t>07</t>
  </si>
  <si>
    <t>1121070101</t>
  </si>
  <si>
    <t>EMITIDOS POR EL BCR-MN</t>
  </si>
  <si>
    <t>EMITIDOS POR EL BCR-ME</t>
  </si>
  <si>
    <t>1121070201</t>
  </si>
  <si>
    <t>EMITIDOS POR ENTIDADES DEL ESTADO-MN</t>
  </si>
  <si>
    <t>EMITIDOS POR ENTIDADES DEL ESTADO-ME</t>
  </si>
  <si>
    <t>1121070301</t>
  </si>
  <si>
    <t>EMITIDOS POR EMPRESAS PRIVADAS-MN</t>
  </si>
  <si>
    <t>EMITIDOS POR EMPRESAS PRIVADAS-ME</t>
  </si>
  <si>
    <t>EMITIDOS POR BANCOS - MN</t>
  </si>
  <si>
    <t>EMITIDOS POR BANCOS - ME</t>
  </si>
  <si>
    <t>1121070601</t>
  </si>
  <si>
    <t>EMITIDOS POR OTRAS ENTIDADES DEL SISTEMA FINANCIERO-MN</t>
  </si>
  <si>
    <t>1121070701</t>
  </si>
  <si>
    <t>EMITIDOS POR ENTIDADES DEL EXTRANJERO-ML</t>
  </si>
  <si>
    <t>1121070702</t>
  </si>
  <si>
    <t>EMITIDOS POR ENTIDADES DEL EXTRANJERO - ME</t>
  </si>
  <si>
    <t>1128</t>
  </si>
  <si>
    <t>DOCTOS. ADQUIRIDOS CON PACTO DE RETROVENTA VENCIDOS</t>
  </si>
  <si>
    <t>1129</t>
  </si>
  <si>
    <t xml:space="preserve">PROVISION POR PERDIDAS </t>
  </si>
  <si>
    <t>TITULOSVALORES CONSERVADOS PARA NEGOCIACION</t>
  </si>
  <si>
    <t xml:space="preserve">EMITIDOS POR EL ESTADO -MN </t>
  </si>
  <si>
    <t>EMITIDOS POR EL ESTADO -ME</t>
  </si>
  <si>
    <t>EMITIDOS POR EMPRESAS PRIVADAS - MN</t>
  </si>
  <si>
    <t>EMITIDOS POR BANCOS-MN</t>
  </si>
  <si>
    <t>EMITIDOS POR BANCOS-ME</t>
  </si>
  <si>
    <t>060131</t>
  </si>
  <si>
    <t>BONOS  F.S.V.</t>
  </si>
  <si>
    <t>EMITIDOS POR INSTITUCIONES EXTRANJERAS -MN</t>
  </si>
  <si>
    <t>EMITIDOS POR INSTITUCIONES EXTRANJERAS -ME</t>
  </si>
  <si>
    <t>INTERESES  MN</t>
  </si>
  <si>
    <t>INTERESES  ME</t>
  </si>
  <si>
    <t xml:space="preserve">   O2</t>
  </si>
  <si>
    <t xml:space="preserve">TITULOS VALORES TRANSFERIDOS </t>
  </si>
  <si>
    <t>1130020201</t>
  </si>
  <si>
    <t>1130020301</t>
  </si>
  <si>
    <t>EMITIDOS POR EMPRESAS PRIVADAS - ME</t>
  </si>
  <si>
    <t>1130020501</t>
  </si>
  <si>
    <t>1130020601</t>
  </si>
  <si>
    <t>EMITIDOS POR OTRAS ENTIDADES DEL SISTEMA FINANCIERO-ME</t>
  </si>
  <si>
    <t>1130020702</t>
  </si>
  <si>
    <t>1130020801</t>
  </si>
  <si>
    <t>0801</t>
  </si>
  <si>
    <t>EMITIDOS POR EL I.G.D.-MN</t>
  </si>
  <si>
    <t>EMITIDOS POR EL I.G.D.-ME</t>
  </si>
  <si>
    <t>1130029901</t>
  </si>
  <si>
    <t>TITULOSVALORES PARA CONSERVARSE HASTA EL VENCIMIENTO</t>
  </si>
  <si>
    <t xml:space="preserve">   00</t>
  </si>
  <si>
    <t>TITULOSVALORES DISPONIBLES PARA LA VENTA</t>
  </si>
  <si>
    <t>1132000101</t>
  </si>
  <si>
    <t>1132000201</t>
  </si>
  <si>
    <t>1132000301</t>
  </si>
  <si>
    <t>1132000501</t>
  </si>
  <si>
    <t>1132000601</t>
  </si>
  <si>
    <t>EMITIDOS POR OTRAS ENTIDADES DEL SISTEMA FINANCIERO-ML</t>
  </si>
  <si>
    <t>113200060121</t>
  </si>
  <si>
    <t>1132000702</t>
  </si>
  <si>
    <t>1132000801</t>
  </si>
  <si>
    <t>1132009901</t>
  </si>
  <si>
    <t>INVERSIONES VENCIDAS</t>
  </si>
  <si>
    <t xml:space="preserve">   01</t>
  </si>
  <si>
    <t xml:space="preserve">TITULOSVALORES  NEGOCIABLES </t>
  </si>
  <si>
    <t>1138010101</t>
  </si>
  <si>
    <t>1138010201</t>
  </si>
  <si>
    <t>1138010301</t>
  </si>
  <si>
    <t>1138010501</t>
  </si>
  <si>
    <t>1138010601</t>
  </si>
  <si>
    <t>1138010702</t>
  </si>
  <si>
    <t>1138010801</t>
  </si>
  <si>
    <t>1138019901</t>
  </si>
  <si>
    <t xml:space="preserve">   02</t>
  </si>
  <si>
    <t xml:space="preserve">TITULOSVALORES NO NEGOCIABLES </t>
  </si>
  <si>
    <t>1138020101</t>
  </si>
  <si>
    <t>1138020201</t>
  </si>
  <si>
    <t>1138020301</t>
  </si>
  <si>
    <t>1138020501</t>
  </si>
  <si>
    <t>1138020601</t>
  </si>
  <si>
    <t>1138020702</t>
  </si>
  <si>
    <t>1138020801</t>
  </si>
  <si>
    <t>1138029901</t>
  </si>
  <si>
    <t xml:space="preserve">   03</t>
  </si>
  <si>
    <t xml:space="preserve">TITULOSVALORES VENDIDOS CON PACTO DE RETROVENTA </t>
  </si>
  <si>
    <t>1138030101</t>
  </si>
  <si>
    <t>1138030201</t>
  </si>
  <si>
    <t>1138030301</t>
  </si>
  <si>
    <t>1138030501</t>
  </si>
  <si>
    <t>1138030601</t>
  </si>
  <si>
    <t>1138030702</t>
  </si>
  <si>
    <t>1138030801</t>
  </si>
  <si>
    <t>1138039901</t>
  </si>
  <si>
    <t>113900</t>
  </si>
  <si>
    <t>1139000001</t>
  </si>
  <si>
    <t>PRESTAMOS PACTADOS  HASTA UN AÑO PLAZO</t>
  </si>
  <si>
    <t>1141020101</t>
  </si>
  <si>
    <t>OTORGAMIENTOS ORIGINALES - MN</t>
  </si>
  <si>
    <t>OTORGAMIENTOS ORIGINALES - ME</t>
  </si>
  <si>
    <t>1141020201</t>
  </si>
  <si>
    <t>REFINANCIAMIENTOS O REPROGRAMACIONES - MN</t>
  </si>
  <si>
    <t>REFINANCIAMIENTOS O REPROGRAMACIONES - ME</t>
  </si>
  <si>
    <t>1141029901</t>
  </si>
  <si>
    <t>INTERESES Y OTROS POR COBRAR - MN</t>
  </si>
  <si>
    <t>INTERESES Y OTROS POR COBRAR - ME</t>
  </si>
  <si>
    <t>1141030101</t>
  </si>
  <si>
    <t>1141030201</t>
  </si>
  <si>
    <t>1141039901</t>
  </si>
  <si>
    <t>1141040101</t>
  </si>
  <si>
    <t>1141040201</t>
  </si>
  <si>
    <t>1141049901</t>
  </si>
  <si>
    <t>1141050101</t>
  </si>
  <si>
    <t>PARA CUBRIR DEFICIT DE CAJA - MN</t>
  </si>
  <si>
    <t>PARA CUBRIR DEFICIT DE CAJA - ME</t>
  </si>
  <si>
    <t>1141050301</t>
  </si>
  <si>
    <t>PRESTAMOS CONVERTIBLES EN ACCIONES - MN</t>
  </si>
  <si>
    <t>PRESTAMOS CONVERTIBLES EN ACCIONES - ME</t>
  </si>
  <si>
    <t>1141059901</t>
  </si>
  <si>
    <t>PTMOS. A EMP. PUB. NO FINANCIERAS</t>
  </si>
  <si>
    <t>1141060101</t>
  </si>
  <si>
    <t>1141060201</t>
  </si>
  <si>
    <t>1141069901</t>
  </si>
  <si>
    <t>08</t>
  </si>
  <si>
    <t>1141080101</t>
  </si>
  <si>
    <t>1141080201</t>
  </si>
  <si>
    <t>1141089901</t>
  </si>
  <si>
    <t>1141990101</t>
  </si>
  <si>
    <t>DESEMBOLSOS POR APLICAR - MN</t>
  </si>
  <si>
    <t>DESEMBOLSOS POR APLICAR - ME</t>
  </si>
  <si>
    <t>1141990201</t>
  </si>
  <si>
    <t>RECUPERACIONES POR APLICAR - MN</t>
  </si>
  <si>
    <t>RECUPERACIONES POR APLICAR - ME</t>
  </si>
  <si>
    <t>PRESTAMOS  PACTADOS A MAS DE UN AÑO PLAZO</t>
  </si>
  <si>
    <t>114204070102</t>
  </si>
  <si>
    <t>VVDA. MEDIANOS Y BAJOS INGRESOS - CAPITAL - MN</t>
  </si>
  <si>
    <t>VVDA. MEDIANOS Y BAJOS INGRESOS - CAPITAL - ME</t>
  </si>
  <si>
    <t>114204990105</t>
  </si>
  <si>
    <t>VVDA. MEDIANOS Y BAJOS INGRESOS - INTERESES - MN</t>
  </si>
  <si>
    <t>1148</t>
  </si>
  <si>
    <t>114807</t>
  </si>
  <si>
    <t>PREST.A AGENCIAS,SUCURS. Y FILIALES EN EL EXTRANJERO</t>
  </si>
  <si>
    <t>114901</t>
  </si>
  <si>
    <t>1149010101</t>
  </si>
  <si>
    <t>PROVISIONES POR CATEGORIA DE RIESGO</t>
  </si>
  <si>
    <t>1149010401</t>
  </si>
  <si>
    <t>PROVISIONES RESTRINGIDAS</t>
  </si>
  <si>
    <t>PRESTAMOS GARANTIZADOS TOTALMENTE CON DEPOSITOS</t>
  </si>
  <si>
    <t>PRESTAMOS CON GARANTIA DE BANCOS LOCALES</t>
  </si>
  <si>
    <t>O EXTRANJEROS DE PRIMERA LINEA</t>
  </si>
  <si>
    <t>CREDITOS DE LARGO PLAZO OTORGADOS A FAMILIAS DE MEDIANOS Y BAJOS INGRESOS PARA ADQUISICION DE VIVIENDA GARANTIZADOS TOTALMENTE CON HIPOTECA</t>
  </si>
  <si>
    <t>122001</t>
  </si>
  <si>
    <t>122002</t>
  </si>
  <si>
    <t>122003</t>
  </si>
  <si>
    <t>122004</t>
  </si>
  <si>
    <t>224003</t>
  </si>
  <si>
    <t>PROVISION POR PERDIDAS EN BIENES RECIBIDOS EN PAGO</t>
  </si>
  <si>
    <t>122900</t>
  </si>
  <si>
    <t>EXISTENCIAS</t>
  </si>
  <si>
    <t>124005</t>
  </si>
  <si>
    <t>PROVISION DE INCOBRABILIDAD  DE CUENTAS POR COBRAR</t>
  </si>
  <si>
    <t>125900</t>
  </si>
  <si>
    <t>126001</t>
  </si>
  <si>
    <t>MEMBRESIAS,PARTICIPACIONES Y OTROS DERECHOS</t>
  </si>
  <si>
    <t>ACTIVO FIJO NO DEPRECIABLE</t>
  </si>
  <si>
    <t>ACTIVO FIJO DEPRECIABLE</t>
  </si>
  <si>
    <t>132900</t>
  </si>
  <si>
    <t>ACTIVO FIJO AMORTIZABLE</t>
  </si>
  <si>
    <t>DEPOSITOS EN GARANTIA  DE CARTAS DE CREDITO</t>
  </si>
  <si>
    <t>411003</t>
  </si>
  <si>
    <t>411004</t>
  </si>
  <si>
    <t>411005</t>
  </si>
  <si>
    <t>412003</t>
  </si>
  <si>
    <t>412004</t>
  </si>
  <si>
    <t>412004010101</t>
  </si>
  <si>
    <t>FIANZAS FICAFE</t>
  </si>
  <si>
    <t>4120010502</t>
  </si>
  <si>
    <t>4120020502</t>
  </si>
  <si>
    <t>4120030502</t>
  </si>
  <si>
    <t>4120040502</t>
  </si>
  <si>
    <t xml:space="preserve">I. </t>
  </si>
  <si>
    <t xml:space="preserve">  TOTAL ACTIVOS PONDERADOS</t>
  </si>
  <si>
    <t>II.</t>
  </si>
  <si>
    <t xml:space="preserve">  REQUERIMIENTO DEL 12% SOBRE LOS ACTIVOS PONDERADOS</t>
  </si>
  <si>
    <t>DETERMINACION DEL FONDO PATRIMONIAL</t>
  </si>
  <si>
    <t>CAPITAL PRIMARIO</t>
  </si>
  <si>
    <t>APORTES DE DE CAPITAL PENDIENTE DE FORMALIZAR</t>
  </si>
  <si>
    <t>3130000100</t>
  </si>
  <si>
    <t>3130000200</t>
  </si>
  <si>
    <t>RESERVAS ESTATUTARIAS</t>
  </si>
  <si>
    <t>3130000300</t>
  </si>
  <si>
    <t>RESERVAS VOLUNTARIAS</t>
  </si>
  <si>
    <t>TOTAL CAPITAL PRIMARIO</t>
  </si>
  <si>
    <t>MAS:</t>
  </si>
  <si>
    <t>CAPITAL COMPLEMENTARIO</t>
  </si>
  <si>
    <t xml:space="preserve">RESULTADOS DEL PRESENTE EJERCICIO </t>
  </si>
  <si>
    <t>631099</t>
  </si>
  <si>
    <t>712000</t>
  </si>
  <si>
    <t>713000</t>
  </si>
  <si>
    <t>721000</t>
  </si>
  <si>
    <t>722000</t>
  </si>
  <si>
    <t>723000</t>
  </si>
  <si>
    <t>724000</t>
  </si>
  <si>
    <t>725000</t>
  </si>
  <si>
    <t>726000</t>
  </si>
  <si>
    <t>812009</t>
  </si>
  <si>
    <t>824000</t>
  </si>
  <si>
    <t>827000</t>
  </si>
  <si>
    <t>UTILIDADES NO DISTRIBUIBLES</t>
  </si>
  <si>
    <t>REVALUACIONES (Autorizadas por la SSF)</t>
  </si>
  <si>
    <t>322000</t>
  </si>
  <si>
    <t>1149010301</t>
  </si>
  <si>
    <t>RESERVAS DE SANEAMIENTO VOLUNTARIAS - MN</t>
  </si>
  <si>
    <t>114901030111</t>
  </si>
  <si>
    <t>PRESTAMOS CONVERTIBLES EN ACCIONES</t>
  </si>
  <si>
    <t>2413</t>
  </si>
  <si>
    <t>DEUDAS SUBORDINADAS A 5 O MAS AÑOS</t>
  </si>
  <si>
    <t xml:space="preserve">2413000001                        </t>
  </si>
  <si>
    <t>MENOS:</t>
  </si>
  <si>
    <t>PERDIDAS</t>
  </si>
  <si>
    <t>TOTAL CAPITAL COMPLEMENTARIO</t>
  </si>
  <si>
    <t>(Se tomará hasta por la suma del capital primario)</t>
  </si>
  <si>
    <t>TOTAL CAPITAL PRIMARIO Y COMPLEMENTARIO</t>
  </si>
  <si>
    <t>SUCURSALES,SUBSIDIARIAS, AGENCIAS Y BANCOS EXTRANJEROS- ME</t>
  </si>
  <si>
    <t>114107</t>
  </si>
  <si>
    <t>PREST. A AGENCIAS Y SUBSIDIARIAS EN EL EXTRANJERO</t>
  </si>
  <si>
    <t>114207</t>
  </si>
  <si>
    <t>A MAS DE UN AÑO PLAZO</t>
  </si>
  <si>
    <t>SALDOS ENTRE COMPAÑIAS</t>
  </si>
  <si>
    <t xml:space="preserve">  EL CAPITAL PRIMARIO HA SIDO MODIFICADO A PARTIR DEL 12/02/1998 POR SESION CD-12/98 DEL 11/12/1998 (RODOLFO EDUARDO MORALES ROVIRA)</t>
  </si>
  <si>
    <t>SALDOS CON AGENCIAS EXTRANJERAS</t>
  </si>
  <si>
    <t>SALDOS CON SUCURSALES EXTRANJERAS</t>
  </si>
  <si>
    <t>SALDOS CON AFILIADAS EXTRANJERAS</t>
  </si>
  <si>
    <t>SALDOS CON BANCOS EXTRANJEROS</t>
  </si>
  <si>
    <t xml:space="preserve">   04</t>
  </si>
  <si>
    <t>CAPITAL ASIGNADO A SUCURSALES</t>
  </si>
  <si>
    <t xml:space="preserve">   05</t>
  </si>
  <si>
    <t>BANCOS EXTRANJEROS</t>
  </si>
  <si>
    <t xml:space="preserve">III. </t>
  </si>
  <si>
    <t xml:space="preserve"> TOTAL FONDO PATRIMONIAL </t>
  </si>
  <si>
    <t>IV.</t>
  </si>
  <si>
    <t xml:space="preserve"> EXCEDENTE O (DEFICIENCIA) (III-II)</t>
  </si>
  <si>
    <t xml:space="preserve">V. </t>
  </si>
  <si>
    <t xml:space="preserve"> COEFICIENTE PATRIMONIAL (III / I)</t>
  </si>
  <si>
    <t>PASIVOS,COMPROMISOS FUTUROS Y CONTINGENCIAS SUJETOS A PONDERACION</t>
  </si>
  <si>
    <t>211108</t>
  </si>
  <si>
    <t>211401</t>
  </si>
  <si>
    <t>211402</t>
  </si>
  <si>
    <t>211403</t>
  </si>
  <si>
    <t>211404</t>
  </si>
  <si>
    <t>211405</t>
  </si>
  <si>
    <t>211406</t>
  </si>
  <si>
    <t>211407</t>
  </si>
  <si>
    <t>PRESTAMOS</t>
  </si>
  <si>
    <t>212103</t>
  </si>
  <si>
    <t>212107</t>
  </si>
  <si>
    <t>212108</t>
  </si>
  <si>
    <t>212109</t>
  </si>
  <si>
    <t>212203</t>
  </si>
  <si>
    <t>212207</t>
  </si>
  <si>
    <t>212208</t>
  </si>
  <si>
    <t>212209</t>
  </si>
  <si>
    <t>212308</t>
  </si>
  <si>
    <t>212309</t>
  </si>
  <si>
    <t>214201</t>
  </si>
  <si>
    <t>214202</t>
  </si>
  <si>
    <t>DOCUMENTOS TRANSADOS</t>
  </si>
  <si>
    <t>215105</t>
  </si>
  <si>
    <t>215106</t>
  </si>
  <si>
    <t>215107</t>
  </si>
  <si>
    <t>CHEQUES Y OTROS VALORES POR APLICAR</t>
  </si>
  <si>
    <t>216001</t>
  </si>
  <si>
    <t>216002</t>
  </si>
  <si>
    <t>222002</t>
  </si>
  <si>
    <t>223000</t>
  </si>
  <si>
    <t>PROVISION POR PERDIDAS EN BIENES RECIBIDOS EN PAGO O ADJ.</t>
  </si>
  <si>
    <t>OBLIGACIONES CONVERTIBLES EN ACCIONES</t>
  </si>
  <si>
    <t>DEUDA SUBORDINADA</t>
  </si>
  <si>
    <t xml:space="preserve">DEUDA SUBORDINADA A CINCO O MAS AÑOS  </t>
  </si>
  <si>
    <t>COMPROMISOS FUTUROS Y CONTINGENCIAS</t>
  </si>
  <si>
    <t>511003</t>
  </si>
  <si>
    <t>511004</t>
  </si>
  <si>
    <t>512003</t>
  </si>
  <si>
    <t>512004000100</t>
  </si>
  <si>
    <t>512004000101</t>
  </si>
  <si>
    <t>VI.</t>
  </si>
  <si>
    <t>TOTAL PASIVOS,COMPROMISOS FUTUROS Y CONTINGENTES</t>
  </si>
  <si>
    <t>VII.</t>
  </si>
  <si>
    <t>REQUERIMIENTO DEL 7% SOBRE LOS PASIVOS PONDERADOS</t>
  </si>
  <si>
    <t>VIII.</t>
  </si>
  <si>
    <t xml:space="preserve"> EXCEDENTE O (DEFICIENCIA) (III-VII)</t>
  </si>
  <si>
    <t>IX.</t>
  </si>
  <si>
    <t>COEFICIENTE PATRIMONIAL  ( III / VI )</t>
  </si>
  <si>
    <t xml:space="preserve">                                           </t>
  </si>
  <si>
    <t>TOTAL DE ACTIVOS</t>
  </si>
  <si>
    <t>+</t>
  </si>
  <si>
    <t>RUBRO    1260</t>
  </si>
  <si>
    <t>RUBRO    211199</t>
  </si>
  <si>
    <t>SUBCUENTA  224003-9901-04</t>
  </si>
  <si>
    <t>CUENTA    325002</t>
  </si>
  <si>
    <t>=</t>
  </si>
  <si>
    <t>Total</t>
  </si>
  <si>
    <t>Saldos Según Balance Consolidado</t>
  </si>
  <si>
    <t>TOTAL PASIVOS</t>
  </si>
  <si>
    <t>CUENTAS DE CAPITAL ( 3 )</t>
  </si>
  <si>
    <t>SUBCUENTA 224003-9901-04</t>
  </si>
  <si>
    <t xml:space="preserve">Total  </t>
  </si>
  <si>
    <t>%</t>
  </si>
  <si>
    <t>Empresa:</t>
  </si>
  <si>
    <t>Servidor:</t>
  </si>
  <si>
    <t>CENTRALSRV</t>
  </si>
  <si>
    <t xml:space="preserve">Fecha: </t>
  </si>
  <si>
    <t>Usuario:</t>
  </si>
  <si>
    <t>jamh8154</t>
  </si>
  <si>
    <t>Nivel cta:</t>
  </si>
  <si>
    <t>Password:</t>
  </si>
  <si>
    <t>jamh0512</t>
  </si>
  <si>
    <t>Unidad:</t>
  </si>
  <si>
    <t>Oficina:</t>
  </si>
  <si>
    <t>Area:</t>
  </si>
  <si>
    <t>Rol del usuario:</t>
  </si>
  <si>
    <t>REPORTE  DEL  CALCULO DE  LOS  REQUERIMIENTOS</t>
  </si>
  <si>
    <t>( EN MILES DE DOLARES )</t>
  </si>
  <si>
    <t>I.       FONDO   PATRIMONIAL</t>
  </si>
  <si>
    <t>1.       Capital Primario</t>
  </si>
  <si>
    <t>2.       Capital Complementario</t>
  </si>
  <si>
    <t>3.       Menos: Deducciones</t>
  </si>
  <si>
    <t xml:space="preserve">II.       REQUERIMIENTO DE ACTIVOS       </t>
  </si>
  <si>
    <t>1.        Total de Activos</t>
  </si>
  <si>
    <t>2.        Total de Activos Ponderados</t>
  </si>
  <si>
    <t>3.        Requerimiento del 12% sobre Activos Ponderados</t>
  </si>
  <si>
    <t>Total saldo deudor</t>
  </si>
  <si>
    <t>4.        Excedente o (Deficiencia) ( II.3-I)</t>
  </si>
  <si>
    <t>5.        Coeficiente Patrimonial ( I./II.2 )</t>
  </si>
  <si>
    <t>III.      REQUERIMIENTO DE PASIVOS</t>
  </si>
  <si>
    <t>1.         Total de Pasivos.Compromisos Futuros y Contingentes</t>
  </si>
  <si>
    <t>2.         Requerimiento del 7% sobre pasivos</t>
  </si>
  <si>
    <t>3.         Excedente o ( Deficiencia ) ( III.2-I )</t>
  </si>
  <si>
    <t>Total saldo acreedor</t>
  </si>
  <si>
    <t>4.         Coeficiente Patrimonial ( I.I /III.1 )</t>
  </si>
  <si>
    <t>DE FONDO PATRIMONIAL  AL 31 DE MARZO DE 2019</t>
  </si>
  <si>
    <t>REQUERIMIENTOS DE FONDO PATRIMONIAL AL 31 DE MARZO DE 2020</t>
  </si>
  <si>
    <t>327</t>
  </si>
  <si>
    <t>329</t>
  </si>
  <si>
    <t>330</t>
  </si>
  <si>
    <t>331</t>
  </si>
  <si>
    <t>332</t>
  </si>
  <si>
    <t>333</t>
  </si>
  <si>
    <t>322</t>
  </si>
  <si>
    <t>335</t>
  </si>
  <si>
    <t>336</t>
  </si>
  <si>
    <t>337</t>
  </si>
  <si>
    <t>338</t>
  </si>
  <si>
    <t>347</t>
  </si>
  <si>
    <t>348</t>
  </si>
  <si>
    <t>2044</t>
  </si>
  <si>
    <t>marzo</t>
  </si>
  <si>
    <t>*</t>
  </si>
  <si>
    <t>**</t>
  </si>
  <si>
    <t>CR**</t>
  </si>
  <si>
    <t>CR</t>
  </si>
  <si>
    <t>367</t>
  </si>
  <si>
    <t>368</t>
  </si>
  <si>
    <t>366</t>
  </si>
  <si>
    <t>365</t>
  </si>
  <si>
    <t>362</t>
  </si>
  <si>
    <t>361</t>
  </si>
  <si>
    <t>364</t>
  </si>
  <si>
    <t>2056</t>
  </si>
  <si>
    <t>22/04/2020</t>
  </si>
  <si>
    <t>349</t>
  </si>
  <si>
    <t>350</t>
  </si>
  <si>
    <t>340</t>
  </si>
  <si>
    <t>2049</t>
  </si>
  <si>
    <t>2050</t>
  </si>
  <si>
    <t>2051</t>
  </si>
  <si>
    <t>342</t>
  </si>
  <si>
    <t>351</t>
  </si>
  <si>
    <t>pendiente de ubicar Fisico</t>
  </si>
  <si>
    <t>BANCO CUSCATLAN DE EL SALVADOR, S.A.</t>
  </si>
  <si>
    <t>VALORES CUSCATLAN DE EL SALVADOR, S.,A. (CASA DE CORREDORES DE BOLSA)</t>
  </si>
  <si>
    <t>TOTAL DE ACTIVOS Y DERECHOS</t>
  </si>
  <si>
    <t>SERIE</t>
  </si>
  <si>
    <t>369</t>
  </si>
  <si>
    <t>370</t>
  </si>
  <si>
    <t>371</t>
  </si>
  <si>
    <t>19DS000F</t>
  </si>
  <si>
    <t>372</t>
  </si>
  <si>
    <t>374</t>
  </si>
  <si>
    <t>373</t>
  </si>
  <si>
    <t>CLIENTE</t>
  </si>
  <si>
    <t>RESOLUCION</t>
  </si>
  <si>
    <t>FIDEICOMISO KATE DIERKS HOTMANN</t>
  </si>
  <si>
    <t>16106-RES-CR-16833-2009</t>
  </si>
  <si>
    <t>BANCO INDUSTRIAL</t>
  </si>
  <si>
    <t>FIDEICOMIDO ARTURO ALCALDIA MUNICIPAL</t>
  </si>
  <si>
    <t>2092</t>
  </si>
  <si>
    <t>mes</t>
  </si>
  <si>
    <t>cta</t>
  </si>
  <si>
    <t>empresa</t>
  </si>
  <si>
    <t>valor</t>
  </si>
  <si>
    <t>375</t>
  </si>
  <si>
    <t>376</t>
  </si>
  <si>
    <t>377</t>
  </si>
  <si>
    <t>379</t>
  </si>
  <si>
    <t>380</t>
  </si>
  <si>
    <t>381</t>
  </si>
  <si>
    <t>383</t>
  </si>
  <si>
    <t>384</t>
  </si>
  <si>
    <t>385</t>
  </si>
  <si>
    <t>386</t>
  </si>
  <si>
    <t>387</t>
  </si>
  <si>
    <t>388</t>
  </si>
  <si>
    <t>SAC APOYO INTEGRAL S.A.</t>
  </si>
  <si>
    <t>09DS000F</t>
  </si>
  <si>
    <t>BANCO DE AMERICA CENTRAL S.A.</t>
  </si>
  <si>
    <t>FIDEICOMISO ARTURO ALCALDIA MUNICIPAL</t>
  </si>
  <si>
    <t>FIDEICOMISO KATE DIERKS H</t>
  </si>
  <si>
    <t>TOTAL DE PASIVO</t>
  </si>
  <si>
    <t>TOTAL DE PATRIMONIO</t>
  </si>
  <si>
    <t>TOTAL DE INGRESOS</t>
  </si>
  <si>
    <t>TOTAL DE COSTOS Y GASTOS</t>
  </si>
  <si>
    <t>TOTAL DE CUENTAS DE ORDEN ACREEDORAS</t>
  </si>
  <si>
    <t>TOTAL DE CUENTAS DE ORDEN DEUDORAS</t>
  </si>
  <si>
    <t>TOTAL DE CUENTAS DEUDORAS BURSATILES Y ADMON DE CARTERA</t>
  </si>
  <si>
    <t>TOTAL DE CUENTAS DE ORDEN ACREEDORAS POR CONTRA</t>
  </si>
  <si>
    <t>382</t>
  </si>
  <si>
    <t>389</t>
  </si>
  <si>
    <t>390</t>
  </si>
  <si>
    <t>393</t>
  </si>
  <si>
    <t>394</t>
  </si>
  <si>
    <t>FIDEICOMISO KATE DIERKS H.</t>
  </si>
  <si>
    <t>FIDEICOMISO ARTURO ALCALDIA MUN</t>
  </si>
  <si>
    <t>VALORES CUSCATLAN, S. A. DE C.V.</t>
  </si>
  <si>
    <t>LIBRO DE VENTAS A CONTRIBUYENTES</t>
  </si>
  <si>
    <t>NRC:  57974-2</t>
  </si>
  <si>
    <t>PERIODO: NOVIEMBRE 2020</t>
  </si>
  <si>
    <t>CORRELATIVO</t>
  </si>
  <si>
    <t>NO. DOCUMENTO</t>
  </si>
  <si>
    <t>NRC</t>
  </si>
  <si>
    <t>DEBITO FISCAL</t>
  </si>
  <si>
    <t>TOTAL VENTAS</t>
  </si>
  <si>
    <t>395</t>
  </si>
  <si>
    <t>396</t>
  </si>
  <si>
    <t>398</t>
  </si>
  <si>
    <t>397</t>
  </si>
  <si>
    <t>VENTAS NO SUJETAS</t>
  </si>
  <si>
    <t>18SD000C395</t>
  </si>
  <si>
    <t>18SD000C396</t>
  </si>
  <si>
    <t>18SD000C398</t>
  </si>
  <si>
    <t>18SD000C399</t>
  </si>
  <si>
    <t>18SD000C397</t>
  </si>
  <si>
    <t>LIBRO DE VENTAS A CONSUMIDORES</t>
  </si>
  <si>
    <t>DESDE DOCUMENTO NO.</t>
  </si>
  <si>
    <t>HASTA DOCUMENTO NO.</t>
  </si>
  <si>
    <t>09DS000F2075</t>
  </si>
  <si>
    <t>09DS000F2076</t>
  </si>
  <si>
    <t>RESUMEN CALCULO DEBITO FISCAL:</t>
  </si>
  <si>
    <t>___________________________________</t>
  </si>
  <si>
    <t>SHEARLENE VERONICA MARQUEZ LAINEZ</t>
  </si>
  <si>
    <t>CONTADOR GENERAL</t>
  </si>
  <si>
    <t>401</t>
  </si>
  <si>
    <t>402</t>
  </si>
  <si>
    <t>405</t>
  </si>
  <si>
    <t>406</t>
  </si>
  <si>
    <t>409</t>
  </si>
  <si>
    <t>410</t>
  </si>
  <si>
    <t>411</t>
  </si>
  <si>
    <t>412</t>
  </si>
  <si>
    <t>413</t>
  </si>
  <si>
    <t>414</t>
  </si>
  <si>
    <t>415</t>
  </si>
  <si>
    <t>416</t>
  </si>
  <si>
    <t>403</t>
  </si>
  <si>
    <t>404</t>
  </si>
  <si>
    <t>407</t>
  </si>
  <si>
    <t>408</t>
  </si>
  <si>
    <t>TRANSITORIA PAGOS A PROVEEDORES</t>
  </si>
  <si>
    <t>_x000C_</t>
  </si>
  <si>
    <t>BALANCE DE COMPROBACION AL 28 DE FEBRERO DE 2021</t>
  </si>
  <si>
    <t>418</t>
  </si>
  <si>
    <t>417</t>
  </si>
  <si>
    <t>420</t>
  </si>
  <si>
    <t>423</t>
  </si>
  <si>
    <t>421</t>
  </si>
  <si>
    <t>422</t>
  </si>
  <si>
    <t>400</t>
  </si>
  <si>
    <t>427</t>
  </si>
  <si>
    <t>429</t>
  </si>
  <si>
    <t>430</t>
  </si>
  <si>
    <t>425</t>
  </si>
  <si>
    <t>426</t>
  </si>
  <si>
    <t xml:space="preserve"> FEBRERO  2021</t>
  </si>
  <si>
    <t xml:space="preserve">  ENERO 2021</t>
  </si>
  <si>
    <t>431</t>
  </si>
  <si>
    <t>432</t>
  </si>
  <si>
    <t>INVERSIONES FINANCIERAS GRUPO IMPERIA CUSCATLAN, S.A.</t>
  </si>
  <si>
    <t>433</t>
  </si>
  <si>
    <t>434</t>
  </si>
  <si>
    <t>435</t>
  </si>
  <si>
    <t>436</t>
  </si>
  <si>
    <t>437</t>
  </si>
  <si>
    <t>438</t>
  </si>
  <si>
    <t>BANCO DE AMERICA CENTRAL</t>
  </si>
  <si>
    <t>Ingresos y Gastos con Empresas Relacionadas correspondiente al mes de MARZO de 2021</t>
  </si>
  <si>
    <t>Saldos de cuentas de Balance con empresas Relacionadas a Marzo 2021</t>
  </si>
  <si>
    <t>_x001B__x000F_</t>
  </si>
  <si>
    <t>Valo</t>
  </si>
  <si>
    <t>res Cuscatlán, S.A</t>
  </si>
  <si>
    <t>. de C.V</t>
  </si>
  <si>
    <t>. Casa de Cor</t>
  </si>
  <si>
    <t>redores de Bolsa</t>
  </si>
  <si>
    <t>Fecha: 01/05/2</t>
  </si>
  <si>
    <t>BALANCE DE CO</t>
  </si>
  <si>
    <t>MPROBACI</t>
  </si>
  <si>
    <t>ON AL 30/ABR/</t>
  </si>
  <si>
    <t>2021                                              Pagina:</t>
  </si>
  <si>
    <t>Hora:    01:46</t>
  </si>
  <si>
    <t>:18</t>
  </si>
  <si>
    <t>Reporte</t>
  </si>
  <si>
    <t>: cb_balance.sqr</t>
  </si>
  <si>
    <t>Valor</t>
  </si>
  <si>
    <t>es Cuscatlán, S.A.</t>
  </si>
  <si>
    <t>de C.V.</t>
  </si>
  <si>
    <t>Casa de Corr</t>
  </si>
  <si>
    <t>edores de Bolsa</t>
  </si>
  <si>
    <t>:19</t>
  </si>
  <si>
    <t>BALANCE GENERAL AL 31 DE MAYO DE 2021</t>
  </si>
  <si>
    <t>PERIODO DEL 1 DE ENERO  AL 31 DE MAYO DE 2021</t>
  </si>
  <si>
    <t>ESTADO DE OPERACIONES BURSATILES AL 31 DE MAYO DE 2021</t>
  </si>
  <si>
    <t>ESTADO DE ADMINISTRACION DE CARTERA AL 31 DE MAYO DE 2021</t>
  </si>
  <si>
    <t>José Eduardo Luna Roshardt</t>
  </si>
  <si>
    <t>Andrés Francisco Pineda Rodríguez</t>
  </si>
  <si>
    <t>Representante Legal</t>
  </si>
  <si>
    <t xml:space="preserve"> Gerente General</t>
  </si>
  <si>
    <t>Ricardo Mejía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</si>
</sst>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dd/mm/yyyy;@"/>
    <numFmt numFmtId="169" formatCode="0.00_);[Red]\(0.00\)"/>
    <numFmt numFmtId="170" formatCode="[$-409]mmm\-yy;@"/>
    <numFmt numFmtId="171" formatCode="#,##0.000"/>
    <numFmt numFmtId="172" formatCode="_([$€-2]* #,##0.00_);_([$€-2]* \(#,##0.00\);_([$€-2]* &quot;-&quot;??_)"/>
    <numFmt numFmtId="173" formatCode="&quot;$&quot;#,##0.00"/>
    <numFmt numFmtId="174" formatCode="General_)"/>
    <numFmt numFmtId="175" formatCode="#,##0.00000000000_);[Red]\(#,##0.00000000000\)"/>
    <numFmt numFmtId="176" formatCode="0_);\(0\)"/>
    <numFmt numFmtId="177" formatCode="_(* #,##0.0_);_(* \(#,##0.0\);_(* &quot;-&quot;??_);_(@_)"/>
    <numFmt numFmtId="178" formatCode="#,##0;[Red]\(#,##0\)"/>
    <numFmt numFmtId="179" formatCode="mm/dd/yy"/>
    <numFmt numFmtId="180" formatCode="#,##0.00000_);\(#,##0.00000\)"/>
    <numFmt numFmtId="181" formatCode="0.0000000000"/>
    <numFmt numFmtId="182" formatCode="#,##0.00_ ;[Red]\-#,##0.00\ "/>
    <numFmt numFmtId="183" formatCode="&quot;$&quot;#,##0.00_);[Red]\(&quot;$&quot;#,##0.00\)"/>
  </numFmts>
  <fonts count="2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0"/>
      <color indexed="10"/>
      <name val="Arial"/>
      <family val="2"/>
    </font>
    <font>
      <sz val="10"/>
      <name val="Arial"/>
      <family val="2"/>
    </font>
    <font>
      <b/>
      <u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color rgb="FFFF0000"/>
      <name val="Arial"/>
      <family val="2"/>
    </font>
    <font>
      <b/>
      <sz val="10"/>
      <color theme="0"/>
      <name val="Cambria"/>
      <family val="1"/>
      <scheme val="major"/>
    </font>
    <font>
      <b/>
      <u val="singleAccounting"/>
      <sz val="8"/>
      <name val="Arial"/>
      <family val="2"/>
    </font>
    <font>
      <b/>
      <sz val="10"/>
      <color theme="0"/>
      <name val="Arial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10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b/>
      <sz val="10"/>
      <color theme="0" tint="-0.249977111117893"/>
      <name val="Arial"/>
      <family val="2"/>
    </font>
    <font>
      <sz val="10"/>
      <color theme="0" tint="-0.249977111117893"/>
      <name val="Cambria"/>
      <family val="1"/>
      <scheme val="major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11"/>
      <name val="Cambria"/>
      <family val="1"/>
      <scheme val="major"/>
    </font>
    <font>
      <b/>
      <sz val="10"/>
      <color indexed="8"/>
      <name val="Arial"/>
      <family val="2"/>
    </font>
    <font>
      <sz val="10"/>
      <color indexed="9"/>
      <name val="MS Sans Serif"/>
      <family val="2"/>
    </font>
    <font>
      <u/>
      <sz val="10"/>
      <name val="Times New Roman"/>
      <family val="1"/>
    </font>
    <font>
      <sz val="16"/>
      <name val="Arial"/>
      <family val="2"/>
    </font>
    <font>
      <b/>
      <sz val="12"/>
      <color indexed="81"/>
      <name val="Tahom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indexed="81"/>
      <name val="Tahoma"/>
      <family val="2"/>
    </font>
    <font>
      <sz val="11"/>
      <name val="Cambria"/>
      <family val="1"/>
      <scheme val="major"/>
    </font>
    <font>
      <sz val="14"/>
      <name val="Cambria"/>
      <family val="1"/>
      <scheme val="major"/>
    </font>
    <font>
      <sz val="10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b/>
      <sz val="10"/>
      <color theme="0"/>
      <name val="Times New Roman"/>
      <family val="1"/>
    </font>
    <font>
      <sz val="12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3"/>
      </patternFill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594">
    <xf numFmtId="0" fontId="0" fillId="0" borderId="0"/>
    <xf numFmtId="0" fontId="219" fillId="0" borderId="0"/>
    <xf numFmtId="0" fontId="188" fillId="0" borderId="0"/>
    <xf numFmtId="0" fontId="201" fillId="2" borderId="0" applyNumberFormat="0" applyBorder="0" applyAlignment="0" applyProtection="0"/>
    <xf numFmtId="43" fontId="190" fillId="0" borderId="0" applyFont="0" applyFill="0" applyBorder="0" applyAlignment="0" applyProtection="0"/>
    <xf numFmtId="0" fontId="200" fillId="3" borderId="0" applyNumberFormat="0" applyBorder="0" applyAlignment="0" applyProtection="0"/>
    <xf numFmtId="43" fontId="188" fillId="0" borderId="0" applyFont="0" applyFill="0" applyBorder="0" applyAlignment="0" applyProtection="0"/>
    <xf numFmtId="166" fontId="188" fillId="0" borderId="0" applyFont="0" applyFill="0" applyBorder="0" applyAlignment="0" applyProtection="0"/>
    <xf numFmtId="0" fontId="188" fillId="0" borderId="0"/>
    <xf numFmtId="0" fontId="190" fillId="0" borderId="0"/>
    <xf numFmtId="39" fontId="211" fillId="0" borderId="0"/>
    <xf numFmtId="0" fontId="197" fillId="0" borderId="0"/>
    <xf numFmtId="9" fontId="188" fillId="0" borderId="0" applyFont="0" applyFill="0" applyBorder="0" applyAlignment="0" applyProtection="0"/>
    <xf numFmtId="0" fontId="221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88" fillId="0" borderId="0"/>
    <xf numFmtId="0" fontId="188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43" fontId="87" fillId="0" borderId="0" applyFont="0" applyFill="0" applyBorder="0" applyAlignment="0" applyProtection="0"/>
    <xf numFmtId="0" fontId="86" fillId="0" borderId="0"/>
    <xf numFmtId="43" fontId="86" fillId="0" borderId="0" applyFont="0" applyFill="0" applyBorder="0" applyAlignment="0" applyProtection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43" fontId="78" fillId="0" borderId="0" applyFont="0" applyFill="0" applyBorder="0" applyAlignment="0" applyProtection="0"/>
    <xf numFmtId="0" fontId="77" fillId="0" borderId="0"/>
    <xf numFmtId="0" fontId="76" fillId="0" borderId="0"/>
    <xf numFmtId="0" fontId="75" fillId="0" borderId="0"/>
    <xf numFmtId="0" fontId="74" fillId="0" borderId="0"/>
    <xf numFmtId="43" fontId="74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2" fillId="0" borderId="0"/>
    <xf numFmtId="0" fontId="71" fillId="0" borderId="0"/>
    <xf numFmtId="0" fontId="70" fillId="0" borderId="0"/>
    <xf numFmtId="43" fontId="70" fillId="0" borderId="0" applyFont="0" applyFill="0" applyBorder="0" applyAlignment="0" applyProtection="0"/>
    <xf numFmtId="0" fontId="69" fillId="0" borderId="0"/>
    <xf numFmtId="0" fontId="68" fillId="0" borderId="0"/>
    <xf numFmtId="0" fontId="67" fillId="0" borderId="0"/>
    <xf numFmtId="43" fontId="67" fillId="0" borderId="0" applyFont="0" applyFill="0" applyBorder="0" applyAlignment="0" applyProtection="0"/>
    <xf numFmtId="172" fontId="188" fillId="0" borderId="0" applyFont="0" applyFill="0" applyBorder="0" applyAlignment="0" applyProtection="0"/>
    <xf numFmtId="0" fontId="66" fillId="0" borderId="0"/>
    <xf numFmtId="0" fontId="65" fillId="0" borderId="0"/>
    <xf numFmtId="43" fontId="65" fillId="0" borderId="0" applyFont="0" applyFill="0" applyBorder="0" applyAlignment="0" applyProtection="0"/>
    <xf numFmtId="9" fontId="188" fillId="0" borderId="0" applyFont="0" applyFill="0" applyBorder="0" applyAlignment="0" applyProtection="0"/>
    <xf numFmtId="0" fontId="64" fillId="0" borderId="0"/>
    <xf numFmtId="0" fontId="188" fillId="0" borderId="0"/>
    <xf numFmtId="0" fontId="200" fillId="3" borderId="0" applyNumberFormat="0" applyBorder="0" applyAlignment="0" applyProtection="0"/>
    <xf numFmtId="43" fontId="188" fillId="0" borderId="0" applyFont="0" applyFill="0" applyBorder="0" applyAlignment="0" applyProtection="0"/>
    <xf numFmtId="166" fontId="188" fillId="0" borderId="0" applyFont="0" applyFill="0" applyBorder="0" applyAlignment="0" applyProtection="0"/>
    <xf numFmtId="9" fontId="188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199" fillId="0" borderId="0"/>
    <xf numFmtId="40" fontId="199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165" fontId="27" fillId="0" borderId="0" applyFont="0" applyFill="0" applyBorder="0" applyAlignment="0" applyProtection="0"/>
    <xf numFmtId="0" fontId="26" fillId="0" borderId="0"/>
    <xf numFmtId="0" fontId="25" fillId="0" borderId="0"/>
    <xf numFmtId="165" fontId="188" fillId="0" borderId="0" applyFont="0" applyFill="0" applyBorder="0" applyAlignment="0" applyProtection="0"/>
    <xf numFmtId="164" fontId="18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8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210">
    <xf numFmtId="0" fontId="0" fillId="0" borderId="0" xfId="0"/>
    <xf numFmtId="0" fontId="191" fillId="0" borderId="0" xfId="1" applyFont="1" applyAlignment="1">
      <alignment horizontal="left"/>
    </xf>
    <xf numFmtId="0" fontId="191" fillId="0" borderId="0" xfId="1" applyFont="1" applyFill="1"/>
    <xf numFmtId="0" fontId="190" fillId="0" borderId="0" xfId="1" applyFont="1"/>
    <xf numFmtId="43" fontId="188" fillId="0" borderId="0" xfId="6"/>
    <xf numFmtId="0" fontId="209" fillId="4" borderId="20" xfId="11" applyFont="1" applyFill="1" applyBorder="1" applyAlignment="1"/>
    <xf numFmtId="0" fontId="209" fillId="8" borderId="20" xfId="9" applyFont="1" applyFill="1" applyBorder="1" applyAlignment="1"/>
    <xf numFmtId="0" fontId="210" fillId="0" borderId="0" xfId="9" applyFont="1" applyAlignment="1"/>
    <xf numFmtId="0" fontId="191" fillId="0" borderId="0" xfId="9" applyFont="1" applyFill="1" applyProtection="1">
      <protection locked="0"/>
    </xf>
    <xf numFmtId="0" fontId="210" fillId="0" borderId="0" xfId="9" applyFont="1" applyFill="1" applyAlignment="1"/>
    <xf numFmtId="0" fontId="209" fillId="4" borderId="20" xfId="11" applyFont="1" applyFill="1" applyBorder="1" applyAlignment="1">
      <alignment horizontal="left"/>
    </xf>
    <xf numFmtId="0" fontId="190" fillId="5" borderId="0" xfId="1" applyFont="1" applyFill="1"/>
    <xf numFmtId="43" fontId="188" fillId="5" borderId="0" xfId="6" applyFill="1"/>
    <xf numFmtId="0" fontId="213" fillId="5" borderId="0" xfId="1" applyFont="1" applyFill="1"/>
    <xf numFmtId="0" fontId="204" fillId="5" borderId="0" xfId="1" applyFont="1" applyFill="1" applyAlignment="1"/>
    <xf numFmtId="43" fontId="204" fillId="5" borderId="0" xfId="6" applyFont="1" applyFill="1"/>
    <xf numFmtId="0" fontId="189" fillId="5" borderId="0" xfId="1" applyFont="1" applyFill="1"/>
    <xf numFmtId="0" fontId="204" fillId="5" borderId="0" xfId="1" applyFont="1" applyFill="1"/>
    <xf numFmtId="43" fontId="189" fillId="5" borderId="0" xfId="1" applyNumberFormat="1" applyFont="1" applyFill="1"/>
    <xf numFmtId="43" fontId="190" fillId="5" borderId="0" xfId="1" applyNumberFormat="1" applyFont="1" applyFill="1"/>
    <xf numFmtId="43" fontId="213" fillId="5" borderId="0" xfId="1" applyNumberFormat="1" applyFont="1" applyFill="1"/>
    <xf numFmtId="43" fontId="188" fillId="5" borderId="7" xfId="6" applyFill="1" applyBorder="1"/>
    <xf numFmtId="43" fontId="190" fillId="5" borderId="7" xfId="1" applyNumberFormat="1" applyFont="1" applyFill="1" applyBorder="1"/>
    <xf numFmtId="0" fontId="190" fillId="5" borderId="7" xfId="1" applyFont="1" applyFill="1" applyBorder="1"/>
    <xf numFmtId="43" fontId="188" fillId="5" borderId="0" xfId="6" applyFill="1" applyBorder="1"/>
    <xf numFmtId="0" fontId="190" fillId="5" borderId="0" xfId="1" applyFont="1" applyFill="1" applyBorder="1"/>
    <xf numFmtId="43" fontId="188" fillId="5" borderId="11" xfId="6" applyFill="1" applyBorder="1"/>
    <xf numFmtId="0" fontId="190" fillId="5" borderId="11" xfId="1" applyFont="1" applyFill="1" applyBorder="1"/>
    <xf numFmtId="43" fontId="189" fillId="5" borderId="0" xfId="6" applyFont="1" applyFill="1"/>
    <xf numFmtId="2" fontId="190" fillId="5" borderId="0" xfId="1" applyNumberFormat="1" applyFont="1" applyFill="1"/>
    <xf numFmtId="0" fontId="214" fillId="5" borderId="0" xfId="1" applyFont="1" applyFill="1"/>
    <xf numFmtId="0" fontId="202" fillId="5" borderId="0" xfId="1" applyFont="1" applyFill="1"/>
    <xf numFmtId="43" fontId="202" fillId="5" borderId="0" xfId="6" applyFont="1" applyFill="1"/>
    <xf numFmtId="43" fontId="202" fillId="5" borderId="9" xfId="1" applyNumberFormat="1" applyFont="1" applyFill="1" applyBorder="1"/>
    <xf numFmtId="0" fontId="215" fillId="5" borderId="0" xfId="1" applyFont="1" applyFill="1"/>
    <xf numFmtId="0" fontId="217" fillId="5" borderId="0" xfId="1" applyFont="1" applyFill="1"/>
    <xf numFmtId="43" fontId="217" fillId="5" borderId="0" xfId="6" applyFont="1" applyFill="1"/>
    <xf numFmtId="43" fontId="206" fillId="5" borderId="0" xfId="6" applyFont="1" applyFill="1"/>
    <xf numFmtId="43" fontId="214" fillId="5" borderId="0" xfId="1" applyNumberFormat="1" applyFont="1" applyFill="1"/>
    <xf numFmtId="0" fontId="188" fillId="5" borderId="0" xfId="1" applyFont="1" applyFill="1"/>
    <xf numFmtId="43" fontId="203" fillId="5" borderId="0" xfId="6" applyFont="1" applyFill="1"/>
    <xf numFmtId="0" fontId="212" fillId="5" borderId="0" xfId="1" applyFont="1" applyFill="1"/>
    <xf numFmtId="0" fontId="203" fillId="5" borderId="0" xfId="1" applyFont="1" applyFill="1"/>
    <xf numFmtId="43" fontId="189" fillId="5" borderId="0" xfId="1" applyNumberFormat="1" applyFont="1" applyFill="1" applyBorder="1"/>
    <xf numFmtId="43" fontId="189" fillId="5" borderId="11" xfId="1" applyNumberFormat="1" applyFont="1" applyFill="1" applyBorder="1"/>
    <xf numFmtId="0" fontId="189" fillId="5" borderId="0" xfId="1" applyFont="1" applyFill="1" applyBorder="1"/>
    <xf numFmtId="0" fontId="189" fillId="5" borderId="11" xfId="1" applyFont="1" applyFill="1" applyBorder="1"/>
    <xf numFmtId="43" fontId="203" fillId="5" borderId="0" xfId="6" applyFont="1" applyFill="1" applyBorder="1"/>
    <xf numFmtId="4" fontId="203" fillId="5" borderId="0" xfId="1" applyNumberFormat="1" applyFont="1" applyFill="1" applyBorder="1"/>
    <xf numFmtId="4" fontId="203" fillId="5" borderId="9" xfId="1" applyNumberFormat="1" applyFont="1" applyFill="1" applyBorder="1"/>
    <xf numFmtId="4" fontId="213" fillId="5" borderId="0" xfId="1" applyNumberFormat="1" applyFont="1" applyFill="1"/>
    <xf numFmtId="0" fontId="203" fillId="5" borderId="0" xfId="1" applyFont="1" applyFill="1" applyBorder="1"/>
    <xf numFmtId="167" fontId="203" fillId="5" borderId="0" xfId="6" applyNumberFormat="1" applyFont="1" applyFill="1"/>
    <xf numFmtId="0" fontId="212" fillId="5" borderId="0" xfId="1" applyFont="1" applyFill="1" applyBorder="1"/>
    <xf numFmtId="43" fontId="212" fillId="5" borderId="0" xfId="1" applyNumberFormat="1" applyFont="1" applyFill="1"/>
    <xf numFmtId="43" fontId="190" fillId="5" borderId="11" xfId="1" applyNumberFormat="1" applyFont="1" applyFill="1" applyBorder="1"/>
    <xf numFmtId="43" fontId="212" fillId="5" borderId="0" xfId="6" applyFont="1" applyFill="1"/>
    <xf numFmtId="0" fontId="218" fillId="0" borderId="0" xfId="1" applyFont="1" applyFill="1"/>
    <xf numFmtId="0" fontId="193" fillId="4" borderId="20" xfId="11" applyFont="1" applyFill="1" applyBorder="1" applyAlignment="1"/>
    <xf numFmtId="0" fontId="193" fillId="4" borderId="20" xfId="11" applyFont="1" applyFill="1" applyBorder="1" applyAlignment="1">
      <alignment horizontal="left"/>
    </xf>
    <xf numFmtId="43" fontId="193" fillId="4" borderId="20" xfId="4" applyFont="1" applyFill="1" applyBorder="1" applyAlignment="1"/>
    <xf numFmtId="0" fontId="193" fillId="0" borderId="20" xfId="11" applyFont="1" applyFill="1" applyBorder="1" applyAlignment="1"/>
    <xf numFmtId="0" fontId="191" fillId="0" borderId="0" xfId="9" applyFont="1" applyFill="1" applyAlignment="1"/>
    <xf numFmtId="0" fontId="220" fillId="0" borderId="0" xfId="1" applyFont="1" applyFill="1"/>
    <xf numFmtId="0" fontId="191" fillId="0" borderId="0" xfId="0" applyFont="1"/>
    <xf numFmtId="0" fontId="191" fillId="9" borderId="0" xfId="9" applyFont="1" applyFill="1" applyProtection="1">
      <protection locked="0"/>
    </xf>
    <xf numFmtId="0" fontId="191" fillId="0" borderId="0" xfId="1" applyFont="1" applyAlignment="1">
      <alignment horizontal="center"/>
    </xf>
    <xf numFmtId="0" fontId="193" fillId="4" borderId="20" xfId="11" applyFont="1" applyFill="1" applyBorder="1" applyAlignment="1">
      <alignment horizontal="center"/>
    </xf>
    <xf numFmtId="0" fontId="188" fillId="0" borderId="0" xfId="33" applyFont="1"/>
    <xf numFmtId="0" fontId="188" fillId="0" borderId="0" xfId="0" applyFont="1"/>
    <xf numFmtId="0" fontId="188" fillId="0" borderId="0" xfId="1" applyFont="1" applyAlignment="1">
      <alignment horizontal="center"/>
    </xf>
    <xf numFmtId="0" fontId="188" fillId="0" borderId="0" xfId="1" applyFont="1" applyAlignment="1">
      <alignment horizontal="left"/>
    </xf>
    <xf numFmtId="0" fontId="188" fillId="0" borderId="0" xfId="1" applyFont="1" applyFill="1"/>
    <xf numFmtId="0" fontId="191" fillId="9" borderId="0" xfId="65" applyFont="1" applyFill="1"/>
    <xf numFmtId="0" fontId="191" fillId="0" borderId="0" xfId="65" applyFont="1" applyFill="1"/>
    <xf numFmtId="171" fontId="203" fillId="5" borderId="0" xfId="1" applyNumberFormat="1" applyFont="1" applyFill="1"/>
    <xf numFmtId="43" fontId="189" fillId="0" borderId="8" xfId="1" applyNumberFormat="1" applyFont="1" applyFill="1" applyBorder="1"/>
    <xf numFmtId="43" fontId="190" fillId="0" borderId="0" xfId="1" applyNumberFormat="1" applyFont="1" applyFill="1"/>
    <xf numFmtId="0" fontId="188" fillId="0" borderId="0" xfId="146" quotePrefix="1" applyNumberFormat="1" applyFont="1" applyFill="1"/>
    <xf numFmtId="0" fontId="191" fillId="0" borderId="0" xfId="9" applyNumberFormat="1" applyFont="1" applyFill="1" applyAlignment="1" applyProtection="1">
      <alignment horizontal="center" vertical="justify"/>
      <protection locked="0"/>
    </xf>
    <xf numFmtId="40" fontId="0" fillId="0" borderId="0" xfId="0" applyNumberFormat="1"/>
    <xf numFmtId="40" fontId="209" fillId="4" borderId="20" xfId="11" applyNumberFormat="1" applyFont="1" applyFill="1" applyBorder="1" applyAlignment="1"/>
    <xf numFmtId="40" fontId="210" fillId="0" borderId="0" xfId="9" applyNumberFormat="1" applyFont="1" applyFill="1" applyAlignment="1"/>
    <xf numFmtId="40" fontId="210" fillId="0" borderId="0" xfId="9" applyNumberFormat="1" applyFont="1" applyAlignment="1"/>
    <xf numFmtId="0" fontId="188" fillId="5" borderId="0" xfId="8" applyFont="1" applyFill="1"/>
    <xf numFmtId="0" fontId="196" fillId="5" borderId="0" xfId="1" applyFont="1" applyFill="1"/>
    <xf numFmtId="43" fontId="188" fillId="5" borderId="0" xfId="6" applyFont="1" applyFill="1"/>
    <xf numFmtId="4" fontId="188" fillId="5" borderId="0" xfId="8" applyNumberFormat="1" applyFont="1" applyFill="1"/>
    <xf numFmtId="166" fontId="188" fillId="5" borderId="0" xfId="7" applyFont="1" applyFill="1"/>
    <xf numFmtId="43" fontId="188" fillId="5" borderId="0" xfId="1" applyNumberFormat="1" applyFont="1" applyFill="1"/>
    <xf numFmtId="0" fontId="188" fillId="5" borderId="0" xfId="8" applyFont="1" applyFill="1" applyBorder="1"/>
    <xf numFmtId="166" fontId="188" fillId="5" borderId="9" xfId="7" applyFont="1" applyFill="1" applyBorder="1"/>
    <xf numFmtId="0" fontId="188" fillId="5" borderId="7" xfId="8" applyFont="1" applyFill="1" applyBorder="1"/>
    <xf numFmtId="166" fontId="188" fillId="5" borderId="0" xfId="7" applyFont="1" applyFill="1" applyBorder="1"/>
    <xf numFmtId="166" fontId="188" fillId="5" borderId="8" xfId="7" applyFont="1" applyFill="1" applyBorder="1"/>
    <xf numFmtId="0" fontId="226" fillId="0" borderId="0" xfId="64" applyFont="1" applyBorder="1"/>
    <xf numFmtId="166" fontId="226" fillId="0" borderId="0" xfId="7" applyFont="1"/>
    <xf numFmtId="0" fontId="226" fillId="0" borderId="0" xfId="64" applyFont="1"/>
    <xf numFmtId="0" fontId="227" fillId="0" borderId="0" xfId="64" applyNumberFormat="1" applyFont="1" applyFill="1" applyBorder="1" applyAlignment="1">
      <alignment horizontal="left"/>
    </xf>
    <xf numFmtId="1" fontId="226" fillId="0" borderId="0" xfId="64" applyNumberFormat="1" applyFont="1" applyFill="1" applyBorder="1" applyAlignment="1" applyProtection="1">
      <alignment horizontal="right"/>
    </xf>
    <xf numFmtId="0" fontId="226" fillId="0" borderId="0" xfId="64" applyFont="1" applyFill="1" applyBorder="1" applyAlignment="1">
      <alignment horizontal="right"/>
    </xf>
    <xf numFmtId="1" fontId="226" fillId="0" borderId="0" xfId="64" quotePrefix="1" applyNumberFormat="1" applyFont="1" applyFill="1" applyBorder="1" applyAlignment="1" applyProtection="1">
      <alignment horizontal="left"/>
    </xf>
    <xf numFmtId="0" fontId="226" fillId="0" borderId="0" xfId="64" applyNumberFormat="1" applyFont="1" applyFill="1" applyBorder="1" applyAlignment="1">
      <alignment horizontal="left"/>
    </xf>
    <xf numFmtId="0" fontId="226" fillId="10" borderId="0" xfId="64" applyFont="1" applyFill="1" applyBorder="1" applyAlignment="1">
      <alignment horizontal="right"/>
    </xf>
    <xf numFmtId="15" fontId="226" fillId="0" borderId="0" xfId="64" applyNumberFormat="1" applyFont="1" applyFill="1" applyBorder="1" applyAlignment="1" applyProtection="1">
      <alignment horizontal="right"/>
    </xf>
    <xf numFmtId="49" fontId="226" fillId="0" borderId="0" xfId="64" applyNumberFormat="1" applyFont="1" applyBorder="1"/>
    <xf numFmtId="0" fontId="227" fillId="0" borderId="0" xfId="64" applyFont="1"/>
    <xf numFmtId="43" fontId="226" fillId="0" borderId="0" xfId="6" applyFont="1" applyFill="1" applyBorder="1" applyAlignment="1">
      <alignment horizontal="center"/>
    </xf>
    <xf numFmtId="43" fontId="226" fillId="0" borderId="0" xfId="6" applyFont="1" applyFill="1" applyBorder="1"/>
    <xf numFmtId="43" fontId="226" fillId="0" borderId="0" xfId="6" applyFont="1"/>
    <xf numFmtId="40" fontId="192" fillId="0" borderId="0" xfId="0" applyNumberFormat="1" applyFont="1"/>
    <xf numFmtId="49" fontId="225" fillId="10" borderId="0" xfId="0" applyNumberFormat="1" applyFont="1" applyFill="1" applyBorder="1" applyAlignment="1">
      <alignment horizontal="left"/>
    </xf>
    <xf numFmtId="49" fontId="225" fillId="12" borderId="0" xfId="0" applyNumberFormat="1" applyFont="1" applyFill="1" applyBorder="1" applyAlignment="1">
      <alignment horizontal="left"/>
    </xf>
    <xf numFmtId="15" fontId="226" fillId="0" borderId="0" xfId="0" quotePrefix="1" applyNumberFormat="1" applyFont="1" applyFill="1" applyBorder="1" applyAlignment="1" applyProtection="1">
      <alignment horizontal="left"/>
    </xf>
    <xf numFmtId="0" fontId="226" fillId="0" borderId="0" xfId="0" applyFont="1" applyBorder="1"/>
    <xf numFmtId="49" fontId="226" fillId="0" borderId="0" xfId="0" applyNumberFormat="1" applyFont="1" applyBorder="1"/>
    <xf numFmtId="170" fontId="228" fillId="0" borderId="0" xfId="0" applyNumberFormat="1" applyFont="1" applyBorder="1" applyAlignment="1">
      <alignment horizontal="center"/>
    </xf>
    <xf numFmtId="0" fontId="227" fillId="0" borderId="0" xfId="0" applyFont="1" applyBorder="1"/>
    <xf numFmtId="0" fontId="229" fillId="0" borderId="0" xfId="0" applyFont="1" applyBorder="1" applyAlignment="1">
      <alignment horizontal="left"/>
    </xf>
    <xf numFmtId="4" fontId="227" fillId="0" borderId="0" xfId="0" quotePrefix="1" applyNumberFormat="1" applyFont="1" applyFill="1" applyBorder="1" applyAlignment="1" applyProtection="1">
      <alignment horizontal="left"/>
    </xf>
    <xf numFmtId="15" fontId="226" fillId="0" borderId="0" xfId="0" applyNumberFormat="1" applyFont="1" applyFill="1" applyBorder="1" applyProtection="1"/>
    <xf numFmtId="1" fontId="226" fillId="0" borderId="0" xfId="0" applyNumberFormat="1" applyFont="1" applyFill="1" applyBorder="1" applyAlignment="1" applyProtection="1">
      <alignment horizontal="right"/>
    </xf>
    <xf numFmtId="0" fontId="226" fillId="0" borderId="0" xfId="0" applyFont="1" applyFill="1" applyBorder="1" applyAlignment="1">
      <alignment horizontal="right"/>
    </xf>
    <xf numFmtId="0" fontId="230" fillId="0" borderId="0" xfId="0" quotePrefix="1" applyFont="1" applyBorder="1" applyAlignment="1">
      <alignment horizontal="left"/>
    </xf>
    <xf numFmtId="0" fontId="227" fillId="0" borderId="0" xfId="0" applyFont="1"/>
    <xf numFmtId="15" fontId="231" fillId="7" borderId="4" xfId="0" applyNumberFormat="1" applyFont="1" applyFill="1" applyBorder="1" applyAlignment="1">
      <alignment horizontal="center"/>
    </xf>
    <xf numFmtId="0" fontId="231" fillId="7" borderId="4" xfId="0" quotePrefix="1" applyFont="1" applyFill="1" applyBorder="1" applyAlignment="1">
      <alignment horizontal="center"/>
    </xf>
    <xf numFmtId="0" fontId="231" fillId="7" borderId="4" xfId="0" applyFont="1" applyFill="1" applyBorder="1" applyAlignment="1">
      <alignment horizontal="center"/>
    </xf>
    <xf numFmtId="0" fontId="231" fillId="7" borderId="21" xfId="0" applyFont="1" applyFill="1" applyBorder="1" applyAlignment="1">
      <alignment horizontal="centerContinuous"/>
    </xf>
    <xf numFmtId="0" fontId="231" fillId="7" borderId="3" xfId="0" applyFont="1" applyFill="1" applyBorder="1" applyAlignment="1">
      <alignment horizontal="centerContinuous"/>
    </xf>
    <xf numFmtId="15" fontId="231" fillId="7" borderId="6" xfId="0" applyNumberFormat="1" applyFont="1" applyFill="1" applyBorder="1" applyAlignment="1" applyProtection="1">
      <alignment horizontal="center"/>
    </xf>
    <xf numFmtId="0" fontId="231" fillId="7" borderId="6" xfId="0" applyFont="1" applyFill="1" applyBorder="1" applyAlignment="1">
      <alignment horizontal="center"/>
    </xf>
    <xf numFmtId="0" fontId="231" fillId="7" borderId="2" xfId="0" applyFont="1" applyFill="1" applyBorder="1" applyAlignment="1">
      <alignment horizontal="centerContinuous"/>
    </xf>
    <xf numFmtId="0" fontId="231" fillId="7" borderId="5" xfId="0" applyFont="1" applyFill="1" applyBorder="1" applyAlignment="1">
      <alignment horizontal="center"/>
    </xf>
    <xf numFmtId="0" fontId="231" fillId="7" borderId="5" xfId="0" quotePrefix="1" applyFont="1" applyFill="1" applyBorder="1" applyAlignment="1">
      <alignment horizontal="center"/>
    </xf>
    <xf numFmtId="0" fontId="231" fillId="7" borderId="1" xfId="0" quotePrefix="1" applyFont="1" applyFill="1" applyBorder="1" applyAlignment="1">
      <alignment horizontal="center"/>
    </xf>
    <xf numFmtId="0" fontId="231" fillId="7" borderId="1" xfId="0" applyFont="1" applyFill="1" applyBorder="1" applyAlignment="1">
      <alignment horizontal="center"/>
    </xf>
    <xf numFmtId="169" fontId="226" fillId="0" borderId="0" xfId="0" applyNumberFormat="1" applyFont="1" applyFill="1" applyBorder="1" applyAlignment="1">
      <alignment horizontal="center"/>
    </xf>
    <xf numFmtId="49" fontId="226" fillId="0" borderId="0" xfId="0" applyNumberFormat="1" applyFont="1" applyFill="1" applyBorder="1" applyAlignment="1">
      <alignment horizontal="center"/>
    </xf>
    <xf numFmtId="0" fontId="226" fillId="0" borderId="0" xfId="0" applyFont="1" applyFill="1" applyBorder="1" applyAlignment="1">
      <alignment horizontal="center"/>
    </xf>
    <xf numFmtId="4" fontId="226" fillId="0" borderId="0" xfId="0" applyNumberFormat="1" applyFont="1" applyFill="1" applyBorder="1" applyAlignment="1">
      <alignment horizontal="center"/>
    </xf>
    <xf numFmtId="14" fontId="226" fillId="0" borderId="0" xfId="0" applyNumberFormat="1" applyFont="1" applyFill="1" applyBorder="1" applyAlignment="1">
      <alignment horizontal="center"/>
    </xf>
    <xf numFmtId="0" fontId="226" fillId="0" borderId="0" xfId="0" applyFont="1" applyFill="1" applyBorder="1"/>
    <xf numFmtId="2" fontId="226" fillId="10" borderId="0" xfId="0" applyNumberFormat="1" applyFont="1" applyFill="1"/>
    <xf numFmtId="43" fontId="226" fillId="0" borderId="0" xfId="64" applyNumberFormat="1" applyFont="1"/>
    <xf numFmtId="43" fontId="226" fillId="0" borderId="0" xfId="6" applyFont="1" applyFill="1"/>
    <xf numFmtId="0" fontId="231" fillId="9" borderId="4" xfId="0" applyFont="1" applyFill="1" applyBorder="1" applyAlignment="1">
      <alignment horizontal="center"/>
    </xf>
    <xf numFmtId="0" fontId="231" fillId="9" borderId="6" xfId="0" applyFont="1" applyFill="1" applyBorder="1" applyAlignment="1">
      <alignment horizontal="center"/>
    </xf>
    <xf numFmtId="0" fontId="231" fillId="9" borderId="1" xfId="0" applyFont="1" applyFill="1" applyBorder="1" applyAlignment="1">
      <alignment horizontal="center"/>
    </xf>
    <xf numFmtId="0" fontId="231" fillId="9" borderId="5" xfId="0" applyFont="1" applyFill="1" applyBorder="1" applyAlignment="1">
      <alignment horizontal="center"/>
    </xf>
    <xf numFmtId="40" fontId="226" fillId="0" borderId="0" xfId="64" applyNumberFormat="1" applyFont="1"/>
    <xf numFmtId="43" fontId="227" fillId="0" borderId="0" xfId="6" applyFont="1"/>
    <xf numFmtId="170" fontId="226" fillId="0" borderId="0" xfId="64" applyNumberFormat="1" applyFont="1"/>
    <xf numFmtId="43" fontId="192" fillId="0" borderId="0" xfId="0" applyNumberFormat="1" applyFont="1"/>
    <xf numFmtId="43" fontId="226" fillId="13" borderId="0" xfId="6" applyFont="1" applyFill="1"/>
    <xf numFmtId="0" fontId="226" fillId="13" borderId="0" xfId="64" applyFont="1" applyFill="1"/>
    <xf numFmtId="40" fontId="191" fillId="0" borderId="0" xfId="1" applyNumberFormat="1" applyFont="1" applyFill="1"/>
    <xf numFmtId="4" fontId="226" fillId="0" borderId="0" xfId="0" applyNumberFormat="1" applyFont="1" applyBorder="1"/>
    <xf numFmtId="43" fontId="227" fillId="0" borderId="0" xfId="64" applyNumberFormat="1" applyFont="1"/>
    <xf numFmtId="0" fontId="233" fillId="14" borderId="0" xfId="64" applyFont="1" applyFill="1"/>
    <xf numFmtId="43" fontId="234" fillId="0" borderId="0" xfId="0" applyNumberFormat="1" applyFont="1"/>
    <xf numFmtId="0" fontId="226" fillId="0" borderId="0" xfId="0" applyFont="1" applyFill="1"/>
    <xf numFmtId="2" fontId="226" fillId="0" borderId="0" xfId="0" applyNumberFormat="1" applyFont="1" applyFill="1"/>
    <xf numFmtId="0" fontId="226" fillId="0" borderId="7" xfId="0" applyFont="1" applyBorder="1"/>
    <xf numFmtId="49" fontId="226" fillId="0" borderId="7" xfId="0" applyNumberFormat="1" applyFont="1" applyBorder="1"/>
    <xf numFmtId="4" fontId="226" fillId="0" borderId="7" xfId="0" applyNumberFormat="1" applyFont="1" applyBorder="1"/>
    <xf numFmtId="173" fontId="227" fillId="0" borderId="0" xfId="0" applyNumberFormat="1" applyFont="1" applyBorder="1"/>
    <xf numFmtId="43" fontId="226" fillId="0" borderId="7" xfId="64" applyNumberFormat="1" applyFont="1" applyBorder="1"/>
    <xf numFmtId="43" fontId="190" fillId="5" borderId="0" xfId="6" applyFont="1" applyFill="1"/>
    <xf numFmtId="43" fontId="232" fillId="5" borderId="0" xfId="1" applyNumberFormat="1" applyFont="1" applyFill="1"/>
    <xf numFmtId="0" fontId="231" fillId="11" borderId="0" xfId="64" applyFont="1" applyFill="1" applyAlignment="1">
      <alignment horizontal="center"/>
    </xf>
    <xf numFmtId="43" fontId="226" fillId="0" borderId="7" xfId="6" applyFont="1" applyBorder="1"/>
    <xf numFmtId="43" fontId="191" fillId="0" borderId="0" xfId="1" applyNumberFormat="1" applyFont="1" applyFill="1"/>
    <xf numFmtId="14" fontId="226" fillId="13" borderId="0" xfId="0" applyNumberFormat="1" applyFont="1" applyFill="1" applyBorder="1" applyAlignment="1">
      <alignment horizontal="center"/>
    </xf>
    <xf numFmtId="49" fontId="226" fillId="13" borderId="0" xfId="0" applyNumberFormat="1" applyFont="1" applyFill="1" applyBorder="1" applyAlignment="1">
      <alignment horizontal="center"/>
    </xf>
    <xf numFmtId="0" fontId="226" fillId="13" borderId="0" xfId="0" applyFont="1" applyFill="1" applyBorder="1"/>
    <xf numFmtId="43" fontId="226" fillId="13" borderId="0" xfId="6" applyFont="1" applyFill="1" applyBorder="1" applyAlignment="1">
      <alignment horizontal="center"/>
    </xf>
    <xf numFmtId="43" fontId="226" fillId="13" borderId="0" xfId="6" applyFont="1" applyFill="1" applyBorder="1"/>
    <xf numFmtId="2" fontId="226" fillId="13" borderId="0" xfId="0" applyNumberFormat="1" applyFont="1" applyFill="1"/>
    <xf numFmtId="43" fontId="191" fillId="12" borderId="0" xfId="0" applyNumberFormat="1" applyFont="1" applyFill="1"/>
    <xf numFmtId="166" fontId="230" fillId="0" borderId="0" xfId="7" applyFont="1" applyAlignment="1">
      <alignment horizontal="center"/>
    </xf>
    <xf numFmtId="166" fontId="226" fillId="0" borderId="0" xfId="7" applyFont="1" applyFill="1"/>
    <xf numFmtId="166" fontId="226" fillId="0" borderId="0" xfId="7" applyFont="1" applyBorder="1"/>
    <xf numFmtId="14" fontId="226" fillId="12" borderId="0" xfId="0" applyNumberFormat="1" applyFont="1" applyFill="1" applyBorder="1" applyAlignment="1">
      <alignment horizontal="center"/>
    </xf>
    <xf numFmtId="49" fontId="226" fillId="12" borderId="0" xfId="0" applyNumberFormat="1" applyFont="1" applyFill="1" applyBorder="1" applyAlignment="1">
      <alignment horizontal="center"/>
    </xf>
    <xf numFmtId="0" fontId="226" fillId="12" borderId="0" xfId="0" applyFont="1" applyFill="1" applyBorder="1"/>
    <xf numFmtId="43" fontId="226" fillId="12" borderId="0" xfId="6" applyFont="1" applyFill="1" applyBorder="1"/>
    <xf numFmtId="2" fontId="226" fillId="12" borderId="0" xfId="0" applyNumberFormat="1" applyFont="1" applyFill="1"/>
    <xf numFmtId="43" fontId="226" fillId="12" borderId="0" xfId="6" applyFont="1" applyFill="1" applyBorder="1" applyAlignment="1">
      <alignment horizontal="center"/>
    </xf>
    <xf numFmtId="0" fontId="226" fillId="12" borderId="0" xfId="64" applyFont="1" applyFill="1"/>
    <xf numFmtId="43" fontId="227" fillId="12" borderId="0" xfId="6" applyFont="1" applyFill="1" applyBorder="1"/>
    <xf numFmtId="43" fontId="226" fillId="10" borderId="0" xfId="6" applyFont="1" applyFill="1"/>
    <xf numFmtId="0" fontId="188" fillId="15" borderId="0" xfId="146" quotePrefix="1" applyNumberFormat="1" applyFont="1" applyFill="1"/>
    <xf numFmtId="0" fontId="226" fillId="15" borderId="0" xfId="64" applyFont="1" applyFill="1"/>
    <xf numFmtId="43" fontId="226" fillId="15" borderId="0" xfId="6" applyFont="1" applyFill="1"/>
    <xf numFmtId="0" fontId="226" fillId="10" borderId="0" xfId="64" applyFont="1" applyFill="1"/>
    <xf numFmtId="43" fontId="226" fillId="0" borderId="7" xfId="6" applyFont="1" applyFill="1" applyBorder="1"/>
    <xf numFmtId="43" fontId="227" fillId="0" borderId="0" xfId="6" applyFont="1" applyFill="1" applyBorder="1"/>
    <xf numFmtId="43" fontId="226" fillId="0" borderId="0" xfId="6" applyFont="1" applyBorder="1"/>
    <xf numFmtId="43" fontId="227" fillId="0" borderId="0" xfId="6" applyFont="1" applyBorder="1"/>
    <xf numFmtId="0" fontId="226" fillId="16" borderId="0" xfId="64" applyFont="1" applyFill="1"/>
    <xf numFmtId="0" fontId="226" fillId="0" borderId="7" xfId="64" applyFont="1" applyBorder="1"/>
    <xf numFmtId="49" fontId="226" fillId="0" borderId="7" xfId="64" applyNumberFormat="1" applyFont="1" applyBorder="1"/>
    <xf numFmtId="14" fontId="226" fillId="12" borderId="0" xfId="64" applyNumberFormat="1" applyFont="1" applyFill="1" applyBorder="1"/>
    <xf numFmtId="49" fontId="226" fillId="12" borderId="0" xfId="64" applyNumberFormat="1" applyFont="1" applyFill="1" applyBorder="1"/>
    <xf numFmtId="43" fontId="226" fillId="12" borderId="0" xfId="6" applyNumberFormat="1" applyFont="1" applyFill="1" applyBorder="1"/>
    <xf numFmtId="0" fontId="230" fillId="0" borderId="0" xfId="0" applyFont="1" applyAlignment="1">
      <alignment horizontal="center"/>
    </xf>
    <xf numFmtId="0" fontId="226" fillId="0" borderId="0" xfId="0" applyFont="1"/>
    <xf numFmtId="173" fontId="226" fillId="0" borderId="0" xfId="0" applyNumberFormat="1" applyFont="1" applyBorder="1"/>
    <xf numFmtId="166" fontId="226" fillId="0" borderId="0" xfId="7" applyFont="1"/>
    <xf numFmtId="166" fontId="230" fillId="0" borderId="0" xfId="7" applyFont="1" applyAlignment="1">
      <alignment horizontal="center"/>
    </xf>
    <xf numFmtId="43" fontId="226" fillId="0" borderId="0" xfId="6" applyFont="1" applyFill="1" applyBorder="1" applyAlignment="1">
      <alignment horizontal="center"/>
    </xf>
    <xf numFmtId="43" fontId="226" fillId="0" borderId="0" xfId="6" applyFont="1" applyFill="1" applyBorder="1"/>
    <xf numFmtId="166" fontId="226" fillId="0" borderId="0" xfId="7" applyFont="1" applyBorder="1"/>
    <xf numFmtId="40" fontId="226" fillId="0" borderId="0" xfId="0" applyNumberFormat="1" applyFont="1" applyBorder="1"/>
    <xf numFmtId="40" fontId="226" fillId="0" borderId="7" xfId="0" applyNumberFormat="1" applyFont="1" applyBorder="1"/>
    <xf numFmtId="40" fontId="226" fillId="0" borderId="8" xfId="0" applyNumberFormat="1" applyFont="1" applyBorder="1"/>
    <xf numFmtId="0" fontId="226" fillId="9" borderId="0" xfId="0" applyFont="1" applyFill="1" applyBorder="1"/>
    <xf numFmtId="43" fontId="226" fillId="9" borderId="0" xfId="6" applyFont="1" applyFill="1" applyBorder="1" applyAlignment="1">
      <alignment horizontal="center"/>
    </xf>
    <xf numFmtId="43" fontId="226" fillId="9" borderId="0" xfId="6" applyFont="1" applyFill="1" applyBorder="1"/>
    <xf numFmtId="0" fontId="227" fillId="9" borderId="0" xfId="0" applyFont="1" applyFill="1" applyBorder="1"/>
    <xf numFmtId="43" fontId="227" fillId="9" borderId="0" xfId="6" applyFont="1" applyFill="1" applyBorder="1" applyAlignment="1">
      <alignment horizontal="center"/>
    </xf>
    <xf numFmtId="43" fontId="227" fillId="9" borderId="0" xfId="6" applyFont="1" applyFill="1" applyBorder="1"/>
    <xf numFmtId="2" fontId="227" fillId="9" borderId="0" xfId="0" applyNumberFormat="1" applyFont="1" applyFill="1"/>
    <xf numFmtId="0" fontId="188" fillId="9" borderId="0" xfId="146" quotePrefix="1" applyNumberFormat="1" applyFont="1" applyFill="1" applyAlignment="1">
      <alignment horizontal="left"/>
    </xf>
    <xf numFmtId="0" fontId="227" fillId="0" borderId="0" xfId="0" applyNumberFormat="1" applyFont="1" applyFill="1" applyBorder="1" applyAlignment="1">
      <alignment horizontal="left"/>
    </xf>
    <xf numFmtId="1" fontId="226" fillId="0" borderId="0" xfId="0" quotePrefix="1" applyNumberFormat="1" applyFont="1" applyFill="1" applyBorder="1" applyAlignment="1" applyProtection="1">
      <alignment horizontal="left"/>
    </xf>
    <xf numFmtId="0" fontId="188" fillId="9" borderId="0" xfId="146" quotePrefix="1" applyNumberFormat="1" applyFont="1" applyFill="1"/>
    <xf numFmtId="43" fontId="226" fillId="9" borderId="0" xfId="6" applyFont="1" applyFill="1"/>
    <xf numFmtId="15" fontId="226" fillId="0" borderId="0" xfId="0" applyNumberFormat="1" applyFont="1" applyFill="1" applyBorder="1" applyAlignment="1" applyProtection="1">
      <alignment horizontal="right"/>
    </xf>
    <xf numFmtId="0" fontId="226" fillId="10" borderId="0" xfId="0" applyFont="1" applyFill="1" applyBorder="1" applyAlignment="1">
      <alignment horizontal="right"/>
    </xf>
    <xf numFmtId="0" fontId="226" fillId="0" borderId="0" xfId="0" applyNumberFormat="1" applyFont="1" applyFill="1" applyBorder="1" applyAlignment="1">
      <alignment horizontal="left"/>
    </xf>
    <xf numFmtId="166" fontId="226" fillId="0" borderId="0" xfId="7" applyFont="1"/>
    <xf numFmtId="166" fontId="230" fillId="0" borderId="0" xfId="7" applyFont="1" applyAlignment="1">
      <alignment horizontal="center"/>
    </xf>
    <xf numFmtId="43" fontId="226" fillId="0" borderId="0" xfId="6" applyFont="1" applyFill="1" applyBorder="1" applyAlignment="1">
      <alignment horizontal="center"/>
    </xf>
    <xf numFmtId="43" fontId="226" fillId="0" borderId="0" xfId="6" applyFont="1" applyFill="1" applyBorder="1"/>
    <xf numFmtId="166" fontId="226" fillId="0" borderId="0" xfId="7" applyFont="1" applyFill="1"/>
    <xf numFmtId="166" fontId="226" fillId="0" borderId="0" xfId="7" applyFont="1" applyBorder="1"/>
    <xf numFmtId="0" fontId="226" fillId="10" borderId="0" xfId="0" applyFont="1" applyFill="1" applyBorder="1"/>
    <xf numFmtId="43" fontId="226" fillId="10" borderId="0" xfId="6" applyFont="1" applyFill="1" applyBorder="1"/>
    <xf numFmtId="0" fontId="222" fillId="5" borderId="0" xfId="1" applyFont="1" applyFill="1"/>
    <xf numFmtId="43" fontId="222" fillId="5" borderId="0" xfId="6" applyFont="1" applyFill="1"/>
    <xf numFmtId="43" fontId="222" fillId="5" borderId="0" xfId="1" applyNumberFormat="1" applyFont="1" applyFill="1"/>
    <xf numFmtId="0" fontId="191" fillId="0" borderId="0" xfId="44" applyFont="1"/>
    <xf numFmtId="43" fontId="226" fillId="0" borderId="9" xfId="64" applyNumberFormat="1" applyFont="1" applyBorder="1"/>
    <xf numFmtId="0" fontId="188" fillId="12" borderId="0" xfId="146" quotePrefix="1" applyNumberFormat="1" applyFont="1" applyFill="1" applyAlignment="1">
      <alignment horizontal="left"/>
    </xf>
    <xf numFmtId="2" fontId="226" fillId="9" borderId="0" xfId="0" applyNumberFormat="1" applyFont="1" applyFill="1"/>
    <xf numFmtId="0" fontId="226" fillId="17" borderId="0" xfId="64" applyFont="1" applyFill="1" applyBorder="1"/>
    <xf numFmtId="49" fontId="226" fillId="17" borderId="0" xfId="64" applyNumberFormat="1" applyFont="1" applyFill="1" applyBorder="1"/>
    <xf numFmtId="166" fontId="226" fillId="17" borderId="0" xfId="7" applyFont="1" applyFill="1"/>
    <xf numFmtId="0" fontId="226" fillId="17" borderId="0" xfId="64" applyFont="1" applyFill="1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39" fontId="226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39" fontId="226" fillId="0" borderId="0" xfId="10" applyFont="1" applyAlignment="1" applyProtection="1">
      <alignment horizontal="left"/>
      <protection locked="0"/>
    </xf>
    <xf numFmtId="37" fontId="239" fillId="0" borderId="0" xfId="10" applyNumberFormat="1" applyFont="1" applyAlignment="1" applyProtection="1">
      <alignment horizontal="center"/>
      <protection locked="0"/>
    </xf>
    <xf numFmtId="40" fontId="226" fillId="0" borderId="0" xfId="10" applyNumberFormat="1" applyFont="1" applyProtection="1"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40" fontId="238" fillId="12" borderId="8" xfId="10" applyNumberFormat="1" applyFont="1" applyFill="1" applyBorder="1" applyAlignment="1" applyProtection="1">
      <alignment horizontal="center"/>
      <protection locked="0"/>
    </xf>
    <xf numFmtId="14" fontId="238" fillId="0" borderId="0" xfId="10" applyNumberFormat="1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40" fontId="238" fillId="0" borderId="0" xfId="10" applyNumberFormat="1" applyFo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49" fontId="238" fillId="0" borderId="0" xfId="10" applyNumberFormat="1" applyFont="1" applyFill="1" applyAlignment="1" applyProtection="1">
      <alignment horizontal="center"/>
      <protection locked="0"/>
    </xf>
    <xf numFmtId="1" fontId="238" fillId="0" borderId="0" xfId="10" applyNumberFormat="1" applyFont="1" applyFill="1" applyAlignment="1" applyProtection="1">
      <alignment horizontal="center"/>
      <protection locked="0"/>
    </xf>
    <xf numFmtId="40" fontId="238" fillId="0" borderId="0" xfId="10" applyNumberFormat="1" applyFont="1" applyFill="1" applyBorder="1" applyAlignment="1" applyProtection="1">
      <alignment horizontal="left"/>
      <protection locked="0"/>
    </xf>
    <xf numFmtId="39" fontId="238" fillId="0" borderId="0" xfId="10" applyFont="1" applyFill="1" applyProtection="1">
      <protection locked="0"/>
    </xf>
    <xf numFmtId="40" fontId="238" fillId="0" borderId="0" xfId="10" applyNumberFormat="1" applyFont="1" applyFill="1" applyProtection="1"/>
    <xf numFmtId="39" fontId="226" fillId="0" borderId="0" xfId="10" applyFont="1" applyFill="1" applyProtection="1">
      <protection locked="0"/>
    </xf>
    <xf numFmtId="39" fontId="238" fillId="0" borderId="0" xfId="10" applyFont="1" applyFill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>
      <alignment horizontal="left"/>
    </xf>
    <xf numFmtId="168" fontId="238" fillId="0" borderId="0" xfId="10" applyNumberFormat="1" applyFont="1" applyAlignment="1" applyProtection="1">
      <alignment horizontal="left"/>
      <protection locked="0"/>
    </xf>
    <xf numFmtId="174" fontId="240" fillId="0" borderId="0" xfId="10" applyNumberFormat="1" applyFont="1" applyAlignment="1" applyProtection="1">
      <alignment horizontal="left"/>
      <protection locked="0"/>
    </xf>
    <xf numFmtId="174" fontId="238" fillId="0" borderId="0" xfId="10" applyNumberFormat="1" applyFont="1" applyAlignment="1" applyProtection="1">
      <alignment horizontal="left"/>
      <protection locked="0"/>
    </xf>
    <xf numFmtId="174" fontId="241" fillId="0" borderId="0" xfId="10" applyNumberFormat="1" applyFont="1" applyAlignment="1" applyProtection="1">
      <alignment horizontal="left"/>
      <protection locked="0"/>
    </xf>
    <xf numFmtId="49" fontId="238" fillId="0" borderId="0" xfId="10" applyNumberFormat="1" applyFont="1" applyAlignment="1" applyProtection="1">
      <alignment horizontal="center"/>
      <protection locked="0"/>
    </xf>
    <xf numFmtId="174" fontId="239" fillId="0" borderId="0" xfId="10" applyNumberFormat="1" applyFont="1" applyAlignment="1" applyProtection="1">
      <alignment horizontal="left"/>
      <protection locked="0"/>
    </xf>
    <xf numFmtId="40" fontId="239" fillId="0" borderId="0" xfId="10" applyNumberFormat="1" applyFont="1" applyAlignment="1" applyProtection="1">
      <alignment horizontal="left"/>
      <protection locked="0"/>
    </xf>
    <xf numFmtId="49" fontId="238" fillId="0" borderId="0" xfId="10" applyNumberFormat="1" applyFont="1" applyAlignment="1" applyProtection="1">
      <alignment horizontal="left"/>
      <protection locked="0"/>
    </xf>
    <xf numFmtId="174" fontId="238" fillId="0" borderId="8" xfId="10" applyNumberFormat="1" applyFont="1" applyBorder="1" applyAlignment="1" applyProtection="1">
      <protection locked="0"/>
    </xf>
    <xf numFmtId="174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right"/>
      <protection locked="0"/>
    </xf>
    <xf numFmtId="40" fontId="238" fillId="0" borderId="8" xfId="10" applyNumberFormat="1" applyFont="1" applyBorder="1" applyProtection="1"/>
    <xf numFmtId="174" fontId="238" fillId="0" borderId="0" xfId="10" applyNumberFormat="1" applyFont="1" applyProtection="1">
      <protection locked="0"/>
    </xf>
    <xf numFmtId="40" fontId="238" fillId="0" borderId="0" xfId="10" applyNumberFormat="1" applyFont="1" applyBorder="1" applyProtection="1">
      <protection locked="0"/>
    </xf>
    <xf numFmtId="40" fontId="238" fillId="12" borderId="0" xfId="10" applyNumberFormat="1" applyFont="1" applyFill="1" applyProtection="1"/>
    <xf numFmtId="39" fontId="226" fillId="0" borderId="0" xfId="10" applyFont="1"/>
    <xf numFmtId="40" fontId="238" fillId="0" borderId="0" xfId="10" applyNumberFormat="1" applyFont="1" applyFill="1" applyBorder="1" applyProtection="1"/>
    <xf numFmtId="40" fontId="238" fillId="0" borderId="8" xfId="10" applyNumberFormat="1" applyFont="1" applyBorder="1" applyAlignment="1" applyProtection="1">
      <alignment horizontal="fill"/>
    </xf>
    <xf numFmtId="40" fontId="238" fillId="0" borderId="0" xfId="10" applyNumberFormat="1" applyFont="1" applyBorder="1" applyAlignment="1" applyProtection="1">
      <alignment horizontal="fill"/>
    </xf>
    <xf numFmtId="40" fontId="238" fillId="0" borderId="0" xfId="10" applyNumberFormat="1" applyFont="1" applyAlignment="1" applyProtection="1">
      <alignment horizontal="fill"/>
      <protection locked="0"/>
    </xf>
    <xf numFmtId="14" fontId="238" fillId="0" borderId="0" xfId="10" applyNumberFormat="1" applyFont="1" applyAlignment="1" applyProtection="1">
      <alignment horizontal="left"/>
      <protection locked="0"/>
    </xf>
    <xf numFmtId="40" fontId="239" fillId="0" borderId="0" xfId="10" applyNumberFormat="1" applyFont="1" applyProtection="1">
      <protection locked="0"/>
    </xf>
    <xf numFmtId="40" fontId="239" fillId="0" borderId="0" xfId="10" applyNumberFormat="1" applyFont="1" applyAlignment="1" applyProtection="1">
      <alignment horizontal="center"/>
      <protection locked="0"/>
    </xf>
    <xf numFmtId="40" fontId="238" fillId="0" borderId="0" xfId="10" applyNumberFormat="1" applyFont="1" applyAlignment="1" applyProtection="1">
      <protection locked="0"/>
    </xf>
    <xf numFmtId="40" fontId="229" fillId="0" borderId="11" xfId="10" applyNumberFormat="1" applyFont="1" applyBorder="1" applyProtection="1">
      <protection locked="0"/>
    </xf>
    <xf numFmtId="40" fontId="229" fillId="0" borderId="0" xfId="10" applyNumberFormat="1" applyFont="1" applyAlignment="1" applyProtection="1">
      <alignment horizontal="left"/>
      <protection locked="0"/>
    </xf>
    <xf numFmtId="40" fontId="229" fillId="0" borderId="0" xfId="10" applyNumberFormat="1" applyFont="1" applyProtection="1">
      <protection locked="0"/>
    </xf>
    <xf numFmtId="174" fontId="226" fillId="0" borderId="0" xfId="10" applyNumberFormat="1" applyFont="1" applyProtection="1">
      <protection locked="0"/>
    </xf>
    <xf numFmtId="174" fontId="226" fillId="0" borderId="0" xfId="10" applyNumberFormat="1" applyFont="1" applyAlignment="1" applyProtection="1">
      <alignment horizontal="left"/>
      <protection locked="0"/>
    </xf>
    <xf numFmtId="40" fontId="226" fillId="0" borderId="0" xfId="10" applyNumberFormat="1" applyFont="1" applyAlignment="1" applyProtection="1">
      <alignment horizontal="left"/>
      <protection locked="0"/>
    </xf>
    <xf numFmtId="39" fontId="226" fillId="0" borderId="8" xfId="10" applyFont="1" applyBorder="1" applyProtection="1">
      <protection locked="0"/>
    </xf>
    <xf numFmtId="43" fontId="226" fillId="10" borderId="0" xfId="6" applyFont="1" applyFill="1" applyBorder="1" applyAlignment="1">
      <alignment horizontal="center"/>
    </xf>
    <xf numFmtId="166" fontId="230" fillId="10" borderId="0" xfId="7" applyFont="1" applyFill="1" applyAlignment="1">
      <alignment horizontal="center"/>
    </xf>
    <xf numFmtId="39" fontId="238" fillId="0" borderId="0" xfId="10" applyFont="1" applyFill="1" applyAlignment="1" applyProtection="1">
      <alignment horizontal="left"/>
      <protection locked="0"/>
    </xf>
    <xf numFmtId="43" fontId="238" fillId="0" borderId="0" xfId="6" applyFont="1" applyFill="1" applyBorder="1" applyProtection="1"/>
    <xf numFmtId="43" fontId="238" fillId="12" borderId="0" xfId="6" applyFont="1" applyFill="1" applyProtection="1"/>
    <xf numFmtId="0" fontId="191" fillId="0" borderId="0" xfId="47" quotePrefix="1" applyFont="1"/>
    <xf numFmtId="0" fontId="226" fillId="18" borderId="0" xfId="64" applyFont="1" applyFill="1"/>
    <xf numFmtId="43" fontId="226" fillId="18" borderId="0" xfId="6" applyFont="1" applyFill="1"/>
    <xf numFmtId="43" fontId="227" fillId="19" borderId="0" xfId="64" applyNumberFormat="1" applyFont="1" applyFill="1"/>
    <xf numFmtId="0" fontId="188" fillId="0" borderId="0" xfId="44" applyFont="1"/>
    <xf numFmtId="40" fontId="192" fillId="12" borderId="0" xfId="4" applyNumberFormat="1" applyFont="1" applyFill="1" applyBorder="1" applyAlignment="1">
      <alignment horizontal="right"/>
    </xf>
    <xf numFmtId="43" fontId="191" fillId="0" borderId="0" xfId="6" applyFont="1"/>
    <xf numFmtId="175" fontId="191" fillId="0" borderId="0" xfId="0" applyNumberFormat="1" applyFont="1"/>
    <xf numFmtId="40" fontId="192" fillId="9" borderId="0" xfId="4" applyNumberFormat="1" applyFont="1" applyFill="1" applyAlignment="1">
      <alignment horizontal="right"/>
    </xf>
    <xf numFmtId="0" fontId="188" fillId="10" borderId="0" xfId="146" quotePrefix="1" applyFont="1" applyFill="1" applyAlignment="1">
      <alignment horizontal="left"/>
    </xf>
    <xf numFmtId="1" fontId="239" fillId="0" borderId="0" xfId="6" applyNumberFormat="1" applyFont="1" applyAlignment="1" applyProtection="1">
      <alignment horizontal="center"/>
      <protection locked="0"/>
    </xf>
    <xf numFmtId="43" fontId="238" fillId="0" borderId="0" xfId="6" applyFont="1" applyFill="1" applyProtection="1"/>
    <xf numFmtId="14" fontId="191" fillId="0" borderId="0" xfId="47" quotePrefix="1" applyNumberFormat="1" applyFont="1"/>
    <xf numFmtId="0" fontId="191" fillId="9" borderId="0" xfId="9" applyNumberFormat="1" applyFont="1" applyFill="1" applyAlignment="1" applyProtection="1">
      <alignment horizontal="center" vertical="justify"/>
      <protection locked="0"/>
    </xf>
    <xf numFmtId="0" fontId="191" fillId="9" borderId="0" xfId="9" applyFont="1" applyFill="1" applyAlignment="1"/>
    <xf numFmtId="166" fontId="226" fillId="9" borderId="0" xfId="7" applyFont="1" applyFill="1"/>
    <xf numFmtId="176" fontId="226" fillId="0" borderId="0" xfId="7" applyNumberFormat="1" applyFont="1" applyFill="1" applyAlignment="1">
      <alignment horizontal="left"/>
    </xf>
    <xf numFmtId="173" fontId="226" fillId="0" borderId="0" xfId="64" applyNumberFormat="1" applyFont="1"/>
    <xf numFmtId="40" fontId="242" fillId="0" borderId="0" xfId="10" applyNumberFormat="1" applyFont="1" applyFill="1" applyProtection="1"/>
    <xf numFmtId="0" fontId="191" fillId="0" borderId="0" xfId="50" quotePrefix="1" applyFont="1"/>
    <xf numFmtId="176" fontId="226" fillId="12" borderId="0" xfId="7" applyNumberFormat="1" applyFont="1" applyFill="1" applyAlignment="1">
      <alignment horizontal="left"/>
    </xf>
    <xf numFmtId="14" fontId="191" fillId="0" borderId="0" xfId="50" quotePrefix="1" applyNumberFormat="1" applyFont="1"/>
    <xf numFmtId="0" fontId="191" fillId="0" borderId="0" xfId="54" quotePrefix="1" applyFont="1"/>
    <xf numFmtId="14" fontId="191" fillId="9" borderId="0" xfId="50" quotePrefix="1" applyNumberFormat="1" applyFont="1" applyFill="1"/>
    <xf numFmtId="49" fontId="226" fillId="9" borderId="0" xfId="0" applyNumberFormat="1" applyFont="1" applyFill="1" applyBorder="1" applyAlignment="1">
      <alignment horizontal="center"/>
    </xf>
    <xf numFmtId="43" fontId="188" fillId="10" borderId="0" xfId="6" quotePrefix="1" applyFont="1" applyFill="1" applyAlignment="1">
      <alignment horizontal="left"/>
    </xf>
    <xf numFmtId="14" fontId="191" fillId="0" borderId="0" xfId="55" quotePrefix="1" applyNumberFormat="1" applyFont="1"/>
    <xf numFmtId="0" fontId="191" fillId="0" borderId="0" xfId="55" quotePrefix="1" applyFont="1"/>
    <xf numFmtId="0" fontId="239" fillId="0" borderId="0" xfId="64" applyFont="1" applyBorder="1" applyAlignment="1">
      <alignment horizontal="center"/>
    </xf>
    <xf numFmtId="14" fontId="226" fillId="9" borderId="0" xfId="0" applyNumberFormat="1" applyFont="1" applyFill="1" applyBorder="1" applyAlignment="1">
      <alignment horizontal="center"/>
    </xf>
    <xf numFmtId="43" fontId="239" fillId="12" borderId="0" xfId="6" applyFont="1" applyFill="1" applyProtection="1"/>
    <xf numFmtId="43" fontId="0" fillId="0" borderId="0" xfId="6" applyFont="1"/>
    <xf numFmtId="43" fontId="226" fillId="0" borderId="0" xfId="64" applyNumberFormat="1" applyFont="1" applyBorder="1"/>
    <xf numFmtId="0" fontId="191" fillId="0" borderId="0" xfId="63" quotePrefix="1" applyFont="1"/>
    <xf numFmtId="0" fontId="0" fillId="17" borderId="0" xfId="0" applyFill="1"/>
    <xf numFmtId="0" fontId="188" fillId="0" borderId="0" xfId="186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40" fontId="238" fillId="0" borderId="0" xfId="10" applyNumberFormat="1" applyFo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49" fontId="238" fillId="0" borderId="0" xfId="10" applyNumberFormat="1" applyFont="1" applyFill="1" applyAlignment="1" applyProtection="1">
      <alignment horizontal="center"/>
      <protection locked="0"/>
    </xf>
    <xf numFmtId="40" fontId="238" fillId="0" borderId="0" xfId="10" applyNumberFormat="1" applyFont="1" applyFill="1" applyBorder="1" applyAlignment="1" applyProtection="1">
      <alignment horizontal="left"/>
      <protection locked="0"/>
    </xf>
    <xf numFmtId="40" fontId="238" fillId="0" borderId="0" xfId="10" applyNumberFormat="1" applyFont="1" applyFill="1" applyProtection="1"/>
    <xf numFmtId="39" fontId="238" fillId="0" borderId="0" xfId="10" applyFont="1" applyFill="1" applyProtection="1">
      <protection locked="0"/>
    </xf>
    <xf numFmtId="40" fontId="238" fillId="12" borderId="8" xfId="10" applyNumberFormat="1" applyFont="1" applyFill="1" applyBorder="1" applyAlignment="1" applyProtection="1">
      <alignment horizontal="center"/>
      <protection locked="0"/>
    </xf>
    <xf numFmtId="14" fontId="238" fillId="0" borderId="0" xfId="10" applyNumberFormat="1" applyFont="1" applyBorder="1" applyAlignment="1" applyProtection="1">
      <alignment horizontal="fill"/>
      <protection locked="0"/>
    </xf>
    <xf numFmtId="1" fontId="239" fillId="0" borderId="0" xfId="6" applyNumberFormat="1" applyFont="1" applyAlignment="1" applyProtection="1">
      <alignment horizontal="center"/>
      <protection locked="0"/>
    </xf>
    <xf numFmtId="43" fontId="226" fillId="17" borderId="0" xfId="64" applyNumberFormat="1" applyFont="1" applyFill="1" applyBorder="1"/>
    <xf numFmtId="0" fontId="210" fillId="10" borderId="0" xfId="9" applyFont="1" applyFill="1" applyAlignment="1"/>
    <xf numFmtId="0" fontId="191" fillId="10" borderId="0" xfId="9" applyFont="1" applyFill="1" applyAlignment="1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39" fontId="226" fillId="0" borderId="0" xfId="10" applyFont="1" applyAlignment="1" applyProtection="1">
      <alignment horizontal="left"/>
      <protection locked="0"/>
    </xf>
    <xf numFmtId="40" fontId="226" fillId="0" borderId="0" xfId="10" applyNumberFormat="1" applyFont="1" applyProtection="1"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40" fontId="238" fillId="0" borderId="0" xfId="10" applyNumberFormat="1" applyFo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49" fontId="238" fillId="0" borderId="0" xfId="10" applyNumberFormat="1" applyFont="1" applyFill="1" applyAlignment="1" applyProtection="1">
      <alignment horizontal="center"/>
      <protection locked="0"/>
    </xf>
    <xf numFmtId="1" fontId="238" fillId="0" borderId="0" xfId="10" applyNumberFormat="1" applyFont="1" applyFill="1" applyAlignment="1" applyProtection="1">
      <alignment horizontal="center"/>
      <protection locked="0"/>
    </xf>
    <xf numFmtId="40" fontId="238" fillId="0" borderId="0" xfId="10" applyNumberFormat="1" applyFont="1" applyFill="1" applyBorder="1" applyAlignment="1" applyProtection="1">
      <alignment horizontal="left"/>
      <protection locked="0"/>
    </xf>
    <xf numFmtId="40" fontId="238" fillId="0" borderId="0" xfId="10" applyNumberFormat="1" applyFont="1" applyFill="1" applyProtection="1"/>
    <xf numFmtId="39" fontId="238" fillId="0" borderId="0" xfId="10" applyFont="1" applyFill="1" applyProtection="1">
      <protection locked="0"/>
    </xf>
    <xf numFmtId="39" fontId="238" fillId="0" borderId="0" xfId="10" applyFont="1" applyFill="1" applyBorder="1" applyAlignment="1" applyProtection="1">
      <alignment horizontal="left"/>
      <protection locked="0"/>
    </xf>
    <xf numFmtId="174" fontId="238" fillId="0" borderId="0" xfId="10" applyNumberFormat="1" applyFont="1" applyAlignment="1" applyProtection="1">
      <alignment horizontal="left"/>
      <protection locked="0"/>
    </xf>
    <xf numFmtId="174" fontId="238" fillId="0" borderId="8" xfId="10" applyNumberFormat="1" applyFont="1" applyBorder="1" applyAlignment="1" applyProtection="1">
      <protection locked="0"/>
    </xf>
    <xf numFmtId="174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right"/>
      <protection locked="0"/>
    </xf>
    <xf numFmtId="40" fontId="238" fillId="0" borderId="8" xfId="10" applyNumberFormat="1" applyFont="1" applyBorder="1" applyProtection="1"/>
    <xf numFmtId="174" fontId="238" fillId="0" borderId="0" xfId="10" applyNumberFormat="1" applyFont="1" applyProtection="1">
      <protection locked="0"/>
    </xf>
    <xf numFmtId="40" fontId="238" fillId="0" borderId="0" xfId="10" applyNumberFormat="1" applyFont="1" applyBorder="1" applyProtection="1">
      <protection locked="0"/>
    </xf>
    <xf numFmtId="39" fontId="226" fillId="0" borderId="0" xfId="10" applyFont="1"/>
    <xf numFmtId="40" fontId="238" fillId="0" borderId="0" xfId="10" applyNumberFormat="1" applyFont="1" applyFill="1" applyBorder="1" applyProtection="1"/>
    <xf numFmtId="40" fontId="238" fillId="0" borderId="8" xfId="10" applyNumberFormat="1" applyFont="1" applyBorder="1" applyAlignment="1" applyProtection="1">
      <alignment horizontal="fill"/>
    </xf>
    <xf numFmtId="40" fontId="238" fillId="0" borderId="0" xfId="10" applyNumberFormat="1" applyFont="1" applyBorder="1" applyAlignment="1" applyProtection="1">
      <alignment horizontal="fill"/>
    </xf>
    <xf numFmtId="40" fontId="238" fillId="0" borderId="0" xfId="10" applyNumberFormat="1" applyFont="1" applyAlignment="1" applyProtection="1">
      <alignment horizontal="fill"/>
      <protection locked="0"/>
    </xf>
    <xf numFmtId="166" fontId="226" fillId="0" borderId="0" xfId="7" applyFont="1"/>
    <xf numFmtId="43" fontId="226" fillId="0" borderId="0" xfId="6" applyFont="1" applyFill="1" applyBorder="1" applyAlignment="1">
      <alignment horizontal="center"/>
    </xf>
    <xf numFmtId="43" fontId="226" fillId="0" borderId="0" xfId="6" applyFont="1" applyFill="1" applyBorder="1"/>
    <xf numFmtId="40" fontId="238" fillId="12" borderId="8" xfId="10" applyNumberFormat="1" applyFont="1" applyFill="1" applyBorder="1" applyAlignment="1" applyProtection="1">
      <alignment horizontal="center"/>
      <protection locked="0"/>
    </xf>
    <xf numFmtId="14" fontId="238" fillId="0" borderId="0" xfId="10" applyNumberFormat="1" applyFont="1" applyBorder="1" applyAlignment="1" applyProtection="1">
      <alignment horizontal="fill"/>
      <protection locked="0"/>
    </xf>
    <xf numFmtId="40" fontId="239" fillId="0" borderId="0" xfId="10" applyNumberFormat="1" applyFont="1" applyProtection="1">
      <protection locked="0"/>
    </xf>
    <xf numFmtId="40" fontId="239" fillId="0" borderId="0" xfId="10" applyNumberFormat="1" applyFont="1" applyAlignment="1" applyProtection="1">
      <alignment horizontal="center"/>
      <protection locked="0"/>
    </xf>
    <xf numFmtId="14" fontId="238" fillId="0" borderId="0" xfId="10" applyNumberFormat="1" applyFont="1" applyAlignment="1" applyProtection="1">
      <alignment horizontal="left"/>
      <protection locked="0"/>
    </xf>
    <xf numFmtId="43" fontId="238" fillId="0" borderId="0" xfId="6" applyFont="1" applyFill="1" applyBorder="1" applyProtection="1"/>
    <xf numFmtId="39" fontId="238" fillId="0" borderId="0" xfId="10" applyFont="1" applyFill="1" applyAlignment="1" applyProtection="1">
      <alignment horizontal="left"/>
      <protection locked="0"/>
    </xf>
    <xf numFmtId="1" fontId="239" fillId="0" borderId="0" xfId="6" applyNumberFormat="1" applyFont="1" applyAlignment="1" applyProtection="1">
      <alignment horizontal="center"/>
      <protection locked="0"/>
    </xf>
    <xf numFmtId="0" fontId="191" fillId="0" borderId="0" xfId="108" quotePrefix="1" applyFont="1"/>
    <xf numFmtId="165" fontId="226" fillId="0" borderId="0" xfId="64" applyNumberFormat="1" applyFont="1"/>
    <xf numFmtId="165" fontId="191" fillId="0" borderId="0" xfId="0" applyNumberFormat="1" applyFont="1"/>
    <xf numFmtId="165" fontId="191" fillId="0" borderId="0" xfId="1" applyNumberFormat="1" applyFont="1" applyFill="1"/>
    <xf numFmtId="43" fontId="229" fillId="9" borderId="0" xfId="6" applyFont="1" applyFill="1" applyProtection="1"/>
    <xf numFmtId="0" fontId="191" fillId="0" borderId="0" xfId="113" quotePrefix="1" applyFont="1"/>
    <xf numFmtId="0" fontId="191" fillId="0" borderId="0" xfId="114" quotePrefix="1" applyFont="1"/>
    <xf numFmtId="14" fontId="230" fillId="0" borderId="0" xfId="0" applyNumberFormat="1" applyFont="1" applyFill="1" applyBorder="1" applyAlignment="1">
      <alignment horizontal="left"/>
    </xf>
    <xf numFmtId="49" fontId="226" fillId="18" borderId="0" xfId="0" applyNumberFormat="1" applyFont="1" applyFill="1" applyBorder="1" applyAlignment="1">
      <alignment horizontal="center"/>
    </xf>
    <xf numFmtId="49" fontId="238" fillId="12" borderId="0" xfId="10" applyNumberFormat="1" applyFont="1" applyFill="1" applyAlignment="1" applyProtection="1">
      <alignment horizontal="center"/>
      <protection locked="0"/>
    </xf>
    <xf numFmtId="14" fontId="191" fillId="0" borderId="0" xfId="113" quotePrefix="1" applyNumberFormat="1" applyFont="1"/>
    <xf numFmtId="0" fontId="238" fillId="0" borderId="0" xfId="10" applyNumberFormat="1" applyFont="1" applyFill="1" applyAlignment="1" applyProtection="1">
      <alignment horizontal="center"/>
      <protection locked="0"/>
    </xf>
    <xf numFmtId="0" fontId="244" fillId="10" borderId="0" xfId="0" applyFont="1" applyFill="1" applyBorder="1"/>
    <xf numFmtId="0" fontId="245" fillId="10" borderId="0" xfId="146" quotePrefix="1" applyNumberFormat="1" applyFont="1" applyFill="1" applyBorder="1"/>
    <xf numFmtId="43" fontId="244" fillId="10" borderId="0" xfId="6" applyFont="1" applyFill="1" applyBorder="1"/>
    <xf numFmtId="0" fontId="245" fillId="10" borderId="0" xfId="1" applyFont="1" applyFill="1" applyBorder="1"/>
    <xf numFmtId="17" fontId="244" fillId="10" borderId="0" xfId="0" applyNumberFormat="1" applyFont="1" applyFill="1" applyBorder="1"/>
    <xf numFmtId="0" fontId="246" fillId="10" borderId="0" xfId="1" applyFont="1" applyFill="1" applyBorder="1"/>
    <xf numFmtId="43" fontId="243" fillId="10" borderId="0" xfId="6" applyFont="1" applyFill="1" applyBorder="1"/>
    <xf numFmtId="14" fontId="191" fillId="0" borderId="0" xfId="114" quotePrefix="1" applyNumberFormat="1" applyFont="1"/>
    <xf numFmtId="0" fontId="188" fillId="0" borderId="0" xfId="466" applyFont="1" applyAlignment="1">
      <alignment horizontal="left"/>
    </xf>
    <xf numFmtId="0" fontId="188" fillId="0" borderId="0" xfId="466" applyFont="1"/>
    <xf numFmtId="43" fontId="188" fillId="0" borderId="0" xfId="466" applyNumberFormat="1" applyFont="1" applyAlignment="1">
      <alignment horizontal="center"/>
    </xf>
    <xf numFmtId="0" fontId="204" fillId="0" borderId="0" xfId="466" applyFont="1" applyAlignment="1">
      <alignment horizontal="left"/>
    </xf>
    <xf numFmtId="0" fontId="189" fillId="5" borderId="0" xfId="466" applyFont="1" applyFill="1" applyAlignment="1">
      <alignment horizontal="left"/>
    </xf>
    <xf numFmtId="0" fontId="199" fillId="0" borderId="0" xfId="466" applyFont="1"/>
    <xf numFmtId="0" fontId="189" fillId="0" borderId="0" xfId="466" applyFont="1"/>
    <xf numFmtId="0" fontId="189" fillId="5" borderId="0" xfId="466" applyFont="1" applyFill="1"/>
    <xf numFmtId="0" fontId="189" fillId="0" borderId="0" xfId="466" quotePrefix="1" applyFont="1" applyAlignment="1">
      <alignment horizontal="left"/>
    </xf>
    <xf numFmtId="0" fontId="188" fillId="20" borderId="12" xfId="466" applyFont="1" applyFill="1" applyBorder="1" applyAlignment="1">
      <alignment horizontal="left"/>
    </xf>
    <xf numFmtId="0" fontId="197" fillId="20" borderId="13" xfId="466" applyFont="1" applyFill="1" applyBorder="1"/>
    <xf numFmtId="0" fontId="199" fillId="20" borderId="13" xfId="466" applyFont="1" applyFill="1" applyBorder="1"/>
    <xf numFmtId="43" fontId="248" fillId="20" borderId="13" xfId="466" quotePrefix="1" applyNumberFormat="1" applyFont="1" applyFill="1" applyBorder="1" applyAlignment="1">
      <alignment horizontal="center"/>
    </xf>
    <xf numFmtId="0" fontId="199" fillId="20" borderId="14" xfId="466" applyFont="1" applyFill="1" applyBorder="1"/>
    <xf numFmtId="0" fontId="188" fillId="20" borderId="10" xfId="466" applyFont="1" applyFill="1" applyBorder="1" applyAlignment="1">
      <alignment horizontal="left"/>
    </xf>
    <xf numFmtId="0" fontId="197" fillId="20" borderId="0" xfId="466" applyFont="1" applyFill="1" applyBorder="1"/>
    <xf numFmtId="0" fontId="248" fillId="20" borderId="0" xfId="466" quotePrefix="1" applyFont="1" applyFill="1" applyBorder="1" applyAlignment="1">
      <alignment horizontal="center"/>
    </xf>
    <xf numFmtId="43" fontId="248" fillId="20" borderId="0" xfId="466" applyNumberFormat="1" applyFont="1" applyFill="1" applyBorder="1" applyAlignment="1">
      <alignment horizontal="center"/>
    </xf>
    <xf numFmtId="0" fontId="248" fillId="20" borderId="22" xfId="466" quotePrefix="1" applyFont="1" applyFill="1" applyBorder="1" applyAlignment="1">
      <alignment horizontal="center"/>
    </xf>
    <xf numFmtId="0" fontId="188" fillId="20" borderId="15" xfId="466" applyFont="1" applyFill="1" applyBorder="1" applyAlignment="1">
      <alignment horizontal="left"/>
    </xf>
    <xf numFmtId="0" fontId="197" fillId="20" borderId="11" xfId="466" applyFont="1" applyFill="1" applyBorder="1"/>
    <xf numFmtId="0" fontId="248" fillId="20" borderId="11" xfId="466" quotePrefix="1" applyFont="1" applyFill="1" applyBorder="1" applyAlignment="1">
      <alignment horizontal="left"/>
    </xf>
    <xf numFmtId="0" fontId="199" fillId="20" borderId="11" xfId="466" applyFont="1" applyFill="1" applyBorder="1"/>
    <xf numFmtId="43" fontId="248" fillId="20" borderId="11" xfId="466" applyNumberFormat="1" applyFont="1" applyFill="1" applyBorder="1" applyAlignment="1">
      <alignment horizontal="center"/>
    </xf>
    <xf numFmtId="0" fontId="248" fillId="20" borderId="16" xfId="466" quotePrefix="1" applyFont="1" applyFill="1" applyBorder="1" applyAlignment="1">
      <alignment horizontal="center"/>
    </xf>
    <xf numFmtId="49" fontId="188" fillId="0" borderId="12" xfId="466" applyNumberFormat="1" applyFont="1" applyBorder="1" applyAlignment="1">
      <alignment horizontal="left"/>
    </xf>
    <xf numFmtId="49" fontId="197" fillId="5" borderId="13" xfId="466" applyNumberFormat="1" applyFont="1" applyFill="1" applyBorder="1" applyAlignment="1">
      <alignment horizontal="left"/>
    </xf>
    <xf numFmtId="0" fontId="197" fillId="5" borderId="13" xfId="466" applyFont="1" applyFill="1" applyBorder="1"/>
    <xf numFmtId="40" fontId="197" fillId="5" borderId="13" xfId="467" applyFont="1" applyFill="1" applyBorder="1"/>
    <xf numFmtId="43" fontId="197" fillId="5" borderId="13" xfId="467" applyNumberFormat="1" applyFont="1" applyFill="1" applyBorder="1" applyAlignment="1">
      <alignment horizontal="center"/>
    </xf>
    <xf numFmtId="40" fontId="197" fillId="5" borderId="14" xfId="467" applyFont="1" applyFill="1" applyBorder="1" applyAlignment="1">
      <alignment horizontal="right"/>
    </xf>
    <xf numFmtId="49" fontId="188" fillId="0" borderId="10" xfId="466" applyNumberFormat="1" applyFont="1" applyBorder="1" applyAlignment="1">
      <alignment horizontal="left"/>
    </xf>
    <xf numFmtId="49" fontId="197" fillId="5" borderId="0" xfId="466" applyNumberFormat="1" applyFont="1" applyFill="1" applyBorder="1" applyAlignment="1">
      <alignment horizontal="left"/>
    </xf>
    <xf numFmtId="0" fontId="197" fillId="5" borderId="0" xfId="466" applyFont="1" applyFill="1" applyBorder="1"/>
    <xf numFmtId="40" fontId="197" fillId="5" borderId="0" xfId="467" applyFont="1" applyFill="1" applyBorder="1"/>
    <xf numFmtId="43" fontId="197" fillId="5" borderId="0" xfId="467" applyNumberFormat="1" applyFont="1" applyFill="1" applyBorder="1" applyAlignment="1">
      <alignment horizontal="center"/>
    </xf>
    <xf numFmtId="40" fontId="197" fillId="5" borderId="22" xfId="467" applyFont="1" applyFill="1" applyBorder="1" applyAlignment="1">
      <alignment horizontal="right"/>
    </xf>
    <xf numFmtId="49" fontId="197" fillId="5" borderId="0" xfId="466" applyNumberFormat="1" applyFont="1" applyFill="1" applyBorder="1" applyAlignment="1">
      <alignment horizontal="center"/>
    </xf>
    <xf numFmtId="49" fontId="197" fillId="5" borderId="0" xfId="466" quotePrefix="1" applyNumberFormat="1" applyFont="1" applyFill="1" applyBorder="1" applyAlignment="1">
      <alignment horizontal="left"/>
    </xf>
    <xf numFmtId="0" fontId="197" fillId="5" borderId="0" xfId="466" quotePrefix="1" applyFont="1" applyFill="1" applyBorder="1" applyAlignment="1">
      <alignment horizontal="left"/>
    </xf>
    <xf numFmtId="49" fontId="188" fillId="0" borderId="10" xfId="466" quotePrefix="1" applyNumberFormat="1" applyFont="1" applyBorder="1" applyAlignment="1">
      <alignment horizontal="left"/>
    </xf>
    <xf numFmtId="49" fontId="188" fillId="0" borderId="0" xfId="466" applyNumberFormat="1" applyFont="1" applyBorder="1" applyAlignment="1">
      <alignment horizontal="left"/>
    </xf>
    <xf numFmtId="49" fontId="188" fillId="0" borderId="0" xfId="466" quotePrefix="1" applyNumberFormat="1" applyFont="1" applyBorder="1" applyAlignment="1">
      <alignment horizontal="left"/>
    </xf>
    <xf numFmtId="49" fontId="197" fillId="5" borderId="0" xfId="466" quotePrefix="1" applyNumberFormat="1" applyFont="1" applyFill="1" applyBorder="1" applyAlignment="1">
      <alignment horizontal="center"/>
    </xf>
    <xf numFmtId="0" fontId="197" fillId="5" borderId="0" xfId="466" applyFont="1" applyFill="1" applyBorder="1" applyAlignment="1">
      <alignment horizontal="left"/>
    </xf>
    <xf numFmtId="0" fontId="248" fillId="5" borderId="0" xfId="466" applyFont="1" applyFill="1" applyBorder="1" applyAlignment="1">
      <alignment horizontal="left"/>
    </xf>
    <xf numFmtId="0" fontId="188" fillId="0" borderId="10" xfId="466" applyFont="1" applyBorder="1" applyAlignment="1">
      <alignment horizontal="left"/>
    </xf>
    <xf numFmtId="49" fontId="188" fillId="0" borderId="0" xfId="466" applyNumberFormat="1" applyFont="1" applyBorder="1" applyAlignment="1">
      <alignment horizontal="center"/>
    </xf>
    <xf numFmtId="0" fontId="188" fillId="0" borderId="0" xfId="466" applyFont="1" applyBorder="1"/>
    <xf numFmtId="40" fontId="188" fillId="0" borderId="0" xfId="466" applyNumberFormat="1" applyFont="1" applyBorder="1"/>
    <xf numFmtId="43" fontId="197" fillId="0" borderId="0" xfId="467" applyNumberFormat="1" applyFont="1" applyFill="1" applyBorder="1" applyAlignment="1">
      <alignment horizontal="center"/>
    </xf>
    <xf numFmtId="49" fontId="188" fillId="0" borderId="0" xfId="466" applyNumberFormat="1" applyFont="1" applyBorder="1"/>
    <xf numFmtId="0" fontId="248" fillId="5" borderId="0" xfId="466" applyFont="1" applyFill="1" applyBorder="1"/>
    <xf numFmtId="49" fontId="188" fillId="0" borderId="15" xfId="466" applyNumberFormat="1" applyFont="1" applyBorder="1" applyAlignment="1">
      <alignment horizontal="left"/>
    </xf>
    <xf numFmtId="49" fontId="197" fillId="5" borderId="11" xfId="466" applyNumberFormat="1" applyFont="1" applyFill="1" applyBorder="1" applyAlignment="1">
      <alignment horizontal="center"/>
    </xf>
    <xf numFmtId="0" fontId="197" fillId="5" borderId="11" xfId="466" applyFont="1" applyFill="1" applyBorder="1"/>
    <xf numFmtId="40" fontId="197" fillId="5" borderId="11" xfId="467" applyFont="1" applyFill="1" applyBorder="1"/>
    <xf numFmtId="43" fontId="197" fillId="5" borderId="11" xfId="467" applyNumberFormat="1" applyFont="1" applyFill="1" applyBorder="1" applyAlignment="1">
      <alignment horizontal="center"/>
    </xf>
    <xf numFmtId="40" fontId="197" fillId="5" borderId="16" xfId="467" applyFont="1" applyFill="1" applyBorder="1" applyAlignment="1">
      <alignment horizontal="right"/>
    </xf>
    <xf numFmtId="0" fontId="248" fillId="5" borderId="0" xfId="466" quotePrefix="1" applyFont="1" applyFill="1" applyBorder="1" applyAlignment="1">
      <alignment horizontal="left"/>
    </xf>
    <xf numFmtId="0" fontId="197" fillId="5" borderId="0" xfId="466" quotePrefix="1" applyFont="1" applyFill="1" applyBorder="1" applyAlignment="1">
      <alignment horizontal="left" wrapText="1"/>
    </xf>
    <xf numFmtId="49" fontId="197" fillId="5" borderId="10" xfId="466" applyNumberFormat="1" applyFont="1" applyFill="1" applyBorder="1" applyAlignment="1">
      <alignment horizontal="left"/>
    </xf>
    <xf numFmtId="40" fontId="197" fillId="5" borderId="7" xfId="467" applyFont="1" applyFill="1" applyBorder="1"/>
    <xf numFmtId="40" fontId="197" fillId="5" borderId="23" xfId="467" applyFont="1" applyFill="1" applyBorder="1" applyAlignment="1">
      <alignment horizontal="right"/>
    </xf>
    <xf numFmtId="49" fontId="248" fillId="5" borderId="0" xfId="466" quotePrefix="1" applyNumberFormat="1" applyFont="1" applyFill="1" applyBorder="1" applyAlignment="1">
      <alignment horizontal="left"/>
    </xf>
    <xf numFmtId="40" fontId="197" fillId="5" borderId="8" xfId="467" applyFont="1" applyFill="1" applyBorder="1"/>
    <xf numFmtId="40" fontId="197" fillId="5" borderId="24" xfId="467" applyFont="1" applyFill="1" applyBorder="1" applyAlignment="1">
      <alignment horizontal="right"/>
    </xf>
    <xf numFmtId="40" fontId="199" fillId="0" borderId="0" xfId="466" applyNumberFormat="1" applyFont="1"/>
    <xf numFmtId="49" fontId="248" fillId="5" borderId="0" xfId="466" applyNumberFormat="1" applyFont="1" applyFill="1" applyBorder="1" applyAlignment="1">
      <alignment horizontal="left"/>
    </xf>
    <xf numFmtId="49" fontId="199" fillId="0" borderId="10" xfId="466" applyNumberFormat="1" applyFont="1" applyBorder="1"/>
    <xf numFmtId="40" fontId="197" fillId="5" borderId="22" xfId="467" applyFont="1" applyFill="1" applyBorder="1"/>
    <xf numFmtId="49" fontId="199" fillId="0" borderId="10" xfId="466" applyNumberFormat="1" applyFont="1" applyBorder="1" applyAlignment="1">
      <alignment horizontal="left"/>
    </xf>
    <xf numFmtId="43" fontId="197" fillId="7" borderId="0" xfId="467" applyNumberFormat="1" applyFont="1" applyFill="1" applyBorder="1" applyAlignment="1">
      <alignment horizontal="center"/>
    </xf>
    <xf numFmtId="1" fontId="188" fillId="0" borderId="10" xfId="466" applyNumberFormat="1" applyFont="1" applyBorder="1" applyAlignment="1">
      <alignment horizontal="left"/>
    </xf>
    <xf numFmtId="1" fontId="188" fillId="0" borderId="0" xfId="466" applyNumberFormat="1" applyFont="1" applyBorder="1" applyAlignment="1">
      <alignment horizontal="left"/>
    </xf>
    <xf numFmtId="0" fontId="249" fillId="0" borderId="0" xfId="466" applyFont="1"/>
    <xf numFmtId="0" fontId="199" fillId="0" borderId="0" xfId="466" applyFont="1" applyBorder="1"/>
    <xf numFmtId="0" fontId="199" fillId="0" borderId="0" xfId="466" quotePrefix="1" applyFont="1" applyAlignment="1">
      <alignment horizontal="left" textRotation="255"/>
    </xf>
    <xf numFmtId="0" fontId="199" fillId="0" borderId="0" xfId="466" quotePrefix="1" applyFont="1" applyAlignment="1">
      <alignment horizontal="left"/>
    </xf>
    <xf numFmtId="40" fontId="197" fillId="5" borderId="7" xfId="467" applyFont="1" applyFill="1" applyBorder="1" applyAlignment="1">
      <alignment horizontal="right"/>
    </xf>
    <xf numFmtId="40" fontId="197" fillId="5" borderId="24" xfId="467" applyFont="1" applyFill="1" applyBorder="1"/>
    <xf numFmtId="49" fontId="248" fillId="5" borderId="11" xfId="466" quotePrefix="1" applyNumberFormat="1" applyFont="1" applyFill="1" applyBorder="1" applyAlignment="1">
      <alignment horizontal="left"/>
    </xf>
    <xf numFmtId="0" fontId="248" fillId="5" borderId="11" xfId="466" applyFont="1" applyFill="1" applyBorder="1" applyAlignment="1">
      <alignment horizontal="left"/>
    </xf>
    <xf numFmtId="10" fontId="197" fillId="5" borderId="24" xfId="467" applyNumberFormat="1" applyFont="1" applyFill="1" applyBorder="1" applyAlignment="1">
      <alignment horizontal="right"/>
    </xf>
    <xf numFmtId="40" fontId="197" fillId="5" borderId="9" xfId="467" applyFont="1" applyFill="1" applyBorder="1"/>
    <xf numFmtId="40" fontId="197" fillId="5" borderId="25" xfId="467" applyFont="1" applyFill="1" applyBorder="1"/>
    <xf numFmtId="49" fontId="248" fillId="5" borderId="0" xfId="466" applyNumberFormat="1" applyFont="1" applyFill="1" applyBorder="1"/>
    <xf numFmtId="49" fontId="197" fillId="5" borderId="0" xfId="466" applyNumberFormat="1" applyFont="1" applyFill="1" applyBorder="1"/>
    <xf numFmtId="49" fontId="197" fillId="5" borderId="11" xfId="466" applyNumberFormat="1" applyFont="1" applyFill="1" applyBorder="1" applyAlignment="1">
      <alignment horizontal="left"/>
    </xf>
    <xf numFmtId="49" fontId="197" fillId="5" borderId="12" xfId="466" applyNumberFormat="1" applyFont="1" applyFill="1" applyBorder="1" applyAlignment="1">
      <alignment horizontal="left"/>
    </xf>
    <xf numFmtId="49" fontId="197" fillId="5" borderId="13" xfId="466" applyNumberFormat="1" applyFont="1" applyFill="1" applyBorder="1"/>
    <xf numFmtId="177" fontId="197" fillId="5" borderId="13" xfId="467" applyNumberFormat="1" applyFont="1" applyFill="1" applyBorder="1" applyAlignment="1">
      <alignment horizontal="centerContinuous"/>
    </xf>
    <xf numFmtId="0" fontId="188" fillId="0" borderId="14" xfId="466" applyFont="1" applyBorder="1"/>
    <xf numFmtId="177" fontId="197" fillId="5" borderId="0" xfId="467" applyNumberFormat="1" applyFont="1" applyFill="1" applyBorder="1" applyAlignment="1">
      <alignment horizontal="centerContinuous"/>
    </xf>
    <xf numFmtId="0" fontId="188" fillId="0" borderId="22" xfId="466" applyFont="1" applyBorder="1"/>
    <xf numFmtId="0" fontId="250" fillId="0" borderId="0" xfId="65" applyFont="1"/>
    <xf numFmtId="0" fontId="203" fillId="0" borderId="0" xfId="65" applyFont="1"/>
    <xf numFmtId="43" fontId="203" fillId="0" borderId="0" xfId="65" applyNumberFormat="1" applyFont="1"/>
    <xf numFmtId="49" fontId="188" fillId="0" borderId="0" xfId="466" applyNumberFormat="1" applyFont="1" applyAlignment="1">
      <alignment horizontal="left"/>
    </xf>
    <xf numFmtId="49" fontId="188" fillId="0" borderId="0" xfId="466" applyNumberFormat="1" applyFont="1"/>
    <xf numFmtId="0" fontId="192" fillId="0" borderId="12" xfId="65" applyFont="1" applyBorder="1"/>
    <xf numFmtId="43" fontId="188" fillId="0" borderId="13" xfId="65" applyNumberFormat="1" applyFont="1" applyBorder="1"/>
    <xf numFmtId="0" fontId="251" fillId="0" borderId="14" xfId="65" applyFont="1" applyBorder="1" applyAlignment="1">
      <alignment horizontal="center"/>
    </xf>
    <xf numFmtId="0" fontId="189" fillId="0" borderId="10" xfId="65" applyFont="1" applyBorder="1" applyAlignment="1">
      <alignment horizontal="left"/>
    </xf>
    <xf numFmtId="43" fontId="188" fillId="0" borderId="0" xfId="65" applyNumberFormat="1" applyFont="1" applyBorder="1"/>
    <xf numFmtId="0" fontId="251" fillId="0" borderId="22" xfId="65" applyFont="1" applyBorder="1" applyAlignment="1">
      <alignment horizontal="center"/>
    </xf>
    <xf numFmtId="43" fontId="188" fillId="6" borderId="0" xfId="65" applyNumberFormat="1" applyFont="1" applyFill="1" applyBorder="1"/>
    <xf numFmtId="40" fontId="197" fillId="5" borderId="0" xfId="467" applyFont="1" applyFill="1" applyBorder="1" applyAlignment="1">
      <alignment horizontal="right"/>
    </xf>
    <xf numFmtId="0" fontId="189" fillId="0" borderId="15" xfId="65" applyFont="1" applyBorder="1" applyAlignment="1">
      <alignment horizontal="left"/>
    </xf>
    <xf numFmtId="43" fontId="188" fillId="0" borderId="11" xfId="65" applyNumberFormat="1" applyFont="1" applyBorder="1"/>
    <xf numFmtId="0" fontId="188" fillId="0" borderId="16" xfId="65" applyFont="1" applyBorder="1"/>
    <xf numFmtId="0" fontId="189" fillId="0" borderId="12" xfId="65" applyFont="1" applyBorder="1"/>
    <xf numFmtId="0" fontId="189" fillId="0" borderId="10" xfId="65" applyFont="1" applyBorder="1"/>
    <xf numFmtId="0" fontId="251" fillId="0" borderId="16" xfId="65" applyFont="1" applyBorder="1" applyAlignment="1">
      <alignment horizontal="center"/>
    </xf>
    <xf numFmtId="1" fontId="253" fillId="21" borderId="0" xfId="466" applyNumberFormat="1" applyFont="1" applyFill="1" applyProtection="1">
      <protection locked="0"/>
    </xf>
    <xf numFmtId="0" fontId="253" fillId="21" borderId="0" xfId="466" applyFont="1" applyFill="1" applyBorder="1" applyProtection="1">
      <protection locked="0"/>
    </xf>
    <xf numFmtId="0" fontId="254" fillId="22" borderId="0" xfId="466" applyFont="1" applyFill="1" applyBorder="1" applyAlignment="1" applyProtection="1">
      <alignment horizontal="left"/>
      <protection locked="0"/>
    </xf>
    <xf numFmtId="1" fontId="192" fillId="22" borderId="0" xfId="466" applyNumberFormat="1" applyFont="1" applyFill="1" applyBorder="1" applyAlignment="1" applyProtection="1">
      <alignment horizontal="left"/>
      <protection locked="0"/>
    </xf>
    <xf numFmtId="40" fontId="254" fillId="22" borderId="0" xfId="466" applyNumberFormat="1" applyFont="1" applyFill="1" applyBorder="1" applyAlignment="1" applyProtection="1">
      <alignment horizontal="left"/>
      <protection locked="0"/>
    </xf>
    <xf numFmtId="178" fontId="254" fillId="22" borderId="0" xfId="466" applyNumberFormat="1" applyFont="1" applyFill="1" applyBorder="1" applyAlignment="1" applyProtection="1">
      <alignment horizontal="left"/>
      <protection locked="0" hidden="1"/>
    </xf>
    <xf numFmtId="0" fontId="253" fillId="21" borderId="0" xfId="466" applyFont="1" applyFill="1" applyProtection="1">
      <protection locked="0"/>
    </xf>
    <xf numFmtId="179" fontId="196" fillId="0" borderId="0" xfId="466" quotePrefix="1" applyNumberFormat="1" applyFont="1" applyAlignment="1" applyProtection="1">
      <alignment horizontal="left"/>
      <protection locked="0"/>
    </xf>
    <xf numFmtId="0" fontId="196" fillId="0" borderId="0" xfId="466" applyFont="1" applyAlignment="1" applyProtection="1">
      <alignment horizontal="left"/>
      <protection locked="0"/>
    </xf>
    <xf numFmtId="0" fontId="253" fillId="0" borderId="0" xfId="466" applyFont="1" applyFill="1" applyProtection="1">
      <protection locked="0"/>
    </xf>
    <xf numFmtId="0" fontId="196" fillId="0" borderId="0" xfId="466" quotePrefix="1" applyFont="1" applyAlignment="1" applyProtection="1">
      <alignment horizontal="left"/>
      <protection locked="0"/>
    </xf>
    <xf numFmtId="14" fontId="254" fillId="22" borderId="0" xfId="466" applyNumberFormat="1" applyFont="1" applyFill="1" applyBorder="1" applyAlignment="1" applyProtection="1">
      <alignment horizontal="left"/>
      <protection locked="0"/>
    </xf>
    <xf numFmtId="178" fontId="254" fillId="22" borderId="0" xfId="466" quotePrefix="1" applyNumberFormat="1" applyFont="1" applyFill="1" applyBorder="1" applyAlignment="1" applyProtection="1">
      <alignment horizontal="left"/>
      <protection locked="0"/>
    </xf>
    <xf numFmtId="1" fontId="254" fillId="22" borderId="0" xfId="466" quotePrefix="1" applyNumberFormat="1" applyFont="1" applyFill="1" applyBorder="1" applyAlignment="1" applyProtection="1">
      <alignment horizontal="left"/>
      <protection locked="0"/>
    </xf>
    <xf numFmtId="178" fontId="254" fillId="22" borderId="0" xfId="466" quotePrefix="1" applyNumberFormat="1" applyFont="1" applyFill="1" applyBorder="1" applyAlignment="1" applyProtection="1">
      <alignment horizontal="left"/>
      <protection hidden="1"/>
    </xf>
    <xf numFmtId="0" fontId="253" fillId="21" borderId="0" xfId="466" applyFont="1" applyFill="1" applyAlignment="1" applyProtection="1">
      <alignment horizontal="center"/>
      <protection locked="0"/>
    </xf>
    <xf numFmtId="37" fontId="255" fillId="0" borderId="0" xfId="466" quotePrefix="1" applyNumberFormat="1" applyFont="1" applyFill="1" applyAlignment="1" applyProtection="1">
      <alignment horizontal="left"/>
      <protection locked="0"/>
    </xf>
    <xf numFmtId="0" fontId="255" fillId="0" borderId="0" xfId="466" applyFont="1" applyFill="1" applyAlignment="1" applyProtection="1">
      <alignment horizontal="left"/>
      <protection locked="0"/>
    </xf>
    <xf numFmtId="37" fontId="255" fillId="23" borderId="0" xfId="466" quotePrefix="1" applyNumberFormat="1" applyFont="1" applyFill="1" applyAlignment="1" applyProtection="1">
      <alignment horizontal="left"/>
      <protection locked="0"/>
    </xf>
    <xf numFmtId="1" fontId="255" fillId="0" borderId="0" xfId="466" applyNumberFormat="1" applyFont="1" applyFill="1" applyAlignment="1" applyProtection="1">
      <alignment horizontal="left"/>
      <protection locked="0"/>
    </xf>
    <xf numFmtId="0" fontId="196" fillId="0" borderId="0" xfId="466" applyFont="1" applyFill="1" applyBorder="1" applyAlignment="1" applyProtection="1">
      <alignment horizontal="left"/>
      <protection locked="0"/>
    </xf>
    <xf numFmtId="1" fontId="196" fillId="21" borderId="0" xfId="466" applyNumberFormat="1" applyFont="1" applyFill="1" applyBorder="1" applyProtection="1">
      <protection locked="0"/>
    </xf>
    <xf numFmtId="0" fontId="196" fillId="21" borderId="0" xfId="466" applyFont="1" applyFill="1" applyBorder="1" applyProtection="1">
      <protection locked="0"/>
    </xf>
    <xf numFmtId="0" fontId="198" fillId="21" borderId="0" xfId="466" applyFont="1" applyFill="1" applyBorder="1" applyProtection="1">
      <protection locked="0"/>
    </xf>
    <xf numFmtId="37" fontId="196" fillId="0" borderId="0" xfId="466" quotePrefix="1" applyNumberFormat="1" applyFont="1" applyFill="1" applyBorder="1" applyAlignment="1" applyProtection="1">
      <alignment horizontal="left"/>
      <protection locked="0"/>
    </xf>
    <xf numFmtId="0" fontId="196" fillId="0" borderId="0" xfId="466" applyFont="1"/>
    <xf numFmtId="0" fontId="196" fillId="0" borderId="0" xfId="466" applyFont="1" applyFill="1" applyBorder="1" applyProtection="1">
      <protection locked="0"/>
    </xf>
    <xf numFmtId="1" fontId="196" fillId="0" borderId="0" xfId="466" applyNumberFormat="1" applyFont="1" applyProtection="1">
      <protection locked="0"/>
    </xf>
    <xf numFmtId="0" fontId="198" fillId="0" borderId="0" xfId="466" applyFont="1" applyFill="1" applyBorder="1" applyProtection="1">
      <protection locked="0"/>
    </xf>
    <xf numFmtId="0" fontId="198" fillId="0" borderId="0" xfId="466" applyFont="1" applyFill="1" applyBorder="1" applyAlignment="1" applyProtection="1">
      <alignment horizontal="left"/>
      <protection locked="0"/>
    </xf>
    <xf numFmtId="40" fontId="198" fillId="0" borderId="0" xfId="466" applyNumberFormat="1" applyFont="1" applyFill="1" applyBorder="1" applyAlignment="1" applyProtection="1">
      <alignment horizontal="right"/>
      <protection locked="0"/>
    </xf>
    <xf numFmtId="178" fontId="198" fillId="0" borderId="0" xfId="466" applyNumberFormat="1" applyFont="1" applyFill="1" applyBorder="1" applyAlignment="1" applyProtection="1">
      <alignment horizontal="right"/>
      <protection locked="0"/>
    </xf>
    <xf numFmtId="0" fontId="198" fillId="0" borderId="0" xfId="466" applyFont="1" applyProtection="1">
      <protection locked="0"/>
    </xf>
    <xf numFmtId="0" fontId="196" fillId="0" borderId="0" xfId="466" applyFont="1" applyProtection="1">
      <protection locked="0"/>
    </xf>
    <xf numFmtId="37" fontId="196" fillId="0" borderId="0" xfId="466" quotePrefix="1" applyNumberFormat="1" applyFont="1" applyAlignment="1" applyProtection="1">
      <alignment horizontal="left"/>
      <protection locked="0"/>
    </xf>
    <xf numFmtId="1" fontId="196" fillId="0" borderId="0" xfId="466" applyNumberFormat="1" applyFont="1" applyAlignment="1" applyProtection="1">
      <alignment horizontal="left"/>
      <protection locked="0"/>
    </xf>
    <xf numFmtId="0" fontId="256" fillId="0" borderId="0" xfId="466" applyFont="1" applyFill="1" applyBorder="1" applyProtection="1">
      <protection locked="0"/>
    </xf>
    <xf numFmtId="1" fontId="188" fillId="0" borderId="0" xfId="466" applyNumberFormat="1" applyFont="1" applyProtection="1">
      <protection locked="0"/>
    </xf>
    <xf numFmtId="1" fontId="188" fillId="0" borderId="0" xfId="466" applyNumberFormat="1" applyFont="1" applyAlignment="1" applyProtection="1">
      <alignment horizontal="left"/>
      <protection locked="0"/>
    </xf>
    <xf numFmtId="0" fontId="257" fillId="0" borderId="0" xfId="466" applyFont="1" applyFill="1" applyBorder="1" applyProtection="1">
      <protection locked="0"/>
    </xf>
    <xf numFmtId="0" fontId="188" fillId="0" borderId="0" xfId="466" applyFont="1" applyProtection="1">
      <protection locked="0"/>
    </xf>
    <xf numFmtId="0" fontId="188" fillId="0" borderId="0" xfId="466" quotePrefix="1" applyFont="1" applyAlignment="1" applyProtection="1">
      <alignment horizontal="left"/>
      <protection locked="0"/>
    </xf>
    <xf numFmtId="0" fontId="188" fillId="0" borderId="0" xfId="466" applyFont="1" applyAlignment="1" applyProtection="1">
      <alignment horizontal="left"/>
      <protection locked="0"/>
    </xf>
    <xf numFmtId="0" fontId="205" fillId="0" borderId="0" xfId="466" applyFont="1" applyFill="1" applyProtection="1">
      <protection locked="0"/>
    </xf>
    <xf numFmtId="0" fontId="232" fillId="0" borderId="0" xfId="466" quotePrefix="1" applyFont="1" applyAlignment="1" applyProtection="1">
      <alignment horizontal="left"/>
      <protection locked="0"/>
    </xf>
    <xf numFmtId="0" fontId="232" fillId="0" borderId="0" xfId="466" applyFont="1" applyAlignment="1" applyProtection="1">
      <alignment horizontal="left"/>
      <protection locked="0"/>
    </xf>
    <xf numFmtId="0" fontId="258" fillId="0" borderId="0" xfId="466" applyFont="1" applyFill="1" applyProtection="1">
      <protection locked="0"/>
    </xf>
    <xf numFmtId="1" fontId="188" fillId="0" borderId="0" xfId="466" applyNumberFormat="1" applyFont="1" applyBorder="1" applyAlignment="1" applyProtection="1">
      <alignment horizontal="left"/>
      <protection locked="0"/>
    </xf>
    <xf numFmtId="178" fontId="188" fillId="0" borderId="0" xfId="466" applyNumberFormat="1" applyFont="1" applyBorder="1"/>
    <xf numFmtId="0" fontId="232" fillId="0" borderId="0" xfId="466" applyFont="1" applyProtection="1">
      <protection locked="0"/>
    </xf>
    <xf numFmtId="0" fontId="191" fillId="0" borderId="0" xfId="466" applyFont="1" applyBorder="1" applyProtection="1">
      <protection locked="0"/>
    </xf>
    <xf numFmtId="0" fontId="206" fillId="24" borderId="26" xfId="466" quotePrefix="1" applyFont="1" applyFill="1" applyBorder="1" applyAlignment="1">
      <alignment horizontal="left"/>
    </xf>
    <xf numFmtId="40" fontId="206" fillId="24" borderId="27" xfId="466" applyNumberFormat="1" applyFont="1" applyFill="1" applyBorder="1" applyAlignment="1">
      <alignment vertical="center"/>
    </xf>
    <xf numFmtId="178" fontId="206" fillId="24" borderId="28" xfId="466" applyNumberFormat="1" applyFont="1" applyFill="1" applyBorder="1"/>
    <xf numFmtId="39" fontId="232" fillId="0" borderId="0" xfId="466" quotePrefix="1" applyNumberFormat="1" applyFont="1" applyFill="1" applyAlignment="1" applyProtection="1">
      <alignment horizontal="right"/>
      <protection locked="0"/>
    </xf>
    <xf numFmtId="0" fontId="232" fillId="0" borderId="0" xfId="466" applyFont="1" applyFill="1" applyAlignment="1" applyProtection="1">
      <alignment horizontal="left"/>
      <protection locked="0"/>
    </xf>
    <xf numFmtId="0" fontId="188" fillId="5" borderId="12" xfId="466" applyFont="1" applyFill="1" applyBorder="1" applyAlignment="1">
      <alignment horizontal="left"/>
    </xf>
    <xf numFmtId="40" fontId="188" fillId="0" borderId="10" xfId="466" applyNumberFormat="1" applyFont="1" applyFill="1" applyBorder="1" applyAlignment="1">
      <alignment vertical="center"/>
    </xf>
    <xf numFmtId="178" fontId="188" fillId="0" borderId="14" xfId="466" applyNumberFormat="1" applyFont="1" applyBorder="1"/>
    <xf numFmtId="40" fontId="232" fillId="0" borderId="0" xfId="466" applyNumberFormat="1" applyFont="1" applyProtection="1">
      <protection locked="0"/>
    </xf>
    <xf numFmtId="39" fontId="223" fillId="0" borderId="0" xfId="466" quotePrefix="1" applyNumberFormat="1" applyFont="1" applyFill="1" applyAlignment="1" applyProtection="1">
      <alignment horizontal="right"/>
      <protection locked="0"/>
    </xf>
    <xf numFmtId="0" fontId="223" fillId="0" borderId="0" xfId="466" applyFont="1" applyAlignment="1" applyProtection="1">
      <alignment horizontal="left"/>
      <protection locked="0"/>
    </xf>
    <xf numFmtId="0" fontId="259" fillId="0" borderId="0" xfId="466" applyFont="1" applyFill="1" applyProtection="1">
      <protection locked="0"/>
    </xf>
    <xf numFmtId="0" fontId="223" fillId="0" borderId="0" xfId="466" applyFont="1" applyProtection="1">
      <protection locked="0"/>
    </xf>
    <xf numFmtId="0" fontId="188" fillId="5" borderId="10" xfId="466" applyFont="1" applyFill="1" applyBorder="1" applyAlignment="1">
      <alignment horizontal="left"/>
    </xf>
    <xf numFmtId="178" fontId="188" fillId="0" borderId="22" xfId="466" applyNumberFormat="1" applyFont="1" applyBorder="1"/>
    <xf numFmtId="0" fontId="223" fillId="0" borderId="0" xfId="466" applyFont="1" applyFill="1" applyAlignment="1" applyProtection="1">
      <alignment horizontal="left"/>
      <protection locked="0"/>
    </xf>
    <xf numFmtId="0" fontId="235" fillId="0" borderId="0" xfId="466" applyFont="1" applyFill="1" applyProtection="1">
      <protection locked="0"/>
    </xf>
    <xf numFmtId="0" fontId="188" fillId="5" borderId="15" xfId="466" applyFont="1" applyFill="1" applyBorder="1" applyAlignment="1">
      <alignment horizontal="left"/>
    </xf>
    <xf numFmtId="40" fontId="188" fillId="0" borderId="15" xfId="466" applyNumberFormat="1" applyFont="1" applyFill="1" applyBorder="1" applyAlignment="1">
      <alignment vertical="center"/>
    </xf>
    <xf numFmtId="178" fontId="188" fillId="0" borderId="16" xfId="466" applyNumberFormat="1" applyFont="1" applyBorder="1"/>
    <xf numFmtId="40" fontId="188" fillId="0" borderId="0" xfId="466" applyNumberFormat="1" applyFont="1" applyFill="1" applyBorder="1"/>
    <xf numFmtId="1" fontId="188" fillId="0" borderId="0" xfId="466" applyNumberFormat="1" applyFont="1" applyBorder="1" applyProtection="1">
      <protection locked="0"/>
    </xf>
    <xf numFmtId="0" fontId="189" fillId="20" borderId="27" xfId="466" quotePrefix="1" applyFont="1" applyFill="1" applyBorder="1" applyAlignment="1">
      <alignment horizontal="left"/>
    </xf>
    <xf numFmtId="40" fontId="188" fillId="20" borderId="29" xfId="466" applyNumberFormat="1" applyFont="1" applyFill="1" applyBorder="1" applyAlignment="1">
      <alignment vertical="center"/>
    </xf>
    <xf numFmtId="178" fontId="188" fillId="20" borderId="28" xfId="466" applyNumberFormat="1" applyFont="1" applyFill="1" applyBorder="1"/>
    <xf numFmtId="0" fontId="188" fillId="5" borderId="17" xfId="466" quotePrefix="1" applyFont="1" applyFill="1" applyBorder="1" applyAlignment="1">
      <alignment horizontal="left"/>
    </xf>
    <xf numFmtId="1" fontId="223" fillId="0" borderId="0" xfId="466" applyNumberFormat="1" applyFont="1" applyFill="1" applyAlignment="1" applyProtection="1">
      <alignment horizontal="left"/>
      <protection locked="0"/>
    </xf>
    <xf numFmtId="0" fontId="188" fillId="5" borderId="18" xfId="466" applyFont="1" applyFill="1" applyBorder="1"/>
    <xf numFmtId="39" fontId="223" fillId="0" borderId="0" xfId="466" quotePrefix="1" applyNumberFormat="1" applyFont="1" applyFill="1" applyBorder="1" applyAlignment="1" applyProtection="1">
      <alignment horizontal="right"/>
      <protection locked="0"/>
    </xf>
    <xf numFmtId="0" fontId="223" fillId="0" borderId="0" xfId="466" applyFont="1" applyFill="1" applyBorder="1" applyAlignment="1" applyProtection="1">
      <alignment horizontal="left"/>
      <protection locked="0"/>
    </xf>
    <xf numFmtId="0" fontId="223" fillId="0" borderId="0" xfId="466" applyFont="1" applyFill="1" applyBorder="1" applyProtection="1">
      <protection locked="0"/>
    </xf>
    <xf numFmtId="0" fontId="188" fillId="5" borderId="18" xfId="466" quotePrefix="1" applyFont="1" applyFill="1" applyBorder="1" applyAlignment="1">
      <alignment horizontal="left"/>
    </xf>
    <xf numFmtId="2" fontId="223" fillId="0" borderId="0" xfId="466" applyNumberFormat="1" applyFont="1" applyProtection="1">
      <protection locked="0"/>
    </xf>
    <xf numFmtId="9" fontId="223" fillId="0" borderId="0" xfId="466" applyNumberFormat="1" applyFont="1" applyFill="1" applyAlignment="1" applyProtection="1">
      <alignment horizontal="left"/>
      <protection locked="0"/>
    </xf>
    <xf numFmtId="0" fontId="223" fillId="0" borderId="0" xfId="466" applyFont="1" applyFill="1" applyProtection="1">
      <protection locked="0"/>
    </xf>
    <xf numFmtId="0" fontId="188" fillId="5" borderId="30" xfId="466" applyFont="1" applyFill="1" applyBorder="1"/>
    <xf numFmtId="10" fontId="188" fillId="0" borderId="11" xfId="12" applyNumberFormat="1" applyFont="1" applyBorder="1"/>
    <xf numFmtId="40" fontId="223" fillId="0" borderId="0" xfId="466" applyNumberFormat="1" applyFont="1" applyFill="1" applyAlignment="1" applyProtection="1">
      <alignment horizontal="left"/>
      <protection locked="0"/>
    </xf>
    <xf numFmtId="9" fontId="223" fillId="0" borderId="0" xfId="466" quotePrefix="1" applyNumberFormat="1" applyFont="1" applyAlignment="1" applyProtection="1">
      <alignment horizontal="left"/>
      <protection locked="0"/>
    </xf>
    <xf numFmtId="0" fontId="189" fillId="20" borderId="27" xfId="466" applyFont="1" applyFill="1" applyBorder="1"/>
    <xf numFmtId="40" fontId="188" fillId="20" borderId="29" xfId="466" applyNumberFormat="1" applyFont="1" applyFill="1" applyBorder="1"/>
    <xf numFmtId="10" fontId="223" fillId="0" borderId="0" xfId="12" applyNumberFormat="1" applyFont="1" applyFill="1" applyAlignment="1" applyProtection="1">
      <alignment horizontal="right"/>
      <protection locked="0"/>
    </xf>
    <xf numFmtId="0" fontId="188" fillId="5" borderId="17" xfId="466" applyFont="1" applyFill="1" applyBorder="1"/>
    <xf numFmtId="40" fontId="188" fillId="0" borderId="13" xfId="466" applyNumberFormat="1" applyFont="1" applyBorder="1"/>
    <xf numFmtId="39" fontId="223" fillId="0" borderId="0" xfId="466" applyNumberFormat="1" applyFont="1" applyFill="1" applyAlignment="1" applyProtection="1">
      <alignment horizontal="right"/>
      <protection locked="0"/>
    </xf>
    <xf numFmtId="39" fontId="223" fillId="0" borderId="0" xfId="466" applyNumberFormat="1" applyFont="1" applyAlignment="1" applyProtection="1">
      <alignment horizontal="right"/>
      <protection locked="0"/>
    </xf>
    <xf numFmtId="10" fontId="188" fillId="0" borderId="11" xfId="466" applyNumberFormat="1" applyFont="1" applyFill="1" applyBorder="1"/>
    <xf numFmtId="37" fontId="223" fillId="0" borderId="0" xfId="466" applyNumberFormat="1" applyFont="1" applyAlignment="1" applyProtection="1">
      <alignment horizontal="right"/>
      <protection locked="0"/>
    </xf>
    <xf numFmtId="181" fontId="188" fillId="0" borderId="0" xfId="466" applyNumberFormat="1" applyFont="1" applyBorder="1" applyAlignment="1" applyProtection="1">
      <alignment horizontal="left"/>
      <protection locked="0"/>
    </xf>
    <xf numFmtId="10" fontId="223" fillId="0" borderId="0" xfId="12" applyNumberFormat="1" applyFont="1" applyAlignment="1" applyProtection="1">
      <alignment horizontal="right"/>
      <protection locked="0"/>
    </xf>
    <xf numFmtId="0" fontId="207" fillId="0" borderId="0" xfId="65" applyFont="1"/>
    <xf numFmtId="0" fontId="188" fillId="0" borderId="0" xfId="65" applyFont="1"/>
    <xf numFmtId="178" fontId="191" fillId="0" borderId="0" xfId="466" applyNumberFormat="1" applyFont="1" applyBorder="1" applyAlignment="1" applyProtection="1">
      <alignment horizontal="centerContinuous"/>
      <protection locked="0"/>
    </xf>
    <xf numFmtId="43" fontId="188" fillId="0" borderId="0" xfId="65" applyNumberFormat="1" applyFont="1"/>
    <xf numFmtId="1" fontId="188" fillId="0" borderId="0" xfId="466" applyNumberFormat="1" applyFont="1" applyAlignment="1">
      <alignment horizontal="left"/>
    </xf>
    <xf numFmtId="37" fontId="232" fillId="0" borderId="0" xfId="466" applyNumberFormat="1" applyFont="1" applyAlignment="1" applyProtection="1">
      <alignment horizontal="right"/>
      <protection locked="0"/>
    </xf>
    <xf numFmtId="0" fontId="189" fillId="0" borderId="0" xfId="466" applyFont="1" applyFill="1" applyBorder="1" applyAlignment="1" applyProtection="1">
      <alignment horizontal="centerContinuous"/>
      <protection locked="0"/>
    </xf>
    <xf numFmtId="0" fontId="208" fillId="0" borderId="0" xfId="466" applyFont="1" applyFill="1" applyBorder="1" applyAlignment="1" applyProtection="1">
      <alignment horizontal="centerContinuous"/>
      <protection locked="0"/>
    </xf>
    <xf numFmtId="0" fontId="188" fillId="5" borderId="0" xfId="466" applyFont="1" applyFill="1" applyProtection="1">
      <protection locked="0"/>
    </xf>
    <xf numFmtId="0" fontId="191" fillId="0" borderId="31" xfId="466" applyFont="1" applyBorder="1" applyProtection="1">
      <protection locked="0"/>
    </xf>
    <xf numFmtId="37" fontId="188" fillId="0" borderId="0" xfId="466" applyNumberFormat="1" applyFont="1" applyAlignment="1" applyProtection="1">
      <alignment horizontal="right"/>
      <protection locked="0"/>
    </xf>
    <xf numFmtId="0" fontId="191" fillId="0" borderId="19" xfId="466" applyFont="1" applyBorder="1" applyAlignment="1" applyProtection="1">
      <alignment horizontal="left"/>
      <protection locked="0"/>
    </xf>
    <xf numFmtId="40" fontId="191" fillId="0" borderId="32" xfId="466" applyNumberFormat="1" applyFont="1" applyBorder="1" applyAlignment="1" applyProtection="1">
      <alignment horizontal="right"/>
      <protection locked="0"/>
    </xf>
    <xf numFmtId="178" fontId="191" fillId="0" borderId="33" xfId="466" applyNumberFormat="1" applyFont="1" applyBorder="1" applyAlignment="1" applyProtection="1">
      <alignment horizontal="right"/>
      <protection locked="0"/>
    </xf>
    <xf numFmtId="40" fontId="197" fillId="12" borderId="0" xfId="467" applyFont="1" applyFill="1" applyBorder="1"/>
    <xf numFmtId="0" fontId="188" fillId="0" borderId="10" xfId="466" applyNumberFormat="1" applyFont="1" applyBorder="1" applyAlignment="1">
      <alignment horizontal="left"/>
    </xf>
    <xf numFmtId="0" fontId="188" fillId="0" borderId="10" xfId="466" quotePrefix="1" applyNumberFormat="1" applyFont="1" applyBorder="1" applyAlignment="1">
      <alignment horizontal="left"/>
    </xf>
    <xf numFmtId="1" fontId="188" fillId="0" borderId="10" xfId="466" quotePrefix="1" applyNumberFormat="1" applyFont="1" applyBorder="1" applyAlignment="1">
      <alignment horizontal="left"/>
    </xf>
    <xf numFmtId="180" fontId="232" fillId="0" borderId="0" xfId="466" applyNumberFormat="1" applyFont="1" applyFill="1" applyAlignment="1" applyProtection="1">
      <alignment horizontal="left"/>
      <protection locked="0"/>
    </xf>
    <xf numFmtId="14" fontId="191" fillId="9" borderId="0" xfId="114" quotePrefix="1" applyNumberFormat="1" applyFont="1" applyFill="1"/>
    <xf numFmtId="14" fontId="191" fillId="9" borderId="0" xfId="113" quotePrefix="1" applyNumberFormat="1" applyFont="1" applyFill="1"/>
    <xf numFmtId="14" fontId="191" fillId="0" borderId="0" xfId="122" quotePrefix="1" applyNumberFormat="1" applyFont="1"/>
    <xf numFmtId="14" fontId="191" fillId="0" borderId="0" xfId="113" quotePrefix="1" applyNumberFormat="1" applyFont="1" applyFill="1"/>
    <xf numFmtId="168" fontId="238" fillId="12" borderId="0" xfId="10" applyNumberFormat="1" applyFont="1" applyFill="1" applyAlignment="1" applyProtection="1">
      <alignment horizontal="left"/>
      <protection locked="0"/>
    </xf>
    <xf numFmtId="39" fontId="238" fillId="12" borderId="0" xfId="10" applyFont="1" applyFill="1" applyBorder="1" applyAlignment="1" applyProtection="1">
      <alignment horizontal="fill"/>
      <protection locked="0"/>
    </xf>
    <xf numFmtId="0" fontId="238" fillId="12" borderId="0" xfId="10" applyNumberFormat="1" applyFont="1" applyFill="1" applyAlignment="1" applyProtection="1">
      <alignment horizontal="center"/>
      <protection locked="0"/>
    </xf>
    <xf numFmtId="1" fontId="238" fillId="12" borderId="0" xfId="10" applyNumberFormat="1" applyFont="1" applyFill="1" applyAlignment="1" applyProtection="1">
      <alignment horizontal="center"/>
      <protection locked="0"/>
    </xf>
    <xf numFmtId="40" fontId="238" fillId="12" borderId="0" xfId="10" applyNumberFormat="1" applyFont="1" applyFill="1" applyBorder="1" applyAlignment="1" applyProtection="1">
      <alignment horizontal="left"/>
      <protection locked="0"/>
    </xf>
    <xf numFmtId="39" fontId="238" fillId="12" borderId="0" xfId="10" applyFont="1" applyFill="1" applyProtection="1">
      <protection locked="0"/>
    </xf>
    <xf numFmtId="39" fontId="238" fillId="12" borderId="0" xfId="10" applyNumberFormat="1" applyFont="1" applyFill="1" applyBorder="1" applyAlignment="1" applyProtection="1"/>
    <xf numFmtId="0" fontId="191" fillId="0" borderId="0" xfId="122" quotePrefix="1" applyFont="1"/>
    <xf numFmtId="39" fontId="0" fillId="0" borderId="0" xfId="0" applyNumberFormat="1"/>
    <xf numFmtId="14" fontId="191" fillId="9" borderId="0" xfId="122" quotePrefix="1" applyNumberFormat="1" applyFont="1" applyFill="1"/>
    <xf numFmtId="43" fontId="238" fillId="9" borderId="0" xfId="6" applyFont="1" applyFill="1" applyProtection="1"/>
    <xf numFmtId="1" fontId="27" fillId="0" borderId="0" xfId="475" applyNumberFormat="1" applyAlignment="1">
      <alignment horizontal="left"/>
    </xf>
    <xf numFmtId="40" fontId="238" fillId="0" borderId="8" xfId="10" applyNumberFormat="1" applyFont="1" applyFill="1" applyBorder="1" applyAlignment="1" applyProtection="1">
      <alignment horizontal="center"/>
      <protection locked="0"/>
    </xf>
    <xf numFmtId="39" fontId="239" fillId="12" borderId="0" xfId="10" applyFont="1" applyFill="1" applyAlignment="1" applyProtection="1">
      <alignment horizontal="left"/>
      <protection locked="0"/>
    </xf>
    <xf numFmtId="170" fontId="239" fillId="12" borderId="0" xfId="10" applyNumberFormat="1" applyFont="1" applyFill="1" applyAlignment="1" applyProtection="1">
      <alignment horizontal="left"/>
      <protection locked="0"/>
    </xf>
    <xf numFmtId="39" fontId="226" fillId="12" borderId="0" xfId="10" applyFont="1" applyFill="1" applyAlignment="1" applyProtection="1">
      <alignment horizontal="left"/>
      <protection locked="0"/>
    </xf>
    <xf numFmtId="1" fontId="239" fillId="12" borderId="0" xfId="6" applyNumberFormat="1" applyFont="1" applyFill="1" applyAlignment="1" applyProtection="1">
      <alignment horizontal="center"/>
      <protection locked="0"/>
    </xf>
    <xf numFmtId="164" fontId="238" fillId="12" borderId="0" xfId="480" applyFont="1" applyFill="1" applyProtection="1"/>
    <xf numFmtId="15" fontId="231" fillId="7" borderId="4" xfId="186" applyNumberFormat="1" applyFont="1" applyFill="1" applyBorder="1" applyAlignment="1">
      <alignment horizontal="center"/>
    </xf>
    <xf numFmtId="0" fontId="231" fillId="7" borderId="4" xfId="186" quotePrefix="1" applyFont="1" applyFill="1" applyBorder="1" applyAlignment="1">
      <alignment horizontal="center"/>
    </xf>
    <xf numFmtId="0" fontId="231" fillId="7" borderId="4" xfId="186" applyFont="1" applyFill="1" applyBorder="1" applyAlignment="1">
      <alignment horizontal="center"/>
    </xf>
    <xf numFmtId="0" fontId="231" fillId="7" borderId="21" xfId="186" applyFont="1" applyFill="1" applyBorder="1" applyAlignment="1">
      <alignment horizontal="centerContinuous"/>
    </xf>
    <xf numFmtId="0" fontId="231" fillId="7" borderId="3" xfId="186" applyFont="1" applyFill="1" applyBorder="1" applyAlignment="1">
      <alignment horizontal="centerContinuous"/>
    </xf>
    <xf numFmtId="0" fontId="231" fillId="9" borderId="4" xfId="186" applyFont="1" applyFill="1" applyBorder="1" applyAlignment="1">
      <alignment horizontal="center"/>
    </xf>
    <xf numFmtId="15" fontId="231" fillId="7" borderId="6" xfId="186" applyNumberFormat="1" applyFont="1" applyFill="1" applyBorder="1" applyAlignment="1" applyProtection="1">
      <alignment horizontal="center"/>
    </xf>
    <xf numFmtId="0" fontId="231" fillId="7" borderId="6" xfId="186" applyFont="1" applyFill="1" applyBorder="1" applyAlignment="1">
      <alignment horizontal="center"/>
    </xf>
    <xf numFmtId="0" fontId="231" fillId="7" borderId="2" xfId="186" applyFont="1" applyFill="1" applyBorder="1" applyAlignment="1">
      <alignment horizontal="centerContinuous"/>
    </xf>
    <xf numFmtId="0" fontId="231" fillId="9" borderId="6" xfId="186" applyFont="1" applyFill="1" applyBorder="1" applyAlignment="1">
      <alignment horizontal="center"/>
    </xf>
    <xf numFmtId="0" fontId="231" fillId="7" borderId="5" xfId="186" applyFont="1" applyFill="1" applyBorder="1" applyAlignment="1">
      <alignment horizontal="center"/>
    </xf>
    <xf numFmtId="0" fontId="231" fillId="7" borderId="5" xfId="186" quotePrefix="1" applyFont="1" applyFill="1" applyBorder="1" applyAlignment="1">
      <alignment horizontal="center"/>
    </xf>
    <xf numFmtId="0" fontId="231" fillId="7" borderId="1" xfId="186" quotePrefix="1" applyFont="1" applyFill="1" applyBorder="1" applyAlignment="1">
      <alignment horizontal="center"/>
    </xf>
    <xf numFmtId="0" fontId="231" fillId="7" borderId="1" xfId="186" applyFont="1" applyFill="1" applyBorder="1" applyAlignment="1">
      <alignment horizontal="center"/>
    </xf>
    <xf numFmtId="0" fontId="231" fillId="9" borderId="1" xfId="186" applyFont="1" applyFill="1" applyBorder="1" applyAlignment="1">
      <alignment horizontal="center"/>
    </xf>
    <xf numFmtId="0" fontId="231" fillId="9" borderId="5" xfId="186" applyFont="1" applyFill="1" applyBorder="1" applyAlignment="1">
      <alignment horizontal="center"/>
    </xf>
    <xf numFmtId="0" fontId="226" fillId="12" borderId="0" xfId="64" applyFont="1" applyFill="1" applyBorder="1" applyAlignment="1">
      <alignment horizontal="center"/>
    </xf>
    <xf numFmtId="14" fontId="191" fillId="0" borderId="0" xfId="481" quotePrefix="1" applyNumberFormat="1" applyFont="1"/>
    <xf numFmtId="49" fontId="226" fillId="0" borderId="0" xfId="186" applyNumberFormat="1" applyFont="1" applyFill="1" applyBorder="1" applyAlignment="1">
      <alignment horizontal="center"/>
    </xf>
    <xf numFmtId="0" fontId="226" fillId="0" borderId="0" xfId="186" applyFont="1" applyFill="1" applyBorder="1"/>
    <xf numFmtId="164" fontId="226" fillId="0" borderId="0" xfId="480" applyFont="1" applyFill="1" applyBorder="1"/>
    <xf numFmtId="14" fontId="191" fillId="0" borderId="0" xfId="482" quotePrefix="1" applyNumberFormat="1" applyFont="1"/>
    <xf numFmtId="164" fontId="226" fillId="0" borderId="0" xfId="480" applyFont="1" applyFill="1" applyBorder="1"/>
    <xf numFmtId="164" fontId="226" fillId="10" borderId="0" xfId="480" applyFont="1" applyFill="1"/>
    <xf numFmtId="0" fontId="188" fillId="0" borderId="0" xfId="186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1" fontId="239" fillId="0" borderId="0" xfId="479" applyNumberFormat="1" applyFont="1" applyAlignment="1" applyProtection="1">
      <alignment horizontal="center"/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40" fontId="238" fillId="0" borderId="8" xfId="10" applyNumberFormat="1" applyFont="1" applyFill="1" applyBorder="1" applyAlignment="1" applyProtection="1">
      <alignment horizontal="center"/>
      <protection locked="0"/>
    </xf>
    <xf numFmtId="14" fontId="238" fillId="0" borderId="0" xfId="10" applyNumberFormat="1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0" fontId="238" fillId="0" borderId="0" xfId="10" applyNumberFormat="1" applyFont="1" applyFill="1" applyAlignment="1" applyProtection="1">
      <alignment horizontal="center"/>
      <protection locked="0"/>
    </xf>
    <xf numFmtId="1" fontId="238" fillId="0" borderId="0" xfId="10" applyNumberFormat="1" applyFont="1" applyFill="1" applyAlignment="1" applyProtection="1">
      <alignment horizontal="center"/>
      <protection locked="0"/>
    </xf>
    <xf numFmtId="164" fontId="238" fillId="0" borderId="0" xfId="480" applyFont="1" applyFill="1" applyBorder="1" applyAlignment="1" applyProtection="1">
      <alignment horizontal="left"/>
      <protection locked="0"/>
    </xf>
    <xf numFmtId="164" fontId="238" fillId="0" borderId="0" xfId="480" applyFont="1" applyFill="1" applyProtection="1">
      <protection locked="0"/>
    </xf>
    <xf numFmtId="164" fontId="238" fillId="0" borderId="0" xfId="480" applyFont="1" applyFill="1" applyBorder="1" applyAlignment="1" applyProtection="1"/>
    <xf numFmtId="164" fontId="238" fillId="0" borderId="0" xfId="480" applyFont="1" applyFill="1" applyProtection="1"/>
    <xf numFmtId="49" fontId="238" fillId="0" borderId="0" xfId="10" applyNumberFormat="1" applyFont="1" applyFill="1" applyAlignment="1" applyProtection="1">
      <alignment horizontal="center"/>
      <protection locked="0"/>
    </xf>
    <xf numFmtId="164" fontId="238" fillId="0" borderId="0" xfId="480" applyFont="1" applyFill="1" applyAlignment="1" applyProtection="1">
      <alignment horizontal="left"/>
      <protection locked="0"/>
    </xf>
    <xf numFmtId="164" fontId="238" fillId="0" borderId="0" xfId="480" applyFont="1" applyProtection="1"/>
    <xf numFmtId="164" fontId="238" fillId="0" borderId="0" xfId="480" applyFont="1" applyProtection="1">
      <protection locked="0"/>
    </xf>
    <xf numFmtId="168" fontId="238" fillId="0" borderId="0" xfId="10" applyNumberFormat="1" applyFont="1" applyAlignment="1" applyProtection="1">
      <alignment horizontal="left"/>
      <protection locked="0"/>
    </xf>
    <xf numFmtId="174" fontId="240" fillId="0" borderId="0" xfId="10" applyNumberFormat="1" applyFont="1" applyAlignment="1" applyProtection="1">
      <alignment horizontal="left"/>
      <protection locked="0"/>
    </xf>
    <xf numFmtId="49" fontId="238" fillId="0" borderId="0" xfId="10" applyNumberFormat="1" applyFont="1" applyAlignment="1" applyProtection="1">
      <alignment horizontal="center"/>
      <protection locked="0"/>
    </xf>
    <xf numFmtId="174" fontId="238" fillId="0" borderId="0" xfId="10" applyNumberFormat="1" applyFont="1" applyAlignment="1" applyProtection="1">
      <alignment horizontal="left"/>
      <protection locked="0"/>
    </xf>
    <xf numFmtId="164" fontId="238" fillId="0" borderId="0" xfId="480" applyFont="1" applyAlignment="1" applyProtection="1">
      <alignment horizontal="left"/>
      <protection locked="0"/>
    </xf>
    <xf numFmtId="164" fontId="238" fillId="0" borderId="0" xfId="480" applyFont="1" applyFill="1" applyBorder="1" applyAlignment="1" applyProtection="1">
      <alignment horizontal="left"/>
    </xf>
    <xf numFmtId="164" fontId="226" fillId="0" borderId="0" xfId="480" applyFont="1" applyFill="1" applyProtection="1">
      <protection locked="0"/>
    </xf>
    <xf numFmtId="49" fontId="238" fillId="0" borderId="0" xfId="10" applyNumberFormat="1" applyFont="1" applyAlignment="1" applyProtection="1">
      <alignment horizontal="left"/>
      <protection locked="0"/>
    </xf>
    <xf numFmtId="174" fontId="238" fillId="0" borderId="8" xfId="10" applyNumberFormat="1" applyFont="1" applyBorder="1" applyAlignment="1" applyProtection="1">
      <protection locked="0"/>
    </xf>
    <xf numFmtId="174" fontId="238" fillId="0" borderId="8" xfId="10" applyNumberFormat="1" applyFont="1" applyBorder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right"/>
      <protection locked="0"/>
    </xf>
    <xf numFmtId="174" fontId="238" fillId="0" borderId="0" xfId="10" applyNumberFormat="1" applyFont="1" applyProtection="1">
      <protection locked="0"/>
    </xf>
    <xf numFmtId="164" fontId="238" fillId="0" borderId="0" xfId="480" applyFont="1" applyBorder="1" applyProtection="1">
      <protection locked="0"/>
    </xf>
    <xf numFmtId="164" fontId="238" fillId="0" borderId="0" xfId="480" applyFont="1" applyFill="1" applyBorder="1" applyProtection="1"/>
    <xf numFmtId="164" fontId="238" fillId="0" borderId="8" xfId="480" applyFont="1" applyBorder="1" applyAlignment="1" applyProtection="1">
      <alignment horizontal="fill"/>
    </xf>
    <xf numFmtId="164" fontId="238" fillId="0" borderId="0" xfId="480" applyFont="1" applyBorder="1" applyAlignment="1" applyProtection="1">
      <alignment horizontal="fill"/>
    </xf>
    <xf numFmtId="40" fontId="238" fillId="0" borderId="0" xfId="10" applyNumberFormat="1" applyFont="1" applyAlignment="1" applyProtection="1">
      <alignment horizontal="fill"/>
      <protection locked="0"/>
    </xf>
    <xf numFmtId="14" fontId="238" fillId="0" borderId="0" xfId="10" applyNumberFormat="1" applyFont="1" applyAlignment="1" applyProtection="1">
      <alignment horizontal="left"/>
      <protection locked="0"/>
    </xf>
    <xf numFmtId="40" fontId="239" fillId="0" borderId="0" xfId="10" applyNumberFormat="1" applyFont="1" applyProtection="1">
      <protection locked="0"/>
    </xf>
    <xf numFmtId="40" fontId="239" fillId="0" borderId="0" xfId="10" applyNumberFormat="1" applyFont="1" applyAlignment="1" applyProtection="1">
      <alignment horizontal="center"/>
      <protection locked="0"/>
    </xf>
    <xf numFmtId="0" fontId="261" fillId="12" borderId="0" xfId="64" applyFont="1" applyFill="1" applyBorder="1" applyAlignment="1">
      <alignment horizontal="center"/>
    </xf>
    <xf numFmtId="0" fontId="247" fillId="12" borderId="0" xfId="64" applyFont="1" applyFill="1" applyBorder="1" applyAlignment="1">
      <alignment horizontal="center"/>
    </xf>
    <xf numFmtId="0" fontId="189" fillId="12" borderId="0" xfId="1" applyFont="1" applyFill="1" applyAlignment="1"/>
    <xf numFmtId="0" fontId="191" fillId="10" borderId="0" xfId="1" applyFont="1" applyFill="1"/>
    <xf numFmtId="0" fontId="226" fillId="19" borderId="0" xfId="0" applyFont="1" applyFill="1" applyBorder="1"/>
    <xf numFmtId="0" fontId="188" fillId="19" borderId="0" xfId="146" quotePrefix="1" applyNumberFormat="1" applyFont="1" applyFill="1"/>
    <xf numFmtId="43" fontId="226" fillId="19" borderId="0" xfId="6" applyFont="1" applyFill="1" applyBorder="1"/>
    <xf numFmtId="166" fontId="226" fillId="0" borderId="0" xfId="7" applyFont="1" applyFill="1" applyBorder="1"/>
    <xf numFmtId="166" fontId="226" fillId="10" borderId="0" xfId="7" applyFont="1" applyFill="1"/>
    <xf numFmtId="166" fontId="226" fillId="0" borderId="0" xfId="64" applyNumberFormat="1" applyFont="1" applyBorder="1"/>
    <xf numFmtId="166" fontId="226" fillId="9" borderId="0" xfId="7" applyFont="1" applyFill="1" applyBorder="1"/>
    <xf numFmtId="166" fontId="238" fillId="0" borderId="0" xfId="7" applyFont="1" applyFill="1" applyBorder="1" applyAlignment="1" applyProtection="1">
      <alignment horizontal="left"/>
      <protection locked="0"/>
    </xf>
    <xf numFmtId="166" fontId="238" fillId="0" borderId="0" xfId="7" applyFont="1" applyFill="1" applyProtection="1">
      <protection locked="0"/>
    </xf>
    <xf numFmtId="166" fontId="238" fillId="0" borderId="0" xfId="7" applyFont="1" applyFill="1" applyBorder="1" applyAlignment="1" applyProtection="1"/>
    <xf numFmtId="166" fontId="238" fillId="0" borderId="0" xfId="7" applyFont="1" applyFill="1" applyProtection="1"/>
    <xf numFmtId="166" fontId="238" fillId="0" borderId="0" xfId="7" applyFont="1" applyFill="1" applyAlignment="1" applyProtection="1">
      <alignment horizontal="left"/>
      <protection locked="0"/>
    </xf>
    <xf numFmtId="166" fontId="238" fillId="0" borderId="0" xfId="7" applyFont="1" applyFill="1" applyBorder="1" applyAlignment="1" applyProtection="1">
      <alignment horizontal="left"/>
    </xf>
    <xf numFmtId="166" fontId="226" fillId="0" borderId="0" xfId="7" applyFont="1" applyFill="1" applyProtection="1">
      <protection locked="0"/>
    </xf>
    <xf numFmtId="166" fontId="238" fillId="0" borderId="8" xfId="7" applyFont="1" applyBorder="1" applyAlignment="1" applyProtection="1">
      <alignment horizontal="left"/>
      <protection locked="0"/>
    </xf>
    <xf numFmtId="166" fontId="238" fillId="0" borderId="8" xfId="7" applyFont="1" applyBorder="1" applyAlignment="1" applyProtection="1">
      <alignment horizontal="right"/>
      <protection locked="0"/>
    </xf>
    <xf numFmtId="166" fontId="238" fillId="0" borderId="8" xfId="7" applyFont="1" applyBorder="1" applyProtection="1"/>
    <xf numFmtId="166" fontId="238" fillId="0" borderId="0" xfId="7" applyFont="1" applyAlignment="1" applyProtection="1">
      <alignment horizontal="left"/>
      <protection locked="0"/>
    </xf>
    <xf numFmtId="166" fontId="238" fillId="0" borderId="0" xfId="7" applyFont="1" applyBorder="1" applyProtection="1">
      <protection locked="0"/>
    </xf>
    <xf numFmtId="166" fontId="238" fillId="0" borderId="0" xfId="7" applyFont="1" applyProtection="1">
      <protection locked="0"/>
    </xf>
    <xf numFmtId="166" fontId="238" fillId="0" borderId="0" xfId="7" applyFont="1" applyFill="1" applyBorder="1" applyProtection="1"/>
    <xf numFmtId="166" fontId="238" fillId="0" borderId="8" xfId="7" applyFont="1" applyBorder="1" applyAlignment="1" applyProtection="1">
      <alignment horizontal="fill"/>
    </xf>
    <xf numFmtId="166" fontId="238" fillId="0" borderId="0" xfId="7" applyFont="1" applyBorder="1" applyAlignment="1" applyProtection="1">
      <alignment horizontal="fill"/>
    </xf>
    <xf numFmtId="166" fontId="238" fillId="0" borderId="0" xfId="7" applyFont="1" applyProtection="1"/>
    <xf numFmtId="166" fontId="238" fillId="12" borderId="0" xfId="7" applyFont="1" applyFill="1" applyProtection="1"/>
    <xf numFmtId="1" fontId="0" fillId="0" borderId="0" xfId="0" applyNumberFormat="1" applyAlignment="1">
      <alignment horizontal="left"/>
    </xf>
    <xf numFmtId="165" fontId="0" fillId="0" borderId="0" xfId="0" applyNumberFormat="1"/>
    <xf numFmtId="1" fontId="188" fillId="10" borderId="0" xfId="6" quotePrefix="1" applyNumberFormat="1" applyFont="1" applyFill="1" applyAlignment="1"/>
    <xf numFmtId="1" fontId="188" fillId="10" borderId="0" xfId="1" applyNumberFormat="1" applyFont="1" applyFill="1" applyAlignment="1"/>
    <xf numFmtId="1" fontId="188" fillId="10" borderId="0" xfId="146" quotePrefix="1" applyNumberFormat="1" applyFont="1" applyFill="1" applyAlignment="1"/>
    <xf numFmtId="39" fontId="262" fillId="0" borderId="8" xfId="10" applyFont="1" applyBorder="1" applyAlignment="1" applyProtection="1">
      <alignment horizontal="left"/>
      <protection locked="0"/>
    </xf>
    <xf numFmtId="40" fontId="262" fillId="0" borderId="8" xfId="10" applyNumberFormat="1" applyFont="1" applyBorder="1" applyAlignment="1" applyProtection="1">
      <alignment horizontal="left"/>
      <protection locked="0"/>
    </xf>
    <xf numFmtId="40" fontId="262" fillId="0" borderId="8" xfId="10" applyNumberFormat="1" applyFont="1" applyBorder="1" applyAlignment="1" applyProtection="1">
      <alignment horizontal="center"/>
      <protection locked="0"/>
    </xf>
    <xf numFmtId="40" fontId="262" fillId="0" borderId="8" xfId="10" applyNumberFormat="1" applyFont="1" applyFill="1" applyBorder="1" applyAlignment="1" applyProtection="1">
      <alignment horizontal="center"/>
      <protection locked="0"/>
    </xf>
    <xf numFmtId="14" fontId="262" fillId="0" borderId="0" xfId="10" applyNumberFormat="1" applyFont="1" applyBorder="1" applyAlignment="1" applyProtection="1">
      <alignment horizontal="fill"/>
      <protection locked="0"/>
    </xf>
    <xf numFmtId="39" fontId="262" fillId="0" borderId="0" xfId="10" applyFont="1" applyBorder="1" applyAlignment="1" applyProtection="1">
      <alignment horizontal="fill"/>
      <protection locked="0"/>
    </xf>
    <xf numFmtId="39" fontId="262" fillId="0" borderId="0" xfId="10" applyFont="1" applyBorder="1" applyAlignment="1" applyProtection="1">
      <alignment horizontal="left"/>
      <protection locked="0"/>
    </xf>
    <xf numFmtId="40" fontId="262" fillId="0" borderId="0" xfId="10" applyNumberFormat="1" applyFont="1" applyBorder="1" applyAlignment="1" applyProtection="1">
      <alignment horizontal="left"/>
      <protection locked="0"/>
    </xf>
    <xf numFmtId="39" fontId="262" fillId="0" borderId="0" xfId="10" applyNumberFormat="1" applyFont="1" applyFill="1" applyBorder="1" applyAlignment="1" applyProtection="1"/>
    <xf numFmtId="168" fontId="262" fillId="0" borderId="0" xfId="10" applyNumberFormat="1" applyFont="1" applyFill="1" applyAlignment="1" applyProtection="1">
      <alignment horizontal="left"/>
      <protection locked="0"/>
    </xf>
    <xf numFmtId="39" fontId="262" fillId="0" borderId="0" xfId="10" applyFont="1" applyFill="1" applyBorder="1" applyAlignment="1" applyProtection="1">
      <alignment horizontal="fill"/>
      <protection locked="0"/>
    </xf>
    <xf numFmtId="0" fontId="262" fillId="0" borderId="0" xfId="10" applyNumberFormat="1" applyFont="1" applyFill="1" applyAlignment="1" applyProtection="1">
      <alignment horizontal="center"/>
      <protection locked="0"/>
    </xf>
    <xf numFmtId="1" fontId="262" fillId="0" borderId="0" xfId="10" applyNumberFormat="1" applyFont="1" applyFill="1" applyAlignment="1" applyProtection="1">
      <alignment horizontal="center"/>
      <protection locked="0"/>
    </xf>
    <xf numFmtId="166" fontId="262" fillId="0" borderId="0" xfId="7" applyFont="1" applyFill="1" applyBorder="1" applyAlignment="1" applyProtection="1">
      <alignment horizontal="left"/>
      <protection locked="0"/>
    </xf>
    <xf numFmtId="166" fontId="262" fillId="0" borderId="0" xfId="7" applyFont="1" applyFill="1" applyProtection="1">
      <protection locked="0"/>
    </xf>
    <xf numFmtId="168" fontId="262" fillId="0" borderId="0" xfId="10" applyNumberFormat="1" applyFont="1" applyAlignment="1" applyProtection="1">
      <alignment horizontal="left"/>
      <protection locked="0"/>
    </xf>
    <xf numFmtId="166" fontId="262" fillId="0" borderId="0" xfId="7" applyFont="1" applyFill="1" applyBorder="1" applyAlignment="1" applyProtection="1">
      <alignment horizontal="left"/>
    </xf>
    <xf numFmtId="166" fontId="262" fillId="0" borderId="0" xfId="7" applyFont="1" applyFill="1" applyAlignment="1" applyProtection="1">
      <alignment horizontal="left"/>
      <protection locked="0"/>
    </xf>
    <xf numFmtId="166" fontId="262" fillId="0" borderId="0" xfId="7" applyFont="1" applyFill="1" applyBorder="1" applyAlignment="1" applyProtection="1"/>
    <xf numFmtId="174" fontId="262" fillId="0" borderId="8" xfId="10" applyNumberFormat="1" applyFont="1" applyBorder="1" applyAlignment="1" applyProtection="1">
      <protection locked="0"/>
    </xf>
    <xf numFmtId="174" fontId="262" fillId="0" borderId="8" xfId="10" applyNumberFormat="1" applyFont="1" applyBorder="1" applyAlignment="1" applyProtection="1">
      <alignment horizontal="left"/>
      <protection locked="0"/>
    </xf>
    <xf numFmtId="166" fontId="262" fillId="0" borderId="8" xfId="7" applyFont="1" applyBorder="1" applyAlignment="1" applyProtection="1">
      <alignment horizontal="left"/>
      <protection locked="0"/>
    </xf>
    <xf numFmtId="166" fontId="262" fillId="0" borderId="8" xfId="7" applyFont="1" applyBorder="1" applyAlignment="1" applyProtection="1">
      <alignment horizontal="right"/>
      <protection locked="0"/>
    </xf>
    <xf numFmtId="174" fontId="262" fillId="0" borderId="0" xfId="10" applyNumberFormat="1" applyFont="1" applyProtection="1">
      <protection locked="0"/>
    </xf>
    <xf numFmtId="174" fontId="262" fillId="0" borderId="0" xfId="10" applyNumberFormat="1" applyFont="1" applyAlignment="1" applyProtection="1">
      <alignment horizontal="left"/>
      <protection locked="0"/>
    </xf>
    <xf numFmtId="166" fontId="262" fillId="0" borderId="0" xfId="7" applyFont="1" applyFill="1" applyProtection="1"/>
    <xf numFmtId="166" fontId="262" fillId="0" borderId="0" xfId="7" applyFont="1" applyAlignment="1" applyProtection="1">
      <alignment horizontal="left"/>
      <protection locked="0"/>
    </xf>
    <xf numFmtId="166" fontId="262" fillId="0" borderId="0" xfId="7" applyFont="1" applyBorder="1" applyProtection="1">
      <protection locked="0"/>
    </xf>
    <xf numFmtId="166" fontId="262" fillId="0" borderId="0" xfId="7" applyFont="1" applyProtection="1">
      <protection locked="0"/>
    </xf>
    <xf numFmtId="166" fontId="262" fillId="12" borderId="0" xfId="7" applyFont="1" applyFill="1" applyProtection="1"/>
    <xf numFmtId="166" fontId="262" fillId="0" borderId="0" xfId="7" applyFont="1" applyFill="1" applyBorder="1" applyProtection="1"/>
    <xf numFmtId="166" fontId="262" fillId="0" borderId="8" xfId="7" applyFont="1" applyBorder="1" applyAlignment="1" applyProtection="1">
      <alignment horizontal="fill"/>
    </xf>
    <xf numFmtId="166" fontId="262" fillId="0" borderId="0" xfId="7" applyFont="1" applyProtection="1"/>
    <xf numFmtId="40" fontId="262" fillId="0" borderId="0" xfId="10" applyNumberFormat="1" applyFont="1" applyAlignment="1" applyProtection="1">
      <alignment horizontal="left"/>
      <protection locked="0"/>
    </xf>
    <xf numFmtId="40" fontId="262" fillId="0" borderId="0" xfId="10" applyNumberFormat="1" applyFont="1" applyProtection="1">
      <protection locked="0"/>
    </xf>
    <xf numFmtId="40" fontId="262" fillId="0" borderId="0" xfId="10" applyNumberFormat="1" applyFont="1" applyAlignment="1" applyProtection="1">
      <alignment horizontal="fill"/>
      <protection locked="0"/>
    </xf>
    <xf numFmtId="40" fontId="262" fillId="0" borderId="0" xfId="10" applyNumberFormat="1" applyFont="1" applyAlignment="1" applyProtection="1">
      <alignment horizontal="center"/>
      <protection locked="0"/>
    </xf>
    <xf numFmtId="14" fontId="262" fillId="0" borderId="0" xfId="10" applyNumberFormat="1" applyFont="1" applyAlignment="1" applyProtection="1">
      <alignment horizontal="left"/>
      <protection locked="0"/>
    </xf>
    <xf numFmtId="40" fontId="229" fillId="0" borderId="0" xfId="10" applyNumberFormat="1" applyFont="1" applyAlignment="1" applyProtection="1">
      <alignment horizontal="center"/>
      <protection locked="0"/>
    </xf>
    <xf numFmtId="0" fontId="263" fillId="0" borderId="0" xfId="0" applyNumberFormat="1" applyFont="1" applyFill="1" applyBorder="1" applyAlignment="1">
      <alignment horizontal="left"/>
    </xf>
    <xf numFmtId="0" fontId="263" fillId="0" borderId="0" xfId="0" applyFont="1" applyFill="1"/>
    <xf numFmtId="0" fontId="263" fillId="0" borderId="0" xfId="0" applyFont="1" applyFill="1" applyBorder="1"/>
    <xf numFmtId="1" fontId="263" fillId="0" borderId="0" xfId="0" applyNumberFormat="1" applyFont="1" applyFill="1" applyBorder="1" applyAlignment="1" applyProtection="1">
      <alignment horizontal="right"/>
    </xf>
    <xf numFmtId="0" fontId="263" fillId="0" borderId="0" xfId="0" applyFont="1" applyFill="1" applyBorder="1" applyAlignment="1">
      <alignment horizontal="center"/>
    </xf>
    <xf numFmtId="0" fontId="263" fillId="0" borderId="0" xfId="0" applyFont="1" applyFill="1" applyBorder="1" applyAlignment="1">
      <alignment horizontal="right"/>
    </xf>
    <xf numFmtId="0" fontId="263" fillId="0" borderId="3" xfId="0" applyFont="1" applyFill="1" applyBorder="1" applyAlignment="1">
      <alignment horizontal="center"/>
    </xf>
    <xf numFmtId="0" fontId="263" fillId="0" borderId="3" xfId="0" quotePrefix="1" applyFont="1" applyFill="1" applyBorder="1" applyAlignment="1">
      <alignment horizontal="center"/>
    </xf>
    <xf numFmtId="0" fontId="263" fillId="0" borderId="0" xfId="0" applyFont="1" applyFill="1" applyAlignment="1">
      <alignment horizontal="center"/>
    </xf>
    <xf numFmtId="14" fontId="263" fillId="0" borderId="0" xfId="122" quotePrefix="1" applyNumberFormat="1" applyFont="1" applyFill="1"/>
    <xf numFmtId="49" fontId="263" fillId="0" borderId="0" xfId="0" applyNumberFormat="1" applyFont="1" applyFill="1" applyBorder="1" applyAlignment="1">
      <alignment horizontal="center"/>
    </xf>
    <xf numFmtId="183" fontId="263" fillId="0" borderId="0" xfId="7" applyNumberFormat="1" applyFont="1" applyFill="1" applyBorder="1"/>
    <xf numFmtId="183" fontId="263" fillId="0" borderId="0" xfId="7" applyNumberFormat="1" applyFont="1" applyFill="1"/>
    <xf numFmtId="14" fontId="263" fillId="0" borderId="0" xfId="113" quotePrefix="1" applyNumberFormat="1" applyFont="1" applyFill="1"/>
    <xf numFmtId="14" fontId="263" fillId="0" borderId="3" xfId="113" quotePrefix="1" applyNumberFormat="1" applyFont="1" applyFill="1" applyBorder="1"/>
    <xf numFmtId="49" fontId="263" fillId="0" borderId="3" xfId="0" applyNumberFormat="1" applyFont="1" applyFill="1" applyBorder="1" applyAlignment="1">
      <alignment horizontal="center"/>
    </xf>
    <xf numFmtId="0" fontId="263" fillId="0" borderId="3" xfId="0" applyFont="1" applyFill="1" applyBorder="1"/>
    <xf numFmtId="183" fontId="263" fillId="0" borderId="3" xfId="7" applyNumberFormat="1" applyFont="1" applyFill="1" applyBorder="1"/>
    <xf numFmtId="166" fontId="263" fillId="0" borderId="0" xfId="7" applyFont="1" applyFill="1" applyBorder="1"/>
    <xf numFmtId="49" fontId="263" fillId="0" borderId="0" xfId="0" applyNumberFormat="1" applyFont="1" applyFill="1" applyBorder="1"/>
    <xf numFmtId="0" fontId="263" fillId="0" borderId="0" xfId="495" applyFont="1" applyFill="1" applyBorder="1"/>
    <xf numFmtId="0" fontId="263" fillId="0" borderId="3" xfId="495" applyFont="1" applyFill="1" applyBorder="1"/>
    <xf numFmtId="173" fontId="263" fillId="0" borderId="0" xfId="495" applyNumberFormat="1" applyFont="1" applyFill="1" applyBorder="1"/>
    <xf numFmtId="173" fontId="263" fillId="0" borderId="3" xfId="495" applyNumberFormat="1" applyFont="1" applyFill="1" applyBorder="1"/>
    <xf numFmtId="14" fontId="263" fillId="9" borderId="0" xfId="113" quotePrefix="1" applyNumberFormat="1" applyFont="1" applyFill="1"/>
    <xf numFmtId="0" fontId="226" fillId="9" borderId="0" xfId="64" applyFont="1" applyFill="1" applyBorder="1"/>
    <xf numFmtId="0" fontId="263" fillId="9" borderId="0" xfId="0" applyFont="1" applyFill="1" applyAlignment="1">
      <alignment horizontal="center"/>
    </xf>
    <xf numFmtId="0" fontId="263" fillId="9" borderId="0" xfId="0" applyFont="1" applyFill="1" applyBorder="1"/>
    <xf numFmtId="183" fontId="263" fillId="9" borderId="0" xfId="7" applyNumberFormat="1" applyFont="1" applyFill="1" applyBorder="1"/>
    <xf numFmtId="183" fontId="263" fillId="9" borderId="0" xfId="7" applyNumberFormat="1" applyFont="1" applyFill="1"/>
    <xf numFmtId="1" fontId="188" fillId="10" borderId="0" xfId="6" quotePrefix="1" applyNumberFormat="1" applyFont="1" applyFill="1" applyAlignment="1">
      <alignment horizontal="left"/>
    </xf>
    <xf numFmtId="1" fontId="188" fillId="10" borderId="0" xfId="1" applyNumberFormat="1" applyFont="1" applyFill="1" applyAlignment="1">
      <alignment horizontal="left"/>
    </xf>
    <xf numFmtId="165" fontId="188" fillId="10" borderId="0" xfId="1" applyNumberFormat="1" applyFont="1" applyFill="1"/>
    <xf numFmtId="0" fontId="264" fillId="0" borderId="0" xfId="0" applyNumberFormat="1" applyFont="1" applyFill="1" applyBorder="1" applyAlignment="1">
      <alignment horizontal="left"/>
    </xf>
    <xf numFmtId="39" fontId="265" fillId="0" borderId="0" xfId="10" applyFont="1" applyAlignment="1" applyProtection="1">
      <alignment horizontal="left"/>
      <protection locked="0"/>
    </xf>
    <xf numFmtId="39" fontId="264" fillId="0" borderId="0" xfId="10" quotePrefix="1" applyFont="1" applyAlignment="1" applyProtection="1">
      <alignment horizontal="left"/>
      <protection locked="0"/>
    </xf>
    <xf numFmtId="39" fontId="264" fillId="0" borderId="0" xfId="10" applyFont="1" applyAlignment="1" applyProtection="1">
      <alignment horizontal="left"/>
      <protection locked="0"/>
    </xf>
    <xf numFmtId="40" fontId="264" fillId="0" borderId="0" xfId="10" applyNumberFormat="1" applyFont="1" applyAlignment="1" applyProtection="1">
      <alignment horizontal="center"/>
      <protection locked="0"/>
    </xf>
    <xf numFmtId="40" fontId="264" fillId="0" borderId="0" xfId="10" applyNumberFormat="1" applyFont="1" applyProtection="1">
      <protection locked="0"/>
    </xf>
    <xf numFmtId="40" fontId="264" fillId="0" borderId="0" xfId="10" applyNumberFormat="1" applyFont="1" applyFill="1" applyProtection="1">
      <protection locked="0"/>
    </xf>
    <xf numFmtId="39" fontId="264" fillId="0" borderId="0" xfId="10" applyFont="1" applyProtection="1">
      <protection locked="0"/>
    </xf>
    <xf numFmtId="40" fontId="264" fillId="0" borderId="0" xfId="10" applyNumberFormat="1" applyFont="1" applyAlignment="1" applyProtection="1">
      <alignment horizontal="left"/>
      <protection locked="0"/>
    </xf>
    <xf numFmtId="39" fontId="264" fillId="0" borderId="3" xfId="10" applyFont="1" applyBorder="1" applyAlignment="1" applyProtection="1">
      <alignment horizontal="left"/>
      <protection locked="0"/>
    </xf>
    <xf numFmtId="40" fontId="264" fillId="0" borderId="3" xfId="10" applyNumberFormat="1" applyFont="1" applyBorder="1" applyAlignment="1" applyProtection="1">
      <alignment horizontal="left"/>
      <protection locked="0"/>
    </xf>
    <xf numFmtId="40" fontId="264" fillId="0" borderId="3" xfId="10" applyNumberFormat="1" applyFont="1" applyBorder="1" applyAlignment="1" applyProtection="1">
      <alignment horizontal="center"/>
      <protection locked="0"/>
    </xf>
    <xf numFmtId="40" fontId="264" fillId="0" borderId="3" xfId="10" applyNumberFormat="1" applyFont="1" applyFill="1" applyBorder="1" applyAlignment="1" applyProtection="1">
      <alignment horizontal="center"/>
      <protection locked="0"/>
    </xf>
    <xf numFmtId="14" fontId="264" fillId="0" borderId="0" xfId="10" applyNumberFormat="1" applyFont="1" applyBorder="1" applyAlignment="1" applyProtection="1">
      <alignment horizontal="fill"/>
      <protection locked="0"/>
    </xf>
    <xf numFmtId="39" fontId="264" fillId="0" borderId="0" xfId="10" applyFont="1" applyBorder="1" applyAlignment="1" applyProtection="1">
      <alignment horizontal="fill"/>
      <protection locked="0"/>
    </xf>
    <xf numFmtId="39" fontId="264" fillId="0" borderId="0" xfId="10" applyFont="1" applyBorder="1" applyAlignment="1" applyProtection="1">
      <alignment horizontal="left"/>
      <protection locked="0"/>
    </xf>
    <xf numFmtId="40" fontId="264" fillId="0" borderId="0" xfId="10" applyNumberFormat="1" applyFont="1" applyBorder="1" applyAlignment="1" applyProtection="1">
      <alignment horizontal="left"/>
      <protection locked="0"/>
    </xf>
    <xf numFmtId="39" fontId="264" fillId="0" borderId="0" xfId="10" applyNumberFormat="1" applyFont="1" applyFill="1" applyBorder="1" applyAlignment="1" applyProtection="1"/>
    <xf numFmtId="40" fontId="264" fillId="0" borderId="0" xfId="10" applyNumberFormat="1" applyFont="1" applyProtection="1"/>
    <xf numFmtId="168" fontId="264" fillId="0" borderId="0" xfId="10" applyNumberFormat="1" applyFont="1" applyFill="1" applyAlignment="1" applyProtection="1">
      <alignment horizontal="left"/>
      <protection locked="0"/>
    </xf>
    <xf numFmtId="39" fontId="264" fillId="0" borderId="0" xfId="10" applyFont="1" applyFill="1" applyBorder="1" applyAlignment="1" applyProtection="1">
      <alignment horizontal="fill"/>
      <protection locked="0"/>
    </xf>
    <xf numFmtId="0" fontId="264" fillId="0" borderId="0" xfId="10" applyNumberFormat="1" applyFont="1" applyFill="1" applyAlignment="1" applyProtection="1">
      <alignment horizontal="center"/>
      <protection locked="0"/>
    </xf>
    <xf numFmtId="1" fontId="264" fillId="0" borderId="0" xfId="10" applyNumberFormat="1" applyFont="1" applyFill="1" applyAlignment="1" applyProtection="1">
      <alignment horizontal="center"/>
      <protection locked="0"/>
    </xf>
    <xf numFmtId="183" fontId="264" fillId="0" borderId="0" xfId="7" applyNumberFormat="1" applyFont="1" applyFill="1" applyBorder="1" applyAlignment="1" applyProtection="1">
      <protection locked="0"/>
    </xf>
    <xf numFmtId="183" fontId="264" fillId="0" borderId="0" xfId="7" applyNumberFormat="1" applyFont="1" applyFill="1" applyAlignment="1" applyProtection="1">
      <protection locked="0"/>
    </xf>
    <xf numFmtId="183" fontId="264" fillId="0" borderId="0" xfId="7" applyNumberFormat="1" applyFont="1" applyFill="1" applyAlignment="1" applyProtection="1"/>
    <xf numFmtId="174" fontId="264" fillId="0" borderId="0" xfId="10" applyNumberFormat="1" applyFont="1" applyBorder="1" applyAlignment="1" applyProtection="1">
      <protection locked="0"/>
    </xf>
    <xf numFmtId="174" fontId="264" fillId="0" borderId="0" xfId="10" applyNumberFormat="1" applyFont="1" applyBorder="1" applyAlignment="1" applyProtection="1">
      <alignment horizontal="left"/>
      <protection locked="0"/>
    </xf>
    <xf numFmtId="183" fontId="264" fillId="0" borderId="0" xfId="7" applyNumberFormat="1" applyFont="1" applyBorder="1" applyAlignment="1" applyProtection="1">
      <protection locked="0"/>
    </xf>
    <xf numFmtId="183" fontId="264" fillId="0" borderId="0" xfId="7" applyNumberFormat="1" applyFont="1" applyBorder="1" applyAlignment="1" applyProtection="1"/>
    <xf numFmtId="174" fontId="264" fillId="0" borderId="3" xfId="10" applyNumberFormat="1" applyFont="1" applyBorder="1" applyProtection="1">
      <protection locked="0"/>
    </xf>
    <xf numFmtId="174" fontId="264" fillId="0" borderId="3" xfId="10" applyNumberFormat="1" applyFont="1" applyBorder="1" applyAlignment="1" applyProtection="1">
      <alignment horizontal="left"/>
      <protection locked="0"/>
    </xf>
    <xf numFmtId="183" fontId="264" fillId="0" borderId="3" xfId="10" applyNumberFormat="1" applyFont="1" applyBorder="1" applyAlignment="1" applyProtection="1">
      <protection locked="0"/>
    </xf>
    <xf numFmtId="174" fontId="264" fillId="0" borderId="0" xfId="10" applyNumberFormat="1" applyFont="1" applyProtection="1">
      <protection locked="0"/>
    </xf>
    <xf numFmtId="174" fontId="264" fillId="0" borderId="0" xfId="10" applyNumberFormat="1" applyFont="1" applyAlignment="1" applyProtection="1">
      <alignment horizontal="left"/>
      <protection locked="0"/>
    </xf>
    <xf numFmtId="183" fontId="264" fillId="0" borderId="0" xfId="10" applyNumberFormat="1" applyFont="1" applyAlignment="1" applyProtection="1">
      <protection locked="0"/>
    </xf>
    <xf numFmtId="40" fontId="264" fillId="0" borderId="0" xfId="10" quotePrefix="1" applyNumberFormat="1" applyFont="1" applyAlignment="1" applyProtection="1">
      <alignment horizontal="left"/>
      <protection locked="0"/>
    </xf>
    <xf numFmtId="183" fontId="264" fillId="9" borderId="0" xfId="10" applyNumberFormat="1" applyFont="1" applyFill="1" applyAlignment="1" applyProtection="1">
      <protection locked="0"/>
    </xf>
    <xf numFmtId="166" fontId="238" fillId="9" borderId="0" xfId="7" applyFont="1" applyFill="1" applyProtection="1"/>
    <xf numFmtId="0" fontId="191" fillId="10" borderId="0" xfId="9" applyFont="1" applyFill="1" applyProtection="1">
      <protection locked="0"/>
    </xf>
    <xf numFmtId="0" fontId="191" fillId="10" borderId="0" xfId="32" quotePrefix="1" applyNumberFormat="1" applyFont="1" applyFill="1" applyAlignment="1">
      <alignment horizontal="center"/>
    </xf>
    <xf numFmtId="40" fontId="209" fillId="10" borderId="0" xfId="4" applyNumberFormat="1" applyFont="1" applyFill="1" applyBorder="1" applyAlignment="1"/>
    <xf numFmtId="40" fontId="209" fillId="10" borderId="0" xfId="11" applyNumberFormat="1" applyFont="1" applyFill="1" applyBorder="1" applyAlignment="1"/>
    <xf numFmtId="0" fontId="191" fillId="10" borderId="0" xfId="1" applyNumberFormat="1" applyFont="1" applyFill="1" applyAlignment="1">
      <alignment horizontal="center"/>
    </xf>
    <xf numFmtId="0" fontId="210" fillId="10" borderId="0" xfId="9" applyFont="1" applyFill="1" applyAlignment="1">
      <alignment horizontal="center"/>
    </xf>
    <xf numFmtId="0" fontId="210" fillId="10" borderId="0" xfId="9" applyFont="1" applyFill="1" applyAlignment="1">
      <alignment horizontal="left"/>
    </xf>
    <xf numFmtId="1" fontId="188" fillId="0" borderId="0" xfId="475" applyNumberFormat="1" applyFont="1" applyAlignment="1">
      <alignment horizontal="left"/>
    </xf>
    <xf numFmtId="166" fontId="191" fillId="0" borderId="0" xfId="7" applyFont="1"/>
    <xf numFmtId="0" fontId="226" fillId="0" borderId="7" xfId="0" applyFont="1" applyFill="1" applyBorder="1"/>
    <xf numFmtId="166" fontId="226" fillId="0" borderId="7" xfId="7" applyFont="1" applyBorder="1"/>
    <xf numFmtId="166" fontId="227" fillId="0" borderId="0" xfId="7" applyFont="1" applyBorder="1"/>
    <xf numFmtId="0" fontId="188" fillId="0" borderId="0" xfId="186"/>
    <xf numFmtId="0" fontId="226" fillId="0" borderId="0" xfId="186" applyFont="1" applyBorder="1"/>
    <xf numFmtId="0" fontId="227" fillId="0" borderId="0" xfId="186" applyNumberFormat="1" applyFont="1" applyFill="1" applyBorder="1" applyAlignment="1">
      <alignment horizontal="left"/>
    </xf>
    <xf numFmtId="1" fontId="226" fillId="0" borderId="0" xfId="186" applyNumberFormat="1" applyFont="1" applyFill="1" applyBorder="1" applyAlignment="1" applyProtection="1">
      <alignment horizontal="right"/>
    </xf>
    <xf numFmtId="0" fontId="226" fillId="0" borderId="0" xfId="186" applyFont="1" applyFill="1" applyBorder="1" applyAlignment="1">
      <alignment horizontal="right"/>
    </xf>
    <xf numFmtId="1" fontId="226" fillId="0" borderId="0" xfId="186" quotePrefix="1" applyNumberFormat="1" applyFont="1" applyFill="1" applyBorder="1" applyAlignment="1" applyProtection="1">
      <alignment horizontal="left"/>
    </xf>
    <xf numFmtId="0" fontId="226" fillId="0" borderId="0" xfId="186" applyNumberFormat="1" applyFont="1" applyFill="1" applyBorder="1" applyAlignment="1">
      <alignment horizontal="left"/>
    </xf>
    <xf numFmtId="0" fontId="226" fillId="10" borderId="0" xfId="186" applyFont="1" applyFill="1" applyBorder="1" applyAlignment="1">
      <alignment horizontal="right"/>
    </xf>
    <xf numFmtId="15" fontId="226" fillId="0" borderId="0" xfId="186" applyNumberFormat="1" applyFont="1" applyFill="1" applyBorder="1" applyAlignment="1" applyProtection="1">
      <alignment horizontal="right"/>
    </xf>
    <xf numFmtId="15" fontId="226" fillId="0" borderId="0" xfId="186" quotePrefix="1" applyNumberFormat="1" applyFont="1" applyFill="1" applyBorder="1" applyAlignment="1" applyProtection="1">
      <alignment horizontal="left"/>
    </xf>
    <xf numFmtId="49" fontId="226" fillId="0" borderId="0" xfId="186" applyNumberFormat="1" applyFont="1" applyBorder="1"/>
    <xf numFmtId="170" fontId="228" fillId="0" borderId="0" xfId="186" applyNumberFormat="1" applyFont="1" applyBorder="1" applyAlignment="1">
      <alignment horizontal="center"/>
    </xf>
    <xf numFmtId="0" fontId="227" fillId="0" borderId="0" xfId="186" applyFont="1" applyBorder="1"/>
    <xf numFmtId="0" fontId="229" fillId="0" borderId="0" xfId="186" applyFont="1" applyBorder="1" applyAlignment="1">
      <alignment horizontal="left"/>
    </xf>
    <xf numFmtId="4" fontId="227" fillId="0" borderId="0" xfId="186" quotePrefix="1" applyNumberFormat="1" applyFont="1" applyFill="1" applyBorder="1" applyAlignment="1" applyProtection="1">
      <alignment horizontal="left"/>
    </xf>
    <xf numFmtId="15" fontId="226" fillId="0" borderId="0" xfId="186" applyNumberFormat="1" applyFont="1" applyFill="1" applyBorder="1" applyProtection="1"/>
    <xf numFmtId="0" fontId="230" fillId="0" borderId="0" xfId="186" quotePrefix="1" applyFont="1" applyBorder="1" applyAlignment="1">
      <alignment horizontal="left"/>
    </xf>
    <xf numFmtId="0" fontId="227" fillId="0" borderId="0" xfId="186" applyFont="1"/>
    <xf numFmtId="15" fontId="231" fillId="7" borderId="4" xfId="186" applyNumberFormat="1" applyFont="1" applyFill="1" applyBorder="1" applyAlignment="1">
      <alignment horizontal="center"/>
    </xf>
    <xf numFmtId="0" fontId="231" fillId="7" borderId="4" xfId="186" quotePrefix="1" applyFont="1" applyFill="1" applyBorder="1" applyAlignment="1">
      <alignment horizontal="center"/>
    </xf>
    <xf numFmtId="0" fontId="231" fillId="7" borderId="4" xfId="186" applyFont="1" applyFill="1" applyBorder="1" applyAlignment="1">
      <alignment horizontal="center"/>
    </xf>
    <xf numFmtId="0" fontId="231" fillId="7" borderId="21" xfId="186" applyFont="1" applyFill="1" applyBorder="1" applyAlignment="1">
      <alignment horizontal="centerContinuous"/>
    </xf>
    <xf numFmtId="0" fontId="231" fillId="7" borderId="3" xfId="186" applyFont="1" applyFill="1" applyBorder="1" applyAlignment="1">
      <alignment horizontal="centerContinuous"/>
    </xf>
    <xf numFmtId="15" fontId="231" fillId="7" borderId="6" xfId="186" applyNumberFormat="1" applyFont="1" applyFill="1" applyBorder="1" applyAlignment="1" applyProtection="1">
      <alignment horizontal="center"/>
    </xf>
    <xf numFmtId="0" fontId="231" fillId="7" borderId="6" xfId="186" applyFont="1" applyFill="1" applyBorder="1" applyAlignment="1">
      <alignment horizontal="center"/>
    </xf>
    <xf numFmtId="0" fontId="231" fillId="7" borderId="2" xfId="186" applyFont="1" applyFill="1" applyBorder="1" applyAlignment="1">
      <alignment horizontal="centerContinuous"/>
    </xf>
    <xf numFmtId="0" fontId="231" fillId="7" borderId="5" xfId="186" applyFont="1" applyFill="1" applyBorder="1" applyAlignment="1">
      <alignment horizontal="center"/>
    </xf>
    <xf numFmtId="0" fontId="231" fillId="7" borderId="5" xfId="186" quotePrefix="1" applyFont="1" applyFill="1" applyBorder="1" applyAlignment="1">
      <alignment horizontal="center"/>
    </xf>
    <xf numFmtId="0" fontId="231" fillId="7" borderId="1" xfId="186" quotePrefix="1" applyFont="1" applyFill="1" applyBorder="1" applyAlignment="1">
      <alignment horizontal="center"/>
    </xf>
    <xf numFmtId="0" fontId="231" fillId="7" borderId="1" xfId="186" applyFont="1" applyFill="1" applyBorder="1" applyAlignment="1">
      <alignment horizontal="center"/>
    </xf>
    <xf numFmtId="49" fontId="226" fillId="0" borderId="0" xfId="186" applyNumberFormat="1" applyFont="1" applyFill="1" applyBorder="1" applyAlignment="1">
      <alignment horizontal="center"/>
    </xf>
    <xf numFmtId="14" fontId="226" fillId="0" borderId="0" xfId="186" applyNumberFormat="1" applyFont="1" applyFill="1" applyBorder="1" applyAlignment="1">
      <alignment horizontal="center"/>
    </xf>
    <xf numFmtId="0" fontId="226" fillId="0" borderId="0" xfId="186" applyFont="1" applyFill="1" applyBorder="1"/>
    <xf numFmtId="0" fontId="226" fillId="0" borderId="7" xfId="186" applyFont="1" applyBorder="1"/>
    <xf numFmtId="49" fontId="226" fillId="0" borderId="7" xfId="186" applyNumberFormat="1" applyFont="1" applyBorder="1"/>
    <xf numFmtId="173" fontId="226" fillId="0" borderId="0" xfId="186" applyNumberFormat="1" applyFont="1" applyBorder="1"/>
    <xf numFmtId="164" fontId="226" fillId="0" borderId="0" xfId="480" applyFont="1" applyBorder="1"/>
    <xf numFmtId="0" fontId="231" fillId="9" borderId="1" xfId="186" applyFont="1" applyFill="1" applyBorder="1" applyAlignment="1">
      <alignment horizontal="center"/>
    </xf>
    <xf numFmtId="0" fontId="231" fillId="9" borderId="4" xfId="186" applyFont="1" applyFill="1" applyBorder="1" applyAlignment="1">
      <alignment horizontal="center"/>
    </xf>
    <xf numFmtId="0" fontId="231" fillId="9" borderId="6" xfId="186" applyFont="1" applyFill="1" applyBorder="1" applyAlignment="1">
      <alignment horizontal="center"/>
    </xf>
    <xf numFmtId="0" fontId="231" fillId="9" borderId="5" xfId="186" applyFont="1" applyFill="1" applyBorder="1" applyAlignment="1">
      <alignment horizontal="center"/>
    </xf>
    <xf numFmtId="14" fontId="191" fillId="0" borderId="0" xfId="568" quotePrefix="1" applyNumberFormat="1" applyFont="1"/>
    <xf numFmtId="164" fontId="226" fillId="0" borderId="0" xfId="480" applyFont="1" applyFill="1" applyBorder="1"/>
    <xf numFmtId="164" fontId="226" fillId="10" borderId="0" xfId="480" applyFont="1" applyFill="1"/>
    <xf numFmtId="164" fontId="191" fillId="0" borderId="0" xfId="480" applyFont="1"/>
    <xf numFmtId="164" fontId="226" fillId="0" borderId="7" xfId="480" applyFont="1" applyBorder="1"/>
    <xf numFmtId="164" fontId="227" fillId="0" borderId="0" xfId="480" applyFont="1" applyBorder="1"/>
    <xf numFmtId="164" fontId="226" fillId="0" borderId="8" xfId="480" applyFont="1" applyBorder="1"/>
    <xf numFmtId="0" fontId="226" fillId="0" borderId="7" xfId="186" applyFont="1" applyFill="1" applyBorder="1"/>
    <xf numFmtId="0" fontId="226" fillId="0" borderId="0" xfId="186" applyFont="1" applyFill="1" applyBorder="1" applyAlignment="1">
      <alignment horizontal="left"/>
    </xf>
    <xf numFmtId="14" fontId="191" fillId="9" borderId="0" xfId="580" quotePrefix="1" applyNumberFormat="1" applyFont="1" applyFill="1"/>
    <xf numFmtId="49" fontId="226" fillId="9" borderId="0" xfId="186" applyNumberFormat="1" applyFont="1" applyFill="1" applyBorder="1" applyAlignment="1">
      <alignment horizontal="center"/>
    </xf>
    <xf numFmtId="0" fontId="226" fillId="9" borderId="0" xfId="186" applyFont="1" applyFill="1" applyBorder="1"/>
    <xf numFmtId="164" fontId="226" fillId="9" borderId="0" xfId="480" applyFont="1" applyFill="1" applyBorder="1"/>
    <xf numFmtId="164" fontId="226" fillId="9" borderId="0" xfId="480" applyFont="1" applyFill="1"/>
    <xf numFmtId="40" fontId="188" fillId="10" borderId="0" xfId="6" applyNumberFormat="1" applyFont="1" applyFill="1" applyBorder="1"/>
    <xf numFmtId="43" fontId="189" fillId="0" borderId="0" xfId="6" applyFont="1" applyFill="1" applyBorder="1"/>
    <xf numFmtId="0" fontId="188" fillId="0" borderId="0" xfId="186" applyBorder="1"/>
    <xf numFmtId="182" fontId="226" fillId="10" borderId="0" xfId="64" applyNumberFormat="1" applyFont="1" applyFill="1" applyBorder="1"/>
    <xf numFmtId="17" fontId="247" fillId="0" borderId="0" xfId="186" applyNumberFormat="1" applyFont="1" applyBorder="1"/>
    <xf numFmtId="0" fontId="188" fillId="0" borderId="0" xfId="186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40" fontId="238" fillId="0" borderId="0" xfId="10" applyNumberFormat="1" applyFo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1" fontId="238" fillId="0" borderId="0" xfId="10" applyNumberFormat="1" applyFont="1" applyFill="1" applyAlignment="1" applyProtection="1">
      <alignment horizontal="center"/>
      <protection locked="0"/>
    </xf>
    <xf numFmtId="168" fontId="238" fillId="0" borderId="0" xfId="10" applyNumberFormat="1" applyFont="1" applyAlignment="1" applyProtection="1">
      <alignment horizontal="left"/>
      <protection locked="0"/>
    </xf>
    <xf numFmtId="174" fontId="238" fillId="0" borderId="0" xfId="10" applyNumberFormat="1" applyFont="1" applyAlignment="1" applyProtection="1">
      <alignment horizontal="left"/>
      <protection locked="0"/>
    </xf>
    <xf numFmtId="174" fontId="238" fillId="0" borderId="8" xfId="10" applyNumberFormat="1" applyFont="1" applyBorder="1" applyAlignment="1" applyProtection="1">
      <protection locked="0"/>
    </xf>
    <xf numFmtId="174" fontId="238" fillId="0" borderId="8" xfId="10" applyNumberFormat="1" applyFont="1" applyBorder="1" applyAlignment="1" applyProtection="1">
      <alignment horizontal="left"/>
      <protection locked="0"/>
    </xf>
    <xf numFmtId="174" fontId="238" fillId="0" borderId="0" xfId="10" applyNumberFormat="1" applyFont="1" applyProtection="1">
      <protection locked="0"/>
    </xf>
    <xf numFmtId="40" fontId="238" fillId="0" borderId="0" xfId="10" applyNumberFormat="1" applyFont="1" applyAlignment="1" applyProtection="1">
      <alignment horizontal="fill"/>
      <protection locked="0"/>
    </xf>
    <xf numFmtId="164" fontId="226" fillId="0" borderId="0" xfId="480" applyFont="1"/>
    <xf numFmtId="14" fontId="238" fillId="0" borderId="0" xfId="10" applyNumberFormat="1" applyFont="1" applyBorder="1" applyAlignment="1" applyProtection="1">
      <alignment horizontal="fill"/>
      <protection locked="0"/>
    </xf>
    <xf numFmtId="40" fontId="239" fillId="0" borderId="0" xfId="10" applyNumberFormat="1" applyFont="1" applyProtection="1">
      <protection locked="0"/>
    </xf>
    <xf numFmtId="40" fontId="239" fillId="0" borderId="0" xfId="10" applyNumberFormat="1" applyFont="1" applyAlignment="1" applyProtection="1">
      <alignment horizontal="center"/>
      <protection locked="0"/>
    </xf>
    <xf numFmtId="14" fontId="238" fillId="0" borderId="0" xfId="10" applyNumberFormat="1" applyFont="1" applyAlignment="1" applyProtection="1">
      <alignment horizontal="left"/>
      <protection locked="0"/>
    </xf>
    <xf numFmtId="1" fontId="239" fillId="0" borderId="0" xfId="479" applyNumberFormat="1" applyFont="1" applyAlignment="1" applyProtection="1">
      <alignment horizontal="center"/>
      <protection locked="0"/>
    </xf>
    <xf numFmtId="0" fontId="238" fillId="0" borderId="0" xfId="10" applyNumberFormat="1" applyFont="1" applyFill="1" applyAlignment="1" applyProtection="1">
      <alignment horizontal="center"/>
      <protection locked="0"/>
    </xf>
    <xf numFmtId="40" fontId="238" fillId="0" borderId="8" xfId="10" applyNumberFormat="1" applyFont="1" applyFill="1" applyBorder="1" applyAlignment="1" applyProtection="1">
      <alignment horizontal="center"/>
      <protection locked="0"/>
    </xf>
    <xf numFmtId="164" fontId="238" fillId="0" borderId="0" xfId="480" applyFont="1" applyFill="1" applyBorder="1" applyAlignment="1" applyProtection="1">
      <alignment horizontal="left"/>
      <protection locked="0"/>
    </xf>
    <xf numFmtId="164" fontId="238" fillId="0" borderId="0" xfId="480" applyFont="1" applyFill="1" applyProtection="1">
      <protection locked="0"/>
    </xf>
    <xf numFmtId="164" fontId="238" fillId="0" borderId="0" xfId="480" applyFont="1" applyFill="1" applyBorder="1" applyAlignment="1" applyProtection="1"/>
    <xf numFmtId="164" fontId="238" fillId="0" borderId="0" xfId="480" applyFont="1" applyFill="1" applyProtection="1"/>
    <xf numFmtId="164" fontId="238" fillId="0" borderId="0" xfId="480" applyFont="1" applyFill="1" applyAlignment="1" applyProtection="1">
      <alignment horizontal="left"/>
      <protection locked="0"/>
    </xf>
    <xf numFmtId="164" fontId="238" fillId="0" borderId="0" xfId="480" applyFont="1" applyProtection="1"/>
    <xf numFmtId="164" fontId="238" fillId="0" borderId="0" xfId="480" applyFont="1" applyProtection="1">
      <protection locked="0"/>
    </xf>
    <xf numFmtId="164" fontId="238" fillId="0" borderId="0" xfId="480" applyFont="1" applyFill="1" applyBorder="1" applyAlignment="1" applyProtection="1">
      <alignment horizontal="left"/>
    </xf>
    <xf numFmtId="164" fontId="226" fillId="0" borderId="0" xfId="480" applyFont="1" applyFill="1" applyProtection="1">
      <protection locked="0"/>
    </xf>
    <xf numFmtId="164" fontId="238" fillId="0" borderId="0" xfId="480" applyFont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right"/>
      <protection locked="0"/>
    </xf>
    <xf numFmtId="164" fontId="238" fillId="0" borderId="8" xfId="480" applyFont="1" applyBorder="1" applyProtection="1"/>
    <xf numFmtId="164" fontId="238" fillId="0" borderId="0" xfId="480" applyFont="1" applyBorder="1" applyProtection="1">
      <protection locked="0"/>
    </xf>
    <xf numFmtId="164" fontId="238" fillId="0" borderId="0" xfId="480" applyFont="1" applyFill="1" applyBorder="1" applyProtection="1"/>
    <xf numFmtId="164" fontId="238" fillId="0" borderId="8" xfId="480" applyFont="1" applyBorder="1" applyAlignment="1" applyProtection="1">
      <alignment horizontal="fill"/>
    </xf>
    <xf numFmtId="164" fontId="238" fillId="0" borderId="0" xfId="480" applyFont="1" applyBorder="1" applyAlignment="1" applyProtection="1">
      <alignment horizontal="fill"/>
    </xf>
    <xf numFmtId="0" fontId="188" fillId="10" borderId="0" xfId="146" quotePrefix="1" applyFont="1" applyFill="1" applyBorder="1" applyAlignment="1">
      <alignment horizontal="left"/>
    </xf>
    <xf numFmtId="0" fontId="188" fillId="0" borderId="0" xfId="186"/>
    <xf numFmtId="0" fontId="226" fillId="0" borderId="0" xfId="186" applyFont="1" applyBorder="1"/>
    <xf numFmtId="0" fontId="227" fillId="0" borderId="0" xfId="186" applyNumberFormat="1" applyFont="1" applyFill="1" applyBorder="1" applyAlignment="1">
      <alignment horizontal="left"/>
    </xf>
    <xf numFmtId="1" fontId="226" fillId="0" borderId="0" xfId="186" applyNumberFormat="1" applyFont="1" applyFill="1" applyBorder="1" applyAlignment="1" applyProtection="1">
      <alignment horizontal="right"/>
    </xf>
    <xf numFmtId="0" fontId="226" fillId="0" borderId="0" xfId="186" applyFont="1" applyFill="1" applyBorder="1" applyAlignment="1">
      <alignment horizontal="right"/>
    </xf>
    <xf numFmtId="1" fontId="226" fillId="0" borderId="0" xfId="186" quotePrefix="1" applyNumberFormat="1" applyFont="1" applyFill="1" applyBorder="1" applyAlignment="1" applyProtection="1">
      <alignment horizontal="left"/>
    </xf>
    <xf numFmtId="0" fontId="226" fillId="0" borderId="0" xfId="186" applyNumberFormat="1" applyFont="1" applyFill="1" applyBorder="1" applyAlignment="1">
      <alignment horizontal="left"/>
    </xf>
    <xf numFmtId="0" fontId="226" fillId="10" borderId="0" xfId="186" applyFont="1" applyFill="1" applyBorder="1" applyAlignment="1">
      <alignment horizontal="right"/>
    </xf>
    <xf numFmtId="15" fontId="226" fillId="0" borderId="0" xfId="186" applyNumberFormat="1" applyFont="1" applyFill="1" applyBorder="1" applyAlignment="1" applyProtection="1">
      <alignment horizontal="right"/>
    </xf>
    <xf numFmtId="15" fontId="226" fillId="0" borderId="0" xfId="186" quotePrefix="1" applyNumberFormat="1" applyFont="1" applyFill="1" applyBorder="1" applyAlignment="1" applyProtection="1">
      <alignment horizontal="left"/>
    </xf>
    <xf numFmtId="49" fontId="226" fillId="0" borderId="0" xfId="186" applyNumberFormat="1" applyFont="1" applyBorder="1"/>
    <xf numFmtId="170" fontId="228" fillId="0" borderId="0" xfId="186" applyNumberFormat="1" applyFont="1" applyBorder="1" applyAlignment="1">
      <alignment horizontal="center"/>
    </xf>
    <xf numFmtId="0" fontId="227" fillId="0" borderId="0" xfId="186" applyFont="1" applyBorder="1"/>
    <xf numFmtId="0" fontId="229" fillId="0" borderId="0" xfId="186" applyFont="1" applyBorder="1" applyAlignment="1">
      <alignment horizontal="left"/>
    </xf>
    <xf numFmtId="4" fontId="227" fillId="0" borderId="0" xfId="186" quotePrefix="1" applyNumberFormat="1" applyFont="1" applyFill="1" applyBorder="1" applyAlignment="1" applyProtection="1">
      <alignment horizontal="left"/>
    </xf>
    <xf numFmtId="15" fontId="226" fillId="0" borderId="0" xfId="186" applyNumberFormat="1" applyFont="1" applyFill="1" applyBorder="1" applyProtection="1"/>
    <xf numFmtId="0" fontId="230" fillId="0" borderId="0" xfId="186" quotePrefix="1" applyFont="1" applyBorder="1" applyAlignment="1">
      <alignment horizontal="left"/>
    </xf>
    <xf numFmtId="0" fontId="227" fillId="0" borderId="0" xfId="186" applyFont="1"/>
    <xf numFmtId="15" fontId="231" fillId="7" borderId="4" xfId="186" applyNumberFormat="1" applyFont="1" applyFill="1" applyBorder="1" applyAlignment="1">
      <alignment horizontal="center"/>
    </xf>
    <xf numFmtId="0" fontId="231" fillId="7" borderId="4" xfId="186" quotePrefix="1" applyFont="1" applyFill="1" applyBorder="1" applyAlignment="1">
      <alignment horizontal="center"/>
    </xf>
    <xf numFmtId="0" fontId="231" fillId="7" borderId="4" xfId="186" applyFont="1" applyFill="1" applyBorder="1" applyAlignment="1">
      <alignment horizontal="center"/>
    </xf>
    <xf numFmtId="0" fontId="231" fillId="7" borderId="21" xfId="186" applyFont="1" applyFill="1" applyBorder="1" applyAlignment="1">
      <alignment horizontal="centerContinuous"/>
    </xf>
    <xf numFmtId="0" fontId="231" fillId="7" borderId="3" xfId="186" applyFont="1" applyFill="1" applyBorder="1" applyAlignment="1">
      <alignment horizontal="centerContinuous"/>
    </xf>
    <xf numFmtId="164" fontId="230" fillId="0" borderId="0" xfId="480" applyFont="1" applyAlignment="1">
      <alignment horizontal="center"/>
    </xf>
    <xf numFmtId="15" fontId="231" fillId="7" borderId="6" xfId="186" applyNumberFormat="1" applyFont="1" applyFill="1" applyBorder="1" applyAlignment="1" applyProtection="1">
      <alignment horizontal="center"/>
    </xf>
    <xf numFmtId="0" fontId="231" fillId="7" borderId="6" xfId="186" applyFont="1" applyFill="1" applyBorder="1" applyAlignment="1">
      <alignment horizontal="center"/>
    </xf>
    <xf numFmtId="0" fontId="231" fillId="7" borderId="2" xfId="186" applyFont="1" applyFill="1" applyBorder="1" applyAlignment="1">
      <alignment horizontal="centerContinuous"/>
    </xf>
    <xf numFmtId="0" fontId="231" fillId="7" borderId="5" xfId="186" applyFont="1" applyFill="1" applyBorder="1" applyAlignment="1">
      <alignment horizontal="center"/>
    </xf>
    <xf numFmtId="0" fontId="231" fillId="7" borderId="5" xfId="186" quotePrefix="1" applyFont="1" applyFill="1" applyBorder="1" applyAlignment="1">
      <alignment horizontal="center"/>
    </xf>
    <xf numFmtId="0" fontId="231" fillId="7" borderId="1" xfId="186" quotePrefix="1" applyFont="1" applyFill="1" applyBorder="1" applyAlignment="1">
      <alignment horizontal="center"/>
    </xf>
    <xf numFmtId="0" fontId="231" fillId="7" borderId="1" xfId="186" applyFont="1" applyFill="1" applyBorder="1" applyAlignment="1">
      <alignment horizontal="center"/>
    </xf>
    <xf numFmtId="49" fontId="226" fillId="0" borderId="0" xfId="186" applyNumberFormat="1" applyFont="1" applyFill="1" applyBorder="1" applyAlignment="1">
      <alignment horizontal="center"/>
    </xf>
    <xf numFmtId="164" fontId="226" fillId="0" borderId="0" xfId="480" applyFont="1" applyFill="1"/>
    <xf numFmtId="14" fontId="226" fillId="0" borderId="0" xfId="186" applyNumberFormat="1" applyFont="1" applyFill="1" applyBorder="1" applyAlignment="1">
      <alignment horizontal="center"/>
    </xf>
    <xf numFmtId="0" fontId="226" fillId="0" borderId="0" xfId="186" applyFont="1" applyFill="1" applyBorder="1"/>
    <xf numFmtId="0" fontId="226" fillId="0" borderId="7" xfId="186" applyFont="1" applyBorder="1"/>
    <xf numFmtId="49" fontId="226" fillId="0" borderId="7" xfId="186" applyNumberFormat="1" applyFont="1" applyBorder="1"/>
    <xf numFmtId="173" fontId="226" fillId="0" borderId="0" xfId="186" applyNumberFormat="1" applyFont="1" applyBorder="1"/>
    <xf numFmtId="164" fontId="226" fillId="0" borderId="0" xfId="480" applyFont="1" applyBorder="1"/>
    <xf numFmtId="0" fontId="231" fillId="9" borderId="1" xfId="186" applyFont="1" applyFill="1" applyBorder="1" applyAlignment="1">
      <alignment horizontal="center"/>
    </xf>
    <xf numFmtId="0" fontId="231" fillId="9" borderId="4" xfId="186" applyFont="1" applyFill="1" applyBorder="1" applyAlignment="1">
      <alignment horizontal="center"/>
    </xf>
    <xf numFmtId="0" fontId="231" fillId="9" borderId="6" xfId="186" applyFont="1" applyFill="1" applyBorder="1" applyAlignment="1">
      <alignment horizontal="center"/>
    </xf>
    <xf numFmtId="0" fontId="231" fillId="9" borderId="5" xfId="186" applyFont="1" applyFill="1" applyBorder="1" applyAlignment="1">
      <alignment horizontal="center"/>
    </xf>
    <xf numFmtId="14" fontId="191" fillId="0" borderId="0" xfId="568" quotePrefix="1" applyNumberFormat="1" applyFont="1"/>
    <xf numFmtId="14" fontId="191" fillId="0" borderId="0" xfId="580" quotePrefix="1" applyNumberFormat="1" applyFont="1"/>
    <xf numFmtId="164" fontId="188" fillId="0" borderId="0" xfId="480" applyFont="1"/>
    <xf numFmtId="164" fontId="226" fillId="0" borderId="0" xfId="480" applyFont="1" applyFill="1" applyBorder="1"/>
    <xf numFmtId="164" fontId="226" fillId="10" borderId="0" xfId="480" applyFont="1" applyFill="1"/>
    <xf numFmtId="164" fontId="226" fillId="0" borderId="7" xfId="480" applyFont="1" applyBorder="1"/>
    <xf numFmtId="164" fontId="227" fillId="0" borderId="0" xfId="480" applyFont="1" applyBorder="1"/>
    <xf numFmtId="164" fontId="226" fillId="0" borderId="8" xfId="480" applyFont="1" applyBorder="1"/>
    <xf numFmtId="0" fontId="226" fillId="0" borderId="7" xfId="186" applyFont="1" applyFill="1" applyBorder="1"/>
    <xf numFmtId="0" fontId="226" fillId="0" borderId="0" xfId="186" applyFont="1" applyFill="1" applyBorder="1" applyAlignment="1">
      <alignment horizontal="left"/>
    </xf>
    <xf numFmtId="0" fontId="226" fillId="10" borderId="0" xfId="64" applyFont="1" applyFill="1" applyBorder="1"/>
    <xf numFmtId="40" fontId="188" fillId="10" borderId="0" xfId="6" applyNumberFormat="1" applyFont="1" applyFill="1" applyBorder="1" applyAlignment="1">
      <alignment vertical="center"/>
    </xf>
    <xf numFmtId="0" fontId="188" fillId="10" borderId="0" xfId="146" applyFont="1" applyFill="1" applyBorder="1" applyAlignment="1">
      <alignment vertical="center"/>
    </xf>
    <xf numFmtId="0" fontId="188" fillId="10" borderId="0" xfId="146" quotePrefix="1" applyFont="1" applyFill="1" applyBorder="1" applyAlignment="1">
      <alignment horizontal="left" vertical="center"/>
    </xf>
    <xf numFmtId="0" fontId="188" fillId="10" borderId="0" xfId="146" applyFont="1" applyFill="1" applyBorder="1"/>
    <xf numFmtId="0" fontId="188" fillId="10" borderId="0" xfId="146" quotePrefix="1" applyNumberFormat="1" applyFont="1" applyFill="1" applyBorder="1"/>
    <xf numFmtId="0" fontId="188" fillId="0" borderId="0" xfId="186"/>
    <xf numFmtId="39" fontId="236" fillId="0" borderId="0" xfId="10" applyFont="1" applyAlignment="1" applyProtection="1">
      <alignment horizontal="left"/>
      <protection locked="0"/>
    </xf>
    <xf numFmtId="39" fontId="238" fillId="0" borderId="0" xfId="10" quotePrefix="1" applyFont="1" applyAlignment="1" applyProtection="1">
      <alignment horizontal="left"/>
      <protection locked="0"/>
    </xf>
    <xf numFmtId="39" fontId="238" fillId="0" borderId="0" xfId="10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Protection="1">
      <protection locked="0"/>
    </xf>
    <xf numFmtId="39" fontId="238" fillId="0" borderId="0" xfId="10" applyFont="1" applyProtection="1">
      <protection locked="0"/>
    </xf>
    <xf numFmtId="40" fontId="238" fillId="0" borderId="0" xfId="10" applyNumberFormat="1" applyFont="1" applyFill="1" applyProtection="1">
      <protection locked="0"/>
    </xf>
    <xf numFmtId="39" fontId="239" fillId="0" borderId="0" xfId="10" applyFont="1" applyAlignment="1" applyProtection="1">
      <alignment horizontal="left"/>
      <protection locked="0"/>
    </xf>
    <xf numFmtId="170" fontId="239" fillId="0" borderId="0" xfId="10" applyNumberFormat="1" applyFont="1" applyAlignment="1" applyProtection="1">
      <alignment horizontal="left"/>
      <protection locked="0"/>
    </xf>
    <xf numFmtId="40" fontId="238" fillId="0" borderId="0" xfId="10" applyNumberFormat="1" applyFont="1" applyAlignment="1" applyProtection="1">
      <alignment horizontal="center"/>
      <protection locked="0"/>
    </xf>
    <xf numFmtId="39" fontId="238" fillId="0" borderId="8" xfId="10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left"/>
      <protection locked="0"/>
    </xf>
    <xf numFmtId="40" fontId="238" fillId="0" borderId="8" xfId="10" applyNumberFormat="1" applyFont="1" applyBorder="1" applyAlignment="1" applyProtection="1">
      <alignment horizontal="center"/>
      <protection locked="0"/>
    </xf>
    <xf numFmtId="39" fontId="238" fillId="0" borderId="0" xfId="10" applyFont="1" applyBorder="1" applyAlignment="1" applyProtection="1">
      <alignment horizontal="fill"/>
      <protection locked="0"/>
    </xf>
    <xf numFmtId="39" fontId="238" fillId="0" borderId="0" xfId="10" applyFont="1" applyBorder="1" applyAlignment="1" applyProtection="1">
      <alignment horizontal="left"/>
      <protection locked="0"/>
    </xf>
    <xf numFmtId="40" fontId="238" fillId="0" borderId="0" xfId="10" applyNumberFormat="1" applyFont="1" applyBorder="1" applyAlignment="1" applyProtection="1">
      <alignment horizontal="left"/>
      <protection locked="0"/>
    </xf>
    <xf numFmtId="39" fontId="238" fillId="0" borderId="0" xfId="10" applyNumberFormat="1" applyFont="1" applyFill="1" applyBorder="1" applyAlignment="1" applyProtection="1"/>
    <xf numFmtId="40" fontId="238" fillId="0" borderId="0" xfId="10" applyNumberFormat="1" applyFont="1" applyProtection="1"/>
    <xf numFmtId="168" fontId="238" fillId="0" borderId="0" xfId="10" applyNumberFormat="1" applyFont="1" applyFill="1" applyAlignment="1" applyProtection="1">
      <alignment horizontal="left"/>
      <protection locked="0"/>
    </xf>
    <xf numFmtId="39" fontId="238" fillId="0" borderId="0" xfId="10" applyFont="1" applyFill="1" applyBorder="1" applyAlignment="1" applyProtection="1">
      <alignment horizontal="fill"/>
      <protection locked="0"/>
    </xf>
    <xf numFmtId="1" fontId="238" fillId="0" borderId="0" xfId="10" applyNumberFormat="1" applyFont="1" applyFill="1" applyAlignment="1" applyProtection="1">
      <alignment horizontal="center"/>
      <protection locked="0"/>
    </xf>
    <xf numFmtId="168" fontId="238" fillId="0" borderId="0" xfId="10" applyNumberFormat="1" applyFont="1" applyAlignment="1" applyProtection="1">
      <alignment horizontal="left"/>
      <protection locked="0"/>
    </xf>
    <xf numFmtId="174" fontId="238" fillId="0" borderId="0" xfId="10" applyNumberFormat="1" applyFont="1" applyAlignment="1" applyProtection="1">
      <alignment horizontal="left"/>
      <protection locked="0"/>
    </xf>
    <xf numFmtId="174" fontId="238" fillId="0" borderId="8" xfId="10" applyNumberFormat="1" applyFont="1" applyBorder="1" applyAlignment="1" applyProtection="1">
      <protection locked="0"/>
    </xf>
    <xf numFmtId="174" fontId="238" fillId="0" borderId="8" xfId="10" applyNumberFormat="1" applyFont="1" applyBorder="1" applyAlignment="1" applyProtection="1">
      <alignment horizontal="left"/>
      <protection locked="0"/>
    </xf>
    <xf numFmtId="174" fontId="238" fillId="0" borderId="0" xfId="10" applyNumberFormat="1" applyFont="1" applyProtection="1">
      <protection locked="0"/>
    </xf>
    <xf numFmtId="40" fontId="238" fillId="0" borderId="0" xfId="10" applyNumberFormat="1" applyFont="1" applyAlignment="1" applyProtection="1">
      <alignment horizontal="fill"/>
      <protection locked="0"/>
    </xf>
    <xf numFmtId="164" fontId="226" fillId="0" borderId="0" xfId="480" applyFont="1"/>
    <xf numFmtId="14" fontId="238" fillId="0" borderId="0" xfId="10" applyNumberFormat="1" applyFont="1" applyBorder="1" applyAlignment="1" applyProtection="1">
      <alignment horizontal="fill"/>
      <protection locked="0"/>
    </xf>
    <xf numFmtId="40" fontId="239" fillId="0" borderId="0" xfId="10" applyNumberFormat="1" applyFont="1" applyProtection="1">
      <protection locked="0"/>
    </xf>
    <xf numFmtId="40" fontId="239" fillId="0" borderId="0" xfId="10" applyNumberFormat="1" applyFont="1" applyAlignment="1" applyProtection="1">
      <alignment horizontal="center"/>
      <protection locked="0"/>
    </xf>
    <xf numFmtId="14" fontId="238" fillId="0" borderId="0" xfId="10" applyNumberFormat="1" applyFont="1" applyAlignment="1" applyProtection="1">
      <alignment horizontal="left"/>
      <protection locked="0"/>
    </xf>
    <xf numFmtId="1" fontId="239" fillId="0" borderId="0" xfId="479" applyNumberFormat="1" applyFont="1" applyAlignment="1" applyProtection="1">
      <alignment horizontal="center"/>
      <protection locked="0"/>
    </xf>
    <xf numFmtId="0" fontId="238" fillId="0" borderId="0" xfId="10" applyNumberFormat="1" applyFont="1" applyFill="1" applyAlignment="1" applyProtection="1">
      <alignment horizontal="center"/>
      <protection locked="0"/>
    </xf>
    <xf numFmtId="40" fontId="238" fillId="0" borderId="8" xfId="10" applyNumberFormat="1" applyFont="1" applyFill="1" applyBorder="1" applyAlignment="1" applyProtection="1">
      <alignment horizontal="center"/>
      <protection locked="0"/>
    </xf>
    <xf numFmtId="164" fontId="238" fillId="0" borderId="0" xfId="480" applyFont="1" applyFill="1" applyBorder="1" applyAlignment="1" applyProtection="1">
      <alignment horizontal="left"/>
      <protection locked="0"/>
    </xf>
    <xf numFmtId="164" fontId="238" fillId="0" borderId="0" xfId="480" applyFont="1" applyFill="1" applyProtection="1">
      <protection locked="0"/>
    </xf>
    <xf numFmtId="164" fontId="238" fillId="0" borderId="0" xfId="480" applyFont="1" applyFill="1" applyBorder="1" applyAlignment="1" applyProtection="1"/>
    <xf numFmtId="164" fontId="238" fillId="0" borderId="0" xfId="480" applyFont="1" applyFill="1" applyProtection="1"/>
    <xf numFmtId="164" fontId="238" fillId="0" borderId="0" xfId="480" applyFont="1" applyFill="1" applyAlignment="1" applyProtection="1">
      <alignment horizontal="left"/>
      <protection locked="0"/>
    </xf>
    <xf numFmtId="164" fontId="238" fillId="0" borderId="0" xfId="480" applyFont="1" applyProtection="1"/>
    <xf numFmtId="164" fontId="238" fillId="0" borderId="0" xfId="480" applyFont="1" applyProtection="1">
      <protection locked="0"/>
    </xf>
    <xf numFmtId="164" fontId="238" fillId="0" borderId="0" xfId="480" applyFont="1" applyFill="1" applyBorder="1" applyAlignment="1" applyProtection="1">
      <alignment horizontal="left"/>
    </xf>
    <xf numFmtId="164" fontId="226" fillId="0" borderId="0" xfId="480" applyFont="1" applyFill="1" applyProtection="1">
      <protection locked="0"/>
    </xf>
    <xf numFmtId="164" fontId="238" fillId="0" borderId="0" xfId="480" applyFont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left"/>
      <protection locked="0"/>
    </xf>
    <xf numFmtId="164" fontId="238" fillId="0" borderId="8" xfId="480" applyFont="1" applyBorder="1" applyAlignment="1" applyProtection="1">
      <alignment horizontal="right"/>
      <protection locked="0"/>
    </xf>
    <xf numFmtId="164" fontId="238" fillId="0" borderId="8" xfId="480" applyFont="1" applyBorder="1" applyProtection="1"/>
    <xf numFmtId="164" fontId="238" fillId="0" borderId="0" xfId="480" applyFont="1" applyBorder="1" applyProtection="1">
      <protection locked="0"/>
    </xf>
    <xf numFmtId="164" fontId="238" fillId="0" borderId="0" xfId="480" applyFont="1" applyFill="1" applyBorder="1" applyProtection="1"/>
    <xf numFmtId="164" fontId="238" fillId="0" borderId="8" xfId="480" applyFont="1" applyBorder="1" applyAlignment="1" applyProtection="1">
      <alignment horizontal="fill"/>
    </xf>
    <xf numFmtId="164" fontId="238" fillId="0" borderId="0" xfId="480" applyFont="1" applyBorder="1" applyAlignment="1" applyProtection="1">
      <alignment horizontal="fill"/>
    </xf>
    <xf numFmtId="1" fontId="0" fillId="0" borderId="0" xfId="0" applyNumberFormat="1"/>
    <xf numFmtId="4" fontId="0" fillId="0" borderId="0" xfId="0" applyNumberFormat="1"/>
    <xf numFmtId="0" fontId="188" fillId="5" borderId="0" xfId="65" applyFont="1" applyFill="1"/>
    <xf numFmtId="0" fontId="216" fillId="5" borderId="0" xfId="65" applyFont="1" applyFill="1"/>
    <xf numFmtId="0" fontId="217" fillId="5" borderId="0" xfId="65" applyFont="1" applyFill="1"/>
    <xf numFmtId="43" fontId="189" fillId="5" borderId="0" xfId="65" applyNumberFormat="1" applyFont="1" applyFill="1"/>
    <xf numFmtId="0" fontId="223" fillId="5" borderId="0" xfId="1" applyFont="1" applyFill="1"/>
    <xf numFmtId="0" fontId="223" fillId="5" borderId="0" xfId="65" applyFont="1" applyFill="1"/>
    <xf numFmtId="0" fontId="196" fillId="5" borderId="0" xfId="65" applyFont="1" applyFill="1"/>
    <xf numFmtId="43" fontId="222" fillId="5" borderId="0" xfId="65" applyNumberFormat="1" applyFont="1" applyFill="1"/>
    <xf numFmtId="0" fontId="223" fillId="5" borderId="0" xfId="1" applyFont="1" applyFill="1" applyAlignment="1">
      <alignment horizontal="left"/>
    </xf>
    <xf numFmtId="0" fontId="266" fillId="5" borderId="0" xfId="1" applyFont="1" applyFill="1" applyAlignment="1">
      <alignment horizontal="left"/>
    </xf>
    <xf numFmtId="0" fontId="223" fillId="10" borderId="0" xfId="1" applyFont="1" applyFill="1" applyAlignment="1">
      <alignment horizontal="left"/>
    </xf>
    <xf numFmtId="0" fontId="223" fillId="10" borderId="0" xfId="13" quotePrefix="1" applyNumberFormat="1" applyFont="1" applyFill="1"/>
    <xf numFmtId="0" fontId="235" fillId="5" borderId="0" xfId="1" applyFont="1" applyFill="1" applyAlignment="1">
      <alignment horizontal="left"/>
    </xf>
    <xf numFmtId="0" fontId="223" fillId="0" borderId="0" xfId="13" quotePrefix="1" applyNumberFormat="1" applyFont="1"/>
    <xf numFmtId="0" fontId="267" fillId="5" borderId="0" xfId="65" applyFont="1" applyFill="1" applyAlignment="1">
      <alignment horizontal="left"/>
    </xf>
    <xf numFmtId="0" fontId="223" fillId="5" borderId="0" xfId="65" applyFont="1" applyFill="1" applyAlignment="1">
      <alignment horizontal="left"/>
    </xf>
    <xf numFmtId="0" fontId="223" fillId="5" borderId="0" xfId="8" applyFont="1" applyFill="1"/>
    <xf numFmtId="43" fontId="217" fillId="5" borderId="7" xfId="6" applyFont="1" applyFill="1" applyBorder="1" applyAlignment="1">
      <alignment horizontal="left"/>
    </xf>
    <xf numFmtId="0" fontId="217" fillId="5" borderId="0" xfId="8" applyFont="1" applyFill="1" applyAlignment="1">
      <alignment horizontal="center"/>
    </xf>
    <xf numFmtId="0" fontId="224" fillId="5" borderId="0" xfId="8" applyFont="1" applyFill="1" applyAlignment="1">
      <alignment horizontal="center"/>
    </xf>
    <xf numFmtId="0" fontId="204" fillId="0" borderId="0" xfId="466" applyFont="1" applyAlignment="1">
      <alignment horizontal="center"/>
    </xf>
    <xf numFmtId="0" fontId="202" fillId="5" borderId="0" xfId="466" applyFont="1" applyFill="1" applyAlignment="1">
      <alignment horizontal="center"/>
    </xf>
    <xf numFmtId="0" fontId="202" fillId="5" borderId="0" xfId="466" quotePrefix="1" applyFont="1" applyFill="1" applyAlignment="1">
      <alignment horizontal="center"/>
    </xf>
    <xf numFmtId="49" fontId="197" fillId="5" borderId="10" xfId="466" applyNumberFormat="1" applyFont="1" applyFill="1" applyBorder="1" applyAlignment="1">
      <alignment horizontal="center"/>
    </xf>
    <xf numFmtId="49" fontId="197" fillId="5" borderId="0" xfId="466" applyNumberFormat="1" applyFont="1" applyFill="1" applyBorder="1" applyAlignment="1">
      <alignment horizontal="center"/>
    </xf>
    <xf numFmtId="49" fontId="197" fillId="5" borderId="22" xfId="466" applyNumberFormat="1" applyFont="1" applyFill="1" applyBorder="1" applyAlignment="1">
      <alignment horizontal="center"/>
    </xf>
    <xf numFmtId="0" fontId="202" fillId="0" borderId="15" xfId="65" applyFont="1" applyBorder="1" applyAlignment="1">
      <alignment horizontal="center"/>
    </xf>
    <xf numFmtId="0" fontId="202" fillId="0" borderId="11" xfId="65" applyFont="1" applyBorder="1" applyAlignment="1">
      <alignment horizontal="center"/>
    </xf>
    <xf numFmtId="0" fontId="202" fillId="0" borderId="16" xfId="65" applyFont="1" applyBorder="1" applyAlignment="1">
      <alignment horizontal="center"/>
    </xf>
    <xf numFmtId="0" fontId="247" fillId="11" borderId="0" xfId="64" applyFont="1" applyFill="1" applyAlignment="1">
      <alignment horizontal="center"/>
    </xf>
    <xf numFmtId="43" fontId="189" fillId="5" borderId="8" xfId="1" applyNumberFormat="1" applyFont="1" applyFill="1" applyBorder="1"/>
    <xf numFmtId="43" fontId="202" fillId="5" borderId="8" xfId="1" applyNumberFormat="1" applyFont="1" applyFill="1" applyBorder="1"/>
    <xf numFmtId="0" fontId="189" fillId="5" borderId="7" xfId="1" applyFont="1" applyFill="1" applyBorder="1"/>
  </cellXfs>
  <cellStyles count="594">
    <cellStyle name="=C:\WINNT\SYSTEM32\COMMAND.COM" xfId="1"/>
    <cellStyle name="=C:\WINNT\SYSTEM32\COMMAND.COM 2" xfId="65"/>
    <cellStyle name="=C:\WINNT\SYSTEM32\COMMAND.COM_Financials Report Confia-Enero" xfId="2"/>
    <cellStyle name="Accent1 - 20%" xfId="3"/>
    <cellStyle name="Accent1 2" xfId="187"/>
    <cellStyle name="Comma 10" xfId="188"/>
    <cellStyle name="Comma 2" xfId="153"/>
    <cellStyle name="Comma 2 2" xfId="329"/>
    <cellStyle name="Comma 3" xfId="155"/>
    <cellStyle name="Comma 3 2" xfId="331"/>
    <cellStyle name="Comma 4" xfId="164"/>
    <cellStyle name="Comma 4 2" xfId="340"/>
    <cellStyle name="Comma 5" xfId="169"/>
    <cellStyle name="Comma 5 2" xfId="345"/>
    <cellStyle name="Comma 6" xfId="171"/>
    <cellStyle name="Comma 6 2" xfId="347"/>
    <cellStyle name="Comma 7" xfId="175"/>
    <cellStyle name="Comma 7 2" xfId="351"/>
    <cellStyle name="Comma 8" xfId="179"/>
    <cellStyle name="Comma 8 2" xfId="355"/>
    <cellStyle name="Comma 9" xfId="183"/>
    <cellStyle name="Comma 9 2" xfId="358"/>
    <cellStyle name="Comma_FILE03-VALORES MAYO 2011" xfId="4"/>
    <cellStyle name="Currency 2" xfId="189"/>
    <cellStyle name="Énfasis1" xfId="5" builtinId="29" customBuiltin="1"/>
    <cellStyle name="Euro" xfId="180"/>
    <cellStyle name="Millares" xfId="6" builtinId="3"/>
    <cellStyle name="Millares 2" xfId="476"/>
    <cellStyle name="Millares 2 2" xfId="571"/>
    <cellStyle name="Millares 2 36" xfId="586"/>
    <cellStyle name="Millares 3" xfId="479"/>
    <cellStyle name="Millares 3 10 3" xfId="587"/>
    <cellStyle name="Millares 3 2" xfId="573"/>
    <cellStyle name="Millares 4" xfId="575"/>
    <cellStyle name="Millares 5" xfId="485"/>
    <cellStyle name="Millares 5 2" xfId="581"/>
    <cellStyle name="Millares_Fp0110021" xfId="467"/>
    <cellStyle name="Moneda" xfId="7" builtinId="4"/>
    <cellStyle name="Moneda 10 10" xfId="588"/>
    <cellStyle name="Moneda 2" xfId="480"/>
    <cellStyle name="Moneda 2 2 2 5" xfId="585"/>
    <cellStyle name="Normal" xfId="0" builtinId="0"/>
    <cellStyle name="Normal 10" xfId="21"/>
    <cellStyle name="Normal 10 2" xfId="74"/>
    <cellStyle name="Normal 10 2 2" xfId="250"/>
    <cellStyle name="Normal 10 3" xfId="199"/>
    <cellStyle name="Normal 10 4" xfId="360"/>
    <cellStyle name="Normal 10 5" xfId="403"/>
    <cellStyle name="Normal 10 6" xfId="514"/>
    <cellStyle name="Normal 100" xfId="149"/>
    <cellStyle name="Normal 100 2" xfId="325"/>
    <cellStyle name="Normal 101" xfId="150"/>
    <cellStyle name="Normal 101 2" xfId="326"/>
    <cellStyle name="Normal 102" xfId="151"/>
    <cellStyle name="Normal 102 2" xfId="327"/>
    <cellStyle name="Normal 103" xfId="152"/>
    <cellStyle name="Normal 103 2" xfId="328"/>
    <cellStyle name="Normal 104" xfId="154"/>
    <cellStyle name="Normal 104 2" xfId="330"/>
    <cellStyle name="Normal 105" xfId="156"/>
    <cellStyle name="Normal 105 2" xfId="332"/>
    <cellStyle name="Normal 106" xfId="157"/>
    <cellStyle name="Normal 106 2" xfId="333"/>
    <cellStyle name="Normal 107" xfId="158"/>
    <cellStyle name="Normal 107 2" xfId="334"/>
    <cellStyle name="Normal 108" xfId="159"/>
    <cellStyle name="Normal 108 2" xfId="335"/>
    <cellStyle name="Normal 109" xfId="160"/>
    <cellStyle name="Normal 109 2" xfId="336"/>
    <cellStyle name="Normal 11" xfId="22"/>
    <cellStyle name="Normal 11 2" xfId="75"/>
    <cellStyle name="Normal 11 2 2" xfId="251"/>
    <cellStyle name="Normal 11 3" xfId="200"/>
    <cellStyle name="Normal 11 4" xfId="361"/>
    <cellStyle name="Normal 11 5" xfId="404"/>
    <cellStyle name="Normal 11 6" xfId="515"/>
    <cellStyle name="Normal 110" xfId="161"/>
    <cellStyle name="Normal 110 2" xfId="337"/>
    <cellStyle name="Normal 111" xfId="162"/>
    <cellStyle name="Normal 111 2" xfId="338"/>
    <cellStyle name="Normal 112" xfId="163"/>
    <cellStyle name="Normal 112 2" xfId="339"/>
    <cellStyle name="Normal 113" xfId="165"/>
    <cellStyle name="Normal 113 2" xfId="341"/>
    <cellStyle name="Normal 114" xfId="166"/>
    <cellStyle name="Normal 114 2" xfId="342"/>
    <cellStyle name="Normal 115" xfId="167"/>
    <cellStyle name="Normal 115 2" xfId="343"/>
    <cellStyle name="Normal 116" xfId="168"/>
    <cellStyle name="Normal 116 2" xfId="344"/>
    <cellStyle name="Normal 117" xfId="170"/>
    <cellStyle name="Normal 117 2" xfId="346"/>
    <cellStyle name="Normal 118" xfId="172"/>
    <cellStyle name="Normal 118 2" xfId="348"/>
    <cellStyle name="Normal 119" xfId="173"/>
    <cellStyle name="Normal 119 2" xfId="349"/>
    <cellStyle name="Normal 12" xfId="23"/>
    <cellStyle name="Normal 12 2" xfId="76"/>
    <cellStyle name="Normal 12 2 2" xfId="252"/>
    <cellStyle name="Normal 12 3" xfId="201"/>
    <cellStyle name="Normal 12 4" xfId="362"/>
    <cellStyle name="Normal 12 5" xfId="405"/>
    <cellStyle name="Normal 12 6" xfId="516"/>
    <cellStyle name="Normal 120" xfId="174"/>
    <cellStyle name="Normal 120 2" xfId="350"/>
    <cellStyle name="Normal 121" xfId="176"/>
    <cellStyle name="Normal 121 2" xfId="352"/>
    <cellStyle name="Normal 122" xfId="177"/>
    <cellStyle name="Normal 122 2" xfId="353"/>
    <cellStyle name="Normal 123" xfId="178"/>
    <cellStyle name="Normal 123 2" xfId="354"/>
    <cellStyle name="Normal 124" xfId="181"/>
    <cellStyle name="Normal 124 2" xfId="356"/>
    <cellStyle name="Normal 125" xfId="182"/>
    <cellStyle name="Normal 125 2" xfId="357"/>
    <cellStyle name="Normal 126" xfId="186"/>
    <cellStyle name="Normal 127" xfId="185"/>
    <cellStyle name="Normal 128" xfId="359"/>
    <cellStyle name="Normal 129" xfId="389"/>
    <cellStyle name="Normal 13" xfId="24"/>
    <cellStyle name="Normal 13 2" xfId="77"/>
    <cellStyle name="Normal 13 2 2" xfId="253"/>
    <cellStyle name="Normal 13 3" xfId="202"/>
    <cellStyle name="Normal 13 4" xfId="363"/>
    <cellStyle name="Normal 13 5" xfId="406"/>
    <cellStyle name="Normal 13 6" xfId="517"/>
    <cellStyle name="Normal 130" xfId="390"/>
    <cellStyle name="Normal 131" xfId="391"/>
    <cellStyle name="Normal 132" xfId="392"/>
    <cellStyle name="Normal 133" xfId="393"/>
    <cellStyle name="Normal 134" xfId="394"/>
    <cellStyle name="Normal 135" xfId="446"/>
    <cellStyle name="Normal 136" xfId="447"/>
    <cellStyle name="Normal 137" xfId="448"/>
    <cellStyle name="Normal 138" xfId="449"/>
    <cellStyle name="Normal 139" xfId="450"/>
    <cellStyle name="Normal 14" xfId="25"/>
    <cellStyle name="Normal 14 2" xfId="78"/>
    <cellStyle name="Normal 14 2 2" xfId="254"/>
    <cellStyle name="Normal 14 3" xfId="203"/>
    <cellStyle name="Normal 14 4" xfId="364"/>
    <cellStyle name="Normal 14 5" xfId="407"/>
    <cellStyle name="Normal 14 6" xfId="518"/>
    <cellStyle name="Normal 140" xfId="451"/>
    <cellStyle name="Normal 141" xfId="452"/>
    <cellStyle name="Normal 142" xfId="453"/>
    <cellStyle name="Normal 143" xfId="454"/>
    <cellStyle name="Normal 144" xfId="455"/>
    <cellStyle name="Normal 145" xfId="456"/>
    <cellStyle name="Normal 146" xfId="457"/>
    <cellStyle name="Normal 147" xfId="458"/>
    <cellStyle name="Normal 148" xfId="459"/>
    <cellStyle name="Normal 149" xfId="460"/>
    <cellStyle name="Normal 15" xfId="26"/>
    <cellStyle name="Normal 15 2" xfId="79"/>
    <cellStyle name="Normal 15 2 2" xfId="255"/>
    <cellStyle name="Normal 15 3" xfId="204"/>
    <cellStyle name="Normal 15 4" xfId="365"/>
    <cellStyle name="Normal 15 5" xfId="408"/>
    <cellStyle name="Normal 15 6" xfId="519"/>
    <cellStyle name="Normal 150" xfId="461"/>
    <cellStyle name="Normal 151" xfId="462"/>
    <cellStyle name="Normal 152" xfId="463"/>
    <cellStyle name="Normal 153" xfId="464"/>
    <cellStyle name="Normal 154" xfId="465"/>
    <cellStyle name="Normal 155" xfId="468"/>
    <cellStyle name="Normal 156" xfId="469"/>
    <cellStyle name="Normal 157" xfId="470"/>
    <cellStyle name="Normal 158" xfId="471"/>
    <cellStyle name="Normal 159" xfId="472"/>
    <cellStyle name="Normal 16" xfId="27"/>
    <cellStyle name="Normal 16 2" xfId="80"/>
    <cellStyle name="Normal 16 2 2" xfId="256"/>
    <cellStyle name="Normal 16 3" xfId="205"/>
    <cellStyle name="Normal 16 4" xfId="366"/>
    <cellStyle name="Normal 16 5" xfId="409"/>
    <cellStyle name="Normal 16 6" xfId="520"/>
    <cellStyle name="Normal 160" xfId="473"/>
    <cellStyle name="Normal 161" xfId="474"/>
    <cellStyle name="Normal 162" xfId="475"/>
    <cellStyle name="Normal 163" xfId="477"/>
    <cellStyle name="Normal 164" xfId="478"/>
    <cellStyle name="Normal 165" xfId="486"/>
    <cellStyle name="Normal 166" xfId="487"/>
    <cellStyle name="Normal 167" xfId="488"/>
    <cellStyle name="Normal 168" xfId="489"/>
    <cellStyle name="Normal 169" xfId="490"/>
    <cellStyle name="Normal 17" xfId="28"/>
    <cellStyle name="Normal 17 2" xfId="81"/>
    <cellStyle name="Normal 17 2 2" xfId="257"/>
    <cellStyle name="Normal 17 3" xfId="206"/>
    <cellStyle name="Normal 17 4" xfId="367"/>
    <cellStyle name="Normal 17 5" xfId="410"/>
    <cellStyle name="Normal 17 6" xfId="521"/>
    <cellStyle name="Normal 170" xfId="491"/>
    <cellStyle name="Normal 171" xfId="492"/>
    <cellStyle name="Normal 172" xfId="493"/>
    <cellStyle name="Normal 173" xfId="494"/>
    <cellStyle name="Normal 174" xfId="496"/>
    <cellStyle name="Normal 175" xfId="497"/>
    <cellStyle name="Normal 176" xfId="498"/>
    <cellStyle name="Normal 177" xfId="499"/>
    <cellStyle name="Normal 178" xfId="500"/>
    <cellStyle name="Normal 179" xfId="501"/>
    <cellStyle name="Normal 18" xfId="29"/>
    <cellStyle name="Normal 18 2" xfId="82"/>
    <cellStyle name="Normal 18 2 2" xfId="258"/>
    <cellStyle name="Normal 18 3" xfId="207"/>
    <cellStyle name="Normal 18 4" xfId="368"/>
    <cellStyle name="Normal 18 5" xfId="411"/>
    <cellStyle name="Normal 18 6" xfId="522"/>
    <cellStyle name="Normal 180" xfId="502"/>
    <cellStyle name="Normal 181" xfId="503"/>
    <cellStyle name="Normal 182" xfId="504"/>
    <cellStyle name="Normal 183" xfId="505"/>
    <cellStyle name="Normal 184" xfId="592"/>
    <cellStyle name="Normal 185" xfId="593"/>
    <cellStyle name="Normal 19" xfId="30"/>
    <cellStyle name="Normal 19 2" xfId="83"/>
    <cellStyle name="Normal 19 2 2" xfId="259"/>
    <cellStyle name="Normal 19 3" xfId="208"/>
    <cellStyle name="Normal 19 4" xfId="369"/>
    <cellStyle name="Normal 19 5" xfId="412"/>
    <cellStyle name="Normal 19 6" xfId="523"/>
    <cellStyle name="Normal 2" xfId="13"/>
    <cellStyle name="Normal 2 2" xfId="66"/>
    <cellStyle name="Normal 2 2 2" xfId="242"/>
    <cellStyle name="Normal 2 3" xfId="191"/>
    <cellStyle name="Normal 2 4" xfId="370"/>
    <cellStyle name="Normal 2 5" xfId="395"/>
    <cellStyle name="Normal 2 6" xfId="506"/>
    <cellStyle name="Normal 20" xfId="31"/>
    <cellStyle name="Normal 20 2" xfId="84"/>
    <cellStyle name="Normal 20 2 2" xfId="260"/>
    <cellStyle name="Normal 20 3" xfId="209"/>
    <cellStyle name="Normal 20 4" xfId="371"/>
    <cellStyle name="Normal 20 5" xfId="413"/>
    <cellStyle name="Normal 20 6" xfId="524"/>
    <cellStyle name="Normal 21" xfId="32"/>
    <cellStyle name="Normal 21 2" xfId="85"/>
    <cellStyle name="Normal 21 2 2" xfId="261"/>
    <cellStyle name="Normal 21 3" xfId="210"/>
    <cellStyle name="Normal 21 4" xfId="372"/>
    <cellStyle name="Normal 21 5" xfId="414"/>
    <cellStyle name="Normal 21 6" xfId="525"/>
    <cellStyle name="Normal 22" xfId="33"/>
    <cellStyle name="Normal 22 2" xfId="86"/>
    <cellStyle name="Normal 22 2 2" xfId="262"/>
    <cellStyle name="Normal 22 3" xfId="211"/>
    <cellStyle name="Normal 22 4" xfId="373"/>
    <cellStyle name="Normal 22 5" xfId="415"/>
    <cellStyle name="Normal 22 6" xfId="526"/>
    <cellStyle name="Normal 23" xfId="34"/>
    <cellStyle name="Normal 23 2" xfId="87"/>
    <cellStyle name="Normal 23 2 2" xfId="263"/>
    <cellStyle name="Normal 23 3" xfId="212"/>
    <cellStyle name="Normal 23 4" xfId="374"/>
    <cellStyle name="Normal 23 5" xfId="416"/>
    <cellStyle name="Normal 23 6" xfId="527"/>
    <cellStyle name="Normal 24" xfId="35"/>
    <cellStyle name="Normal 24 2" xfId="88"/>
    <cellStyle name="Normal 24 2 2" xfId="264"/>
    <cellStyle name="Normal 24 3" xfId="213"/>
    <cellStyle name="Normal 24 4" xfId="375"/>
    <cellStyle name="Normal 24 5" xfId="417"/>
    <cellStyle name="Normal 24 6" xfId="528"/>
    <cellStyle name="Normal 25" xfId="36"/>
    <cellStyle name="Normal 25 2" xfId="89"/>
    <cellStyle name="Normal 25 2 2" xfId="265"/>
    <cellStyle name="Normal 25 3" xfId="214"/>
    <cellStyle name="Normal 25 4" xfId="376"/>
    <cellStyle name="Normal 25 5" xfId="418"/>
    <cellStyle name="Normal 25 6" xfId="529"/>
    <cellStyle name="Normal 26" xfId="37"/>
    <cellStyle name="Normal 26 2" xfId="90"/>
    <cellStyle name="Normal 26 2 2" xfId="266"/>
    <cellStyle name="Normal 26 3" xfId="215"/>
    <cellStyle name="Normal 26 4" xfId="377"/>
    <cellStyle name="Normal 26 5" xfId="419"/>
    <cellStyle name="Normal 26 6" xfId="530"/>
    <cellStyle name="Normal 27" xfId="38"/>
    <cellStyle name="Normal 27 2" xfId="91"/>
    <cellStyle name="Normal 27 2 2" xfId="267"/>
    <cellStyle name="Normal 27 3" xfId="216"/>
    <cellStyle name="Normal 27 4" xfId="378"/>
    <cellStyle name="Normal 27 5" xfId="420"/>
    <cellStyle name="Normal 27 6" xfId="531"/>
    <cellStyle name="Normal 28" xfId="39"/>
    <cellStyle name="Normal 28 2" xfId="92"/>
    <cellStyle name="Normal 28 2 2" xfId="268"/>
    <cellStyle name="Normal 28 3" xfId="217"/>
    <cellStyle name="Normal 28 4" xfId="379"/>
    <cellStyle name="Normal 28 5" xfId="421"/>
    <cellStyle name="Normal 28 6" xfId="532"/>
    <cellStyle name="Normal 29" xfId="40"/>
    <cellStyle name="Normal 29 2" xfId="93"/>
    <cellStyle name="Normal 29 2 2" xfId="269"/>
    <cellStyle name="Normal 29 3" xfId="218"/>
    <cellStyle name="Normal 29 4" xfId="380"/>
    <cellStyle name="Normal 29 5" xfId="422"/>
    <cellStyle name="Normal 29 6" xfId="533"/>
    <cellStyle name="Normal 3" xfId="14"/>
    <cellStyle name="Normal 3 2" xfId="67"/>
    <cellStyle name="Normal 3 2 2" xfId="243"/>
    <cellStyle name="Normal 3 3" xfId="192"/>
    <cellStyle name="Normal 3 4" xfId="381"/>
    <cellStyle name="Normal 3 5" xfId="396"/>
    <cellStyle name="Normal 3 6" xfId="507"/>
    <cellStyle name="Normal 30" xfId="41"/>
    <cellStyle name="Normal 30 2" xfId="94"/>
    <cellStyle name="Normal 30 2 2" xfId="270"/>
    <cellStyle name="Normal 30 3" xfId="219"/>
    <cellStyle name="Normal 30 4" xfId="382"/>
    <cellStyle name="Normal 30 5" xfId="423"/>
    <cellStyle name="Normal 30 6" xfId="534"/>
    <cellStyle name="Normal 31" xfId="42"/>
    <cellStyle name="Normal 31 2" xfId="95"/>
    <cellStyle name="Normal 31 2 2" xfId="271"/>
    <cellStyle name="Normal 31 3" xfId="220"/>
    <cellStyle name="Normal 31 4" xfId="424"/>
    <cellStyle name="Normal 31 5" xfId="535"/>
    <cellStyle name="Normal 32" xfId="43"/>
    <cellStyle name="Normal 32 2" xfId="96"/>
    <cellStyle name="Normal 32 2 2" xfId="272"/>
    <cellStyle name="Normal 32 3" xfId="221"/>
    <cellStyle name="Normal 32 4" xfId="425"/>
    <cellStyle name="Normal 32 5" xfId="536"/>
    <cellStyle name="Normal 33" xfId="44"/>
    <cellStyle name="Normal 33 2" xfId="97"/>
    <cellStyle name="Normal 33 2 2" xfId="273"/>
    <cellStyle name="Normal 33 3" xfId="222"/>
    <cellStyle name="Normal 33 4" xfId="426"/>
    <cellStyle name="Normal 33 5" xfId="537"/>
    <cellStyle name="Normal 34" xfId="45"/>
    <cellStyle name="Normal 34 2" xfId="98"/>
    <cellStyle name="Normal 34 2 2" xfId="274"/>
    <cellStyle name="Normal 34 3" xfId="223"/>
    <cellStyle name="Normal 34 4" xfId="427"/>
    <cellStyle name="Normal 34 5" xfId="538"/>
    <cellStyle name="Normal 35" xfId="46"/>
    <cellStyle name="Normal 35 2" xfId="99"/>
    <cellStyle name="Normal 35 2 2" xfId="275"/>
    <cellStyle name="Normal 35 3" xfId="224"/>
    <cellStyle name="Normal 35 4" xfId="428"/>
    <cellStyle name="Normal 35 5" xfId="539"/>
    <cellStyle name="Normal 36" xfId="47"/>
    <cellStyle name="Normal 36 2" xfId="100"/>
    <cellStyle name="Normal 36 2 2" xfId="276"/>
    <cellStyle name="Normal 36 3" xfId="225"/>
    <cellStyle name="Normal 36 4" xfId="429"/>
    <cellStyle name="Normal 36 5" xfId="540"/>
    <cellStyle name="Normal 37" xfId="48"/>
    <cellStyle name="Normal 37 2" xfId="101"/>
    <cellStyle name="Normal 37 2 2" xfId="277"/>
    <cellStyle name="Normal 37 3" xfId="226"/>
    <cellStyle name="Normal 37 4" xfId="430"/>
    <cellStyle name="Normal 37 5" xfId="541"/>
    <cellStyle name="Normal 38" xfId="49"/>
    <cellStyle name="Normal 38 2" xfId="102"/>
    <cellStyle name="Normal 38 2 2" xfId="278"/>
    <cellStyle name="Normal 38 3" xfId="227"/>
    <cellStyle name="Normal 38 4" xfId="431"/>
    <cellStyle name="Normal 38 5" xfId="542"/>
    <cellStyle name="Normal 39" xfId="50"/>
    <cellStyle name="Normal 39 2" xfId="228"/>
    <cellStyle name="Normal 39 3" xfId="432"/>
    <cellStyle name="Normal 39 4" xfId="543"/>
    <cellStyle name="Normal 4" xfId="15"/>
    <cellStyle name="Normal 4 2" xfId="68"/>
    <cellStyle name="Normal 4 2 2" xfId="244"/>
    <cellStyle name="Normal 4 3" xfId="193"/>
    <cellStyle name="Normal 4 4" xfId="383"/>
    <cellStyle name="Normal 4 5" xfId="397"/>
    <cellStyle name="Normal 4 6" xfId="508"/>
    <cellStyle name="Normal 40" xfId="51"/>
    <cellStyle name="Normal 40 2" xfId="229"/>
    <cellStyle name="Normal 40 3" xfId="433"/>
    <cellStyle name="Normal 40 4" xfId="544"/>
    <cellStyle name="Normal 41" xfId="52"/>
    <cellStyle name="Normal 41 2" xfId="230"/>
    <cellStyle name="Normal 41 3" xfId="434"/>
    <cellStyle name="Normal 41 4" xfId="545"/>
    <cellStyle name="Normal 42" xfId="53"/>
    <cellStyle name="Normal 42 2" xfId="231"/>
    <cellStyle name="Normal 42 3" xfId="435"/>
    <cellStyle name="Normal 42 4" xfId="546"/>
    <cellStyle name="Normal 43" xfId="54"/>
    <cellStyle name="Normal 43 2" xfId="232"/>
    <cellStyle name="Normal 43 3" xfId="436"/>
    <cellStyle name="Normal 43 4" xfId="547"/>
    <cellStyle name="Normal 44" xfId="55"/>
    <cellStyle name="Normal 44 2" xfId="233"/>
    <cellStyle name="Normal 44 3" xfId="437"/>
    <cellStyle name="Normal 44 4" xfId="548"/>
    <cellStyle name="Normal 45" xfId="56"/>
    <cellStyle name="Normal 45 2" xfId="234"/>
    <cellStyle name="Normal 45 3" xfId="438"/>
    <cellStyle name="Normal 45 4" xfId="549"/>
    <cellStyle name="Normal 46" xfId="57"/>
    <cellStyle name="Normal 46 2" xfId="235"/>
    <cellStyle name="Normal 46 3" xfId="439"/>
    <cellStyle name="Normal 46 4" xfId="550"/>
    <cellStyle name="Normal 47" xfId="58"/>
    <cellStyle name="Normal 47 2" xfId="236"/>
    <cellStyle name="Normal 47 3" xfId="440"/>
    <cellStyle name="Normal 47 4" xfId="551"/>
    <cellStyle name="Normal 48" xfId="59"/>
    <cellStyle name="Normal 48 2" xfId="237"/>
    <cellStyle name="Normal 48 3" xfId="441"/>
    <cellStyle name="Normal 48 4" xfId="552"/>
    <cellStyle name="Normal 49" xfId="60"/>
    <cellStyle name="Normal 49 2" xfId="238"/>
    <cellStyle name="Normal 49 3" xfId="442"/>
    <cellStyle name="Normal 49 4" xfId="553"/>
    <cellStyle name="Normal 5" xfId="16"/>
    <cellStyle name="Normal 5 2" xfId="69"/>
    <cellStyle name="Normal 5 2 2" xfId="245"/>
    <cellStyle name="Normal 5 3" xfId="194"/>
    <cellStyle name="Normal 5 4" xfId="384"/>
    <cellStyle name="Normal 5 5" xfId="398"/>
    <cellStyle name="Normal 5 6" xfId="509"/>
    <cellStyle name="Normal 50" xfId="61"/>
    <cellStyle name="Normal 50 2" xfId="239"/>
    <cellStyle name="Normal 50 3" xfId="443"/>
    <cellStyle name="Normal 50 4" xfId="554"/>
    <cellStyle name="Normal 51" xfId="62"/>
    <cellStyle name="Normal 51 2" xfId="240"/>
    <cellStyle name="Normal 51 3" xfId="444"/>
    <cellStyle name="Normal 51 4" xfId="555"/>
    <cellStyle name="Normal 52" xfId="63"/>
    <cellStyle name="Normal 52 2" xfId="241"/>
    <cellStyle name="Normal 52 3" xfId="445"/>
    <cellStyle name="Normal 52 4" xfId="556"/>
    <cellStyle name="Normal 53" xfId="64"/>
    <cellStyle name="Normal 53 2" xfId="495"/>
    <cellStyle name="Normal 53 3" xfId="557"/>
    <cellStyle name="Normal 54" xfId="103"/>
    <cellStyle name="Normal 54 2" xfId="279"/>
    <cellStyle name="Normal 54 3" xfId="558"/>
    <cellStyle name="Normal 55" xfId="104"/>
    <cellStyle name="Normal 55 2" xfId="280"/>
    <cellStyle name="Normal 55 3" xfId="559"/>
    <cellStyle name="Normal 56" xfId="105"/>
    <cellStyle name="Normal 56 2" xfId="281"/>
    <cellStyle name="Normal 56 3" xfId="560"/>
    <cellStyle name="Normal 57" xfId="106"/>
    <cellStyle name="Normal 57 2" xfId="282"/>
    <cellStyle name="Normal 57 3" xfId="561"/>
    <cellStyle name="Normal 58" xfId="107"/>
    <cellStyle name="Normal 58 2" xfId="283"/>
    <cellStyle name="Normal 58 3" xfId="562"/>
    <cellStyle name="Normal 59" xfId="108"/>
    <cellStyle name="Normal 59 2" xfId="284"/>
    <cellStyle name="Normal 59 3" xfId="484"/>
    <cellStyle name="Normal 59 4" xfId="563"/>
    <cellStyle name="Normal 6" xfId="17"/>
    <cellStyle name="Normal 6 2" xfId="70"/>
    <cellStyle name="Normal 6 2 2" xfId="246"/>
    <cellStyle name="Normal 6 3" xfId="195"/>
    <cellStyle name="Normal 6 4" xfId="385"/>
    <cellStyle name="Normal 6 5" xfId="399"/>
    <cellStyle name="Normal 6 6" xfId="510"/>
    <cellStyle name="Normal 60" xfId="109"/>
    <cellStyle name="Normal 60 2" xfId="285"/>
    <cellStyle name="Normal 60 3" xfId="564"/>
    <cellStyle name="Normal 61" xfId="110"/>
    <cellStyle name="Normal 61 2" xfId="286"/>
    <cellStyle name="Normal 61 3" xfId="565"/>
    <cellStyle name="Normal 62" xfId="111"/>
    <cellStyle name="Normal 62 2" xfId="287"/>
    <cellStyle name="Normal 62 3" xfId="566"/>
    <cellStyle name="Normal 63" xfId="112"/>
    <cellStyle name="Normal 63 2" xfId="288"/>
    <cellStyle name="Normal 63 3" xfId="567"/>
    <cellStyle name="Normal 64" xfId="113"/>
    <cellStyle name="Normal 64 2" xfId="289"/>
    <cellStyle name="Normal 64 3" xfId="482"/>
    <cellStyle name="Normal 64 4" xfId="568"/>
    <cellStyle name="Normal 65" xfId="114"/>
    <cellStyle name="Normal 65 2" xfId="290"/>
    <cellStyle name="Normal 65 3" xfId="483"/>
    <cellStyle name="Normal 65 4" xfId="569"/>
    <cellStyle name="Normal 66" xfId="115"/>
    <cellStyle name="Normal 66 2" xfId="291"/>
    <cellStyle name="Normal 66 3" xfId="570"/>
    <cellStyle name="Normal 67" xfId="116"/>
    <cellStyle name="Normal 67 2" xfId="292"/>
    <cellStyle name="Normal 67 3" xfId="572"/>
    <cellStyle name="Normal 68" xfId="117"/>
    <cellStyle name="Normal 68 2" xfId="293"/>
    <cellStyle name="Normal 68 3" xfId="574"/>
    <cellStyle name="Normal 69" xfId="118"/>
    <cellStyle name="Normal 69 2" xfId="294"/>
    <cellStyle name="Normal 69 3" xfId="576"/>
    <cellStyle name="Normal 7" xfId="18"/>
    <cellStyle name="Normal 7 2" xfId="71"/>
    <cellStyle name="Normal 7 2 2" xfId="247"/>
    <cellStyle name="Normal 7 3" xfId="196"/>
    <cellStyle name="Normal 7 4" xfId="386"/>
    <cellStyle name="Normal 7 5" xfId="400"/>
    <cellStyle name="Normal 7 6" xfId="511"/>
    <cellStyle name="Normal 70" xfId="119"/>
    <cellStyle name="Normal 70 2" xfId="295"/>
    <cellStyle name="Normal 70 3" xfId="577"/>
    <cellStyle name="Normal 71" xfId="120"/>
    <cellStyle name="Normal 71 2" xfId="296"/>
    <cellStyle name="Normal 71 3" xfId="578"/>
    <cellStyle name="Normal 72" xfId="121"/>
    <cellStyle name="Normal 72 2" xfId="297"/>
    <cellStyle name="Normal 72 3" xfId="579"/>
    <cellStyle name="Normal 73" xfId="122"/>
    <cellStyle name="Normal 73 2" xfId="298"/>
    <cellStyle name="Normal 73 3" xfId="481"/>
    <cellStyle name="Normal 73 4" xfId="580"/>
    <cellStyle name="Normal 74" xfId="123"/>
    <cellStyle name="Normal 74 2" xfId="299"/>
    <cellStyle name="Normal 74 3" xfId="582"/>
    <cellStyle name="Normal 75" xfId="124"/>
    <cellStyle name="Normal 75 2" xfId="300"/>
    <cellStyle name="Normal 75 3" xfId="583"/>
    <cellStyle name="Normal 76" xfId="125"/>
    <cellStyle name="Normal 76 2" xfId="301"/>
    <cellStyle name="Normal 76 3" xfId="584"/>
    <cellStyle name="Normal 77" xfId="126"/>
    <cellStyle name="Normal 77 2" xfId="302"/>
    <cellStyle name="Normal 77 3" xfId="589"/>
    <cellStyle name="Normal 78" xfId="127"/>
    <cellStyle name="Normal 78 2" xfId="303"/>
    <cellStyle name="Normal 78 3" xfId="590"/>
    <cellStyle name="Normal 79" xfId="128"/>
    <cellStyle name="Normal 79 2" xfId="304"/>
    <cellStyle name="Normal 79 3" xfId="591"/>
    <cellStyle name="Normal 8" xfId="19"/>
    <cellStyle name="Normal 8 2" xfId="72"/>
    <cellStyle name="Normal 8 2 2" xfId="248"/>
    <cellStyle name="Normal 8 3" xfId="197"/>
    <cellStyle name="Normal 8 4" xfId="387"/>
    <cellStyle name="Normal 8 5" xfId="401"/>
    <cellStyle name="Normal 8 6" xfId="512"/>
    <cellStyle name="Normal 80" xfId="129"/>
    <cellStyle name="Normal 80 2" xfId="305"/>
    <cellStyle name="Normal 81" xfId="130"/>
    <cellStyle name="Normal 81 2" xfId="306"/>
    <cellStyle name="Normal 82" xfId="131"/>
    <cellStyle name="Normal 82 2" xfId="307"/>
    <cellStyle name="Normal 83" xfId="132"/>
    <cellStyle name="Normal 83 2" xfId="308"/>
    <cellStyle name="Normal 84" xfId="133"/>
    <cellStyle name="Normal 84 2" xfId="309"/>
    <cellStyle name="Normal 85" xfId="134"/>
    <cellStyle name="Normal 85 2" xfId="310"/>
    <cellStyle name="Normal 86" xfId="135"/>
    <cellStyle name="Normal 86 2" xfId="311"/>
    <cellStyle name="Normal 87" xfId="136"/>
    <cellStyle name="Normal 87 2" xfId="312"/>
    <cellStyle name="Normal 88" xfId="137"/>
    <cellStyle name="Normal 88 2" xfId="313"/>
    <cellStyle name="Normal 89" xfId="138"/>
    <cellStyle name="Normal 89 2" xfId="314"/>
    <cellStyle name="Normal 9" xfId="20"/>
    <cellStyle name="Normal 9 2" xfId="73"/>
    <cellStyle name="Normal 9 2 2" xfId="249"/>
    <cellStyle name="Normal 9 3" xfId="198"/>
    <cellStyle name="Normal 9 4" xfId="388"/>
    <cellStyle name="Normal 9 5" xfId="402"/>
    <cellStyle name="Normal 9 6" xfId="513"/>
    <cellStyle name="Normal 90" xfId="139"/>
    <cellStyle name="Normal 90 2" xfId="315"/>
    <cellStyle name="Normal 91" xfId="140"/>
    <cellStyle name="Normal 91 2" xfId="316"/>
    <cellStyle name="Normal 92" xfId="141"/>
    <cellStyle name="Normal 92 2" xfId="317"/>
    <cellStyle name="Normal 93" xfId="142"/>
    <cellStyle name="Normal 93 2" xfId="318"/>
    <cellStyle name="Normal 94" xfId="143"/>
    <cellStyle name="Normal 94 2" xfId="319"/>
    <cellStyle name="Normal 95" xfId="144"/>
    <cellStyle name="Normal 95 2" xfId="320"/>
    <cellStyle name="Normal 96" xfId="145"/>
    <cellStyle name="Normal 96 2" xfId="321"/>
    <cellStyle name="Normal 97" xfId="146"/>
    <cellStyle name="Normal 97 2" xfId="322"/>
    <cellStyle name="Normal 98" xfId="147"/>
    <cellStyle name="Normal 98 2" xfId="323"/>
    <cellStyle name="Normal 99" xfId="148"/>
    <cellStyle name="Normal 99 2" xfId="324"/>
    <cellStyle name="Normal_Balance general al 31 de Diciembre de 2010" xfId="8"/>
    <cellStyle name="Normal_FILE 03 VALORES OCTUBRE" xfId="9"/>
    <cellStyle name="Normal_Fp0110021" xfId="466"/>
    <cellStyle name="Normal_Libro Ventas Consumidor final" xfId="10"/>
    <cellStyle name="Normal_Sheet3" xfId="11"/>
    <cellStyle name="Percent 2" xfId="190"/>
    <cellStyle name="Porcentaje" xfId="12" builtinId="5"/>
    <cellStyle name="Porcentaje 2" xfId="1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64</xdr:row>
      <xdr:rowOff>0</xdr:rowOff>
    </xdr:from>
    <xdr:to>
      <xdr:col>2</xdr:col>
      <xdr:colOff>381000</xdr:colOff>
      <xdr:row>64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96</xdr:row>
      <xdr:rowOff>0</xdr:rowOff>
    </xdr:from>
    <xdr:to>
      <xdr:col>2</xdr:col>
      <xdr:colOff>381000</xdr:colOff>
      <xdr:row>96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124</xdr:row>
      <xdr:rowOff>0</xdr:rowOff>
    </xdr:from>
    <xdr:to>
      <xdr:col>2</xdr:col>
      <xdr:colOff>381000</xdr:colOff>
      <xdr:row>124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154</xdr:row>
      <xdr:rowOff>0</xdr:rowOff>
    </xdr:from>
    <xdr:to>
      <xdr:col>2</xdr:col>
      <xdr:colOff>381000</xdr:colOff>
      <xdr:row>154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192</xdr:row>
      <xdr:rowOff>0</xdr:rowOff>
    </xdr:from>
    <xdr:to>
      <xdr:col>2</xdr:col>
      <xdr:colOff>381000</xdr:colOff>
      <xdr:row>192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219</xdr:row>
      <xdr:rowOff>0</xdr:rowOff>
    </xdr:from>
    <xdr:to>
      <xdr:col>2</xdr:col>
      <xdr:colOff>381000</xdr:colOff>
      <xdr:row>219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266</xdr:row>
      <xdr:rowOff>0</xdr:rowOff>
    </xdr:from>
    <xdr:to>
      <xdr:col>2</xdr:col>
      <xdr:colOff>381000</xdr:colOff>
      <xdr:row>266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319</xdr:row>
      <xdr:rowOff>0</xdr:rowOff>
    </xdr:from>
    <xdr:to>
      <xdr:col>2</xdr:col>
      <xdr:colOff>381000</xdr:colOff>
      <xdr:row>319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432</xdr:row>
      <xdr:rowOff>0</xdr:rowOff>
    </xdr:from>
    <xdr:to>
      <xdr:col>2</xdr:col>
      <xdr:colOff>381000</xdr:colOff>
      <xdr:row>432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493</xdr:row>
      <xdr:rowOff>0</xdr:rowOff>
    </xdr:from>
    <xdr:to>
      <xdr:col>2</xdr:col>
      <xdr:colOff>381000</xdr:colOff>
      <xdr:row>493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563</xdr:row>
      <xdr:rowOff>0</xdr:rowOff>
    </xdr:from>
    <xdr:to>
      <xdr:col>2</xdr:col>
      <xdr:colOff>381000</xdr:colOff>
      <xdr:row>563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634</xdr:row>
      <xdr:rowOff>0</xdr:rowOff>
    </xdr:from>
    <xdr:to>
      <xdr:col>2</xdr:col>
      <xdr:colOff>381000</xdr:colOff>
      <xdr:row>634</xdr:row>
      <xdr:rowOff>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682</xdr:row>
      <xdr:rowOff>0</xdr:rowOff>
    </xdr:from>
    <xdr:to>
      <xdr:col>2</xdr:col>
      <xdr:colOff>381000</xdr:colOff>
      <xdr:row>682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757</xdr:row>
      <xdr:rowOff>0</xdr:rowOff>
    </xdr:from>
    <xdr:to>
      <xdr:col>2</xdr:col>
      <xdr:colOff>381000</xdr:colOff>
      <xdr:row>757</xdr:row>
      <xdr:rowOff>0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752600" y="12267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793</xdr:row>
      <xdr:rowOff>0</xdr:rowOff>
    </xdr:from>
    <xdr:to>
      <xdr:col>2</xdr:col>
      <xdr:colOff>381000</xdr:colOff>
      <xdr:row>793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827</xdr:row>
      <xdr:rowOff>0</xdr:rowOff>
    </xdr:from>
    <xdr:to>
      <xdr:col>2</xdr:col>
      <xdr:colOff>381000</xdr:colOff>
      <xdr:row>827</xdr:row>
      <xdr:rowOff>0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853</xdr:row>
      <xdr:rowOff>0</xdr:rowOff>
    </xdr:from>
    <xdr:to>
      <xdr:col>2</xdr:col>
      <xdr:colOff>381000</xdr:colOff>
      <xdr:row>853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524000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S%20BCO%20CUSCATLAN%20ES/VALORES%20CUSCATLAN/2017/DICIEMBRE/Financials%20Report%20Valores%20Cuscatlan%20DICIEMBRE%2017%20-%20Despues%20de%20Rva%20Legal%20-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ABRI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JUNI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OCTUBR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NOV%20(00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DIC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FEB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RZO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ABRIL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IVA%20JUNIO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3%20MARZO/VALORES%20reporte%20MARZ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cwfs02pp\SV_BC_CSC_Reconciliaciones\A&#209;O%202020\07.%20JULIO\IMPUESTOS\CREDITO%20FISCAL\01%20VALORES\VALORES%20reporte%20IVA%20JULIO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3206%20-%20Libro%20IVA%20-%2020201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3206%20-%20Libro%20IVA%20-%20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IVA%20DICIEMBRE%20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IVA%20ENERO%20202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YO%20(00000002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YO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9%20SEPTIEMBRE/VALORES%20reporte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OCTUBRE%20Compras%20Vent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NO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DI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Ener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FEBRE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15191/AppData/Local/Microsoft/Windows/INetCache/Content.Outlook/3V728YP6/VALORES%20report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  <row r="125">
          <cell r="E125" t="str">
            <v xml:space="preserve"> Jefe de Contraloría</v>
          </cell>
        </row>
      </sheetData>
      <sheetData sheetId="2"/>
      <sheetData sheetId="3"/>
      <sheetData sheetId="4"/>
      <sheetData sheetId="5">
        <row r="1">
          <cell r="D1" t="str">
            <v xml:space="preserve">VALORES CUSCATLAN EL SALVADOR, S.A. DE C.V. </v>
          </cell>
        </row>
        <row r="112">
          <cell r="S112">
            <v>0</v>
          </cell>
        </row>
        <row r="120">
          <cell r="S120">
            <v>0</v>
          </cell>
        </row>
        <row r="126">
          <cell r="S126">
            <v>0</v>
          </cell>
        </row>
        <row r="133">
          <cell r="S133">
            <v>0</v>
          </cell>
        </row>
        <row r="141">
          <cell r="S141">
            <v>0</v>
          </cell>
        </row>
        <row r="185">
          <cell r="S185">
            <v>0</v>
          </cell>
        </row>
        <row r="194">
          <cell r="S194">
            <v>0</v>
          </cell>
        </row>
        <row r="199">
          <cell r="S199">
            <v>0</v>
          </cell>
        </row>
        <row r="207">
          <cell r="S207">
            <v>0</v>
          </cell>
        </row>
        <row r="212">
          <cell r="P212">
            <v>5895312.4499999993</v>
          </cell>
        </row>
        <row r="313">
          <cell r="S313">
            <v>0</v>
          </cell>
        </row>
        <row r="344">
          <cell r="S344">
            <v>0</v>
          </cell>
        </row>
        <row r="348">
          <cell r="R348">
            <v>5552190.54</v>
          </cell>
        </row>
        <row r="362">
          <cell r="R362">
            <v>5895312.4500000002</v>
          </cell>
        </row>
        <row r="369">
          <cell r="S369">
            <v>0</v>
          </cell>
        </row>
      </sheetData>
      <sheetData sheetId="6"/>
      <sheetData sheetId="7"/>
      <sheetData sheetId="8">
        <row r="795">
          <cell r="C795" t="str">
            <v>Shearlene Márquez</v>
          </cell>
          <cell r="D795" t="str">
            <v>Jesy Yanira Quijada</v>
          </cell>
        </row>
        <row r="796">
          <cell r="D796" t="str">
            <v xml:space="preserve"> Jefe de Contraloría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iva"/>
      <sheetName val="Memo Rent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 t="str">
            <v>0100</v>
          </cell>
          <cell r="B2" t="str">
            <v>CITI TECHNOLOGY INC</v>
          </cell>
        </row>
        <row r="3">
          <cell r="A3" t="str">
            <v>0101</v>
          </cell>
          <cell r="B3" t="str">
            <v>01279 CITIGROUP TECHNOLOGY INC</v>
          </cell>
        </row>
        <row r="4">
          <cell r="A4" t="str">
            <v>898</v>
          </cell>
          <cell r="B4" t="str">
            <v>CITIGROUP GLOBAL MARKETS INC</v>
          </cell>
        </row>
        <row r="5">
          <cell r="A5" t="str">
            <v>0-99</v>
          </cell>
          <cell r="B5" t="str">
            <v>ANULADO</v>
          </cell>
        </row>
        <row r="6">
          <cell r="A6" t="str">
            <v>115266-3</v>
          </cell>
          <cell r="B6" t="str">
            <v>ASOCIACION SALVADOREÑA DE INTERMEDIARIOS BURSATILES</v>
          </cell>
        </row>
        <row r="7">
          <cell r="A7" t="str">
            <v>123271-1</v>
          </cell>
          <cell r="B7" t="str">
            <v>FUMIGADORA Y FORMULADORA CAMPOS, S.A. DE C.V.</v>
          </cell>
        </row>
        <row r="8">
          <cell r="A8" t="str">
            <v>124482-0</v>
          </cell>
          <cell r="B8" t="str">
            <v>SISA VIDA, S.A. SEGUROS DE PERSONAS</v>
          </cell>
        </row>
        <row r="9">
          <cell r="A9" t="str">
            <v>1299-8</v>
          </cell>
          <cell r="B9" t="str">
            <v>TECNICA INTERNACIONAL, S.A. DE C.V.</v>
          </cell>
        </row>
        <row r="10">
          <cell r="A10" t="str">
            <v>130620-7</v>
          </cell>
          <cell r="B10" t="str">
            <v>ANY CRISTY ARGUMEDO CAMPOS</v>
          </cell>
        </row>
        <row r="11">
          <cell r="A11" t="str">
            <v>131885-3</v>
          </cell>
          <cell r="B11" t="str">
            <v>ACCE, S.A. DE C.V.</v>
          </cell>
        </row>
        <row r="12">
          <cell r="A12" t="str">
            <v>138130-3</v>
          </cell>
          <cell r="B12" t="str">
            <v>TECNASA ES, S.A. DE C.V.</v>
          </cell>
        </row>
        <row r="13">
          <cell r="A13" t="str">
            <v>141592-0</v>
          </cell>
          <cell r="B13" t="str">
            <v>INVERSIONES FINANCIERAS CITIBANK, S.A.</v>
          </cell>
        </row>
        <row r="14">
          <cell r="A14" t="str">
            <v>146-5</v>
          </cell>
          <cell r="B14" t="str">
            <v>BANCO CUSCATLAN DE EL SALVADOR S.A.</v>
          </cell>
        </row>
        <row r="15">
          <cell r="A15" t="str">
            <v>157889-5</v>
          </cell>
          <cell r="B15" t="str">
            <v>OPERADORES LOGISTICOS RANSA, S.A. DE C.V.</v>
          </cell>
        </row>
        <row r="16">
          <cell r="A16" t="str">
            <v>166238-2</v>
          </cell>
          <cell r="B16" t="str">
            <v>MARIA MARTHA DELGADO MOLINA</v>
          </cell>
        </row>
        <row r="17">
          <cell r="A17" t="str">
            <v>168981-2</v>
          </cell>
          <cell r="B17" t="str">
            <v>MAILROOM EXPRESS, S.A. DE C.V.</v>
          </cell>
        </row>
        <row r="18">
          <cell r="A18" t="str">
            <v>177442-5</v>
          </cell>
          <cell r="B18" t="str">
            <v>DATAPRINT DE EL SALVADOR, S.A. DE C.V.</v>
          </cell>
        </row>
        <row r="19">
          <cell r="A19" t="str">
            <v>183732-4</v>
          </cell>
          <cell r="B19" t="str">
            <v>JONES LANG LASALLE, S.A. DE C.V.</v>
          </cell>
        </row>
        <row r="20">
          <cell r="A20" t="str">
            <v>197562-7</v>
          </cell>
          <cell r="B20" t="str">
            <v>JUAN ANTONIO LEWIN GOTUZZO</v>
          </cell>
        </row>
        <row r="21">
          <cell r="A21" t="str">
            <v>201777-8</v>
          </cell>
          <cell r="B21" t="str">
            <v>MANTENIMIENTO DE JARDINERIA, S.A. DE C.V.</v>
          </cell>
        </row>
        <row r="22">
          <cell r="A22" t="str">
            <v>206372-1</v>
          </cell>
          <cell r="B22" t="str">
            <v>EMPAQUES FINOS E IMPRESOS, S.A. DE C.V.</v>
          </cell>
        </row>
        <row r="23">
          <cell r="A23" t="str">
            <v>213-5</v>
          </cell>
          <cell r="B23" t="str">
            <v>SEGUROS E INVERSIONES, S.A DE C.V.</v>
          </cell>
        </row>
        <row r="24">
          <cell r="A24" t="str">
            <v>23175-4</v>
          </cell>
          <cell r="B24" t="str">
            <v>TELEMOVIL EL SALVADOR, S.A</v>
          </cell>
        </row>
        <row r="25">
          <cell r="A25" t="str">
            <v>27287-6</v>
          </cell>
          <cell r="B25" t="str">
            <v>KPMG, S.A.</v>
          </cell>
        </row>
        <row r="26">
          <cell r="A26" t="str">
            <v>30373-9</v>
          </cell>
          <cell r="B26" t="str">
            <v>ACCIONES Y VALORES, S.A. DE C.V.</v>
          </cell>
        </row>
        <row r="27">
          <cell r="A27" t="str">
            <v>88004-3</v>
          </cell>
          <cell r="B27" t="str">
            <v>COMUNICACIÓN CREATIVA SA DE CV</v>
          </cell>
        </row>
        <row r="28">
          <cell r="A28" t="str">
            <v>33712-9</v>
          </cell>
          <cell r="B28" t="str">
            <v>PRAKIN, S,A, DE C,V,</v>
          </cell>
        </row>
        <row r="29">
          <cell r="A29" t="str">
            <v>3945-4</v>
          </cell>
          <cell r="B29" t="str">
            <v>CITITARJETAS DE EL SALVADOR, S.A.</v>
          </cell>
        </row>
        <row r="30">
          <cell r="A30" t="str">
            <v>40522-1</v>
          </cell>
          <cell r="B30" t="str">
            <v>INVERSIONES DE SALUD, S.A. DE C.V.</v>
          </cell>
        </row>
        <row r="31">
          <cell r="A31" t="str">
            <v>4208-0</v>
          </cell>
          <cell r="B31" t="str">
            <v>ESCOTO, S.A. DE C.V.</v>
          </cell>
        </row>
        <row r="32">
          <cell r="A32" t="str">
            <v>49030-0</v>
          </cell>
          <cell r="B32" t="str">
            <v>GUSTAVO ARGUETA RIVAS</v>
          </cell>
        </row>
        <row r="33">
          <cell r="A33" t="str">
            <v>51-5</v>
          </cell>
          <cell r="B33" t="str">
            <v>R.R. DONNELLEY DE EL SALVADOR, S.A. DE C.V.</v>
          </cell>
        </row>
        <row r="34">
          <cell r="A34" t="str">
            <v>5305-8</v>
          </cell>
          <cell r="B34" t="str">
            <v>CLUB SALINITAS, S.A. DE C.V.</v>
          </cell>
        </row>
        <row r="35">
          <cell r="A35" t="str">
            <v>552-5</v>
          </cell>
          <cell r="B35" t="str">
            <v>BANCO AGRICOLA, S.A.</v>
          </cell>
        </row>
        <row r="36">
          <cell r="A36" t="str">
            <v>589-4</v>
          </cell>
          <cell r="B36" t="str">
            <v>CITIBANK, N.A. SUCURSAL EL SALVADOR</v>
          </cell>
        </row>
        <row r="37">
          <cell r="A37" t="str">
            <v>627-0</v>
          </cell>
          <cell r="B37" t="str">
            <v>BOLSA DE VALORES DE EL SALVADOR, S.A. DE C.V.</v>
          </cell>
        </row>
        <row r="38">
          <cell r="A38" t="str">
            <v>71253-1</v>
          </cell>
          <cell r="B38" t="str">
            <v>OFIXPRES, S.A. DE C.V.</v>
          </cell>
        </row>
        <row r="39">
          <cell r="A39" t="str">
            <v>73208-7</v>
          </cell>
          <cell r="B39" t="str">
            <v>CLINICA DE RAXOS X BRITO MEJIA PEÑA, S.A. DE C.V.</v>
          </cell>
        </row>
        <row r="40">
          <cell r="A40" t="str">
            <v>74789-0</v>
          </cell>
          <cell r="B40" t="str">
            <v>JUAN ANTONIO NUNFIO</v>
          </cell>
        </row>
        <row r="41">
          <cell r="A41" t="str">
            <v>77122-8</v>
          </cell>
          <cell r="B41" t="str">
            <v>ENMANUEL, S.A. DE C.V.</v>
          </cell>
        </row>
        <row r="42">
          <cell r="A42" t="str">
            <v>70907-7</v>
          </cell>
          <cell r="B42" t="str">
            <v xml:space="preserve">BUFETE MOLINA ZUNIGA </v>
          </cell>
        </row>
        <row r="43">
          <cell r="A43" t="str">
            <v>77485-5</v>
          </cell>
          <cell r="B43" t="str">
            <v>CENTRAL DE DEPOSITO DE VALORES, S.A. DE C.V.</v>
          </cell>
        </row>
        <row r="44">
          <cell r="A44" t="str">
            <v>78319-6</v>
          </cell>
          <cell r="B44" t="str">
            <v>PROFESIONALES EN SERVICIOS, S.A. DE C.V.</v>
          </cell>
        </row>
        <row r="45">
          <cell r="A45" t="str">
            <v>82136-5</v>
          </cell>
          <cell r="B45" t="str">
            <v>BIANCHI &amp; ASOCIADOS, S.A. DE C.V.</v>
          </cell>
        </row>
        <row r="46">
          <cell r="A46" t="str">
            <v>82136-5</v>
          </cell>
          <cell r="B46" t="str">
            <v>OGILVY BIANCHI &amp; ASOCIADOS, S.A. DE C.V.</v>
          </cell>
        </row>
        <row r="47">
          <cell r="A47" t="str">
            <v>83701-6</v>
          </cell>
          <cell r="B47" t="str">
            <v>LIMPIEZAS Y SERVICIOS PROFESIONALES, S.A. DE C.V.</v>
          </cell>
        </row>
        <row r="48">
          <cell r="A48" t="str">
            <v>88189-9</v>
          </cell>
          <cell r="B48" t="str">
            <v>ENERGIA TOTAL, S.A. DE C.V.</v>
          </cell>
        </row>
        <row r="49">
          <cell r="A49" t="str">
            <v>98207-5</v>
          </cell>
          <cell r="B49" t="str">
            <v>SUPLIDORA DE EQUIPOS Y SERVICIO, S.A. DE C.V.</v>
          </cell>
        </row>
        <row r="50">
          <cell r="A50" t="str">
            <v>9861-2</v>
          </cell>
          <cell r="B50" t="str">
            <v>GOCHEZ RODRIGUEZ ANGEL RICARDO</v>
          </cell>
        </row>
        <row r="51">
          <cell r="A51" t="str">
            <v>99126-0</v>
          </cell>
          <cell r="B51" t="str">
            <v>GAMA AUTO AIRE, S.A. DE C.V.</v>
          </cell>
        </row>
        <row r="52">
          <cell r="A52" t="str">
            <v>99838-9</v>
          </cell>
          <cell r="B52" t="str">
            <v>DIRECCION GENERAL DE ESTADISTICAS Y CENSO</v>
          </cell>
        </row>
        <row r="53">
          <cell r="A53" t="str">
            <v>79816-9</v>
          </cell>
          <cell r="B53" t="str">
            <v>CITI INVERSIONES SA DE CV</v>
          </cell>
        </row>
        <row r="54">
          <cell r="A54" t="str">
            <v>189370-0</v>
          </cell>
          <cell r="B54" t="str">
            <v>ROBERTO ARMANDO BELTRAN VASQUEZ</v>
          </cell>
        </row>
        <row r="55">
          <cell r="A55" t="str">
            <v>111-1</v>
          </cell>
          <cell r="B55" t="str">
            <v>BOLSA DE VALORES DE EL SALVADOR, S.A. DE C.V.</v>
          </cell>
        </row>
        <row r="56">
          <cell r="A56" t="str">
            <v>111-2</v>
          </cell>
          <cell r="B56" t="str">
            <v>CITIBANK INTERNATIONAL PLC HUINGARY</v>
          </cell>
        </row>
        <row r="57">
          <cell r="A57" t="str">
            <v>0-2</v>
          </cell>
          <cell r="B57" t="str">
            <v>NO DOMICILIADOS</v>
          </cell>
        </row>
        <row r="58">
          <cell r="A58" t="str">
            <v>1110-0</v>
          </cell>
          <cell r="B58" t="str">
            <v>CITIBANK INTERNATIONAL LIMITED POLAND</v>
          </cell>
        </row>
        <row r="59">
          <cell r="A59" t="str">
            <v>85638-0</v>
          </cell>
          <cell r="B59" t="str">
            <v>DIMARTI SA DE CV</v>
          </cell>
        </row>
        <row r="60">
          <cell r="A60" t="str">
            <v>140973-9</v>
          </cell>
          <cell r="B60" t="str">
            <v>ENERGIA Y AIRE S.A DE C.V</v>
          </cell>
        </row>
        <row r="61">
          <cell r="A61" t="str">
            <v>250443-6</v>
          </cell>
          <cell r="B61" t="str">
            <v>INVERSIONES FINANCIERAS IMPERIA CUSCATLAN, SA</v>
          </cell>
        </row>
        <row r="62">
          <cell r="A62" t="str">
            <v>1674-8</v>
          </cell>
          <cell r="B62" t="str">
            <v xml:space="preserve">BANCO HIPOTECARIO DE EL SALVADOR SA </v>
          </cell>
        </row>
        <row r="63">
          <cell r="A63" t="str">
            <v>28-0</v>
          </cell>
          <cell r="B63" t="str">
            <v>O &amp; R MARKETING COMMUNICATIONS, S.A DE C.V.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iva"/>
      <sheetName val="Memo Rent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2">
          <cell r="A2" t="str">
            <v>0100</v>
          </cell>
          <cell r="B2" t="str">
            <v>CITI TECHNOLOGY INC</v>
          </cell>
        </row>
        <row r="3">
          <cell r="A3" t="str">
            <v>0101</v>
          </cell>
          <cell r="B3" t="str">
            <v>01279 CITIGROUP TECHNOLOGY INC</v>
          </cell>
        </row>
        <row r="4">
          <cell r="A4" t="str">
            <v>898</v>
          </cell>
          <cell r="B4" t="str">
            <v>CITIGROUP GLOBAL MARKETS INC</v>
          </cell>
        </row>
        <row r="5">
          <cell r="A5" t="str">
            <v>0-99</v>
          </cell>
          <cell r="B5" t="str">
            <v>ANULADO</v>
          </cell>
        </row>
        <row r="6">
          <cell r="A6" t="str">
            <v>115266-3</v>
          </cell>
          <cell r="B6" t="str">
            <v>ASOCIACION SALVADOREÑA DE INTERMEDIARIOS BURSATILES</v>
          </cell>
        </row>
        <row r="7">
          <cell r="A7" t="str">
            <v>123271-1</v>
          </cell>
          <cell r="B7" t="str">
            <v>FUMIGADORA Y FORMULADORA CAMPOS, S.A. DE C.V.</v>
          </cell>
        </row>
        <row r="8">
          <cell r="A8" t="str">
            <v>124482-0</v>
          </cell>
          <cell r="B8" t="str">
            <v>SISA VIDA, S.A. SEGUROS DE PERSONAS</v>
          </cell>
        </row>
        <row r="9">
          <cell r="A9" t="str">
            <v>1299-8</v>
          </cell>
          <cell r="B9" t="str">
            <v>TECNICA INTERNACIONAL, S.A. DE C.V.</v>
          </cell>
        </row>
        <row r="10">
          <cell r="A10" t="str">
            <v>130620-7</v>
          </cell>
          <cell r="B10" t="str">
            <v>ANY CRISTY ARGUMEDO CAMPOS</v>
          </cell>
        </row>
        <row r="11">
          <cell r="A11" t="str">
            <v>131885-3</v>
          </cell>
          <cell r="B11" t="str">
            <v>ACCE, S.A. DE C.V.</v>
          </cell>
        </row>
        <row r="12">
          <cell r="A12" t="str">
            <v>138130-3</v>
          </cell>
          <cell r="B12" t="str">
            <v>TECNASA ES, S.A. DE C.V.</v>
          </cell>
        </row>
        <row r="13">
          <cell r="A13" t="str">
            <v>141592-0</v>
          </cell>
          <cell r="B13" t="str">
            <v>INVERSIONES FINANCIERAS CITIBANK, S.A.</v>
          </cell>
        </row>
        <row r="14">
          <cell r="A14" t="str">
            <v>146-5</v>
          </cell>
          <cell r="B14" t="str">
            <v>BANCO CUSCATLAN DE EL SALVADOR S.A.</v>
          </cell>
        </row>
        <row r="15">
          <cell r="A15" t="str">
            <v>157889-5</v>
          </cell>
          <cell r="B15" t="str">
            <v>OPERADORES LOGISTICOS RANSA, S.A. DE C.V.</v>
          </cell>
        </row>
        <row r="16">
          <cell r="A16" t="str">
            <v>166238-2</v>
          </cell>
          <cell r="B16" t="str">
            <v>MARIA MARTHA DELGADO MOLINA</v>
          </cell>
        </row>
        <row r="17">
          <cell r="A17" t="str">
            <v>168981-2</v>
          </cell>
          <cell r="B17" t="str">
            <v>MAILROOM EXPRESS, S.A. DE C.V.</v>
          </cell>
        </row>
        <row r="18">
          <cell r="A18" t="str">
            <v>177442-5</v>
          </cell>
          <cell r="B18" t="str">
            <v>DATAPRINT DE EL SALVADOR, S.A. DE C.V.</v>
          </cell>
        </row>
        <row r="19">
          <cell r="A19" t="str">
            <v>183732-4</v>
          </cell>
          <cell r="B19" t="str">
            <v>JONES LANG LASALLE, S.A. DE C.V.</v>
          </cell>
        </row>
        <row r="20">
          <cell r="A20" t="str">
            <v>197562-7</v>
          </cell>
          <cell r="B20" t="str">
            <v>JUAN ANTONIO LEWIN GOTUZZO</v>
          </cell>
        </row>
        <row r="21">
          <cell r="A21" t="str">
            <v>201777-8</v>
          </cell>
          <cell r="B21" t="str">
            <v>MANTENIMIENTO DE JARDINERIA, S.A. DE C.V.</v>
          </cell>
        </row>
        <row r="22">
          <cell r="A22" t="str">
            <v>206372-1</v>
          </cell>
          <cell r="B22" t="str">
            <v>EMPAQUES FINOS E IMPRESOS, S.A. DE C.V.</v>
          </cell>
        </row>
        <row r="23">
          <cell r="A23" t="str">
            <v>213-5</v>
          </cell>
          <cell r="B23" t="str">
            <v>SEGUROS E INVERSIONES, S.A DE C.V.</v>
          </cell>
        </row>
        <row r="24">
          <cell r="A24" t="str">
            <v>23175-4</v>
          </cell>
          <cell r="B24" t="str">
            <v>TELEMOVIL EL SALVADOR, S.A</v>
          </cell>
        </row>
        <row r="25">
          <cell r="A25" t="str">
            <v>27287-6</v>
          </cell>
          <cell r="B25" t="str">
            <v>KPMG, S.A.</v>
          </cell>
        </row>
        <row r="26">
          <cell r="A26" t="str">
            <v>30373-9</v>
          </cell>
          <cell r="B26" t="str">
            <v>ACCIONES Y VALORES, S.A. DE C.V.</v>
          </cell>
        </row>
        <row r="27">
          <cell r="A27" t="str">
            <v>88004-3</v>
          </cell>
          <cell r="B27" t="str">
            <v>COMUNICACIÓN CREATIVA SA DE CV</v>
          </cell>
        </row>
        <row r="28">
          <cell r="A28" t="str">
            <v>33712-9</v>
          </cell>
          <cell r="B28" t="str">
            <v>PRAKIN, S,A, DE C,V,</v>
          </cell>
        </row>
        <row r="29">
          <cell r="A29" t="str">
            <v>3945-4</v>
          </cell>
          <cell r="B29" t="str">
            <v>CITITARJETAS DE EL SALVADOR, S.A.</v>
          </cell>
        </row>
        <row r="30">
          <cell r="A30" t="str">
            <v>40522-1</v>
          </cell>
          <cell r="B30" t="str">
            <v>INVERSIONES DE SALUD, S.A. DE C.V.</v>
          </cell>
        </row>
        <row r="31">
          <cell r="A31" t="str">
            <v>4208-0</v>
          </cell>
          <cell r="B31" t="str">
            <v>ESCOTO, S.A. DE C.V.</v>
          </cell>
        </row>
        <row r="32">
          <cell r="A32" t="str">
            <v>49030-0</v>
          </cell>
          <cell r="B32" t="str">
            <v>GUSTAVO ARGUETA RIVAS</v>
          </cell>
        </row>
        <row r="33">
          <cell r="A33" t="str">
            <v>51-5</v>
          </cell>
          <cell r="B33" t="str">
            <v>R.R. DONNELLEY DE EL SALVADOR, S.A. DE C.V.</v>
          </cell>
        </row>
        <row r="34">
          <cell r="A34" t="str">
            <v>5305-8</v>
          </cell>
          <cell r="B34" t="str">
            <v>CLUB SALINITAS, S.A. DE C.V.</v>
          </cell>
        </row>
        <row r="35">
          <cell r="A35" t="str">
            <v>552-5</v>
          </cell>
          <cell r="B35" t="str">
            <v>BANCO AGRICOLA, S.A.</v>
          </cell>
        </row>
        <row r="36">
          <cell r="A36" t="str">
            <v>589-4</v>
          </cell>
          <cell r="B36" t="str">
            <v>CITIBANK, N.A. SUCURSAL EL SALVADOR</v>
          </cell>
        </row>
        <row r="37">
          <cell r="A37" t="str">
            <v>627-0</v>
          </cell>
          <cell r="B37" t="str">
            <v>BOLSA DE VALORES DE EL SALVADOR, S.A. DE C.V.</v>
          </cell>
        </row>
        <row r="38">
          <cell r="A38" t="str">
            <v>71253-1</v>
          </cell>
          <cell r="B38" t="str">
            <v>OFIXPRES, S.A. DE C.V.</v>
          </cell>
        </row>
        <row r="39">
          <cell r="A39" t="str">
            <v>73208-7</v>
          </cell>
          <cell r="B39" t="str">
            <v>CLINICA DE RAXOS X BRITO MEJIA PEÑA, S.A. DE C.V.</v>
          </cell>
        </row>
        <row r="40">
          <cell r="A40" t="str">
            <v>74789-0</v>
          </cell>
          <cell r="B40" t="str">
            <v>JUAN ANTONIO NUNFIO</v>
          </cell>
        </row>
        <row r="41">
          <cell r="A41" t="str">
            <v>77122-8</v>
          </cell>
          <cell r="B41" t="str">
            <v>ENMANUEL, S.A. DE C.V.</v>
          </cell>
        </row>
        <row r="42">
          <cell r="A42" t="str">
            <v>70907-7</v>
          </cell>
          <cell r="B42" t="str">
            <v xml:space="preserve">BUFETE MOLINA ZUNIGA </v>
          </cell>
        </row>
        <row r="43">
          <cell r="A43" t="str">
            <v>77485-5</v>
          </cell>
          <cell r="B43" t="str">
            <v>CENTRAL DE DEPOSITO DE VALORES, S.A. DE C.V.</v>
          </cell>
        </row>
        <row r="44">
          <cell r="A44" t="str">
            <v>78319-6</v>
          </cell>
          <cell r="B44" t="str">
            <v>PROFESIONALES EN SERVICIOS, S.A. DE C.V.</v>
          </cell>
        </row>
        <row r="45">
          <cell r="A45" t="str">
            <v>82136-5</v>
          </cell>
          <cell r="B45" t="str">
            <v>BIANCHI &amp; ASOCIADOS, S.A. DE C.V.</v>
          </cell>
        </row>
        <row r="46">
          <cell r="A46" t="str">
            <v>82136-5</v>
          </cell>
          <cell r="B46" t="str">
            <v>OGILVY BIANCHI &amp; ASOCIADOS, S.A. DE C.V.</v>
          </cell>
        </row>
        <row r="47">
          <cell r="A47" t="str">
            <v>83701-6</v>
          </cell>
          <cell r="B47" t="str">
            <v>LIMPIEZAS Y SERVICIOS PROFESIONALES, S.A. DE C.V.</v>
          </cell>
        </row>
        <row r="48">
          <cell r="A48" t="str">
            <v>88189-9</v>
          </cell>
          <cell r="B48" t="str">
            <v>ENERGIA TOTAL, S.A. DE C.V.</v>
          </cell>
        </row>
        <row r="49">
          <cell r="A49" t="str">
            <v>98207-5</v>
          </cell>
          <cell r="B49" t="str">
            <v>SUPLIDORA DE EQUIPOS Y SERVICIO, S.A. DE C.V.</v>
          </cell>
        </row>
        <row r="50">
          <cell r="A50" t="str">
            <v>9861-2</v>
          </cell>
          <cell r="B50" t="str">
            <v>GOCHEZ RODRIGUEZ ANGEL RICARDO</v>
          </cell>
        </row>
        <row r="51">
          <cell r="A51" t="str">
            <v>99126-0</v>
          </cell>
          <cell r="B51" t="str">
            <v>GAMA AUTO AIRE, S.A. DE C.V.</v>
          </cell>
        </row>
        <row r="52">
          <cell r="A52" t="str">
            <v>99838-9</v>
          </cell>
          <cell r="B52" t="str">
            <v>DIRECCION GENERAL DE ESTADISTICAS Y CENSO</v>
          </cell>
        </row>
        <row r="53">
          <cell r="A53" t="str">
            <v>79816-9</v>
          </cell>
          <cell r="B53" t="str">
            <v>CITI INVERSIONES SA DE CV</v>
          </cell>
        </row>
        <row r="54">
          <cell r="A54" t="str">
            <v>189370-0</v>
          </cell>
          <cell r="B54" t="str">
            <v>ROBERTO ARMANDO BELTRAN VASQUEZ</v>
          </cell>
        </row>
        <row r="55">
          <cell r="A55" t="str">
            <v>111-1</v>
          </cell>
          <cell r="B55" t="str">
            <v>BOLSA DE VALORES DE EL SALVADOR, S.A. DE C.V.</v>
          </cell>
        </row>
        <row r="56">
          <cell r="A56" t="str">
            <v>111-2</v>
          </cell>
          <cell r="B56" t="str">
            <v>CITIBANK INTERNATIONAL PLC HUINGARY</v>
          </cell>
        </row>
        <row r="57">
          <cell r="A57" t="str">
            <v>0-2</v>
          </cell>
          <cell r="B57" t="str">
            <v>NO DOMICILIADOS</v>
          </cell>
        </row>
        <row r="58">
          <cell r="A58" t="str">
            <v>1110-0</v>
          </cell>
          <cell r="B58" t="str">
            <v>CITIBANK INTERNATIONAL LIMITED POLAND</v>
          </cell>
        </row>
        <row r="59">
          <cell r="A59" t="str">
            <v>85638-0</v>
          </cell>
          <cell r="B59" t="str">
            <v>DIMARTI SA DE CV</v>
          </cell>
        </row>
        <row r="60">
          <cell r="A60" t="str">
            <v>140973-9</v>
          </cell>
          <cell r="B60" t="str">
            <v>ENERGIA Y AIRE S.A DE C.V</v>
          </cell>
        </row>
        <row r="61">
          <cell r="A61" t="str">
            <v>250443-6</v>
          </cell>
          <cell r="B61" t="str">
            <v>INVERSIONES FINANCIERAS IMPERIA CUSCATLAN, SA</v>
          </cell>
        </row>
        <row r="62">
          <cell r="A62" t="str">
            <v>1674-8</v>
          </cell>
          <cell r="B62" t="str">
            <v xml:space="preserve">BANCO HIPOTECARIO DE EL SALVADOR SA </v>
          </cell>
        </row>
        <row r="63">
          <cell r="A63" t="str">
            <v>28-0</v>
          </cell>
          <cell r="B63" t="str">
            <v>O &amp; R MARKETING COMMUNICATIONS, S.A DE C.V.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COMPRAS"/>
      <sheetName val="CONSUMIDORES"/>
      <sheetName val="CONTRIBUYENTES"/>
      <sheetName val="reportes consumidor final"/>
      <sheetName val="Ventas CCF"/>
      <sheetName val="Integracion "/>
      <sheetName val="1%"/>
      <sheetName val="13%"/>
      <sheetName val="Renta"/>
      <sheetName val="memo iva"/>
      <sheetName val="Memo Rent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 t="str">
            <v>0100</v>
          </cell>
          <cell r="B2" t="str">
            <v>CITI TECHNOLOGY INC</v>
          </cell>
        </row>
        <row r="3">
          <cell r="A3" t="str">
            <v>0101</v>
          </cell>
          <cell r="B3" t="str">
            <v>01279 CITIGROUP TECHNOLOGY INC</v>
          </cell>
        </row>
        <row r="4">
          <cell r="A4" t="str">
            <v>898</v>
          </cell>
          <cell r="B4" t="str">
            <v>CITIGROUP GLOBAL MARKETS INC</v>
          </cell>
        </row>
        <row r="5">
          <cell r="A5" t="str">
            <v>0-99</v>
          </cell>
          <cell r="B5" t="str">
            <v>ANULADO</v>
          </cell>
        </row>
        <row r="6">
          <cell r="A6" t="str">
            <v>115266-3</v>
          </cell>
          <cell r="B6" t="str">
            <v>ASOCIACION SALVADOREÑA DE INTERMEDIARIOS BURSATILES</v>
          </cell>
        </row>
        <row r="7">
          <cell r="A7" t="str">
            <v>123271-1</v>
          </cell>
          <cell r="B7" t="str">
            <v>FUMIGADORA Y FORMULADORA CAMPOS, S.A. DE C.V.</v>
          </cell>
        </row>
        <row r="8">
          <cell r="A8" t="str">
            <v>124482-0</v>
          </cell>
          <cell r="B8" t="str">
            <v>SISA VIDA, S.A. SEGUROS DE PERSONAS</v>
          </cell>
        </row>
        <row r="9">
          <cell r="A9" t="str">
            <v>1299-8</v>
          </cell>
          <cell r="B9" t="str">
            <v>TECNICA INTERNACIONAL, S.A. DE C.V.</v>
          </cell>
        </row>
        <row r="10">
          <cell r="A10" t="str">
            <v>130620-7</v>
          </cell>
          <cell r="B10" t="str">
            <v>ANY CRISTY ARGUMEDO CAMPOS</v>
          </cell>
        </row>
        <row r="11">
          <cell r="A11" t="str">
            <v>131885-3</v>
          </cell>
          <cell r="B11" t="str">
            <v>ACCE, S.A. DE C.V.</v>
          </cell>
        </row>
        <row r="12">
          <cell r="A12" t="str">
            <v>138130-3</v>
          </cell>
          <cell r="B12" t="str">
            <v>TECNASA ES, S.A. DE C.V.</v>
          </cell>
        </row>
        <row r="13">
          <cell r="A13" t="str">
            <v>141592-0</v>
          </cell>
          <cell r="B13" t="str">
            <v>INVERSIONES FINANCIERAS CITIBANK, S.A.</v>
          </cell>
        </row>
        <row r="14">
          <cell r="A14" t="str">
            <v>146-5</v>
          </cell>
          <cell r="B14" t="str">
            <v>BANCO CUSCATLAN DE EL SALVADOR S.A.</v>
          </cell>
        </row>
        <row r="15">
          <cell r="A15" t="str">
            <v>157889-5</v>
          </cell>
          <cell r="B15" t="str">
            <v>OPERADORES LOGISTICOS RANSA, S.A. DE C.V.</v>
          </cell>
        </row>
        <row r="16">
          <cell r="A16" t="str">
            <v>166238-2</v>
          </cell>
          <cell r="B16" t="str">
            <v>MARIA MARTHA DELGADO MOLINA</v>
          </cell>
        </row>
        <row r="17">
          <cell r="A17" t="str">
            <v>168981-2</v>
          </cell>
          <cell r="B17" t="str">
            <v>MAILROOM EXPRESS, S.A. DE C.V.</v>
          </cell>
        </row>
        <row r="18">
          <cell r="A18" t="str">
            <v>177442-5</v>
          </cell>
          <cell r="B18" t="str">
            <v>DATAPRINT DE EL SALVADOR, S.A. DE C.V.</v>
          </cell>
        </row>
        <row r="19">
          <cell r="A19" t="str">
            <v>183732-4</v>
          </cell>
          <cell r="B19" t="str">
            <v>JONES LANG LASALLE, S.A. DE C.V.</v>
          </cell>
        </row>
        <row r="20">
          <cell r="A20" t="str">
            <v>197562-7</v>
          </cell>
          <cell r="B20" t="str">
            <v>JUAN ANTONIO LEWIN GOTUZZO</v>
          </cell>
        </row>
        <row r="21">
          <cell r="A21" t="str">
            <v>201777-8</v>
          </cell>
          <cell r="B21" t="str">
            <v>MANTENIMIENTO DE JARDINERIA, S.A. DE C.V.</v>
          </cell>
        </row>
        <row r="22">
          <cell r="A22" t="str">
            <v>206372-1</v>
          </cell>
          <cell r="B22" t="str">
            <v>EMPAQUES FINOS E IMPRESOS, S.A. DE C.V.</v>
          </cell>
        </row>
        <row r="23">
          <cell r="A23" t="str">
            <v>213-5</v>
          </cell>
          <cell r="B23" t="str">
            <v>SEGUROS E INVERSIONES, S.A DE C.V.</v>
          </cell>
        </row>
        <row r="24">
          <cell r="A24" t="str">
            <v>23175-4</v>
          </cell>
          <cell r="B24" t="str">
            <v>TELEMOVIL EL SALVADOR, S.A</v>
          </cell>
        </row>
        <row r="25">
          <cell r="A25" t="str">
            <v>27287-6</v>
          </cell>
          <cell r="B25" t="str">
            <v>KPMG, S.A.</v>
          </cell>
        </row>
        <row r="26">
          <cell r="A26" t="str">
            <v>30373-9</v>
          </cell>
          <cell r="B26" t="str">
            <v>ACCIONES Y VALORES, S.A. DE C.V.</v>
          </cell>
        </row>
        <row r="27">
          <cell r="A27" t="str">
            <v>88004-3</v>
          </cell>
          <cell r="B27" t="str">
            <v>COMUNICACIÓN CREATIVA SA DE CV</v>
          </cell>
        </row>
        <row r="28">
          <cell r="A28" t="str">
            <v>33712-9</v>
          </cell>
          <cell r="B28" t="str">
            <v>PRAKIN, S,A, DE C,V,</v>
          </cell>
        </row>
        <row r="29">
          <cell r="A29" t="str">
            <v>3945-4</v>
          </cell>
          <cell r="B29" t="str">
            <v>CITITARJETAS DE EL SALVADOR, S.A.</v>
          </cell>
        </row>
        <row r="30">
          <cell r="A30" t="str">
            <v>40522-1</v>
          </cell>
          <cell r="B30" t="str">
            <v>INVERSIONES DE SALUD, S.A. DE C.V.</v>
          </cell>
        </row>
        <row r="31">
          <cell r="A31" t="str">
            <v>4208-0</v>
          </cell>
          <cell r="B31" t="str">
            <v>ESCOTO, S.A. DE C.V.</v>
          </cell>
        </row>
        <row r="32">
          <cell r="A32" t="str">
            <v>49030-0</v>
          </cell>
          <cell r="B32" t="str">
            <v>GUSTAVO ARGUETA RIVAS</v>
          </cell>
        </row>
        <row r="33">
          <cell r="A33" t="str">
            <v>51-5</v>
          </cell>
          <cell r="B33" t="str">
            <v>R.R. DONNELLEY DE EL SALVADOR, S.A. DE C.V.</v>
          </cell>
        </row>
        <row r="34">
          <cell r="A34" t="str">
            <v>5305-8</v>
          </cell>
          <cell r="B34" t="str">
            <v>CLUB SALINITAS, S.A. DE C.V.</v>
          </cell>
        </row>
        <row r="35">
          <cell r="A35" t="str">
            <v>552-5</v>
          </cell>
          <cell r="B35" t="str">
            <v>BANCO AGRICOLA, S.A.</v>
          </cell>
        </row>
        <row r="36">
          <cell r="A36" t="str">
            <v>589-4</v>
          </cell>
          <cell r="B36" t="str">
            <v>CITIBANK, N.A. SUCURSAL EL SALVADOR</v>
          </cell>
        </row>
        <row r="37">
          <cell r="A37" t="str">
            <v>627-0</v>
          </cell>
          <cell r="B37" t="str">
            <v>BOLSA DE VALORES DE EL SALVADOR, S.A. DE C.V.</v>
          </cell>
        </row>
        <row r="38">
          <cell r="A38" t="str">
            <v>71253-1</v>
          </cell>
          <cell r="B38" t="str">
            <v>OFIXPRES, S.A. DE C.V.</v>
          </cell>
        </row>
        <row r="39">
          <cell r="A39" t="str">
            <v>73208-7</v>
          </cell>
          <cell r="B39" t="str">
            <v>CLINICA DE RAXOS X BRITO MEJIA PEÑA, S.A. DE C.V.</v>
          </cell>
        </row>
        <row r="40">
          <cell r="A40" t="str">
            <v>74789-0</v>
          </cell>
          <cell r="B40" t="str">
            <v>JUAN ANTONIO NUNFIO</v>
          </cell>
        </row>
        <row r="41">
          <cell r="A41" t="str">
            <v>77122-8</v>
          </cell>
          <cell r="B41" t="str">
            <v>ENMANUEL, S.A. DE C.V.</v>
          </cell>
        </row>
        <row r="42">
          <cell r="A42" t="str">
            <v>70907-7</v>
          </cell>
          <cell r="B42" t="str">
            <v xml:space="preserve">BUFETE MOLINA ZUNIGA </v>
          </cell>
        </row>
        <row r="43">
          <cell r="A43" t="str">
            <v>77485-5</v>
          </cell>
          <cell r="B43" t="str">
            <v>CENTRAL DE DEPOSITO DE VALORES, S.A. DE C.V.</v>
          </cell>
        </row>
        <row r="44">
          <cell r="A44" t="str">
            <v>78319-6</v>
          </cell>
          <cell r="B44" t="str">
            <v>PROFESIONALES EN SERVICIOS, S.A. DE C.V.</v>
          </cell>
        </row>
        <row r="45">
          <cell r="A45" t="str">
            <v>82136-5</v>
          </cell>
          <cell r="B45" t="str">
            <v>BIANCHI &amp; ASOCIADOS, S.A. DE C.V.</v>
          </cell>
        </row>
        <row r="46">
          <cell r="A46" t="str">
            <v>82136-5</v>
          </cell>
          <cell r="B46" t="str">
            <v>OGILVY BIANCHI &amp; ASOCIADOS, S.A. DE C.V.</v>
          </cell>
        </row>
        <row r="47">
          <cell r="A47" t="str">
            <v>83701-6</v>
          </cell>
          <cell r="B47" t="str">
            <v>LIMPIEZAS Y SERVICIOS PROFESIONALES, S.A. DE C.V.</v>
          </cell>
        </row>
        <row r="48">
          <cell r="A48" t="str">
            <v>88189-9</v>
          </cell>
          <cell r="B48" t="str">
            <v>ENERGIA TOTAL, S.A. DE C.V.</v>
          </cell>
        </row>
        <row r="49">
          <cell r="A49" t="str">
            <v>98207-5</v>
          </cell>
          <cell r="B49" t="str">
            <v>SUPLIDORA DE EQUIPOS Y SERVICIO, S.A. DE C.V.</v>
          </cell>
        </row>
        <row r="50">
          <cell r="A50" t="str">
            <v>9861-2</v>
          </cell>
          <cell r="B50" t="str">
            <v>GOCHEZ RODRIGUEZ ANGEL RICARDO</v>
          </cell>
        </row>
        <row r="51">
          <cell r="A51" t="str">
            <v>99126-0</v>
          </cell>
          <cell r="B51" t="str">
            <v>GAMA AUTO AIRE, S.A. DE C.V.</v>
          </cell>
        </row>
        <row r="52">
          <cell r="A52" t="str">
            <v>99838-9</v>
          </cell>
          <cell r="B52" t="str">
            <v>DIRECCION GENERAL DE ESTADISTICAS Y CENSO</v>
          </cell>
        </row>
        <row r="53">
          <cell r="A53" t="str">
            <v>79816-9</v>
          </cell>
          <cell r="B53" t="str">
            <v>CITI INVERSIONES SA DE CV</v>
          </cell>
        </row>
        <row r="54">
          <cell r="A54" t="str">
            <v>189370-0</v>
          </cell>
          <cell r="B54" t="str">
            <v>ROBERTO ARMANDO BELTRAN VASQUEZ</v>
          </cell>
        </row>
        <row r="55">
          <cell r="A55" t="str">
            <v>111-1</v>
          </cell>
          <cell r="B55" t="str">
            <v>BOLSA DE VALORES DE EL SALVADOR, S.A. DE C.V.</v>
          </cell>
        </row>
        <row r="56">
          <cell r="A56" t="str">
            <v>111-2</v>
          </cell>
          <cell r="B56" t="str">
            <v>CITIBANK INTERNATIONAL PLC HUINGARY</v>
          </cell>
        </row>
        <row r="57">
          <cell r="A57" t="str">
            <v>0-2</v>
          </cell>
          <cell r="B57" t="str">
            <v>NO DOMICILIADOS</v>
          </cell>
        </row>
        <row r="58">
          <cell r="A58" t="str">
            <v>1110-0</v>
          </cell>
          <cell r="B58" t="str">
            <v>CITIBANK INTERNATIONAL LIMITED POLAND</v>
          </cell>
        </row>
        <row r="59">
          <cell r="A59" t="str">
            <v>85638-0</v>
          </cell>
          <cell r="B59" t="str">
            <v>DIMARTI SA DE CV</v>
          </cell>
        </row>
        <row r="60">
          <cell r="A60" t="str">
            <v>140973-9</v>
          </cell>
          <cell r="B60" t="str">
            <v>ENERGIA Y AIRE S.A DE C.V</v>
          </cell>
        </row>
        <row r="61">
          <cell r="A61" t="str">
            <v>250443-6</v>
          </cell>
          <cell r="B61" t="str">
            <v>INVERSIONES FINANCIERAS IMPERIA CUSCATLAN, SA</v>
          </cell>
        </row>
        <row r="62">
          <cell r="A62" t="str">
            <v>1674-8</v>
          </cell>
          <cell r="B62" t="str">
            <v xml:space="preserve">BANCO HIPOTECARIO DE EL SALVADOR SA </v>
          </cell>
        </row>
        <row r="63">
          <cell r="A63" t="str">
            <v>28-0</v>
          </cell>
          <cell r="B63" t="str">
            <v>O &amp; R MARKETING COMMUNICATIONS, S.A DE C.V.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COMPRAS"/>
      <sheetName val="CONSUMIDORES"/>
      <sheetName val="CONTRIBUYENTES"/>
      <sheetName val="13%"/>
      <sheetName val="Renta"/>
      <sheetName val="Integracion "/>
      <sheetName val="1%"/>
      <sheetName val="memo iva"/>
      <sheetName val="Memo Renta"/>
    </sheetNames>
    <sheetDataSet>
      <sheetData sheetId="0">
        <row r="1">
          <cell r="B1" t="str">
            <v>NOMBRE</v>
          </cell>
        </row>
        <row r="2">
          <cell r="B2" t="str">
            <v>CITI TECHNOLOGY INC</v>
          </cell>
        </row>
        <row r="3">
          <cell r="B3" t="str">
            <v>01279 CITIGROUP TECHNOLOGY INC</v>
          </cell>
        </row>
        <row r="4">
          <cell r="B4" t="str">
            <v>CITIGROUP GLOBAL MARKETS INC</v>
          </cell>
        </row>
        <row r="5">
          <cell r="B5" t="str">
            <v>ANULADO</v>
          </cell>
          <cell r="C5" t="str">
            <v>ANULADO</v>
          </cell>
        </row>
        <row r="6">
          <cell r="B6" t="str">
            <v>ASOCIACION SALVADOREÑA DE INTERMEDIARIOS BURSATILES</v>
          </cell>
          <cell r="C6" t="str">
            <v>0614-270494-106-5</v>
          </cell>
        </row>
        <row r="7">
          <cell r="B7" t="str">
            <v>FUMIGADORA Y FORMULADORA CAMPOS, S.A. DE C.V.</v>
          </cell>
        </row>
        <row r="8">
          <cell r="B8" t="str">
            <v>SISA VIDA, S.A. SEGUROS DE PERSONAS</v>
          </cell>
        </row>
        <row r="9">
          <cell r="B9" t="str">
            <v>TECNICA INTERNACIONAL, S.A. DE C.V.</v>
          </cell>
        </row>
        <row r="10">
          <cell r="B10" t="str">
            <v>ANY CRISTY ARGUMEDO CAMPOS</v>
          </cell>
        </row>
        <row r="11">
          <cell r="B11" t="str">
            <v>ACCE, S.A. DE C.V.</v>
          </cell>
          <cell r="C11" t="str">
            <v>0614-130601-103-5</v>
          </cell>
        </row>
        <row r="12">
          <cell r="B12" t="str">
            <v>TECNASA ES, S.A. DE C.V.</v>
          </cell>
        </row>
        <row r="13">
          <cell r="B13" t="str">
            <v>INVERSIONES FINANCIERAS CITIBANK, S.A.</v>
          </cell>
        </row>
        <row r="14">
          <cell r="B14" t="str">
            <v>BANCO CUSCATLAN DE EL SALVADOR S.A.</v>
          </cell>
        </row>
        <row r="15">
          <cell r="B15" t="str">
            <v>OPERADORES LOGISTICOS RANSA, S.A. DE C.V.</v>
          </cell>
          <cell r="C15" t="str">
            <v>0614-240604-106-0</v>
          </cell>
        </row>
        <row r="16">
          <cell r="B16" t="str">
            <v>MARIA MARTHA DELGADO MOLINA</v>
          </cell>
        </row>
        <row r="17">
          <cell r="B17" t="str">
            <v>MAILROOM EXPRESS, S.A. DE C.V.</v>
          </cell>
        </row>
        <row r="18">
          <cell r="B18" t="str">
            <v>DATAPRINT DE EL SALVADOR, S.A. DE C.V.</v>
          </cell>
        </row>
        <row r="19">
          <cell r="B19" t="str">
            <v>JONES LANG LASALLE, S.A. DE C.V.</v>
          </cell>
        </row>
        <row r="20">
          <cell r="B20" t="str">
            <v>JUAN ANTONIO LEWIN GOTUZZO</v>
          </cell>
        </row>
        <row r="21">
          <cell r="B21" t="str">
            <v>MANTENIMIENTO DE JARDINERIA, S.A. DE C.V.</v>
          </cell>
        </row>
        <row r="22">
          <cell r="B22" t="str">
            <v>EMPAQUES FINOS E IMPRESOS, S.A. DE C.V.</v>
          </cell>
        </row>
        <row r="23">
          <cell r="B23" t="str">
            <v>SEGUROS E INVERSIONES, S.A DE C.V.</v>
          </cell>
        </row>
        <row r="24">
          <cell r="B24" t="str">
            <v>TELEMOVIL EL SALVADOR, S.A</v>
          </cell>
        </row>
        <row r="25">
          <cell r="B25" t="str">
            <v>KPMG, S.A.</v>
          </cell>
          <cell r="C25" t="str">
            <v>0614-280483-002-2</v>
          </cell>
        </row>
        <row r="26">
          <cell r="B26" t="str">
            <v>ACCIONES Y VALORES, S.A. DE C.V.</v>
          </cell>
        </row>
        <row r="27">
          <cell r="B27" t="str">
            <v>COMUNICACIÓN CREATIVA SA DE CV</v>
          </cell>
          <cell r="C27" t="str">
            <v>0614-070995-104-0</v>
          </cell>
        </row>
        <row r="28">
          <cell r="B28" t="str">
            <v>PRAKIN, S,A, DE C,V,</v>
          </cell>
        </row>
        <row r="29">
          <cell r="B29" t="str">
            <v>CITITARJETAS DE EL SALVADOR, S.A.</v>
          </cell>
        </row>
        <row r="30">
          <cell r="B30" t="str">
            <v>INVERSIONES DE SALUD, S.A. DE C.V.</v>
          </cell>
        </row>
        <row r="31">
          <cell r="B31" t="str">
            <v>ESCOTO, S.A. DE C.V.</v>
          </cell>
        </row>
        <row r="32">
          <cell r="B32" t="str">
            <v>GUSTAVO ARGUETA RIVAS</v>
          </cell>
        </row>
        <row r="33">
          <cell r="B33" t="str">
            <v>R.R. DONNELLEY DE EL SALVADOR, S.A. DE C.V.</v>
          </cell>
        </row>
        <row r="34">
          <cell r="B34" t="str">
            <v>CLUB SALINITAS, S.A. DE C.V.</v>
          </cell>
        </row>
        <row r="35">
          <cell r="B35" t="str">
            <v>BANCO AGRICOLA, S.A.</v>
          </cell>
        </row>
        <row r="36">
          <cell r="B36" t="str">
            <v>CITIBANK, N.A. SUCURSAL EL SALVADOR</v>
          </cell>
        </row>
        <row r="37">
          <cell r="B37" t="str">
            <v>BOLSA DE VALORES DE EL SALVADOR, S.A. DE C.V.</v>
          </cell>
        </row>
        <row r="38">
          <cell r="B38" t="str">
            <v>OFIXPRES, S.A. DE C.V.</v>
          </cell>
        </row>
        <row r="39">
          <cell r="B39" t="str">
            <v>CLINICA DE RAXOS X BRITO MEJIA PEÑA, S.A. DE C.V.</v>
          </cell>
        </row>
        <row r="40">
          <cell r="B40" t="str">
            <v>JUAN ANTONIO NUNFIO</v>
          </cell>
        </row>
        <row r="41">
          <cell r="B41" t="str">
            <v>ENMANUEL, S.A. DE C.V.</v>
          </cell>
        </row>
        <row r="42">
          <cell r="B42" t="str">
            <v xml:space="preserve">BUFETE MOLINA ZUNIGA </v>
          </cell>
        </row>
        <row r="43">
          <cell r="B43" t="str">
            <v>CENTRAL DE DEPOSITO DE VALORES, S.A. DE C.V.</v>
          </cell>
          <cell r="C43" t="str">
            <v>0614-110194-103-0</v>
          </cell>
        </row>
        <row r="44">
          <cell r="B44" t="str">
            <v>PROFESIONALES EN SERVICIOS, S.A. DE C.V.</v>
          </cell>
        </row>
        <row r="45">
          <cell r="B45" t="str">
            <v>BIANCHI &amp; ASOCIADOS, S.A. DE C.V.</v>
          </cell>
        </row>
        <row r="46">
          <cell r="B46" t="str">
            <v>OGILVY BIANCHI &amp; ASOCIADOS, S.A. DE C.V.</v>
          </cell>
        </row>
        <row r="47">
          <cell r="B47" t="str">
            <v>LIMPIEZAS Y SERVICIOS PROFESIONALES, S.A. DE C.V.</v>
          </cell>
        </row>
        <row r="48">
          <cell r="B48" t="str">
            <v>ENERGIA TOTAL, S.A. DE C.V.</v>
          </cell>
        </row>
        <row r="49">
          <cell r="B49" t="str">
            <v>SUPLIDORA DE EQUIPOS Y SERVICIO, S.A. DE C.V.</v>
          </cell>
        </row>
        <row r="50">
          <cell r="B50" t="str">
            <v>GOCHEZ RODRIGUEZ ANGEL RICARDO</v>
          </cell>
        </row>
        <row r="51">
          <cell r="B51" t="str">
            <v>GAMA AUTO AIRE, S.A. DE C.V.</v>
          </cell>
        </row>
        <row r="52">
          <cell r="B52" t="str">
            <v>DIRECCION GENERAL DE ESTADISTICAS Y CENSO</v>
          </cell>
        </row>
        <row r="53">
          <cell r="B53" t="str">
            <v>CITI INVERSIONES SA DE CV</v>
          </cell>
        </row>
        <row r="54">
          <cell r="B54" t="str">
            <v>ROBERTO ARMANDO BELTRAN VASQUEZ</v>
          </cell>
          <cell r="C54" t="str">
            <v>0805-280574-101-4</v>
          </cell>
        </row>
        <row r="55">
          <cell r="B55" t="str">
            <v>BOLSA DE VALORES DE EL SALVADOR, S.A. DE C.V.</v>
          </cell>
        </row>
        <row r="56">
          <cell r="B56" t="str">
            <v>CITIBANK INTERNATIONAL PLC HUINGARY</v>
          </cell>
        </row>
        <row r="57">
          <cell r="B57" t="str">
            <v>NO DOMICILIADOS</v>
          </cell>
          <cell r="C57" t="str">
            <v>NO DOMICILIADOS</v>
          </cell>
        </row>
        <row r="58">
          <cell r="B58" t="str">
            <v>CITIBANK INTERNATIONAL LIMITED POLAND</v>
          </cell>
        </row>
        <row r="59">
          <cell r="B59" t="str">
            <v>DIMARTI SA DE CV</v>
          </cell>
          <cell r="C59" t="str">
            <v>0614-180595-102-2</v>
          </cell>
        </row>
        <row r="60">
          <cell r="B60" t="str">
            <v>ENERGIA Y AIRE S.A DE C.V</v>
          </cell>
          <cell r="C60" t="str">
            <v>0614-200302-104-2</v>
          </cell>
        </row>
        <row r="61">
          <cell r="B61" t="str">
            <v>INVERSIONES FINANCIERAS IMPERIA CUSCATLAN, SA</v>
          </cell>
          <cell r="C61" t="str">
            <v>0614-200516-102-0</v>
          </cell>
        </row>
        <row r="62">
          <cell r="B62" t="str">
            <v xml:space="preserve">BANCO HIPOTECARIO DE EL SALVADOR SA </v>
          </cell>
          <cell r="C62" t="str">
            <v>0614-290135-001-1</v>
          </cell>
        </row>
        <row r="63">
          <cell r="B63" t="str">
            <v>O &amp; R MARKETING COMMUNICATIONS, S.A DE C.V.</v>
          </cell>
          <cell r="C63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iva"/>
      <sheetName val="Memo Rent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 t="str">
            <v>0100</v>
          </cell>
          <cell r="B2" t="str">
            <v>CITI TECHNOLOGY INC</v>
          </cell>
        </row>
        <row r="3">
          <cell r="A3" t="str">
            <v>0101</v>
          </cell>
          <cell r="B3" t="str">
            <v>01279 CITIGROUP TECHNOLOGY INC</v>
          </cell>
        </row>
        <row r="4">
          <cell r="A4" t="str">
            <v>898</v>
          </cell>
          <cell r="B4" t="str">
            <v>CITIGROUP GLOBAL MARKETS INC</v>
          </cell>
        </row>
        <row r="5">
          <cell r="A5" t="str">
            <v>0-99</v>
          </cell>
          <cell r="B5" t="str">
            <v>ANULADO</v>
          </cell>
        </row>
        <row r="6">
          <cell r="A6" t="str">
            <v>115266-3</v>
          </cell>
          <cell r="B6" t="str">
            <v>ASOCIACION SALVADOREÑA DE INTERMEDIARIOS BURSATILES</v>
          </cell>
        </row>
        <row r="7">
          <cell r="A7" t="str">
            <v>123271-1</v>
          </cell>
          <cell r="B7" t="str">
            <v>FUMIGADORA Y FORMULADORA CAMPOS, S.A. DE C.V.</v>
          </cell>
        </row>
        <row r="8">
          <cell r="A8" t="str">
            <v>124482-0</v>
          </cell>
          <cell r="B8" t="str">
            <v>SISA VIDA, S.A. SEGUROS DE PERSONAS</v>
          </cell>
        </row>
        <row r="9">
          <cell r="A9" t="str">
            <v>1299-8</v>
          </cell>
          <cell r="B9" t="str">
            <v>TECNICA INTERNACIONAL, S.A. DE C.V.</v>
          </cell>
        </row>
        <row r="10">
          <cell r="A10" t="str">
            <v>130620-7</v>
          </cell>
          <cell r="B10" t="str">
            <v>ANY CRISTY ARGUMEDO CAMPOS</v>
          </cell>
        </row>
        <row r="11">
          <cell r="A11" t="str">
            <v>131885-3</v>
          </cell>
          <cell r="B11" t="str">
            <v>ACCE, S.A. DE C.V.</v>
          </cell>
        </row>
        <row r="12">
          <cell r="A12" t="str">
            <v>138130-3</v>
          </cell>
          <cell r="B12" t="str">
            <v>TECNASA ES, S.A. DE C.V.</v>
          </cell>
        </row>
        <row r="13">
          <cell r="A13" t="str">
            <v>141592-0</v>
          </cell>
          <cell r="B13" t="str">
            <v>INVERSIONES FINANCIERAS CITIBANK, S.A.</v>
          </cell>
        </row>
        <row r="14">
          <cell r="A14" t="str">
            <v>146-5</v>
          </cell>
          <cell r="B14" t="str">
            <v>BANCO CUSCATLAN DE EL SALVADOR S.A.</v>
          </cell>
        </row>
        <row r="15">
          <cell r="A15" t="str">
            <v>157889-5</v>
          </cell>
          <cell r="B15" t="str">
            <v>OPERADORES LOGISTICOS RANSA, S.A. DE C.V.</v>
          </cell>
        </row>
        <row r="16">
          <cell r="A16" t="str">
            <v>166238-2</v>
          </cell>
          <cell r="B16" t="str">
            <v>MARIA MARTHA DELGADO MOLINA</v>
          </cell>
        </row>
        <row r="17">
          <cell r="A17" t="str">
            <v>168981-2</v>
          </cell>
          <cell r="B17" t="str">
            <v>MAILROOM EXPRESS, S.A. DE C.V.</v>
          </cell>
        </row>
        <row r="18">
          <cell r="A18" t="str">
            <v>177442-5</v>
          </cell>
          <cell r="B18" t="str">
            <v>DATAPRINT DE EL SALVADOR, S.A. DE C.V.</v>
          </cell>
        </row>
        <row r="19">
          <cell r="A19" t="str">
            <v>183732-4</v>
          </cell>
          <cell r="B19" t="str">
            <v>JONES LANG LASALLE, S.A. DE C.V.</v>
          </cell>
        </row>
        <row r="20">
          <cell r="A20" t="str">
            <v>197562-7</v>
          </cell>
          <cell r="B20" t="str">
            <v>JUAN ANTONIO LEWIN GOTUZZO</v>
          </cell>
        </row>
        <row r="21">
          <cell r="A21" t="str">
            <v>201777-8</v>
          </cell>
          <cell r="B21" t="str">
            <v>MANTENIMIENTO DE JARDINERIA, S.A. DE C.V.</v>
          </cell>
        </row>
        <row r="22">
          <cell r="A22" t="str">
            <v>206372-1</v>
          </cell>
          <cell r="B22" t="str">
            <v>EMPAQUES FINOS E IMPRESOS, S.A. DE C.V.</v>
          </cell>
        </row>
        <row r="23">
          <cell r="A23" t="str">
            <v>213-5</v>
          </cell>
          <cell r="B23" t="str">
            <v>SEGUROS E INVERSIONES, S.A DE C.V.</v>
          </cell>
        </row>
        <row r="24">
          <cell r="A24" t="str">
            <v>23175-4</v>
          </cell>
          <cell r="B24" t="str">
            <v>TELEMOVIL EL SALVADOR, S.A</v>
          </cell>
        </row>
        <row r="25">
          <cell r="A25" t="str">
            <v>27287-6</v>
          </cell>
          <cell r="B25" t="str">
            <v>KPMG, S.A.</v>
          </cell>
        </row>
        <row r="26">
          <cell r="A26" t="str">
            <v>30373-9</v>
          </cell>
          <cell r="B26" t="str">
            <v>ACCIONES Y VALORES, S.A. DE C.V.</v>
          </cell>
        </row>
        <row r="27">
          <cell r="A27" t="str">
            <v>88004-3</v>
          </cell>
          <cell r="B27" t="str">
            <v>COMUNICACIÓN CREATIVA SA DE CV</v>
          </cell>
        </row>
        <row r="28">
          <cell r="A28" t="str">
            <v>33712-9</v>
          </cell>
          <cell r="B28" t="str">
            <v>PRAKIN, S,A, DE C,V,</v>
          </cell>
        </row>
        <row r="29">
          <cell r="A29" t="str">
            <v>3945-4</v>
          </cell>
          <cell r="B29" t="str">
            <v>CITITARJETAS DE EL SALVADOR, S.A.</v>
          </cell>
        </row>
        <row r="30">
          <cell r="A30" t="str">
            <v>40522-1</v>
          </cell>
          <cell r="B30" t="str">
            <v>INVERSIONES DE SALUD, S.A. DE C.V.</v>
          </cell>
        </row>
        <row r="31">
          <cell r="A31" t="str">
            <v>4208-0</v>
          </cell>
          <cell r="B31" t="str">
            <v>ESCOTO, S.A. DE C.V.</v>
          </cell>
        </row>
        <row r="32">
          <cell r="A32" t="str">
            <v>49030-0</v>
          </cell>
          <cell r="B32" t="str">
            <v>GUSTAVO ARGUETA RIVAS</v>
          </cell>
        </row>
        <row r="33">
          <cell r="A33" t="str">
            <v>51-5</v>
          </cell>
          <cell r="B33" t="str">
            <v>R.R. DONNELLEY DE EL SALVADOR, S.A. DE C.V.</v>
          </cell>
        </row>
        <row r="34">
          <cell r="A34" t="str">
            <v>5305-8</v>
          </cell>
          <cell r="B34" t="str">
            <v>CLUB SALINITAS, S.A. DE C.V.</v>
          </cell>
        </row>
        <row r="35">
          <cell r="A35" t="str">
            <v>552-5</v>
          </cell>
          <cell r="B35" t="str">
            <v>BANCO AGRICOLA, S.A.</v>
          </cell>
        </row>
        <row r="36">
          <cell r="A36" t="str">
            <v>589-4</v>
          </cell>
          <cell r="B36" t="str">
            <v>CITIBANK, N.A. SUCURSAL EL SALVADOR</v>
          </cell>
        </row>
        <row r="37">
          <cell r="A37" t="str">
            <v>627-0</v>
          </cell>
          <cell r="B37" t="str">
            <v>BOLSA DE VALORES DE EL SALVADOR, S.A. DE C.V.</v>
          </cell>
        </row>
        <row r="38">
          <cell r="A38" t="str">
            <v>71253-1</v>
          </cell>
          <cell r="B38" t="str">
            <v>OFIXPRES, S.A. DE C.V.</v>
          </cell>
        </row>
        <row r="39">
          <cell r="A39" t="str">
            <v>73208-7</v>
          </cell>
          <cell r="B39" t="str">
            <v>CLINICA DE RAXOS X BRITO MEJIA PEÑA, S.A. DE C.V.</v>
          </cell>
        </row>
        <row r="40">
          <cell r="A40" t="str">
            <v>74789-0</v>
          </cell>
          <cell r="B40" t="str">
            <v>JUAN ANTONIO NUNFIO</v>
          </cell>
        </row>
        <row r="41">
          <cell r="A41" t="str">
            <v>77122-8</v>
          </cell>
          <cell r="B41" t="str">
            <v>ENMANUEL, S.A. DE C.V.</v>
          </cell>
        </row>
        <row r="42">
          <cell r="A42" t="str">
            <v>70907-7</v>
          </cell>
          <cell r="B42" t="str">
            <v xml:space="preserve">BUFETE MOLINA ZUNIGA </v>
          </cell>
        </row>
        <row r="43">
          <cell r="A43" t="str">
            <v>77485-5</v>
          </cell>
          <cell r="B43" t="str">
            <v>CENTRAL DE DEPOSITO DE VALORES, S.A. DE C.V.</v>
          </cell>
        </row>
        <row r="44">
          <cell r="A44" t="str">
            <v>78319-6</v>
          </cell>
          <cell r="B44" t="str">
            <v>PROFESIONALES EN SERVICIOS, S.A. DE C.V.</v>
          </cell>
        </row>
        <row r="45">
          <cell r="A45" t="str">
            <v>82136-5</v>
          </cell>
          <cell r="B45" t="str">
            <v>BIANCHI &amp; ASOCIADOS, S.A. DE C.V.</v>
          </cell>
        </row>
        <row r="46">
          <cell r="A46" t="str">
            <v>82136-5</v>
          </cell>
          <cell r="B46" t="str">
            <v>OGILVY BIANCHI &amp; ASOCIADOS, S.A. DE C.V.</v>
          </cell>
        </row>
        <row r="47">
          <cell r="A47" t="str">
            <v>83701-6</v>
          </cell>
          <cell r="B47" t="str">
            <v>LIMPIEZAS Y SERVICIOS PROFESIONALES, S.A. DE C.V.</v>
          </cell>
        </row>
        <row r="48">
          <cell r="A48" t="str">
            <v>88189-9</v>
          </cell>
          <cell r="B48" t="str">
            <v>ENERGIA TOTAL, S.A. DE C.V.</v>
          </cell>
        </row>
        <row r="49">
          <cell r="A49" t="str">
            <v>98207-5</v>
          </cell>
          <cell r="B49" t="str">
            <v>SUPLIDORA DE EQUIPOS Y SERVICIO, S.A. DE C.V.</v>
          </cell>
        </row>
        <row r="50">
          <cell r="A50" t="str">
            <v>9861-2</v>
          </cell>
          <cell r="B50" t="str">
            <v>GOCHEZ RODRIGUEZ ANGEL RICARDO</v>
          </cell>
        </row>
        <row r="51">
          <cell r="A51" t="str">
            <v>99126-0</v>
          </cell>
          <cell r="B51" t="str">
            <v>GAMA AUTO AIRE, S.A. DE C.V.</v>
          </cell>
        </row>
        <row r="52">
          <cell r="A52" t="str">
            <v>99838-9</v>
          </cell>
          <cell r="B52" t="str">
            <v>DIRECCION GENERAL DE ESTADISTICAS Y CENSO</v>
          </cell>
        </row>
        <row r="53">
          <cell r="A53" t="str">
            <v>79816-9</v>
          </cell>
          <cell r="B53" t="str">
            <v>CITI INVERSIONES SA DE CV</v>
          </cell>
        </row>
        <row r="54">
          <cell r="A54" t="str">
            <v>189370-0</v>
          </cell>
          <cell r="B54" t="str">
            <v>ROBERTO ARMANDO BELTRAN VASQUEZ</v>
          </cell>
        </row>
        <row r="55">
          <cell r="A55" t="str">
            <v>111-1</v>
          </cell>
          <cell r="B55" t="str">
            <v>BOLSA DE VALORES DE EL SALVADOR, S.A. DE C.V.</v>
          </cell>
        </row>
        <row r="56">
          <cell r="A56" t="str">
            <v>111-2</v>
          </cell>
          <cell r="B56" t="str">
            <v>CITIBANK INTERNATIONAL PLC HUINGARY</v>
          </cell>
        </row>
        <row r="57">
          <cell r="A57" t="str">
            <v>0-2</v>
          </cell>
          <cell r="B57" t="str">
            <v>NO DOMICILIADOS</v>
          </cell>
        </row>
        <row r="58">
          <cell r="A58" t="str">
            <v>1110-0</v>
          </cell>
          <cell r="B58" t="str">
            <v>CITIBANK INTERNATIONAL LIMITED POLAND</v>
          </cell>
        </row>
        <row r="59">
          <cell r="A59" t="str">
            <v>85638-0</v>
          </cell>
          <cell r="B59" t="str">
            <v>DIMARTI SA DE CV</v>
          </cell>
        </row>
        <row r="60">
          <cell r="A60" t="str">
            <v>140973-9</v>
          </cell>
          <cell r="B60" t="str">
            <v>ENERGIA Y AIRE S.A DE C.V</v>
          </cell>
        </row>
        <row r="61">
          <cell r="A61" t="str">
            <v>250443-6</v>
          </cell>
          <cell r="B61" t="str">
            <v>INVERSIONES FINANCIERAS IMPERIA CUSCATLAN, SA</v>
          </cell>
        </row>
        <row r="62">
          <cell r="A62" t="str">
            <v>1674-8</v>
          </cell>
          <cell r="B62" t="str">
            <v xml:space="preserve">BANCO HIPOTECARIO DE EL SALVADOR SA </v>
          </cell>
        </row>
        <row r="63">
          <cell r="A63" t="str">
            <v>28-0</v>
          </cell>
          <cell r="B63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iva"/>
      <sheetName val="Memo Rent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 t="str">
            <v>0100</v>
          </cell>
          <cell r="B2" t="str">
            <v>CITI TECHNOLOGY INC</v>
          </cell>
        </row>
        <row r="3">
          <cell r="A3" t="str">
            <v>0101</v>
          </cell>
          <cell r="B3" t="str">
            <v>01279 CITIGROUP TECHNOLOGY INC</v>
          </cell>
        </row>
        <row r="4">
          <cell r="A4" t="str">
            <v>898</v>
          </cell>
          <cell r="B4" t="str">
            <v>CITIGROUP GLOBAL MARKETS INC</v>
          </cell>
        </row>
        <row r="5">
          <cell r="A5" t="str">
            <v>0-99</v>
          </cell>
          <cell r="B5" t="str">
            <v>ANULADO</v>
          </cell>
        </row>
        <row r="6">
          <cell r="A6" t="str">
            <v>115266-3</v>
          </cell>
          <cell r="B6" t="str">
            <v>ASOCIACION SALVADOREÑA DE INTERMEDIARIOS BURSATILES</v>
          </cell>
        </row>
        <row r="7">
          <cell r="A7" t="str">
            <v>123271-1</v>
          </cell>
          <cell r="B7" t="str">
            <v>FUMIGADORA Y FORMULADORA CAMPOS, S.A. DE C.V.</v>
          </cell>
        </row>
        <row r="8">
          <cell r="A8" t="str">
            <v>124482-0</v>
          </cell>
          <cell r="B8" t="str">
            <v>SISA VIDA, S.A. SEGUROS DE PERSONAS</v>
          </cell>
        </row>
        <row r="9">
          <cell r="A9" t="str">
            <v>1299-8</v>
          </cell>
          <cell r="B9" t="str">
            <v>TECNICA INTERNACIONAL, S.A. DE C.V.</v>
          </cell>
        </row>
        <row r="10">
          <cell r="A10" t="str">
            <v>130620-7</v>
          </cell>
          <cell r="B10" t="str">
            <v>ANY CRISTY ARGUMEDO CAMPOS</v>
          </cell>
        </row>
        <row r="11">
          <cell r="A11" t="str">
            <v>131885-3</v>
          </cell>
          <cell r="B11" t="str">
            <v>ACCE, S.A. DE C.V.</v>
          </cell>
        </row>
        <row r="12">
          <cell r="A12" t="str">
            <v>138130-3</v>
          </cell>
          <cell r="B12" t="str">
            <v>TECNASA ES, S.A. DE C.V.</v>
          </cell>
        </row>
        <row r="13">
          <cell r="A13" t="str">
            <v>141592-0</v>
          </cell>
          <cell r="B13" t="str">
            <v>INVERSIONES FINANCIERAS CITIBANK, S.A.</v>
          </cell>
        </row>
        <row r="14">
          <cell r="A14" t="str">
            <v>146-5</v>
          </cell>
          <cell r="B14" t="str">
            <v>BANCO CUSCATLAN DE EL SALVADOR S.A.</v>
          </cell>
        </row>
        <row r="15">
          <cell r="A15" t="str">
            <v>157889-5</v>
          </cell>
          <cell r="B15" t="str">
            <v>OPERADORES LOGISTICOS RANSA, S.A. DE C.V.</v>
          </cell>
        </row>
        <row r="16">
          <cell r="A16" t="str">
            <v>166238-2</v>
          </cell>
          <cell r="B16" t="str">
            <v>MARIA MARTHA DELGADO MOLINA</v>
          </cell>
        </row>
        <row r="17">
          <cell r="A17" t="str">
            <v>168981-2</v>
          </cell>
          <cell r="B17" t="str">
            <v>MAILROOM EXPRESS, S.A. DE C.V.</v>
          </cell>
        </row>
        <row r="18">
          <cell r="A18" t="str">
            <v>177442-5</v>
          </cell>
          <cell r="B18" t="str">
            <v>DATAPRINT DE EL SALVADOR, S.A. DE C.V.</v>
          </cell>
        </row>
        <row r="19">
          <cell r="A19" t="str">
            <v>183732-4</v>
          </cell>
          <cell r="B19" t="str">
            <v>JONES LANG LASALLE, S.A. DE C.V.</v>
          </cell>
        </row>
        <row r="20">
          <cell r="A20" t="str">
            <v>197562-7</v>
          </cell>
          <cell r="B20" t="str">
            <v>JUAN ANTONIO LEWIN GOTUZZO</v>
          </cell>
        </row>
        <row r="21">
          <cell r="A21" t="str">
            <v>201777-8</v>
          </cell>
          <cell r="B21" t="str">
            <v>MANTENIMIENTO DE JARDINERIA, S.A. DE C.V.</v>
          </cell>
        </row>
        <row r="22">
          <cell r="A22" t="str">
            <v>206372-1</v>
          </cell>
          <cell r="B22" t="str">
            <v>EMPAQUES FINOS E IMPRESOS, S.A. DE C.V.</v>
          </cell>
        </row>
        <row r="23">
          <cell r="A23" t="str">
            <v>213-5</v>
          </cell>
          <cell r="B23" t="str">
            <v>SEGUROS E INVERSIONES, S.A DE C.V.</v>
          </cell>
        </row>
        <row r="24">
          <cell r="A24" t="str">
            <v>23175-4</v>
          </cell>
          <cell r="B24" t="str">
            <v>TELEMOVIL EL SALVADOR, S.A</v>
          </cell>
        </row>
        <row r="25">
          <cell r="A25" t="str">
            <v>27287-6</v>
          </cell>
          <cell r="B25" t="str">
            <v>KPMG, S.A.</v>
          </cell>
        </row>
        <row r="26">
          <cell r="A26" t="str">
            <v>30373-9</v>
          </cell>
          <cell r="B26" t="str">
            <v>ACCIONES Y VALORES, S.A. DE C.V.</v>
          </cell>
        </row>
        <row r="27">
          <cell r="A27" t="str">
            <v>88004-3</v>
          </cell>
          <cell r="B27" t="str">
            <v>COMUNICACIÓN CREATIVA SA DE CV</v>
          </cell>
        </row>
        <row r="28">
          <cell r="A28" t="str">
            <v>33712-9</v>
          </cell>
          <cell r="B28" t="str">
            <v>PRAKIN, S,A, DE C,V,</v>
          </cell>
        </row>
        <row r="29">
          <cell r="A29" t="str">
            <v>3945-4</v>
          </cell>
          <cell r="B29" t="str">
            <v>CITITARJETAS DE EL SALVADOR, S.A.</v>
          </cell>
        </row>
        <row r="30">
          <cell r="A30" t="str">
            <v>40522-1</v>
          </cell>
          <cell r="B30" t="str">
            <v>INVERSIONES DE SALUD, S.A. DE C.V.</v>
          </cell>
        </row>
        <row r="31">
          <cell r="A31" t="str">
            <v>4208-0</v>
          </cell>
          <cell r="B31" t="str">
            <v>ESCOTO, S.A. DE C.V.</v>
          </cell>
        </row>
        <row r="32">
          <cell r="A32" t="str">
            <v>49030-0</v>
          </cell>
          <cell r="B32" t="str">
            <v>GUSTAVO ARGUETA RIVAS</v>
          </cell>
        </row>
        <row r="33">
          <cell r="A33" t="str">
            <v>51-5</v>
          </cell>
          <cell r="B33" t="str">
            <v>R.R. DONNELLEY DE EL SALVADOR, S.A. DE C.V.</v>
          </cell>
        </row>
        <row r="34">
          <cell r="A34" t="str">
            <v>5305-8</v>
          </cell>
          <cell r="B34" t="str">
            <v>CLUB SALINITAS, S.A. DE C.V.</v>
          </cell>
        </row>
        <row r="35">
          <cell r="A35" t="str">
            <v>552-5</v>
          </cell>
          <cell r="B35" t="str">
            <v>BANCO AGRICOLA, S.A.</v>
          </cell>
        </row>
        <row r="36">
          <cell r="A36" t="str">
            <v>589-4</v>
          </cell>
          <cell r="B36" t="str">
            <v>CITIBANK, N.A. SUCURSAL EL SALVADOR</v>
          </cell>
        </row>
        <row r="37">
          <cell r="A37" t="str">
            <v>627-0</v>
          </cell>
          <cell r="B37" t="str">
            <v>BOLSA DE VALORES DE EL SALVADOR, S.A. DE C.V.</v>
          </cell>
        </row>
        <row r="38">
          <cell r="A38" t="str">
            <v>71253-1</v>
          </cell>
          <cell r="B38" t="str">
            <v>OFIXPRES, S.A. DE C.V.</v>
          </cell>
        </row>
        <row r="39">
          <cell r="A39" t="str">
            <v>73208-7</v>
          </cell>
          <cell r="B39" t="str">
            <v>CLINICA DE RAXOS X BRITO MEJIA PEÑA, S.A. DE C.V.</v>
          </cell>
        </row>
        <row r="40">
          <cell r="A40" t="str">
            <v>74789-0</v>
          </cell>
          <cell r="B40" t="str">
            <v>JUAN ANTONIO NUNFIO</v>
          </cell>
        </row>
        <row r="41">
          <cell r="A41" t="str">
            <v>77122-8</v>
          </cell>
          <cell r="B41" t="str">
            <v>ENMANUEL, S.A. DE C.V.</v>
          </cell>
        </row>
        <row r="42">
          <cell r="A42" t="str">
            <v>70907-7</v>
          </cell>
          <cell r="B42" t="str">
            <v xml:space="preserve">BUFETE MOLINA ZUNIGA </v>
          </cell>
        </row>
        <row r="43">
          <cell r="A43" t="str">
            <v>77485-5</v>
          </cell>
          <cell r="B43" t="str">
            <v>CENTRAL DE DEPOSITO DE VALORES, S.A. DE C.V.</v>
          </cell>
        </row>
        <row r="44">
          <cell r="A44" t="str">
            <v>78319-6</v>
          </cell>
          <cell r="B44" t="str">
            <v>PROFESIONALES EN SERVICIOS, S.A. DE C.V.</v>
          </cell>
        </row>
        <row r="45">
          <cell r="A45" t="str">
            <v>82136-5</v>
          </cell>
          <cell r="B45" t="str">
            <v>BIANCHI &amp; ASOCIADOS, S.A. DE C.V.</v>
          </cell>
        </row>
        <row r="46">
          <cell r="A46" t="str">
            <v>82136-5</v>
          </cell>
          <cell r="B46" t="str">
            <v>OGILVY BIANCHI &amp; ASOCIADOS, S.A. DE C.V.</v>
          </cell>
        </row>
        <row r="47">
          <cell r="A47" t="str">
            <v>83701-6</v>
          </cell>
          <cell r="B47" t="str">
            <v>LIMPIEZAS Y SERVICIOS PROFESIONALES, S.A. DE C.V.</v>
          </cell>
        </row>
        <row r="48">
          <cell r="A48" t="str">
            <v>88189-9</v>
          </cell>
          <cell r="B48" t="str">
            <v>ENERGIA TOTAL, S.A. DE C.V.</v>
          </cell>
        </row>
        <row r="49">
          <cell r="A49" t="str">
            <v>98207-5</v>
          </cell>
          <cell r="B49" t="str">
            <v>SUPLIDORA DE EQUIPOS Y SERVICIO, S.A. DE C.V.</v>
          </cell>
        </row>
        <row r="50">
          <cell r="A50" t="str">
            <v>9861-2</v>
          </cell>
          <cell r="B50" t="str">
            <v>GOCHEZ RODRIGUEZ ANGEL RICARDO</v>
          </cell>
        </row>
        <row r="51">
          <cell r="A51" t="str">
            <v>99126-0</v>
          </cell>
          <cell r="B51" t="str">
            <v>GAMA AUTO AIRE, S.A. DE C.V.</v>
          </cell>
        </row>
        <row r="52">
          <cell r="A52" t="str">
            <v>99838-9</v>
          </cell>
          <cell r="B52" t="str">
            <v>DIRECCION GENERAL DE ESTADISTICAS Y CENSO</v>
          </cell>
        </row>
        <row r="53">
          <cell r="A53" t="str">
            <v>79816-9</v>
          </cell>
          <cell r="B53" t="str">
            <v>CITI INVERSIONES SA DE CV</v>
          </cell>
        </row>
        <row r="54">
          <cell r="A54" t="str">
            <v>189370-0</v>
          </cell>
          <cell r="B54" t="str">
            <v>ROBERTO ARMANDO BELTRAN VASQUEZ</v>
          </cell>
        </row>
        <row r="55">
          <cell r="A55" t="str">
            <v>111-1</v>
          </cell>
          <cell r="B55" t="str">
            <v>BOLSA DE VALORES DE EL SALVADOR, S.A. DE C.V.</v>
          </cell>
        </row>
        <row r="56">
          <cell r="A56" t="str">
            <v>111-2</v>
          </cell>
          <cell r="B56" t="str">
            <v>CITIBANK INTERNATIONAL PLC HUINGARY</v>
          </cell>
        </row>
        <row r="57">
          <cell r="A57" t="str">
            <v>0-2</v>
          </cell>
          <cell r="B57" t="str">
            <v>NO DOMICILIADOS</v>
          </cell>
        </row>
        <row r="58">
          <cell r="A58" t="str">
            <v>1110-0</v>
          </cell>
          <cell r="B58" t="str">
            <v>CITIBANK INTERNATIONAL LIMITED POLAND</v>
          </cell>
        </row>
        <row r="59">
          <cell r="A59" t="str">
            <v>85638-0</v>
          </cell>
          <cell r="B59" t="str">
            <v>DIMARTI SA DE CV</v>
          </cell>
        </row>
        <row r="60">
          <cell r="A60" t="str">
            <v>140973-9</v>
          </cell>
          <cell r="B60" t="str">
            <v>ENERGIA Y AIRE S.A DE C.V</v>
          </cell>
        </row>
        <row r="61">
          <cell r="A61" t="str">
            <v>250443-6</v>
          </cell>
          <cell r="B61" t="str">
            <v>INVERSIONES FINANCIERAS IMPERIA CUSCATLAN, SA</v>
          </cell>
        </row>
        <row r="62">
          <cell r="A62" t="str">
            <v>1674-8</v>
          </cell>
          <cell r="B62" t="str">
            <v xml:space="preserve">BANCO HIPOTECARIO DE EL SALVADOR SA </v>
          </cell>
        </row>
        <row r="63">
          <cell r="A63" t="str">
            <v>28-0</v>
          </cell>
          <cell r="B63" t="str">
            <v>O &amp; R MARKETING COMMUNICATIONS, S.A DE C.V.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>
        <row r="5">
          <cell r="B5" t="str">
            <v>MES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4"/>
  <sheetViews>
    <sheetView showGridLines="0" zoomScale="80" zoomScaleNormal="8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13.85546875" style="821" bestFit="1" customWidth="1"/>
    <col min="2" max="2" width="65.28515625" bestFit="1" customWidth="1"/>
    <col min="3" max="3" width="18.5703125" style="352" customWidth="1"/>
    <col min="4" max="4" width="8.85546875" bestFit="1" customWidth="1"/>
    <col min="5" max="5" width="13.85546875" style="821" bestFit="1" customWidth="1"/>
    <col min="6" max="6" width="56.85546875" bestFit="1" customWidth="1"/>
    <col min="7" max="7" width="18" style="352" customWidth="1"/>
    <col min="8" max="8" width="3" bestFit="1" customWidth="1"/>
    <col min="9" max="9" width="16" bestFit="1" customWidth="1"/>
  </cols>
  <sheetData>
    <row r="1" spans="1:8" ht="15" x14ac:dyDescent="0.25">
      <c r="A1" s="707" t="s">
        <v>1600</v>
      </c>
    </row>
    <row r="2" spans="1:8" x14ac:dyDescent="0.2">
      <c r="A2" s="944" t="s">
        <v>1699</v>
      </c>
    </row>
    <row r="4" spans="1:8" x14ac:dyDescent="0.2">
      <c r="A4" s="821">
        <v>1</v>
      </c>
      <c r="B4" t="s">
        <v>230</v>
      </c>
      <c r="C4" s="352">
        <v>2328674.27</v>
      </c>
      <c r="E4" s="821">
        <v>2</v>
      </c>
      <c r="F4" t="s">
        <v>231</v>
      </c>
      <c r="G4" s="352">
        <v>53029.09</v>
      </c>
    </row>
    <row r="6" spans="1:8" x14ac:dyDescent="0.2">
      <c r="A6" s="821">
        <v>11</v>
      </c>
      <c r="B6" t="s">
        <v>71</v>
      </c>
      <c r="C6" s="352">
        <v>2311810.27</v>
      </c>
      <c r="E6" s="821">
        <v>21</v>
      </c>
      <c r="F6" t="s">
        <v>339</v>
      </c>
      <c r="G6" s="352">
        <v>53029.09</v>
      </c>
    </row>
    <row r="8" spans="1:8" x14ac:dyDescent="0.2">
      <c r="A8" s="821">
        <v>111</v>
      </c>
      <c r="B8" t="s">
        <v>269</v>
      </c>
      <c r="C8" s="352">
        <v>2175692.96</v>
      </c>
      <c r="E8" s="821">
        <v>212</v>
      </c>
      <c r="F8" t="s">
        <v>281</v>
      </c>
      <c r="G8" s="352">
        <v>3595.73</v>
      </c>
    </row>
    <row r="10" spans="1:8" x14ac:dyDescent="0.2">
      <c r="A10" s="821">
        <v>1110</v>
      </c>
      <c r="B10" t="s">
        <v>270</v>
      </c>
      <c r="C10" s="352">
        <v>2175692.96</v>
      </c>
      <c r="D10" t="s">
        <v>1577</v>
      </c>
      <c r="E10" s="821">
        <v>2123</v>
      </c>
      <c r="F10" t="s">
        <v>264</v>
      </c>
      <c r="G10" s="352">
        <v>3595.73</v>
      </c>
      <c r="H10" t="s">
        <v>1577</v>
      </c>
    </row>
    <row r="12" spans="1:8" x14ac:dyDescent="0.2">
      <c r="A12" s="821">
        <v>1110000</v>
      </c>
      <c r="B12" t="s">
        <v>178</v>
      </c>
      <c r="C12" s="352">
        <v>93137.02</v>
      </c>
      <c r="D12" t="s">
        <v>1578</v>
      </c>
      <c r="E12" s="821">
        <v>2123010</v>
      </c>
      <c r="F12" t="s">
        <v>312</v>
      </c>
      <c r="G12" s="352">
        <v>3595.73</v>
      </c>
      <c r="H12" t="s">
        <v>1578</v>
      </c>
    </row>
    <row r="13" spans="1:8" x14ac:dyDescent="0.2">
      <c r="A13" s="821">
        <v>111000004</v>
      </c>
      <c r="B13" t="s">
        <v>178</v>
      </c>
      <c r="C13" s="352">
        <v>93137.02</v>
      </c>
      <c r="E13" s="821">
        <v>212301000</v>
      </c>
      <c r="F13" t="s">
        <v>312</v>
      </c>
      <c r="G13" s="352">
        <v>3595.73</v>
      </c>
    </row>
    <row r="14" spans="1:8" x14ac:dyDescent="0.2">
      <c r="A14" s="821">
        <v>11100000400</v>
      </c>
      <c r="B14" t="s">
        <v>439</v>
      </c>
      <c r="C14" s="352">
        <v>12135.13</v>
      </c>
      <c r="E14" s="821">
        <v>21230100000</v>
      </c>
      <c r="F14" t="s">
        <v>368</v>
      </c>
      <c r="G14" s="352">
        <v>3595.73</v>
      </c>
    </row>
    <row r="15" spans="1:8" x14ac:dyDescent="0.2">
      <c r="A15" s="821">
        <v>11100000401</v>
      </c>
      <c r="B15" t="s">
        <v>440</v>
      </c>
      <c r="C15" s="352">
        <v>76933.53</v>
      </c>
    </row>
    <row r="16" spans="1:8" x14ac:dyDescent="0.2">
      <c r="A16" s="821">
        <v>11100000402</v>
      </c>
      <c r="B16" t="s">
        <v>441</v>
      </c>
      <c r="C16" s="352">
        <v>6.28</v>
      </c>
      <c r="E16" s="821">
        <v>213</v>
      </c>
      <c r="F16" t="s">
        <v>95</v>
      </c>
      <c r="G16" s="352">
        <v>35869.19</v>
      </c>
    </row>
    <row r="17" spans="1:8" x14ac:dyDescent="0.2">
      <c r="A17" s="821">
        <v>11100000405</v>
      </c>
      <c r="B17" t="s">
        <v>555</v>
      </c>
      <c r="C17" s="352">
        <v>4062.08</v>
      </c>
    </row>
    <row r="18" spans="1:8" x14ac:dyDescent="0.2">
      <c r="A18" s="821">
        <v>1110010</v>
      </c>
      <c r="B18" t="s">
        <v>172</v>
      </c>
      <c r="C18" s="352">
        <v>2082555.94</v>
      </c>
      <c r="D18" t="s">
        <v>1578</v>
      </c>
      <c r="E18" s="821">
        <v>2132</v>
      </c>
      <c r="F18" t="s">
        <v>92</v>
      </c>
      <c r="G18" s="352">
        <v>29232.1</v>
      </c>
      <c r="H18" t="s">
        <v>1577</v>
      </c>
    </row>
    <row r="19" spans="1:8" x14ac:dyDescent="0.2">
      <c r="A19" s="821">
        <v>111001001</v>
      </c>
      <c r="B19" t="s">
        <v>172</v>
      </c>
      <c r="C19" s="352">
        <v>1735220.52</v>
      </c>
    </row>
    <row r="20" spans="1:8" x14ac:dyDescent="0.2">
      <c r="A20" s="821">
        <v>11100100100</v>
      </c>
      <c r="B20" t="s">
        <v>548</v>
      </c>
      <c r="C20" s="352">
        <v>5658.25</v>
      </c>
      <c r="E20" s="821">
        <v>2132020</v>
      </c>
      <c r="F20" t="s">
        <v>210</v>
      </c>
      <c r="G20" s="352">
        <v>29203.32</v>
      </c>
      <c r="H20" t="s">
        <v>1578</v>
      </c>
    </row>
    <row r="21" spans="1:8" x14ac:dyDescent="0.2">
      <c r="A21" s="821">
        <v>11100100102</v>
      </c>
      <c r="B21" t="s">
        <v>540</v>
      </c>
      <c r="C21" s="352">
        <v>1729562.27</v>
      </c>
      <c r="E21" s="821">
        <v>213202000</v>
      </c>
      <c r="F21" t="s">
        <v>210</v>
      </c>
      <c r="G21" s="352">
        <v>29203.32</v>
      </c>
    </row>
    <row r="22" spans="1:8" x14ac:dyDescent="0.2">
      <c r="A22" s="821">
        <v>111001004</v>
      </c>
      <c r="B22" t="s">
        <v>172</v>
      </c>
      <c r="C22" s="352">
        <v>347335.42</v>
      </c>
      <c r="E22" s="821">
        <v>21320200002</v>
      </c>
      <c r="F22" t="s">
        <v>485</v>
      </c>
      <c r="G22" s="352">
        <v>29203.32</v>
      </c>
    </row>
    <row r="23" spans="1:8" x14ac:dyDescent="0.2">
      <c r="A23" s="821">
        <v>11100100401</v>
      </c>
      <c r="B23" t="s">
        <v>615</v>
      </c>
      <c r="C23" s="352">
        <v>347335.42</v>
      </c>
      <c r="E23" s="821">
        <v>2132070</v>
      </c>
      <c r="F23" t="s">
        <v>273</v>
      </c>
      <c r="G23" s="352">
        <v>28.78</v>
      </c>
      <c r="H23" t="s">
        <v>1578</v>
      </c>
    </row>
    <row r="24" spans="1:8" x14ac:dyDescent="0.2">
      <c r="E24" s="821">
        <v>213207000</v>
      </c>
      <c r="F24" t="s">
        <v>273</v>
      </c>
      <c r="G24" s="352">
        <v>28.78</v>
      </c>
    </row>
    <row r="25" spans="1:8" x14ac:dyDescent="0.2">
      <c r="A25" s="821">
        <v>112</v>
      </c>
      <c r="B25" t="s">
        <v>357</v>
      </c>
      <c r="C25" s="352">
        <v>114286</v>
      </c>
      <c r="E25" s="821">
        <v>21320700000</v>
      </c>
      <c r="F25" t="s">
        <v>93</v>
      </c>
      <c r="G25" s="352">
        <v>28.78</v>
      </c>
    </row>
    <row r="27" spans="1:8" x14ac:dyDescent="0.2">
      <c r="A27" s="821">
        <v>1120</v>
      </c>
      <c r="B27" t="s">
        <v>91</v>
      </c>
      <c r="C27" s="352">
        <v>114286</v>
      </c>
      <c r="D27" t="s">
        <v>1577</v>
      </c>
      <c r="E27" s="821">
        <v>2135</v>
      </c>
      <c r="F27" t="s">
        <v>341</v>
      </c>
      <c r="G27" s="352">
        <v>6637.09</v>
      </c>
      <c r="H27" t="s">
        <v>1577</v>
      </c>
    </row>
    <row r="29" spans="1:8" x14ac:dyDescent="0.2">
      <c r="A29" s="821">
        <v>1120000</v>
      </c>
      <c r="B29" t="s">
        <v>100</v>
      </c>
      <c r="C29" s="352">
        <v>114286</v>
      </c>
      <c r="D29" t="s">
        <v>1578</v>
      </c>
      <c r="E29" s="821">
        <v>2135000</v>
      </c>
      <c r="F29" t="s">
        <v>341</v>
      </c>
      <c r="G29" s="352">
        <v>6637.09</v>
      </c>
      <c r="H29" t="s">
        <v>1578</v>
      </c>
    </row>
    <row r="30" spans="1:8" x14ac:dyDescent="0.2">
      <c r="A30" s="821">
        <v>112000000</v>
      </c>
      <c r="B30" t="s">
        <v>100</v>
      </c>
      <c r="C30" s="352">
        <v>114286</v>
      </c>
      <c r="E30" s="821">
        <v>213500000</v>
      </c>
      <c r="F30" t="s">
        <v>341</v>
      </c>
      <c r="G30" s="352">
        <v>6637.09</v>
      </c>
    </row>
    <row r="31" spans="1:8" x14ac:dyDescent="0.2">
      <c r="A31" s="821">
        <v>11200000000</v>
      </c>
      <c r="B31" t="s">
        <v>80</v>
      </c>
      <c r="C31" s="352">
        <v>114286</v>
      </c>
      <c r="E31" s="821">
        <v>21350000008</v>
      </c>
      <c r="F31" t="s">
        <v>341</v>
      </c>
      <c r="G31" s="352">
        <v>811.41</v>
      </c>
    </row>
    <row r="32" spans="1:8" x14ac:dyDescent="0.2">
      <c r="E32" s="821">
        <v>21350000018</v>
      </c>
      <c r="F32" t="s">
        <v>52</v>
      </c>
      <c r="G32" s="352">
        <v>377.82</v>
      </c>
    </row>
    <row r="33" spans="1:8" x14ac:dyDescent="0.2">
      <c r="A33" s="821">
        <v>114</v>
      </c>
      <c r="B33" t="s">
        <v>358</v>
      </c>
      <c r="C33" s="352">
        <v>3844.42</v>
      </c>
      <c r="E33" s="821">
        <v>21350000026</v>
      </c>
      <c r="F33" t="s">
        <v>420</v>
      </c>
      <c r="G33" s="352">
        <v>774.99</v>
      </c>
    </row>
    <row r="34" spans="1:8" x14ac:dyDescent="0.2">
      <c r="E34" s="821">
        <v>21350000059</v>
      </c>
      <c r="F34" t="s">
        <v>421</v>
      </c>
      <c r="G34" s="352">
        <v>578.04</v>
      </c>
    </row>
    <row r="35" spans="1:8" x14ac:dyDescent="0.2">
      <c r="A35" s="821">
        <v>1142</v>
      </c>
      <c r="B35" t="s">
        <v>45</v>
      </c>
      <c r="C35" s="352">
        <v>2778.36</v>
      </c>
      <c r="D35" t="s">
        <v>1577</v>
      </c>
      <c r="E35" s="821">
        <v>21350000068</v>
      </c>
      <c r="F35" t="s">
        <v>1697</v>
      </c>
      <c r="G35" s="352">
        <v>133.80000000000001</v>
      </c>
    </row>
    <row r="36" spans="1:8" x14ac:dyDescent="0.2">
      <c r="E36" s="821">
        <v>21350000090</v>
      </c>
      <c r="F36" t="s">
        <v>437</v>
      </c>
      <c r="G36" s="352">
        <v>3961.03</v>
      </c>
    </row>
    <row r="37" spans="1:8" x14ac:dyDescent="0.2">
      <c r="A37" s="821">
        <v>1142010</v>
      </c>
      <c r="B37" t="s">
        <v>312</v>
      </c>
      <c r="C37" s="352">
        <v>2778.36</v>
      </c>
      <c r="D37" t="s">
        <v>1578</v>
      </c>
    </row>
    <row r="38" spans="1:8" x14ac:dyDescent="0.2">
      <c r="A38" s="821">
        <v>114201000</v>
      </c>
      <c r="B38" t="s">
        <v>312</v>
      </c>
      <c r="C38" s="352">
        <v>2778.36</v>
      </c>
      <c r="E38" s="821">
        <v>215</v>
      </c>
      <c r="F38" t="s">
        <v>187</v>
      </c>
      <c r="G38" s="352">
        <v>13564.17</v>
      </c>
    </row>
    <row r="39" spans="1:8" x14ac:dyDescent="0.2">
      <c r="A39" s="821">
        <v>11420100001</v>
      </c>
      <c r="B39" t="s">
        <v>442</v>
      </c>
      <c r="C39" s="352">
        <v>1006.5</v>
      </c>
    </row>
    <row r="40" spans="1:8" x14ac:dyDescent="0.2">
      <c r="A40" s="821">
        <v>11420100006</v>
      </c>
      <c r="B40" t="s">
        <v>198</v>
      </c>
      <c r="C40" s="352">
        <v>1771.86</v>
      </c>
      <c r="E40" s="821">
        <v>2151</v>
      </c>
      <c r="F40" t="s">
        <v>291</v>
      </c>
      <c r="G40" s="352">
        <v>13442.14</v>
      </c>
      <c r="H40" t="s">
        <v>1577</v>
      </c>
    </row>
    <row r="42" spans="1:8" x14ac:dyDescent="0.2">
      <c r="A42" s="821">
        <v>1145</v>
      </c>
      <c r="B42" t="s">
        <v>199</v>
      </c>
      <c r="C42" s="352">
        <v>1042.6300000000001</v>
      </c>
      <c r="D42" t="s">
        <v>1577</v>
      </c>
      <c r="E42" s="821">
        <v>2151000</v>
      </c>
      <c r="F42" t="s">
        <v>291</v>
      </c>
      <c r="G42" s="352">
        <v>13442.14</v>
      </c>
      <c r="H42" t="s">
        <v>1578</v>
      </c>
    </row>
    <row r="43" spans="1:8" x14ac:dyDescent="0.2">
      <c r="E43" s="821">
        <v>215100000</v>
      </c>
      <c r="F43" t="s">
        <v>291</v>
      </c>
      <c r="G43" s="352">
        <v>13442.14</v>
      </c>
    </row>
    <row r="44" spans="1:8" x14ac:dyDescent="0.2">
      <c r="A44" s="821">
        <v>1145010</v>
      </c>
      <c r="B44" t="s">
        <v>312</v>
      </c>
      <c r="C44" s="352">
        <v>1042.6300000000001</v>
      </c>
      <c r="D44" t="s">
        <v>1578</v>
      </c>
      <c r="E44" s="821">
        <v>21510000000</v>
      </c>
      <c r="F44" t="s">
        <v>369</v>
      </c>
      <c r="G44" s="352">
        <v>13442.14</v>
      </c>
    </row>
    <row r="45" spans="1:8" x14ac:dyDescent="0.2">
      <c r="A45" s="821">
        <v>114501000</v>
      </c>
      <c r="B45" t="s">
        <v>312</v>
      </c>
      <c r="C45" s="352">
        <v>1042.6300000000001</v>
      </c>
    </row>
    <row r="46" spans="1:8" x14ac:dyDescent="0.2">
      <c r="A46" s="821">
        <v>11450100014</v>
      </c>
      <c r="B46" t="s">
        <v>450</v>
      </c>
      <c r="C46" s="352">
        <v>1042.6300000000001</v>
      </c>
      <c r="E46" s="821">
        <v>2152</v>
      </c>
      <c r="F46" t="s">
        <v>0</v>
      </c>
      <c r="G46" s="352">
        <v>122.03</v>
      </c>
      <c r="H46" t="s">
        <v>1577</v>
      </c>
    </row>
    <row r="48" spans="1:8" x14ac:dyDescent="0.2">
      <c r="A48" s="821">
        <v>1146</v>
      </c>
      <c r="B48" t="s">
        <v>434</v>
      </c>
      <c r="C48" s="352">
        <v>23.43</v>
      </c>
      <c r="D48" t="s">
        <v>1577</v>
      </c>
      <c r="E48" s="821">
        <v>2152000</v>
      </c>
      <c r="F48" t="s">
        <v>1</v>
      </c>
      <c r="G48" s="352">
        <v>122.03</v>
      </c>
      <c r="H48" t="s">
        <v>1578</v>
      </c>
    </row>
    <row r="49" spans="1:8" x14ac:dyDescent="0.2">
      <c r="E49" s="821">
        <v>215200000</v>
      </c>
      <c r="F49" t="s">
        <v>1</v>
      </c>
      <c r="G49" s="352">
        <v>122.03</v>
      </c>
    </row>
    <row r="50" spans="1:8" x14ac:dyDescent="0.2">
      <c r="A50" s="821">
        <v>1146010</v>
      </c>
      <c r="B50" t="s">
        <v>438</v>
      </c>
      <c r="C50" s="352">
        <v>23.43</v>
      </c>
      <c r="D50" t="s">
        <v>1578</v>
      </c>
      <c r="E50" s="821">
        <v>21520000002</v>
      </c>
      <c r="F50" t="s">
        <v>47</v>
      </c>
      <c r="G50" s="352">
        <v>122.03</v>
      </c>
    </row>
    <row r="51" spans="1:8" x14ac:dyDescent="0.2">
      <c r="A51" s="821">
        <v>114601000</v>
      </c>
      <c r="B51" t="s">
        <v>438</v>
      </c>
      <c r="C51" s="352">
        <v>23.43</v>
      </c>
      <c r="F51" t="s">
        <v>1638</v>
      </c>
      <c r="G51" s="352">
        <v>53029.09</v>
      </c>
    </row>
    <row r="52" spans="1:8" x14ac:dyDescent="0.2">
      <c r="A52" s="821">
        <v>11460100000</v>
      </c>
      <c r="B52" t="s">
        <v>436</v>
      </c>
      <c r="C52" s="352">
        <v>23.43</v>
      </c>
    </row>
    <row r="53" spans="1:8" x14ac:dyDescent="0.2">
      <c r="E53" s="821">
        <v>3</v>
      </c>
      <c r="F53" t="s">
        <v>343</v>
      </c>
      <c r="G53" s="352">
        <v>2280287.6</v>
      </c>
    </row>
    <row r="54" spans="1:8" x14ac:dyDescent="0.2">
      <c r="A54" s="821">
        <v>115</v>
      </c>
      <c r="B54" t="s">
        <v>322</v>
      </c>
      <c r="C54" s="352">
        <v>5494.1</v>
      </c>
    </row>
    <row r="55" spans="1:8" x14ac:dyDescent="0.2">
      <c r="E55" s="821">
        <v>31</v>
      </c>
      <c r="F55" t="s">
        <v>344</v>
      </c>
      <c r="G55" s="352">
        <v>1254200</v>
      </c>
    </row>
    <row r="56" spans="1:8" x14ac:dyDescent="0.2">
      <c r="A56" s="821">
        <v>1152</v>
      </c>
      <c r="B56" t="s">
        <v>323</v>
      </c>
      <c r="C56" s="352">
        <v>5494.1</v>
      </c>
      <c r="D56" t="s">
        <v>1577</v>
      </c>
    </row>
    <row r="57" spans="1:8" x14ac:dyDescent="0.2">
      <c r="E57" s="821">
        <v>310</v>
      </c>
      <c r="F57" t="s">
        <v>48</v>
      </c>
      <c r="G57" s="352">
        <v>1254200</v>
      </c>
    </row>
    <row r="58" spans="1:8" x14ac:dyDescent="0.2">
      <c r="A58" s="821">
        <v>1152020</v>
      </c>
      <c r="B58" t="s">
        <v>287</v>
      </c>
      <c r="C58" s="352">
        <v>5494.1</v>
      </c>
      <c r="D58" t="s">
        <v>1578</v>
      </c>
    </row>
    <row r="59" spans="1:8" x14ac:dyDescent="0.2">
      <c r="A59" s="821">
        <v>115202001</v>
      </c>
      <c r="B59" t="s">
        <v>494</v>
      </c>
      <c r="C59" s="352">
        <v>5478.62</v>
      </c>
      <c r="E59" s="821">
        <v>3100</v>
      </c>
      <c r="F59" t="s">
        <v>49</v>
      </c>
      <c r="G59" s="352">
        <v>1254200</v>
      </c>
      <c r="H59" t="s">
        <v>1577</v>
      </c>
    </row>
    <row r="60" spans="1:8" x14ac:dyDescent="0.2">
      <c r="A60" s="821">
        <v>11520200101</v>
      </c>
      <c r="B60" t="s">
        <v>443</v>
      </c>
      <c r="C60" s="352">
        <v>5478.62</v>
      </c>
    </row>
    <row r="61" spans="1:8" x14ac:dyDescent="0.2">
      <c r="A61" s="821">
        <v>115202002</v>
      </c>
      <c r="B61" t="s">
        <v>444</v>
      </c>
      <c r="C61" s="352">
        <v>15.48</v>
      </c>
      <c r="E61" s="821">
        <v>3100000</v>
      </c>
      <c r="F61" t="s">
        <v>49</v>
      </c>
      <c r="G61" s="352">
        <v>1254200</v>
      </c>
      <c r="H61" t="s">
        <v>1578</v>
      </c>
    </row>
    <row r="62" spans="1:8" x14ac:dyDescent="0.2">
      <c r="A62" s="821">
        <v>11520200201</v>
      </c>
      <c r="B62" t="s">
        <v>444</v>
      </c>
      <c r="C62" s="352">
        <v>15.48</v>
      </c>
      <c r="E62" s="821">
        <v>310000000</v>
      </c>
      <c r="F62" t="s">
        <v>49</v>
      </c>
      <c r="G62" s="352">
        <v>1254200</v>
      </c>
    </row>
    <row r="63" spans="1:8" x14ac:dyDescent="0.2">
      <c r="E63" s="821">
        <v>31000000000</v>
      </c>
      <c r="F63" t="s">
        <v>49</v>
      </c>
      <c r="G63" s="352">
        <v>1254200</v>
      </c>
    </row>
    <row r="64" spans="1:8" x14ac:dyDescent="0.2">
      <c r="A64" s="821">
        <v>117</v>
      </c>
      <c r="B64" t="s">
        <v>226</v>
      </c>
      <c r="C64" s="352">
        <v>12375.24</v>
      </c>
    </row>
    <row r="65" spans="1:8" x14ac:dyDescent="0.2">
      <c r="E65" s="821">
        <v>32</v>
      </c>
      <c r="F65" t="s">
        <v>244</v>
      </c>
      <c r="G65" s="352">
        <v>817162.58</v>
      </c>
    </row>
    <row r="66" spans="1:8" x14ac:dyDescent="0.2">
      <c r="A66" s="821">
        <v>1170</v>
      </c>
      <c r="B66" t="s">
        <v>40</v>
      </c>
      <c r="C66" s="352">
        <v>628.73</v>
      </c>
      <c r="D66" t="s">
        <v>1577</v>
      </c>
    </row>
    <row r="67" spans="1:8" x14ac:dyDescent="0.2">
      <c r="E67" s="821">
        <v>320</v>
      </c>
      <c r="F67" t="s">
        <v>244</v>
      </c>
      <c r="G67" s="352">
        <v>817162.58</v>
      </c>
    </row>
    <row r="68" spans="1:8" x14ac:dyDescent="0.2">
      <c r="A68" s="821">
        <v>1170000</v>
      </c>
      <c r="B68" t="s">
        <v>40</v>
      </c>
      <c r="C68" s="352">
        <v>628.73</v>
      </c>
      <c r="D68" t="s">
        <v>1578</v>
      </c>
    </row>
    <row r="69" spans="1:8" x14ac:dyDescent="0.2">
      <c r="A69" s="821">
        <v>117000000</v>
      </c>
      <c r="B69" t="s">
        <v>40</v>
      </c>
      <c r="C69" s="352">
        <v>628.73</v>
      </c>
      <c r="E69" s="821">
        <v>3200</v>
      </c>
      <c r="F69" t="s">
        <v>308</v>
      </c>
      <c r="G69" s="352">
        <v>817162.58</v>
      </c>
      <c r="H69" t="s">
        <v>1577</v>
      </c>
    </row>
    <row r="70" spans="1:8" x14ac:dyDescent="0.2">
      <c r="A70" s="821">
        <v>11700000002</v>
      </c>
      <c r="B70" t="s">
        <v>428</v>
      </c>
      <c r="C70" s="352">
        <v>628.73</v>
      </c>
    </row>
    <row r="71" spans="1:8" x14ac:dyDescent="0.2">
      <c r="E71" s="821">
        <v>3200000</v>
      </c>
      <c r="F71" t="s">
        <v>308</v>
      </c>
      <c r="G71" s="352">
        <v>817162.58</v>
      </c>
      <c r="H71" t="s">
        <v>1578</v>
      </c>
    </row>
    <row r="72" spans="1:8" x14ac:dyDescent="0.2">
      <c r="A72" s="821">
        <v>1171</v>
      </c>
      <c r="B72" t="s">
        <v>9</v>
      </c>
      <c r="C72" s="352">
        <v>11746.51</v>
      </c>
      <c r="D72" t="s">
        <v>1577</v>
      </c>
      <c r="E72" s="821">
        <v>320000000</v>
      </c>
      <c r="F72" t="s">
        <v>308</v>
      </c>
      <c r="G72" s="352">
        <v>817162.58</v>
      </c>
    </row>
    <row r="73" spans="1:8" x14ac:dyDescent="0.2">
      <c r="E73" s="821">
        <v>32000000000</v>
      </c>
      <c r="F73" t="s">
        <v>308</v>
      </c>
      <c r="G73" s="352">
        <v>817162.58</v>
      </c>
    </row>
    <row r="74" spans="1:8" x14ac:dyDescent="0.2">
      <c r="A74" s="821">
        <v>1171000</v>
      </c>
      <c r="B74" t="s">
        <v>360</v>
      </c>
      <c r="C74" s="352">
        <v>1857.77</v>
      </c>
      <c r="D74" t="s">
        <v>1578</v>
      </c>
    </row>
    <row r="75" spans="1:8" x14ac:dyDescent="0.2">
      <c r="A75" s="821">
        <v>117100000</v>
      </c>
      <c r="B75" t="s">
        <v>360</v>
      </c>
      <c r="C75" s="352">
        <v>1857.77</v>
      </c>
      <c r="E75" s="821">
        <v>34</v>
      </c>
      <c r="F75" t="s">
        <v>97</v>
      </c>
      <c r="G75" s="352">
        <v>208925.02</v>
      </c>
    </row>
    <row r="76" spans="1:8" x14ac:dyDescent="0.2">
      <c r="A76" s="821">
        <v>11710000000</v>
      </c>
      <c r="B76" t="s">
        <v>361</v>
      </c>
      <c r="C76" s="352">
        <v>1857.77</v>
      </c>
    </row>
    <row r="77" spans="1:8" x14ac:dyDescent="0.2">
      <c r="A77" s="821">
        <v>1171020</v>
      </c>
      <c r="B77" t="s">
        <v>205</v>
      </c>
      <c r="C77" s="352">
        <v>9888.74</v>
      </c>
      <c r="D77" t="s">
        <v>1578</v>
      </c>
      <c r="E77" s="821">
        <v>340</v>
      </c>
      <c r="F77" t="s">
        <v>98</v>
      </c>
      <c r="G77" s="352">
        <v>208925.02</v>
      </c>
    </row>
    <row r="78" spans="1:8" x14ac:dyDescent="0.2">
      <c r="A78" s="821">
        <v>117102000</v>
      </c>
      <c r="B78" t="s">
        <v>205</v>
      </c>
      <c r="C78" s="352">
        <v>9888.74</v>
      </c>
    </row>
    <row r="79" spans="1:8" x14ac:dyDescent="0.2">
      <c r="A79" s="821">
        <v>11710200000</v>
      </c>
      <c r="B79" t="s">
        <v>188</v>
      </c>
      <c r="C79" s="352">
        <v>9888.74</v>
      </c>
      <c r="E79" s="821">
        <v>3400</v>
      </c>
      <c r="F79" t="s">
        <v>99</v>
      </c>
      <c r="G79" s="352">
        <v>208925.02</v>
      </c>
      <c r="H79" t="s">
        <v>1577</v>
      </c>
    </row>
    <row r="81" spans="1:8" x14ac:dyDescent="0.2">
      <c r="A81" s="821">
        <v>118</v>
      </c>
      <c r="B81" t="s">
        <v>202</v>
      </c>
      <c r="C81" s="352">
        <v>117.55</v>
      </c>
      <c r="E81" s="821">
        <v>3400000</v>
      </c>
      <c r="F81" t="s">
        <v>146</v>
      </c>
      <c r="G81" s="352">
        <v>208925.02</v>
      </c>
      <c r="H81" t="s">
        <v>1578</v>
      </c>
    </row>
    <row r="82" spans="1:8" x14ac:dyDescent="0.2">
      <c r="E82" s="821">
        <v>340000000</v>
      </c>
      <c r="F82" t="s">
        <v>146</v>
      </c>
      <c r="G82" s="352">
        <v>208925.02</v>
      </c>
    </row>
    <row r="83" spans="1:8" x14ac:dyDescent="0.2">
      <c r="A83" s="821">
        <v>1180</v>
      </c>
      <c r="B83" t="s">
        <v>110</v>
      </c>
      <c r="C83" s="352">
        <v>117.55</v>
      </c>
      <c r="D83" t="s">
        <v>1577</v>
      </c>
      <c r="E83" s="821">
        <v>34000000000</v>
      </c>
      <c r="F83" t="s">
        <v>146</v>
      </c>
      <c r="G83" s="352">
        <v>208925.02</v>
      </c>
    </row>
    <row r="84" spans="1:8" x14ac:dyDescent="0.2">
      <c r="F84" t="s">
        <v>1639</v>
      </c>
      <c r="G84" s="352">
        <v>2280287.6</v>
      </c>
    </row>
    <row r="85" spans="1:8" x14ac:dyDescent="0.2">
      <c r="A85" s="821">
        <v>1180010</v>
      </c>
      <c r="B85" t="s">
        <v>466</v>
      </c>
      <c r="C85" s="352">
        <v>117.55</v>
      </c>
      <c r="D85" t="s">
        <v>1578</v>
      </c>
    </row>
    <row r="86" spans="1:8" x14ac:dyDescent="0.2">
      <c r="A86" s="821">
        <v>118001000</v>
      </c>
      <c r="B86" t="s">
        <v>466</v>
      </c>
      <c r="C86" s="352">
        <v>117.55</v>
      </c>
      <c r="E86" s="821">
        <v>5</v>
      </c>
      <c r="F86" t="s">
        <v>118</v>
      </c>
      <c r="G86" s="352">
        <v>12094.62</v>
      </c>
    </row>
    <row r="87" spans="1:8" x14ac:dyDescent="0.2">
      <c r="A87" s="821">
        <v>11800100004</v>
      </c>
      <c r="B87" t="s">
        <v>467</v>
      </c>
      <c r="C87" s="352">
        <v>2.2000000000000002</v>
      </c>
    </row>
    <row r="88" spans="1:8" x14ac:dyDescent="0.2">
      <c r="A88" s="821">
        <v>11800100005</v>
      </c>
      <c r="B88" t="s">
        <v>468</v>
      </c>
      <c r="C88" s="352">
        <v>115.35</v>
      </c>
      <c r="E88" s="821">
        <v>51</v>
      </c>
      <c r="F88" t="s">
        <v>377</v>
      </c>
      <c r="G88" s="352">
        <v>12094.62</v>
      </c>
    </row>
    <row r="90" spans="1:8" x14ac:dyDescent="0.2">
      <c r="A90" s="821">
        <v>12</v>
      </c>
      <c r="B90" t="s">
        <v>144</v>
      </c>
      <c r="C90" s="352">
        <v>16864</v>
      </c>
      <c r="E90" s="821">
        <v>510</v>
      </c>
      <c r="F90" t="s">
        <v>346</v>
      </c>
      <c r="G90" s="352">
        <v>2754.9</v>
      </c>
    </row>
    <row r="91" spans="1:8" x14ac:dyDescent="0.2">
      <c r="A91" s="821">
        <v>1211000</v>
      </c>
      <c r="B91" t="s">
        <v>261</v>
      </c>
      <c r="C91" s="352">
        <v>77260.91</v>
      </c>
      <c r="D91" t="s">
        <v>1578</v>
      </c>
    </row>
    <row r="92" spans="1:8" x14ac:dyDescent="0.2">
      <c r="A92" s="821">
        <v>121100000</v>
      </c>
      <c r="B92" t="s">
        <v>261</v>
      </c>
      <c r="C92" s="352">
        <v>77260.91</v>
      </c>
      <c r="E92" s="821">
        <v>5100</v>
      </c>
      <c r="F92" t="s">
        <v>378</v>
      </c>
      <c r="G92" s="352">
        <v>2754.9</v>
      </c>
      <c r="H92" t="s">
        <v>1577</v>
      </c>
    </row>
    <row r="93" spans="1:8" x14ac:dyDescent="0.2">
      <c r="A93" s="821">
        <v>12110000000</v>
      </c>
      <c r="B93" t="s">
        <v>261</v>
      </c>
      <c r="C93" s="352">
        <v>77260.91</v>
      </c>
    </row>
    <row r="94" spans="1:8" x14ac:dyDescent="0.2">
      <c r="A94" s="821">
        <v>1211010</v>
      </c>
      <c r="B94" t="s">
        <v>262</v>
      </c>
      <c r="C94" s="352">
        <v>10024.299999999999</v>
      </c>
      <c r="D94" t="s">
        <v>1578</v>
      </c>
      <c r="E94" s="821">
        <v>5100010</v>
      </c>
      <c r="F94" t="s">
        <v>379</v>
      </c>
      <c r="G94" s="352">
        <v>2533.4</v>
      </c>
      <c r="H94" t="s">
        <v>1578</v>
      </c>
    </row>
    <row r="95" spans="1:8" x14ac:dyDescent="0.2">
      <c r="A95" s="821">
        <v>121101000</v>
      </c>
      <c r="B95" t="s">
        <v>262</v>
      </c>
      <c r="C95" s="352">
        <v>10024.299999999999</v>
      </c>
      <c r="E95" s="821">
        <v>510001000</v>
      </c>
      <c r="F95" t="s">
        <v>379</v>
      </c>
      <c r="G95" s="352">
        <v>2533.4</v>
      </c>
    </row>
    <row r="96" spans="1:8" x14ac:dyDescent="0.2">
      <c r="A96" s="821">
        <v>12110100000</v>
      </c>
      <c r="B96" t="s">
        <v>262</v>
      </c>
      <c r="C96" s="352">
        <v>10024.299999999999</v>
      </c>
      <c r="E96" s="821">
        <v>51000100001</v>
      </c>
      <c r="F96" t="s">
        <v>12</v>
      </c>
      <c r="G96" s="352">
        <v>1267.58</v>
      </c>
    </row>
    <row r="97" spans="1:8" x14ac:dyDescent="0.2">
      <c r="A97" s="821">
        <v>1211020</v>
      </c>
      <c r="B97" t="s">
        <v>362</v>
      </c>
      <c r="C97" s="352">
        <v>1440</v>
      </c>
      <c r="D97" t="s">
        <v>1578</v>
      </c>
      <c r="E97" s="821">
        <v>51000100002</v>
      </c>
      <c r="F97" t="s">
        <v>380</v>
      </c>
      <c r="G97" s="352">
        <v>1265.82</v>
      </c>
    </row>
    <row r="98" spans="1:8" x14ac:dyDescent="0.2">
      <c r="A98" s="821">
        <v>121102000</v>
      </c>
      <c r="B98" t="s">
        <v>362</v>
      </c>
      <c r="C98" s="352">
        <v>1440</v>
      </c>
      <c r="E98" s="821">
        <v>5100020</v>
      </c>
      <c r="F98" t="s">
        <v>381</v>
      </c>
      <c r="G98" s="352">
        <v>221.5</v>
      </c>
      <c r="H98" t="s">
        <v>1578</v>
      </c>
    </row>
    <row r="99" spans="1:8" x14ac:dyDescent="0.2">
      <c r="A99" s="821">
        <v>12110200000</v>
      </c>
      <c r="B99" t="s">
        <v>286</v>
      </c>
      <c r="C99" s="352">
        <v>1440</v>
      </c>
      <c r="E99" s="821">
        <v>510002000</v>
      </c>
      <c r="F99" t="s">
        <v>381</v>
      </c>
      <c r="G99" s="352">
        <v>221.5</v>
      </c>
    </row>
    <row r="100" spans="1:8" x14ac:dyDescent="0.2">
      <c r="A100" s="821">
        <v>1211040</v>
      </c>
      <c r="B100" t="s">
        <v>219</v>
      </c>
      <c r="C100" s="352">
        <v>404</v>
      </c>
      <c r="D100" t="s">
        <v>1578</v>
      </c>
      <c r="E100" s="821">
        <v>51000200001</v>
      </c>
      <c r="F100" t="s">
        <v>382</v>
      </c>
      <c r="G100" s="352">
        <v>110.75</v>
      </c>
    </row>
    <row r="101" spans="1:8" x14ac:dyDescent="0.2">
      <c r="A101" s="821">
        <v>121104000</v>
      </c>
      <c r="B101" t="s">
        <v>219</v>
      </c>
      <c r="C101" s="352">
        <v>404</v>
      </c>
      <c r="E101" s="821">
        <v>51000200002</v>
      </c>
      <c r="F101" t="s">
        <v>383</v>
      </c>
      <c r="G101" s="352">
        <v>110.75</v>
      </c>
    </row>
    <row r="102" spans="1:8" x14ac:dyDescent="0.2">
      <c r="A102" s="821">
        <v>12110400000</v>
      </c>
      <c r="B102" t="s">
        <v>363</v>
      </c>
      <c r="C102" s="352">
        <v>404</v>
      </c>
    </row>
    <row r="103" spans="1:8" x14ac:dyDescent="0.2">
      <c r="A103" s="821">
        <v>1211060</v>
      </c>
      <c r="B103" t="s">
        <v>338</v>
      </c>
      <c r="C103" s="352">
        <v>89129.21</v>
      </c>
      <c r="D103" t="s">
        <v>1579</v>
      </c>
      <c r="E103" s="821">
        <v>512</v>
      </c>
      <c r="F103" t="s">
        <v>54</v>
      </c>
      <c r="G103" s="352">
        <v>9339.7199999999993</v>
      </c>
    </row>
    <row r="104" spans="1:8" x14ac:dyDescent="0.2">
      <c r="A104" s="821">
        <v>121106000</v>
      </c>
      <c r="B104" t="s">
        <v>338</v>
      </c>
      <c r="C104" s="352">
        <v>89129.21</v>
      </c>
      <c r="D104" t="s">
        <v>1580</v>
      </c>
    </row>
    <row r="105" spans="1:8" x14ac:dyDescent="0.2">
      <c r="A105" s="821">
        <v>12110600000</v>
      </c>
      <c r="B105" t="s">
        <v>364</v>
      </c>
      <c r="C105" s="352">
        <v>77260.91</v>
      </c>
      <c r="D105" t="s">
        <v>1580</v>
      </c>
      <c r="E105" s="821">
        <v>5122</v>
      </c>
      <c r="F105" t="s">
        <v>54</v>
      </c>
      <c r="G105" s="352">
        <v>9339.7199999999993</v>
      </c>
      <c r="H105" t="s">
        <v>1577</v>
      </c>
    </row>
    <row r="106" spans="1:8" x14ac:dyDescent="0.2">
      <c r="A106" s="821">
        <v>12110600001</v>
      </c>
      <c r="B106" t="s">
        <v>285</v>
      </c>
      <c r="C106" s="352">
        <v>10024.299999999999</v>
      </c>
      <c r="D106" t="s">
        <v>1580</v>
      </c>
    </row>
    <row r="107" spans="1:8" x14ac:dyDescent="0.2">
      <c r="A107" s="821">
        <v>12110600002</v>
      </c>
      <c r="B107" t="s">
        <v>286</v>
      </c>
      <c r="C107" s="352">
        <v>1440</v>
      </c>
      <c r="D107" t="s">
        <v>1580</v>
      </c>
      <c r="E107" s="821">
        <v>5122020</v>
      </c>
      <c r="F107" t="s">
        <v>55</v>
      </c>
      <c r="G107" s="352">
        <v>9339.7199999999993</v>
      </c>
      <c r="H107" t="s">
        <v>1578</v>
      </c>
    </row>
    <row r="108" spans="1:8" x14ac:dyDescent="0.2">
      <c r="A108" s="821">
        <v>12110600003</v>
      </c>
      <c r="B108" t="s">
        <v>363</v>
      </c>
      <c r="C108" s="352">
        <v>404</v>
      </c>
      <c r="D108" t="s">
        <v>1580</v>
      </c>
      <c r="E108" s="821">
        <v>512202000</v>
      </c>
      <c r="F108" t="s">
        <v>55</v>
      </c>
      <c r="G108" s="352">
        <v>9339.7199999999993</v>
      </c>
    </row>
    <row r="109" spans="1:8" x14ac:dyDescent="0.2">
      <c r="E109" s="821">
        <v>51220200001</v>
      </c>
      <c r="F109" t="s">
        <v>55</v>
      </c>
      <c r="G109" s="352">
        <v>9339.7199999999993</v>
      </c>
    </row>
    <row r="110" spans="1:8" x14ac:dyDescent="0.2">
      <c r="A110" s="821">
        <v>123</v>
      </c>
      <c r="B110" t="s">
        <v>309</v>
      </c>
      <c r="C110" s="352">
        <v>16864</v>
      </c>
      <c r="F110" t="s">
        <v>1640</v>
      </c>
      <c r="G110" s="352">
        <v>12094.62</v>
      </c>
    </row>
    <row r="112" spans="1:8" x14ac:dyDescent="0.2">
      <c r="A112" s="821">
        <v>1230</v>
      </c>
      <c r="B112" t="s">
        <v>310</v>
      </c>
      <c r="C112" s="352">
        <v>16864</v>
      </c>
      <c r="D112" t="s">
        <v>1577</v>
      </c>
    </row>
    <row r="114" spans="1:4" x14ac:dyDescent="0.2">
      <c r="A114" s="821">
        <v>1230110</v>
      </c>
      <c r="B114" t="s">
        <v>263</v>
      </c>
      <c r="C114" s="352">
        <v>16864</v>
      </c>
      <c r="D114" t="s">
        <v>1578</v>
      </c>
    </row>
    <row r="115" spans="1:4" x14ac:dyDescent="0.2">
      <c r="A115" s="821">
        <v>123011000</v>
      </c>
      <c r="B115" t="s">
        <v>263</v>
      </c>
      <c r="C115" s="352">
        <v>16864</v>
      </c>
    </row>
    <row r="116" spans="1:4" x14ac:dyDescent="0.2">
      <c r="A116" s="821">
        <v>12301100001</v>
      </c>
      <c r="B116" t="s">
        <v>365</v>
      </c>
      <c r="C116" s="352">
        <v>64</v>
      </c>
    </row>
    <row r="117" spans="1:4" x14ac:dyDescent="0.2">
      <c r="A117" s="821">
        <v>12301100002</v>
      </c>
      <c r="B117" t="s">
        <v>311</v>
      </c>
      <c r="C117" s="352">
        <v>16800</v>
      </c>
    </row>
    <row r="118" spans="1:4" x14ac:dyDescent="0.2">
      <c r="A118" s="821">
        <v>1260000</v>
      </c>
      <c r="B118" t="s">
        <v>17</v>
      </c>
      <c r="C118" s="352">
        <v>5714.29</v>
      </c>
      <c r="D118" t="s">
        <v>1578</v>
      </c>
    </row>
    <row r="119" spans="1:4" x14ac:dyDescent="0.2">
      <c r="A119" s="821">
        <v>126000000</v>
      </c>
      <c r="B119" t="s">
        <v>17</v>
      </c>
      <c r="C119" s="352">
        <v>5714.29</v>
      </c>
    </row>
    <row r="120" spans="1:4" x14ac:dyDescent="0.2">
      <c r="A120" s="821">
        <v>12600000000</v>
      </c>
      <c r="B120" t="s">
        <v>366</v>
      </c>
      <c r="C120" s="352">
        <v>5714.29</v>
      </c>
    </row>
    <row r="121" spans="1:4" x14ac:dyDescent="0.2">
      <c r="A121" s="821">
        <v>1260010</v>
      </c>
      <c r="B121" t="s">
        <v>18</v>
      </c>
      <c r="C121" s="352">
        <v>5714.29</v>
      </c>
      <c r="D121" t="s">
        <v>1579</v>
      </c>
    </row>
    <row r="122" spans="1:4" x14ac:dyDescent="0.2">
      <c r="A122" s="821">
        <v>126001000</v>
      </c>
      <c r="B122" t="s">
        <v>18</v>
      </c>
      <c r="C122" s="352">
        <v>5714.29</v>
      </c>
      <c r="D122" t="s">
        <v>1580</v>
      </c>
    </row>
    <row r="123" spans="1:4" x14ac:dyDescent="0.2">
      <c r="A123" s="821">
        <v>12600100000</v>
      </c>
      <c r="B123" t="s">
        <v>367</v>
      </c>
      <c r="C123" s="352">
        <v>5714.29</v>
      </c>
      <c r="D123" t="s">
        <v>1580</v>
      </c>
    </row>
    <row r="124" spans="1:4" x14ac:dyDescent="0.2">
      <c r="B124" t="s">
        <v>1601</v>
      </c>
      <c r="C124" s="352">
        <v>2328674.27</v>
      </c>
    </row>
    <row r="126" spans="1:4" x14ac:dyDescent="0.2">
      <c r="A126" s="821">
        <v>4</v>
      </c>
      <c r="B126" t="s">
        <v>266</v>
      </c>
      <c r="C126" s="352">
        <v>16737.04</v>
      </c>
    </row>
    <row r="128" spans="1:4" x14ac:dyDescent="0.2">
      <c r="A128" s="821">
        <v>41</v>
      </c>
      <c r="B128" t="s">
        <v>370</v>
      </c>
      <c r="C128" s="352">
        <v>15092.77</v>
      </c>
    </row>
    <row r="130" spans="1:4" x14ac:dyDescent="0.2">
      <c r="A130" s="821">
        <v>410</v>
      </c>
      <c r="B130" t="s">
        <v>267</v>
      </c>
      <c r="C130" s="352">
        <v>1376.57</v>
      </c>
    </row>
    <row r="132" spans="1:4" x14ac:dyDescent="0.2">
      <c r="A132" s="821">
        <v>4101</v>
      </c>
      <c r="B132" t="s">
        <v>371</v>
      </c>
      <c r="C132" s="352">
        <v>1376.57</v>
      </c>
      <c r="D132" t="s">
        <v>1577</v>
      </c>
    </row>
    <row r="134" spans="1:4" x14ac:dyDescent="0.2">
      <c r="A134" s="821">
        <v>4101020</v>
      </c>
      <c r="B134" t="s">
        <v>268</v>
      </c>
      <c r="C134" s="352">
        <v>1376.57</v>
      </c>
      <c r="D134" t="s">
        <v>1578</v>
      </c>
    </row>
    <row r="135" spans="1:4" x14ac:dyDescent="0.2">
      <c r="A135" s="821">
        <v>410102000</v>
      </c>
      <c r="B135" t="s">
        <v>268</v>
      </c>
      <c r="C135" s="352">
        <v>1376.57</v>
      </c>
    </row>
    <row r="136" spans="1:4" x14ac:dyDescent="0.2">
      <c r="A136" s="821">
        <v>41010200003</v>
      </c>
      <c r="B136" t="s">
        <v>6</v>
      </c>
      <c r="C136" s="352">
        <v>1265.82</v>
      </c>
    </row>
    <row r="137" spans="1:4" x14ac:dyDescent="0.2">
      <c r="A137" s="821">
        <v>41010200004</v>
      </c>
      <c r="B137" t="s">
        <v>7</v>
      </c>
      <c r="C137" s="352">
        <v>110.75</v>
      </c>
    </row>
    <row r="139" spans="1:4" x14ac:dyDescent="0.2">
      <c r="A139" s="821">
        <v>412</v>
      </c>
      <c r="B139" t="s">
        <v>220</v>
      </c>
      <c r="C139" s="352">
        <v>13716.2</v>
      </c>
    </row>
    <row r="141" spans="1:4" x14ac:dyDescent="0.2">
      <c r="A141" s="821">
        <v>4122</v>
      </c>
      <c r="B141" t="s">
        <v>228</v>
      </c>
      <c r="C141" s="352">
        <v>5834.62</v>
      </c>
      <c r="D141" t="s">
        <v>1577</v>
      </c>
    </row>
    <row r="143" spans="1:4" x14ac:dyDescent="0.2">
      <c r="A143" s="821">
        <v>4122030</v>
      </c>
      <c r="B143" t="s">
        <v>336</v>
      </c>
      <c r="C143" s="352">
        <v>4597.97</v>
      </c>
      <c r="D143" t="s">
        <v>1578</v>
      </c>
    </row>
    <row r="144" spans="1:4" x14ac:dyDescent="0.2">
      <c r="A144" s="821">
        <v>412203000</v>
      </c>
      <c r="B144" t="s">
        <v>336</v>
      </c>
      <c r="C144" s="352">
        <v>4597.97</v>
      </c>
    </row>
    <row r="145" spans="1:4" x14ac:dyDescent="0.2">
      <c r="A145" s="821">
        <v>41220300000</v>
      </c>
      <c r="B145" t="s">
        <v>373</v>
      </c>
      <c r="C145" s="352">
        <v>4597.97</v>
      </c>
    </row>
    <row r="146" spans="1:4" x14ac:dyDescent="0.2">
      <c r="A146" s="821">
        <v>4122040</v>
      </c>
      <c r="B146" t="s">
        <v>85</v>
      </c>
      <c r="C146" s="352">
        <v>120</v>
      </c>
      <c r="D146" t="s">
        <v>1578</v>
      </c>
    </row>
    <row r="147" spans="1:4" x14ac:dyDescent="0.2">
      <c r="A147" s="821">
        <v>412204000</v>
      </c>
      <c r="B147" t="s">
        <v>85</v>
      </c>
      <c r="C147" s="352">
        <v>120</v>
      </c>
    </row>
    <row r="148" spans="1:4" x14ac:dyDescent="0.2">
      <c r="A148" s="821">
        <v>41220400000</v>
      </c>
      <c r="B148" t="s">
        <v>85</v>
      </c>
      <c r="C148" s="352">
        <v>120</v>
      </c>
    </row>
    <row r="149" spans="1:4" x14ac:dyDescent="0.2">
      <c r="A149" s="821">
        <v>4122080</v>
      </c>
      <c r="B149" t="s">
        <v>200</v>
      </c>
      <c r="C149" s="352">
        <v>1116.6500000000001</v>
      </c>
      <c r="D149" t="s">
        <v>1578</v>
      </c>
    </row>
    <row r="150" spans="1:4" x14ac:dyDescent="0.2">
      <c r="A150" s="821">
        <v>412208000</v>
      </c>
      <c r="B150" t="s">
        <v>200</v>
      </c>
      <c r="C150" s="352">
        <v>1116.6500000000001</v>
      </c>
    </row>
    <row r="151" spans="1:4" x14ac:dyDescent="0.2">
      <c r="A151" s="821">
        <v>41220800000</v>
      </c>
      <c r="B151" t="s">
        <v>31</v>
      </c>
      <c r="C151" s="352">
        <v>341.66</v>
      </c>
    </row>
    <row r="152" spans="1:4" x14ac:dyDescent="0.2">
      <c r="A152" s="821">
        <v>41220800002</v>
      </c>
      <c r="B152" t="s">
        <v>96</v>
      </c>
      <c r="C152" s="352">
        <v>774.99</v>
      </c>
    </row>
    <row r="154" spans="1:4" x14ac:dyDescent="0.2">
      <c r="A154" s="821">
        <v>4123</v>
      </c>
      <c r="B154" t="s">
        <v>469</v>
      </c>
      <c r="C154" s="352">
        <v>621.15</v>
      </c>
      <c r="D154" t="s">
        <v>1577</v>
      </c>
    </row>
    <row r="156" spans="1:4" x14ac:dyDescent="0.2">
      <c r="A156" s="821">
        <v>4123010</v>
      </c>
      <c r="B156" t="s">
        <v>470</v>
      </c>
      <c r="C156" s="352">
        <v>57.66</v>
      </c>
      <c r="D156" t="s">
        <v>1578</v>
      </c>
    </row>
    <row r="157" spans="1:4" x14ac:dyDescent="0.2">
      <c r="A157" s="821">
        <v>412301000</v>
      </c>
      <c r="B157" t="s">
        <v>470</v>
      </c>
      <c r="C157" s="352">
        <v>57.66</v>
      </c>
    </row>
    <row r="158" spans="1:4" x14ac:dyDescent="0.2">
      <c r="A158" s="821">
        <v>41230100001</v>
      </c>
      <c r="B158" t="s">
        <v>471</v>
      </c>
      <c r="C158" s="352">
        <v>57.66</v>
      </c>
    </row>
    <row r="159" spans="1:4" x14ac:dyDescent="0.2">
      <c r="A159" s="821">
        <v>4123030</v>
      </c>
      <c r="B159" t="s">
        <v>4</v>
      </c>
      <c r="C159" s="352">
        <v>563.49</v>
      </c>
      <c r="D159" t="s">
        <v>1578</v>
      </c>
    </row>
    <row r="160" spans="1:4" x14ac:dyDescent="0.2">
      <c r="A160" s="821">
        <v>412303000</v>
      </c>
      <c r="B160" t="s">
        <v>4</v>
      </c>
      <c r="C160" s="352">
        <v>563.49</v>
      </c>
    </row>
    <row r="161" spans="1:4" x14ac:dyDescent="0.2">
      <c r="A161" s="821">
        <v>41230300001</v>
      </c>
      <c r="B161" t="s">
        <v>472</v>
      </c>
      <c r="C161" s="352">
        <v>563.49</v>
      </c>
    </row>
    <row r="163" spans="1:4" x14ac:dyDescent="0.2">
      <c r="A163" s="821">
        <v>4124</v>
      </c>
      <c r="B163" t="s">
        <v>235</v>
      </c>
      <c r="C163" s="352">
        <v>5591.77</v>
      </c>
      <c r="D163" t="s">
        <v>1577</v>
      </c>
    </row>
    <row r="165" spans="1:4" x14ac:dyDescent="0.2">
      <c r="A165" s="821">
        <v>4124020</v>
      </c>
      <c r="B165" t="s">
        <v>36</v>
      </c>
      <c r="C165" s="352">
        <v>3191.77</v>
      </c>
      <c r="D165" t="s">
        <v>1578</v>
      </c>
    </row>
    <row r="166" spans="1:4" x14ac:dyDescent="0.2">
      <c r="A166" s="821">
        <v>412402000</v>
      </c>
      <c r="B166" t="s">
        <v>36</v>
      </c>
      <c r="C166" s="352">
        <v>3191.77</v>
      </c>
    </row>
    <row r="167" spans="1:4" x14ac:dyDescent="0.2">
      <c r="A167" s="821">
        <v>41240200000</v>
      </c>
      <c r="B167" t="s">
        <v>37</v>
      </c>
      <c r="C167" s="352">
        <v>2688.88</v>
      </c>
    </row>
    <row r="168" spans="1:4" x14ac:dyDescent="0.2">
      <c r="A168" s="821">
        <v>41240200001</v>
      </c>
      <c r="B168" t="s">
        <v>11</v>
      </c>
      <c r="C168" s="352">
        <v>502.89</v>
      </c>
    </row>
    <row r="169" spans="1:4" x14ac:dyDescent="0.2">
      <c r="A169" s="821">
        <v>4124040</v>
      </c>
      <c r="B169" t="s">
        <v>354</v>
      </c>
      <c r="C169" s="352">
        <v>2400</v>
      </c>
      <c r="D169" t="s">
        <v>1578</v>
      </c>
    </row>
    <row r="170" spans="1:4" x14ac:dyDescent="0.2">
      <c r="A170" s="821">
        <v>412404000</v>
      </c>
      <c r="B170" t="s">
        <v>354</v>
      </c>
      <c r="C170" s="352">
        <v>2400</v>
      </c>
    </row>
    <row r="171" spans="1:4" x14ac:dyDescent="0.2">
      <c r="A171" s="821">
        <v>41240400001</v>
      </c>
      <c r="B171" t="s">
        <v>376</v>
      </c>
      <c r="C171" s="352">
        <v>2400</v>
      </c>
    </row>
    <row r="173" spans="1:4" x14ac:dyDescent="0.2">
      <c r="A173" s="821">
        <v>4125</v>
      </c>
      <c r="B173" t="s">
        <v>229</v>
      </c>
      <c r="C173" s="352">
        <v>1668.66</v>
      </c>
      <c r="D173" t="s">
        <v>1577</v>
      </c>
    </row>
    <row r="174" spans="1:4" x14ac:dyDescent="0.2">
      <c r="A174" s="821">
        <v>4125010</v>
      </c>
      <c r="B174" t="s">
        <v>423</v>
      </c>
      <c r="C174" s="352">
        <v>535.20000000000005</v>
      </c>
      <c r="D174" t="s">
        <v>1578</v>
      </c>
    </row>
    <row r="175" spans="1:4" x14ac:dyDescent="0.2">
      <c r="A175" s="821">
        <v>412501000</v>
      </c>
      <c r="B175" t="s">
        <v>423</v>
      </c>
      <c r="C175" s="352">
        <v>535.20000000000005</v>
      </c>
    </row>
    <row r="176" spans="1:4" x14ac:dyDescent="0.2">
      <c r="A176" s="821">
        <v>41250100014</v>
      </c>
      <c r="B176" t="s">
        <v>474</v>
      </c>
      <c r="C176" s="352">
        <v>535.20000000000005</v>
      </c>
    </row>
    <row r="177" spans="1:4" x14ac:dyDescent="0.2">
      <c r="A177" s="821">
        <v>4125050</v>
      </c>
      <c r="B177" t="s">
        <v>114</v>
      </c>
      <c r="C177" s="352">
        <v>1133.46</v>
      </c>
      <c r="D177" t="s">
        <v>1578</v>
      </c>
    </row>
    <row r="178" spans="1:4" x14ac:dyDescent="0.2">
      <c r="A178" s="821">
        <v>412505000</v>
      </c>
      <c r="B178" t="s">
        <v>114</v>
      </c>
      <c r="C178" s="352">
        <v>1133.46</v>
      </c>
    </row>
    <row r="179" spans="1:4" x14ac:dyDescent="0.2">
      <c r="A179" s="821">
        <v>41250500002</v>
      </c>
      <c r="B179" t="s">
        <v>484</v>
      </c>
      <c r="C179" s="352">
        <v>566.73</v>
      </c>
    </row>
    <row r="180" spans="1:4" x14ac:dyDescent="0.2">
      <c r="A180" s="821">
        <v>41250500003</v>
      </c>
      <c r="B180" t="s">
        <v>483</v>
      </c>
      <c r="C180" s="352">
        <v>566.73</v>
      </c>
    </row>
    <row r="182" spans="1:4" x14ac:dyDescent="0.2">
      <c r="A182" s="821">
        <v>43</v>
      </c>
      <c r="B182" t="s">
        <v>75</v>
      </c>
      <c r="C182" s="352">
        <v>1644.27</v>
      </c>
    </row>
    <row r="184" spans="1:4" x14ac:dyDescent="0.2">
      <c r="A184" s="821">
        <v>430</v>
      </c>
      <c r="B184" t="s">
        <v>75</v>
      </c>
      <c r="C184" s="352">
        <v>1644.27</v>
      </c>
    </row>
    <row r="186" spans="1:4" x14ac:dyDescent="0.2">
      <c r="A186" s="821">
        <v>4300</v>
      </c>
      <c r="B186" t="s">
        <v>75</v>
      </c>
      <c r="C186" s="352">
        <v>1644.27</v>
      </c>
      <c r="D186" t="s">
        <v>1577</v>
      </c>
    </row>
    <row r="188" spans="1:4" x14ac:dyDescent="0.2">
      <c r="A188" s="821">
        <v>4300030</v>
      </c>
      <c r="B188" t="s">
        <v>345</v>
      </c>
      <c r="C188" s="352">
        <v>1644.27</v>
      </c>
      <c r="D188" t="s">
        <v>1578</v>
      </c>
    </row>
    <row r="189" spans="1:4" x14ac:dyDescent="0.2">
      <c r="A189" s="821">
        <v>430003000</v>
      </c>
      <c r="B189" t="s">
        <v>345</v>
      </c>
      <c r="C189" s="352">
        <v>1644.27</v>
      </c>
    </row>
    <row r="190" spans="1:4" x14ac:dyDescent="0.2">
      <c r="A190" s="821">
        <v>43000300001</v>
      </c>
      <c r="B190" t="s">
        <v>350</v>
      </c>
      <c r="C190" s="352">
        <v>1644.27</v>
      </c>
    </row>
    <row r="191" spans="1:4" x14ac:dyDescent="0.2">
      <c r="B191" t="s">
        <v>1641</v>
      </c>
      <c r="C191" s="352">
        <v>16737.04</v>
      </c>
    </row>
    <row r="193" spans="1:8" x14ac:dyDescent="0.2">
      <c r="A193" s="821">
        <v>6</v>
      </c>
      <c r="B193" t="s">
        <v>208</v>
      </c>
      <c r="C193" s="352">
        <v>253720.15</v>
      </c>
      <c r="E193" s="821">
        <v>7</v>
      </c>
      <c r="F193" t="s">
        <v>393</v>
      </c>
      <c r="G193" s="352">
        <v>253720.15</v>
      </c>
    </row>
    <row r="195" spans="1:8" x14ac:dyDescent="0.2">
      <c r="A195" s="821">
        <v>61</v>
      </c>
      <c r="B195" t="s">
        <v>209</v>
      </c>
      <c r="C195" s="352">
        <v>122570.15</v>
      </c>
      <c r="E195" s="821">
        <v>71</v>
      </c>
      <c r="F195" t="s">
        <v>274</v>
      </c>
      <c r="G195" s="352">
        <v>122570.15</v>
      </c>
    </row>
    <row r="197" spans="1:8" x14ac:dyDescent="0.2">
      <c r="A197" s="821">
        <v>610</v>
      </c>
      <c r="B197" t="s">
        <v>13</v>
      </c>
      <c r="C197" s="352">
        <v>114286</v>
      </c>
      <c r="E197" s="821">
        <v>710</v>
      </c>
      <c r="F197" t="s">
        <v>275</v>
      </c>
      <c r="G197" s="352">
        <v>114286</v>
      </c>
    </row>
    <row r="199" spans="1:8" x14ac:dyDescent="0.2">
      <c r="A199" s="821">
        <v>6100</v>
      </c>
      <c r="B199" t="s">
        <v>14</v>
      </c>
      <c r="C199" s="352">
        <v>114286</v>
      </c>
      <c r="D199" t="s">
        <v>1577</v>
      </c>
      <c r="E199" s="821">
        <v>7100</v>
      </c>
      <c r="F199" t="s">
        <v>276</v>
      </c>
      <c r="G199" s="352">
        <v>114286</v>
      </c>
      <c r="H199" t="s">
        <v>1577</v>
      </c>
    </row>
    <row r="201" spans="1:8" x14ac:dyDescent="0.2">
      <c r="A201" s="821">
        <v>6100000</v>
      </c>
      <c r="B201" t="s">
        <v>14</v>
      </c>
      <c r="C201" s="352">
        <v>114286</v>
      </c>
      <c r="D201" t="s">
        <v>1578</v>
      </c>
      <c r="E201" s="821">
        <v>7100000</v>
      </c>
      <c r="F201" t="s">
        <v>276</v>
      </c>
      <c r="G201" s="352">
        <v>114286</v>
      </c>
      <c r="H201" t="s">
        <v>1578</v>
      </c>
    </row>
    <row r="202" spans="1:8" x14ac:dyDescent="0.2">
      <c r="A202" s="821">
        <v>610000000</v>
      </c>
      <c r="B202" t="s">
        <v>14</v>
      </c>
      <c r="C202" s="352">
        <v>114286</v>
      </c>
      <c r="E202" s="821">
        <v>710000000</v>
      </c>
      <c r="F202" t="s">
        <v>276</v>
      </c>
      <c r="G202" s="352">
        <v>114286</v>
      </c>
    </row>
    <row r="203" spans="1:8" x14ac:dyDescent="0.2">
      <c r="A203" s="821">
        <v>61000000001</v>
      </c>
      <c r="B203" t="s">
        <v>425</v>
      </c>
      <c r="C203" s="352">
        <v>114286</v>
      </c>
      <c r="E203" s="821">
        <v>71000000000</v>
      </c>
      <c r="F203" t="s">
        <v>394</v>
      </c>
      <c r="G203" s="352">
        <v>114286</v>
      </c>
    </row>
    <row r="205" spans="1:8" x14ac:dyDescent="0.2">
      <c r="A205" s="821">
        <v>613</v>
      </c>
      <c r="B205" t="s">
        <v>190</v>
      </c>
      <c r="C205" s="352">
        <v>8284.15</v>
      </c>
      <c r="E205" s="821">
        <v>713</v>
      </c>
      <c r="F205" t="s">
        <v>395</v>
      </c>
      <c r="G205" s="352">
        <v>8284.15</v>
      </c>
    </row>
    <row r="207" spans="1:8" x14ac:dyDescent="0.2">
      <c r="A207" s="821">
        <v>6131</v>
      </c>
      <c r="B207" t="s">
        <v>388</v>
      </c>
      <c r="C207" s="352">
        <v>8284.15</v>
      </c>
      <c r="D207" t="s">
        <v>1577</v>
      </c>
      <c r="E207" s="821">
        <v>7130</v>
      </c>
      <c r="F207" t="s">
        <v>396</v>
      </c>
      <c r="G207" s="352">
        <v>8284.15</v>
      </c>
      <c r="H207" t="s">
        <v>1577</v>
      </c>
    </row>
    <row r="209" spans="1:8" x14ac:dyDescent="0.2">
      <c r="A209" s="821">
        <v>6131000</v>
      </c>
      <c r="B209" t="s">
        <v>388</v>
      </c>
      <c r="C209" s="352">
        <v>8284.15</v>
      </c>
      <c r="D209" t="s">
        <v>1578</v>
      </c>
      <c r="E209" s="821">
        <v>7130000</v>
      </c>
      <c r="F209" t="s">
        <v>396</v>
      </c>
      <c r="G209" s="352">
        <v>8284.15</v>
      </c>
      <c r="H209" t="s">
        <v>1578</v>
      </c>
    </row>
    <row r="210" spans="1:8" x14ac:dyDescent="0.2">
      <c r="A210" s="821">
        <v>613100000</v>
      </c>
      <c r="B210" t="s">
        <v>388</v>
      </c>
      <c r="C210" s="352">
        <v>8284.15</v>
      </c>
      <c r="E210" s="821">
        <v>713000000</v>
      </c>
      <c r="F210" t="s">
        <v>396</v>
      </c>
      <c r="G210" s="352">
        <v>8284.15</v>
      </c>
    </row>
    <row r="211" spans="1:8" x14ac:dyDescent="0.2">
      <c r="A211" s="821">
        <v>61310000000</v>
      </c>
      <c r="B211" t="s">
        <v>191</v>
      </c>
      <c r="C211" s="352">
        <v>8284.15</v>
      </c>
      <c r="E211" s="821">
        <v>71300000001</v>
      </c>
      <c r="F211" t="s">
        <v>397</v>
      </c>
      <c r="G211" s="352">
        <v>8284.15</v>
      </c>
    </row>
    <row r="213" spans="1:8" x14ac:dyDescent="0.2">
      <c r="A213" s="821">
        <v>62</v>
      </c>
      <c r="B213" t="s">
        <v>389</v>
      </c>
      <c r="C213" s="352">
        <v>131150</v>
      </c>
      <c r="E213" s="821">
        <v>72</v>
      </c>
      <c r="F213" t="s">
        <v>398</v>
      </c>
      <c r="G213" s="352">
        <v>131150</v>
      </c>
    </row>
    <row r="215" spans="1:8" x14ac:dyDescent="0.2">
      <c r="A215" s="821">
        <v>620</v>
      </c>
      <c r="B215" t="s">
        <v>390</v>
      </c>
      <c r="C215" s="352">
        <v>16864</v>
      </c>
      <c r="E215" s="821">
        <v>720</v>
      </c>
      <c r="F215" t="s">
        <v>399</v>
      </c>
      <c r="G215" s="352">
        <v>16864</v>
      </c>
    </row>
    <row r="217" spans="1:8" x14ac:dyDescent="0.2">
      <c r="A217" s="821">
        <v>6200</v>
      </c>
      <c r="B217" t="s">
        <v>232</v>
      </c>
      <c r="C217" s="352">
        <v>16864</v>
      </c>
      <c r="D217" t="s">
        <v>1577</v>
      </c>
      <c r="E217" s="821">
        <v>7200</v>
      </c>
      <c r="F217" t="s">
        <v>399</v>
      </c>
      <c r="G217" s="352">
        <v>16864</v>
      </c>
      <c r="H217" t="s">
        <v>1577</v>
      </c>
    </row>
    <row r="219" spans="1:8" x14ac:dyDescent="0.2">
      <c r="A219" s="821">
        <v>6200000</v>
      </c>
      <c r="B219" t="s">
        <v>232</v>
      </c>
      <c r="C219" s="352">
        <v>16864</v>
      </c>
      <c r="D219" t="s">
        <v>1578</v>
      </c>
      <c r="E219" s="821">
        <v>7200000</v>
      </c>
      <c r="F219" t="s">
        <v>399</v>
      </c>
      <c r="G219" s="352">
        <v>16864</v>
      </c>
      <c r="H219" t="s">
        <v>1578</v>
      </c>
    </row>
    <row r="220" spans="1:8" x14ac:dyDescent="0.2">
      <c r="A220" s="821">
        <v>620000000</v>
      </c>
      <c r="B220" t="s">
        <v>232</v>
      </c>
      <c r="C220" s="352">
        <v>16864</v>
      </c>
      <c r="E220" s="821">
        <v>720000000</v>
      </c>
      <c r="F220" t="s">
        <v>399</v>
      </c>
      <c r="G220" s="352">
        <v>16864</v>
      </c>
    </row>
    <row r="221" spans="1:8" x14ac:dyDescent="0.2">
      <c r="A221" s="821">
        <v>62000000000</v>
      </c>
      <c r="B221" t="s">
        <v>391</v>
      </c>
      <c r="C221" s="352">
        <v>6632</v>
      </c>
      <c r="E221" s="821">
        <v>72000000001</v>
      </c>
      <c r="F221" t="s">
        <v>400</v>
      </c>
      <c r="G221" s="352">
        <v>16864</v>
      </c>
    </row>
    <row r="222" spans="1:8" x14ac:dyDescent="0.2">
      <c r="A222" s="821">
        <v>62000000001</v>
      </c>
      <c r="B222" t="s">
        <v>111</v>
      </c>
      <c r="C222" s="352">
        <v>10232</v>
      </c>
    </row>
    <row r="223" spans="1:8" x14ac:dyDescent="0.2">
      <c r="E223" s="821">
        <v>721</v>
      </c>
      <c r="F223" t="s">
        <v>401</v>
      </c>
      <c r="G223" s="352">
        <v>114286</v>
      </c>
    </row>
    <row r="224" spans="1:8" x14ac:dyDescent="0.2">
      <c r="A224" s="821">
        <v>621</v>
      </c>
      <c r="B224" t="s">
        <v>392</v>
      </c>
      <c r="C224" s="352">
        <v>114286</v>
      </c>
    </row>
    <row r="225" spans="1:8" x14ac:dyDescent="0.2">
      <c r="E225" s="821">
        <v>7210</v>
      </c>
      <c r="F225" t="s">
        <v>401</v>
      </c>
      <c r="G225" s="352">
        <v>114286</v>
      </c>
      <c r="H225" t="s">
        <v>1577</v>
      </c>
    </row>
    <row r="226" spans="1:8" x14ac:dyDescent="0.2">
      <c r="A226" s="821">
        <v>6212</v>
      </c>
      <c r="B226" t="s">
        <v>352</v>
      </c>
      <c r="C226" s="352">
        <v>114286</v>
      </c>
      <c r="D226" t="s">
        <v>1577</v>
      </c>
    </row>
    <row r="227" spans="1:8" x14ac:dyDescent="0.2">
      <c r="E227" s="821">
        <v>7210000</v>
      </c>
      <c r="F227" t="s">
        <v>401</v>
      </c>
      <c r="G227" s="352">
        <v>114286</v>
      </c>
      <c r="H227" t="s">
        <v>1578</v>
      </c>
    </row>
    <row r="228" spans="1:8" x14ac:dyDescent="0.2">
      <c r="A228" s="821">
        <v>6212000</v>
      </c>
      <c r="B228" t="s">
        <v>352</v>
      </c>
      <c r="C228" s="352">
        <v>114286</v>
      </c>
      <c r="D228" t="s">
        <v>1578</v>
      </c>
      <c r="E228" s="821">
        <v>721000000</v>
      </c>
      <c r="F228" t="s">
        <v>401</v>
      </c>
      <c r="G228" s="352">
        <v>114286</v>
      </c>
    </row>
    <row r="229" spans="1:8" x14ac:dyDescent="0.2">
      <c r="A229" s="821">
        <v>621200000</v>
      </c>
      <c r="B229" t="s">
        <v>352</v>
      </c>
      <c r="C229" s="352">
        <v>114286</v>
      </c>
      <c r="E229" s="821">
        <v>72100000001</v>
      </c>
      <c r="F229" t="s">
        <v>424</v>
      </c>
      <c r="G229" s="352">
        <v>114286</v>
      </c>
    </row>
    <row r="230" spans="1:8" x14ac:dyDescent="0.2">
      <c r="A230" s="821">
        <v>62120000000</v>
      </c>
      <c r="B230" t="s">
        <v>353</v>
      </c>
      <c r="C230" s="352">
        <v>114286</v>
      </c>
      <c r="F230" t="s">
        <v>1642</v>
      </c>
      <c r="G230" s="352">
        <v>253720.15</v>
      </c>
    </row>
    <row r="231" spans="1:8" x14ac:dyDescent="0.2">
      <c r="B231" t="s">
        <v>1643</v>
      </c>
      <c r="C231" s="352">
        <v>253720.15</v>
      </c>
    </row>
    <row r="232" spans="1:8" x14ac:dyDescent="0.2">
      <c r="E232" s="821">
        <v>9</v>
      </c>
      <c r="F232" t="s">
        <v>411</v>
      </c>
      <c r="G232" s="352">
        <v>498863360.01999998</v>
      </c>
    </row>
    <row r="233" spans="1:8" x14ac:dyDescent="0.2">
      <c r="A233" s="821">
        <v>8</v>
      </c>
      <c r="B233" t="s">
        <v>402</v>
      </c>
      <c r="C233" s="352">
        <v>498863360.01999998</v>
      </c>
    </row>
    <row r="234" spans="1:8" x14ac:dyDescent="0.2">
      <c r="E234" s="821">
        <v>91</v>
      </c>
      <c r="F234" t="s">
        <v>207</v>
      </c>
      <c r="G234" s="352">
        <v>496912131.88</v>
      </c>
    </row>
    <row r="235" spans="1:8" x14ac:dyDescent="0.2">
      <c r="A235" s="821">
        <v>81</v>
      </c>
      <c r="B235" t="s">
        <v>403</v>
      </c>
      <c r="C235" s="352">
        <v>496912131.88</v>
      </c>
    </row>
    <row r="236" spans="1:8" x14ac:dyDescent="0.2">
      <c r="E236" s="821">
        <v>910</v>
      </c>
      <c r="F236" t="s">
        <v>412</v>
      </c>
      <c r="G236" s="352">
        <v>1814.21</v>
      </c>
    </row>
    <row r="237" spans="1:8" x14ac:dyDescent="0.2">
      <c r="A237" s="821">
        <v>811</v>
      </c>
      <c r="B237" t="s">
        <v>233</v>
      </c>
      <c r="C237" s="352">
        <v>1821.66</v>
      </c>
    </row>
    <row r="238" spans="1:8" x14ac:dyDescent="0.2">
      <c r="E238" s="821">
        <v>9101</v>
      </c>
      <c r="F238" t="s">
        <v>35</v>
      </c>
      <c r="G238" s="352">
        <v>1814.21</v>
      </c>
      <c r="H238" t="s">
        <v>1577</v>
      </c>
    </row>
    <row r="239" spans="1:8" x14ac:dyDescent="0.2">
      <c r="A239" s="821">
        <v>8110</v>
      </c>
      <c r="B239" t="s">
        <v>39</v>
      </c>
      <c r="C239" s="352">
        <v>1821.66</v>
      </c>
      <c r="D239" t="s">
        <v>1577</v>
      </c>
    </row>
    <row r="240" spans="1:8" x14ac:dyDescent="0.2">
      <c r="E240" s="821">
        <v>9101010</v>
      </c>
      <c r="F240" t="s">
        <v>145</v>
      </c>
      <c r="G240" s="352">
        <v>1814.21</v>
      </c>
      <c r="H240" t="s">
        <v>1578</v>
      </c>
    </row>
    <row r="241" spans="1:8" x14ac:dyDescent="0.2">
      <c r="A241" s="821">
        <v>8110000</v>
      </c>
      <c r="B241" t="s">
        <v>53</v>
      </c>
      <c r="C241" s="352">
        <v>1821.66</v>
      </c>
      <c r="D241" t="s">
        <v>1578</v>
      </c>
      <c r="E241" s="821">
        <v>910101000</v>
      </c>
      <c r="F241" t="s">
        <v>145</v>
      </c>
      <c r="G241" s="352">
        <v>1814.21</v>
      </c>
    </row>
    <row r="242" spans="1:8" x14ac:dyDescent="0.2">
      <c r="A242" s="821">
        <v>811000004</v>
      </c>
      <c r="B242" t="s">
        <v>444</v>
      </c>
      <c r="C242" s="352">
        <v>1821.66</v>
      </c>
      <c r="E242" s="821">
        <v>91010100001</v>
      </c>
      <c r="F242" t="s">
        <v>35</v>
      </c>
      <c r="G242" s="352">
        <v>1814.21</v>
      </c>
    </row>
    <row r="243" spans="1:8" x14ac:dyDescent="0.2">
      <c r="A243" s="821">
        <v>81100000401</v>
      </c>
      <c r="B243" t="s">
        <v>448</v>
      </c>
      <c r="C243" s="352">
        <v>49.46</v>
      </c>
    </row>
    <row r="244" spans="1:8" x14ac:dyDescent="0.2">
      <c r="A244" s="821">
        <v>81100000402</v>
      </c>
      <c r="B244" t="s">
        <v>449</v>
      </c>
      <c r="C244" s="352">
        <v>1772.2</v>
      </c>
      <c r="E244" s="821">
        <v>911</v>
      </c>
      <c r="F244" t="s">
        <v>95</v>
      </c>
      <c r="G244" s="352">
        <v>7.45</v>
      </c>
    </row>
    <row r="246" spans="1:8" x14ac:dyDescent="0.2">
      <c r="A246" s="821">
        <v>816</v>
      </c>
      <c r="B246" t="s">
        <v>181</v>
      </c>
      <c r="C246" s="352">
        <v>496910310.22000003</v>
      </c>
      <c r="E246" s="821">
        <v>9111</v>
      </c>
      <c r="F246" t="s">
        <v>45</v>
      </c>
      <c r="G246" s="352">
        <v>7.45</v>
      </c>
      <c r="H246" t="s">
        <v>1577</v>
      </c>
    </row>
    <row r="248" spans="1:8" x14ac:dyDescent="0.2">
      <c r="A248" s="821">
        <v>8160</v>
      </c>
      <c r="B248" t="s">
        <v>347</v>
      </c>
      <c r="C248" s="352">
        <v>327633454.07999998</v>
      </c>
      <c r="D248" t="s">
        <v>1577</v>
      </c>
      <c r="E248" s="821">
        <v>9111010</v>
      </c>
      <c r="F248" t="s">
        <v>332</v>
      </c>
      <c r="G248" s="352">
        <v>7.45</v>
      </c>
      <c r="H248" t="s">
        <v>1578</v>
      </c>
    </row>
    <row r="249" spans="1:8" x14ac:dyDescent="0.2">
      <c r="E249" s="821">
        <v>911101000</v>
      </c>
      <c r="F249" t="s">
        <v>332</v>
      </c>
      <c r="G249" s="352">
        <v>7.45</v>
      </c>
    </row>
    <row r="250" spans="1:8" x14ac:dyDescent="0.2">
      <c r="A250" s="821">
        <v>8160000</v>
      </c>
      <c r="B250" t="s">
        <v>348</v>
      </c>
      <c r="C250" s="352">
        <v>690000</v>
      </c>
      <c r="D250" t="s">
        <v>1578</v>
      </c>
      <c r="E250" s="821">
        <v>91110100000</v>
      </c>
      <c r="F250" t="s">
        <v>332</v>
      </c>
      <c r="G250" s="352">
        <v>7.45</v>
      </c>
    </row>
    <row r="251" spans="1:8" x14ac:dyDescent="0.2">
      <c r="A251" s="821">
        <v>816000000</v>
      </c>
      <c r="B251" t="s">
        <v>348</v>
      </c>
      <c r="C251" s="352">
        <v>690000</v>
      </c>
    </row>
    <row r="252" spans="1:8" x14ac:dyDescent="0.2">
      <c r="A252" s="821">
        <v>81600000008</v>
      </c>
      <c r="B252" t="s">
        <v>73</v>
      </c>
      <c r="C252" s="352">
        <v>90000</v>
      </c>
      <c r="E252" s="821">
        <v>914</v>
      </c>
      <c r="F252" t="s">
        <v>414</v>
      </c>
      <c r="G252" s="352">
        <v>496910310.22000003</v>
      </c>
    </row>
    <row r="253" spans="1:8" x14ac:dyDescent="0.2">
      <c r="A253" s="821">
        <v>81600000020</v>
      </c>
      <c r="B253" t="s">
        <v>869</v>
      </c>
      <c r="C253" s="352">
        <v>600000</v>
      </c>
    </row>
    <row r="254" spans="1:8" x14ac:dyDescent="0.2">
      <c r="A254" s="821">
        <v>8160020</v>
      </c>
      <c r="B254" t="s">
        <v>233</v>
      </c>
      <c r="C254" s="352">
        <v>326943454.07999998</v>
      </c>
      <c r="D254" t="s">
        <v>1578</v>
      </c>
      <c r="E254" s="821">
        <v>9140</v>
      </c>
      <c r="F254" t="s">
        <v>113</v>
      </c>
      <c r="G254" s="352">
        <v>496910310.22000003</v>
      </c>
      <c r="H254" t="s">
        <v>1577</v>
      </c>
    </row>
    <row r="255" spans="1:8" x14ac:dyDescent="0.2">
      <c r="A255" s="821">
        <v>816002004</v>
      </c>
      <c r="B255" t="s">
        <v>444</v>
      </c>
      <c r="C255" s="352">
        <v>326943454.07999998</v>
      </c>
    </row>
    <row r="256" spans="1:8" x14ac:dyDescent="0.2">
      <c r="A256" s="821">
        <v>81600200401</v>
      </c>
      <c r="B256" t="s">
        <v>452</v>
      </c>
      <c r="C256" s="352">
        <v>326943454.07999998</v>
      </c>
      <c r="E256" s="821">
        <v>9140000</v>
      </c>
      <c r="F256" t="s">
        <v>116</v>
      </c>
      <c r="G256" s="352">
        <v>496910310.22000003</v>
      </c>
      <c r="H256" t="s">
        <v>1578</v>
      </c>
    </row>
    <row r="257" spans="1:8" x14ac:dyDescent="0.2">
      <c r="E257" s="821">
        <v>914000000</v>
      </c>
      <c r="F257" t="s">
        <v>116</v>
      </c>
      <c r="G257" s="352">
        <v>496910310.22000003</v>
      </c>
    </row>
    <row r="258" spans="1:8" x14ac:dyDescent="0.2">
      <c r="A258" s="821">
        <v>8161</v>
      </c>
      <c r="B258" t="s">
        <v>29</v>
      </c>
      <c r="C258" s="352">
        <v>159276856.13999999</v>
      </c>
      <c r="D258" t="s">
        <v>1577</v>
      </c>
      <c r="E258" s="821">
        <v>91400000001</v>
      </c>
      <c r="F258" t="s">
        <v>451</v>
      </c>
      <c r="G258" s="352">
        <v>326943454.07999998</v>
      </c>
    </row>
    <row r="259" spans="1:8" x14ac:dyDescent="0.2">
      <c r="E259" s="821">
        <v>91400000006</v>
      </c>
      <c r="F259" t="s">
        <v>481</v>
      </c>
      <c r="G259" s="352">
        <v>159162576</v>
      </c>
    </row>
    <row r="260" spans="1:8" x14ac:dyDescent="0.2">
      <c r="A260" s="821">
        <v>8161000</v>
      </c>
      <c r="B260" t="s">
        <v>348</v>
      </c>
      <c r="C260" s="352">
        <v>159162576.13999999</v>
      </c>
      <c r="D260" t="s">
        <v>1578</v>
      </c>
      <c r="E260" s="821">
        <v>91400000010</v>
      </c>
      <c r="F260" t="s">
        <v>73</v>
      </c>
      <c r="G260" s="352">
        <v>90000</v>
      </c>
    </row>
    <row r="261" spans="1:8" x14ac:dyDescent="0.2">
      <c r="A261" s="821">
        <v>816100000</v>
      </c>
      <c r="B261" t="s">
        <v>348</v>
      </c>
      <c r="C261" s="352">
        <v>159162576.13999999</v>
      </c>
      <c r="E261" s="821">
        <v>91400000014</v>
      </c>
      <c r="F261" t="s">
        <v>81</v>
      </c>
      <c r="G261" s="352">
        <v>0.14000000000000001</v>
      </c>
    </row>
    <row r="262" spans="1:8" x14ac:dyDescent="0.2">
      <c r="A262" s="821">
        <v>81610000002</v>
      </c>
      <c r="B262" t="s">
        <v>81</v>
      </c>
      <c r="C262" s="352">
        <v>0.14000000000000001</v>
      </c>
      <c r="E262" s="821">
        <v>91400000029</v>
      </c>
      <c r="F262" t="s">
        <v>456</v>
      </c>
      <c r="G262" s="352">
        <v>114280</v>
      </c>
    </row>
    <row r="263" spans="1:8" x14ac:dyDescent="0.2">
      <c r="A263" s="821">
        <v>81610000004</v>
      </c>
      <c r="B263" t="s">
        <v>481</v>
      </c>
      <c r="C263" s="352">
        <v>159162576</v>
      </c>
      <c r="E263" s="821">
        <v>91400000039</v>
      </c>
      <c r="F263" t="s">
        <v>869</v>
      </c>
      <c r="G263" s="352">
        <v>600000</v>
      </c>
    </row>
    <row r="264" spans="1:8" x14ac:dyDescent="0.2">
      <c r="A264" s="821">
        <v>8161020</v>
      </c>
      <c r="B264" t="s">
        <v>233</v>
      </c>
      <c r="C264" s="352">
        <v>114280</v>
      </c>
      <c r="D264" t="s">
        <v>1578</v>
      </c>
      <c r="E264" s="821">
        <v>91400000042</v>
      </c>
      <c r="F264" t="s">
        <v>1599</v>
      </c>
      <c r="G264" s="352">
        <v>10000000</v>
      </c>
    </row>
    <row r="265" spans="1:8" x14ac:dyDescent="0.2">
      <c r="A265" s="821">
        <v>816102000</v>
      </c>
      <c r="B265" t="s">
        <v>233</v>
      </c>
      <c r="C265" s="352">
        <v>114280</v>
      </c>
    </row>
    <row r="266" spans="1:8" x14ac:dyDescent="0.2">
      <c r="A266" s="821">
        <v>81610200001</v>
      </c>
      <c r="B266" t="s">
        <v>451</v>
      </c>
      <c r="C266" s="352">
        <v>114280</v>
      </c>
      <c r="E266" s="821">
        <v>92</v>
      </c>
      <c r="F266" t="s">
        <v>415</v>
      </c>
      <c r="G266" s="352">
        <v>1951228.14</v>
      </c>
    </row>
    <row r="268" spans="1:8" x14ac:dyDescent="0.2">
      <c r="A268" s="821">
        <v>8162</v>
      </c>
      <c r="B268" t="s">
        <v>197</v>
      </c>
      <c r="C268" s="352">
        <v>10000000</v>
      </c>
      <c r="D268" t="s">
        <v>1577</v>
      </c>
      <c r="E268" s="821">
        <v>921</v>
      </c>
      <c r="F268" t="s">
        <v>167</v>
      </c>
      <c r="G268" s="352">
        <v>1951228.14</v>
      </c>
    </row>
    <row r="270" spans="1:8" x14ac:dyDescent="0.2">
      <c r="A270" s="821">
        <v>8162000</v>
      </c>
      <c r="B270" t="s">
        <v>348</v>
      </c>
      <c r="C270" s="352">
        <v>10000000</v>
      </c>
      <c r="D270" t="s">
        <v>1578</v>
      </c>
      <c r="E270" s="821">
        <v>9210</v>
      </c>
      <c r="F270" t="s">
        <v>316</v>
      </c>
      <c r="G270" s="352">
        <v>327975.58</v>
      </c>
      <c r="H270" t="s">
        <v>1577</v>
      </c>
    </row>
    <row r="271" spans="1:8" x14ac:dyDescent="0.2">
      <c r="A271" s="821">
        <v>816200000</v>
      </c>
      <c r="B271" t="s">
        <v>348</v>
      </c>
      <c r="C271" s="352">
        <v>10000000</v>
      </c>
    </row>
    <row r="272" spans="1:8" x14ac:dyDescent="0.2">
      <c r="A272" s="821">
        <v>81620000016</v>
      </c>
      <c r="B272" t="s">
        <v>1599</v>
      </c>
      <c r="C272" s="352">
        <v>10000000</v>
      </c>
      <c r="E272" s="821">
        <v>9210000</v>
      </c>
      <c r="F272" t="s">
        <v>316</v>
      </c>
      <c r="G272" s="352">
        <v>327975.58</v>
      </c>
      <c r="H272" t="s">
        <v>1578</v>
      </c>
    </row>
    <row r="273" spans="1:8" x14ac:dyDescent="0.2">
      <c r="E273" s="821">
        <v>921000000</v>
      </c>
      <c r="F273" t="s">
        <v>316</v>
      </c>
      <c r="G273" s="352">
        <v>327975.58</v>
      </c>
    </row>
    <row r="274" spans="1:8" x14ac:dyDescent="0.2">
      <c r="A274" s="821">
        <v>82</v>
      </c>
      <c r="B274" t="s">
        <v>102</v>
      </c>
      <c r="C274" s="352">
        <v>1951228.14</v>
      </c>
      <c r="E274" s="821">
        <v>92100000001</v>
      </c>
      <c r="F274" t="s">
        <v>495</v>
      </c>
      <c r="G274" s="352">
        <v>327533.76</v>
      </c>
    </row>
    <row r="275" spans="1:8" x14ac:dyDescent="0.2">
      <c r="E275" s="821">
        <v>92100000002</v>
      </c>
      <c r="F275" t="s">
        <v>407</v>
      </c>
      <c r="G275" s="352">
        <v>441.82</v>
      </c>
    </row>
    <row r="276" spans="1:8" x14ac:dyDescent="0.2">
      <c r="A276" s="821">
        <v>821</v>
      </c>
      <c r="B276" t="s">
        <v>405</v>
      </c>
      <c r="C276" s="352">
        <v>1951228.14</v>
      </c>
    </row>
    <row r="277" spans="1:8" x14ac:dyDescent="0.2">
      <c r="E277" s="821">
        <v>9211</v>
      </c>
      <c r="F277" t="s">
        <v>432</v>
      </c>
      <c r="G277" s="352">
        <v>53156.18</v>
      </c>
      <c r="H277" t="s">
        <v>1577</v>
      </c>
    </row>
    <row r="278" spans="1:8" x14ac:dyDescent="0.2">
      <c r="A278" s="821">
        <v>8210</v>
      </c>
      <c r="B278" t="s">
        <v>406</v>
      </c>
      <c r="C278" s="352">
        <v>1450133.92</v>
      </c>
      <c r="D278" t="s">
        <v>1577</v>
      </c>
    </row>
    <row r="279" spans="1:8" x14ac:dyDescent="0.2">
      <c r="E279" s="821">
        <v>9211000</v>
      </c>
      <c r="F279" t="s">
        <v>432</v>
      </c>
      <c r="G279" s="352">
        <v>53156.18</v>
      </c>
      <c r="H279" t="s">
        <v>1578</v>
      </c>
    </row>
    <row r="280" spans="1:8" x14ac:dyDescent="0.2">
      <c r="A280" s="821">
        <v>8210000</v>
      </c>
      <c r="B280" t="s">
        <v>15</v>
      </c>
      <c r="C280" s="352">
        <v>1450133.92</v>
      </c>
      <c r="D280" t="s">
        <v>1578</v>
      </c>
      <c r="E280" s="821">
        <v>921100000</v>
      </c>
      <c r="F280" t="s">
        <v>432</v>
      </c>
      <c r="G280" s="352">
        <v>53156.18</v>
      </c>
    </row>
    <row r="281" spans="1:8" x14ac:dyDescent="0.2">
      <c r="A281" s="821">
        <v>821000004</v>
      </c>
      <c r="B281" t="s">
        <v>444</v>
      </c>
      <c r="C281" s="352">
        <v>1450133.92</v>
      </c>
      <c r="E281" s="821">
        <v>92110000001</v>
      </c>
      <c r="F281" t="s">
        <v>432</v>
      </c>
      <c r="G281" s="352">
        <v>53156.18</v>
      </c>
    </row>
    <row r="282" spans="1:8" x14ac:dyDescent="0.2">
      <c r="A282" s="821">
        <v>82100000401</v>
      </c>
      <c r="B282" t="s">
        <v>407</v>
      </c>
      <c r="C282" s="352">
        <v>441.82</v>
      </c>
    </row>
    <row r="283" spans="1:8" x14ac:dyDescent="0.2">
      <c r="A283" s="821">
        <v>82100000402</v>
      </c>
      <c r="B283" t="s">
        <v>408</v>
      </c>
      <c r="C283" s="352">
        <v>34146.33</v>
      </c>
      <c r="E283" s="821">
        <v>9212</v>
      </c>
      <c r="F283" t="s">
        <v>317</v>
      </c>
      <c r="G283" s="352">
        <v>34146.33</v>
      </c>
      <c r="H283" t="s">
        <v>1577</v>
      </c>
    </row>
    <row r="284" spans="1:8" x14ac:dyDescent="0.2">
      <c r="A284" s="821">
        <v>82100000403</v>
      </c>
      <c r="B284" t="s">
        <v>409</v>
      </c>
      <c r="C284" s="352">
        <v>56.58</v>
      </c>
    </row>
    <row r="285" spans="1:8" x14ac:dyDescent="0.2">
      <c r="A285" s="821">
        <v>82100000404</v>
      </c>
      <c r="B285" t="s">
        <v>410</v>
      </c>
      <c r="C285" s="352">
        <v>10.93</v>
      </c>
      <c r="E285" s="821">
        <v>9212010</v>
      </c>
      <c r="F285" t="s">
        <v>416</v>
      </c>
      <c r="G285" s="352">
        <v>34146.33</v>
      </c>
      <c r="H285" t="s">
        <v>1578</v>
      </c>
    </row>
    <row r="286" spans="1:8" x14ac:dyDescent="0.2">
      <c r="A286" s="821">
        <v>82100000405</v>
      </c>
      <c r="B286" t="s">
        <v>283</v>
      </c>
      <c r="C286" s="352">
        <v>1087944.5</v>
      </c>
      <c r="E286" s="821">
        <v>921201000</v>
      </c>
      <c r="F286" t="s">
        <v>416</v>
      </c>
      <c r="G286" s="352">
        <v>34146.33</v>
      </c>
    </row>
    <row r="287" spans="1:8" x14ac:dyDescent="0.2">
      <c r="A287" s="821">
        <v>82100000406</v>
      </c>
      <c r="B287" t="s">
        <v>495</v>
      </c>
      <c r="C287" s="352">
        <v>327533.76</v>
      </c>
      <c r="E287" s="821">
        <v>92120100001</v>
      </c>
      <c r="F287" t="s">
        <v>408</v>
      </c>
      <c r="G287" s="352">
        <v>34146.33</v>
      </c>
    </row>
    <row r="289" spans="1:8" x14ac:dyDescent="0.2">
      <c r="A289" s="821">
        <v>8211</v>
      </c>
      <c r="B289" t="s">
        <v>407</v>
      </c>
      <c r="C289" s="352">
        <v>53156.18</v>
      </c>
      <c r="D289" t="s">
        <v>1577</v>
      </c>
      <c r="E289" s="821">
        <v>9213</v>
      </c>
      <c r="F289" t="s">
        <v>429</v>
      </c>
      <c r="G289" s="352">
        <v>5545.36</v>
      </c>
      <c r="H289" t="s">
        <v>1577</v>
      </c>
    </row>
    <row r="291" spans="1:8" x14ac:dyDescent="0.2">
      <c r="A291" s="821">
        <v>8211000</v>
      </c>
      <c r="B291" t="s">
        <v>15</v>
      </c>
      <c r="C291" s="352">
        <v>53156.18</v>
      </c>
      <c r="D291" t="s">
        <v>1578</v>
      </c>
      <c r="E291" s="821">
        <v>9213000</v>
      </c>
      <c r="F291" t="s">
        <v>429</v>
      </c>
      <c r="G291" s="352">
        <v>5545.36</v>
      </c>
      <c r="H291" t="s">
        <v>1578</v>
      </c>
    </row>
    <row r="292" spans="1:8" x14ac:dyDescent="0.2">
      <c r="A292" s="821">
        <v>821100004</v>
      </c>
      <c r="B292" t="s">
        <v>494</v>
      </c>
      <c r="C292" s="352">
        <v>53156.18</v>
      </c>
      <c r="E292" s="821">
        <v>921300000</v>
      </c>
      <c r="F292" t="s">
        <v>429</v>
      </c>
      <c r="G292" s="352">
        <v>5545.36</v>
      </c>
    </row>
    <row r="293" spans="1:8" x14ac:dyDescent="0.2">
      <c r="A293" s="821">
        <v>82110000401</v>
      </c>
      <c r="B293" t="s">
        <v>453</v>
      </c>
      <c r="C293" s="352">
        <v>53156.18</v>
      </c>
      <c r="E293" s="821">
        <v>92130000001</v>
      </c>
      <c r="F293" t="s">
        <v>429</v>
      </c>
      <c r="G293" s="352">
        <v>5545.36</v>
      </c>
    </row>
    <row r="295" spans="1:8" x14ac:dyDescent="0.2">
      <c r="A295" s="821">
        <v>8213</v>
      </c>
      <c r="B295" t="s">
        <v>429</v>
      </c>
      <c r="C295" s="352">
        <v>5545.36</v>
      </c>
      <c r="D295" t="s">
        <v>1577</v>
      </c>
      <c r="E295" s="821">
        <v>9214</v>
      </c>
      <c r="F295" t="s">
        <v>431</v>
      </c>
      <c r="G295" s="352">
        <v>442392.68</v>
      </c>
      <c r="H295" t="s">
        <v>1577</v>
      </c>
    </row>
    <row r="297" spans="1:8" x14ac:dyDescent="0.2">
      <c r="A297" s="821">
        <v>8213000</v>
      </c>
      <c r="B297" t="s">
        <v>430</v>
      </c>
      <c r="C297" s="352">
        <v>5545.36</v>
      </c>
      <c r="D297" t="s">
        <v>1578</v>
      </c>
      <c r="E297" s="821">
        <v>9214000</v>
      </c>
      <c r="F297" t="s">
        <v>431</v>
      </c>
      <c r="G297" s="352">
        <v>442392.68</v>
      </c>
      <c r="H297" t="s">
        <v>1578</v>
      </c>
    </row>
    <row r="298" spans="1:8" x14ac:dyDescent="0.2">
      <c r="A298" s="821">
        <v>821300004</v>
      </c>
      <c r="B298" t="s">
        <v>494</v>
      </c>
      <c r="C298" s="352">
        <v>5545.36</v>
      </c>
      <c r="E298" s="821">
        <v>921400000</v>
      </c>
      <c r="F298" t="s">
        <v>431</v>
      </c>
      <c r="G298" s="352">
        <v>442392.68</v>
      </c>
    </row>
    <row r="299" spans="1:8" x14ac:dyDescent="0.2">
      <c r="A299" s="821">
        <v>82130000401</v>
      </c>
      <c r="B299" t="s">
        <v>454</v>
      </c>
      <c r="C299" s="352">
        <v>5545.36</v>
      </c>
      <c r="E299" s="821">
        <v>92140000001</v>
      </c>
      <c r="F299" t="s">
        <v>431</v>
      </c>
      <c r="G299" s="352">
        <v>442392.68</v>
      </c>
    </row>
    <row r="301" spans="1:8" x14ac:dyDescent="0.2">
      <c r="A301" s="821">
        <v>8214</v>
      </c>
      <c r="B301" t="s">
        <v>431</v>
      </c>
      <c r="C301" s="352">
        <v>442392.68</v>
      </c>
      <c r="D301" t="s">
        <v>1577</v>
      </c>
      <c r="E301" s="821">
        <v>9216</v>
      </c>
      <c r="F301" t="s">
        <v>318</v>
      </c>
      <c r="G301" s="352">
        <v>1087944.5</v>
      </c>
      <c r="H301" t="s">
        <v>1577</v>
      </c>
    </row>
    <row r="303" spans="1:8" x14ac:dyDescent="0.2">
      <c r="A303" s="821">
        <v>8214000</v>
      </c>
      <c r="B303" t="s">
        <v>430</v>
      </c>
      <c r="C303" s="352">
        <v>442392.68</v>
      </c>
      <c r="D303" t="s">
        <v>1578</v>
      </c>
      <c r="E303" s="821">
        <v>9216010</v>
      </c>
      <c r="F303" t="s">
        <v>417</v>
      </c>
      <c r="G303" s="352">
        <v>1087944.5</v>
      </c>
      <c r="H303" t="s">
        <v>1578</v>
      </c>
    </row>
    <row r="304" spans="1:8" x14ac:dyDescent="0.2">
      <c r="A304" s="821">
        <v>821400004</v>
      </c>
      <c r="B304" t="s">
        <v>494</v>
      </c>
      <c r="C304" s="352">
        <v>442392.68</v>
      </c>
      <c r="E304" s="821">
        <v>921601000</v>
      </c>
      <c r="F304" t="s">
        <v>417</v>
      </c>
      <c r="G304" s="352">
        <v>1087944.5</v>
      </c>
    </row>
    <row r="305" spans="1:8" x14ac:dyDescent="0.2">
      <c r="A305" s="821">
        <v>82140000401</v>
      </c>
      <c r="B305" t="s">
        <v>455</v>
      </c>
      <c r="C305" s="352">
        <v>442392.68</v>
      </c>
      <c r="E305" s="821">
        <v>92160100001</v>
      </c>
      <c r="F305" t="s">
        <v>283</v>
      </c>
      <c r="G305" s="352">
        <v>1087944.5</v>
      </c>
    </row>
    <row r="306" spans="1:8" x14ac:dyDescent="0.2">
      <c r="B306" t="s">
        <v>1644</v>
      </c>
      <c r="C306" s="352">
        <v>498863360.01999998</v>
      </c>
    </row>
    <row r="307" spans="1:8" x14ac:dyDescent="0.2">
      <c r="E307" s="821">
        <v>9217</v>
      </c>
      <c r="F307" t="s">
        <v>319</v>
      </c>
      <c r="G307" s="352">
        <v>56.58</v>
      </c>
      <c r="H307" t="s">
        <v>1577</v>
      </c>
    </row>
    <row r="309" spans="1:8" x14ac:dyDescent="0.2">
      <c r="E309" s="821">
        <v>9217020</v>
      </c>
      <c r="F309" t="s">
        <v>418</v>
      </c>
      <c r="G309" s="352">
        <v>56.58</v>
      </c>
      <c r="H309" t="s">
        <v>1578</v>
      </c>
    </row>
    <row r="310" spans="1:8" x14ac:dyDescent="0.2">
      <c r="E310" s="821">
        <v>921702000</v>
      </c>
      <c r="F310" t="s">
        <v>418</v>
      </c>
      <c r="G310" s="352">
        <v>56.58</v>
      </c>
    </row>
    <row r="311" spans="1:8" x14ac:dyDescent="0.2">
      <c r="E311" s="821">
        <v>92170200001</v>
      </c>
      <c r="F311" t="s">
        <v>409</v>
      </c>
      <c r="G311" s="352">
        <v>56.58</v>
      </c>
    </row>
    <row r="313" spans="1:8" x14ac:dyDescent="0.2">
      <c r="E313" s="821">
        <v>9218</v>
      </c>
      <c r="F313" t="s">
        <v>320</v>
      </c>
      <c r="G313" s="352">
        <v>10.93</v>
      </c>
      <c r="H313" t="s">
        <v>1577</v>
      </c>
    </row>
    <row r="315" spans="1:8" x14ac:dyDescent="0.2">
      <c r="E315" s="821">
        <v>9218010</v>
      </c>
      <c r="F315" t="s">
        <v>419</v>
      </c>
      <c r="G315" s="352">
        <v>10.93</v>
      </c>
      <c r="H315" t="s">
        <v>1578</v>
      </c>
    </row>
    <row r="316" spans="1:8" x14ac:dyDescent="0.2">
      <c r="E316" s="821">
        <v>921801000</v>
      </c>
      <c r="F316" t="s">
        <v>419</v>
      </c>
      <c r="G316" s="352">
        <v>10.93</v>
      </c>
    </row>
    <row r="317" spans="1:8" x14ac:dyDescent="0.2">
      <c r="E317" s="821">
        <v>92180100001</v>
      </c>
      <c r="F317" t="s">
        <v>410</v>
      </c>
      <c r="G317" s="352">
        <v>10.93</v>
      </c>
    </row>
    <row r="318" spans="1:8" x14ac:dyDescent="0.2">
      <c r="F318" t="s">
        <v>1645</v>
      </c>
      <c r="G318" s="352">
        <v>498863360.01999998</v>
      </c>
    </row>
    <row r="332" spans="9:9" x14ac:dyDescent="0.2">
      <c r="I332" s="822"/>
    </row>
    <row r="384" spans="1:1" x14ac:dyDescent="0.2">
      <c r="A384" s="821" t="s">
        <v>1698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2:II81"/>
  <sheetViews>
    <sheetView showGridLines="0" topLeftCell="J3" zoomScale="85" zoomScaleNormal="85" workbookViewId="0">
      <pane ySplit="1" topLeftCell="A4" activePane="bottomLeft" state="frozen"/>
      <selection activeCell="E45" sqref="E45"/>
      <selection pane="bottomLeft" activeCell="K17" sqref="K17"/>
    </sheetView>
  </sheetViews>
  <sheetFormatPr baseColWidth="10" defaultColWidth="11.42578125" defaultRowHeight="11.25" x14ac:dyDescent="0.2"/>
  <cols>
    <col min="1" max="1" width="19.5703125" style="64" customWidth="1"/>
    <col min="2" max="2" width="5.140625" style="64" bestFit="1" customWidth="1"/>
    <col min="3" max="3" width="16.140625" style="66" customWidth="1"/>
    <col min="4" max="4" width="29.28515625" style="1" customWidth="1"/>
    <col min="5" max="5" width="16.5703125" style="64" customWidth="1"/>
    <col min="6" max="6" width="41.42578125" style="64" customWidth="1"/>
    <col min="7" max="7" width="0" style="2" hidden="1" customWidth="1"/>
    <col min="8" max="8" width="5.140625" style="2" hidden="1" customWidth="1"/>
    <col min="9" max="9" width="8" style="2" hidden="1" customWidth="1"/>
    <col min="10" max="10" width="50.85546875" style="2" customWidth="1"/>
    <col min="11" max="13" width="2.140625" style="2" customWidth="1"/>
    <col min="14" max="14" width="1.7109375" style="2" customWidth="1"/>
    <col min="15" max="15" width="15" style="2" customWidth="1"/>
    <col min="16" max="16" width="12" style="2" bestFit="1" customWidth="1"/>
    <col min="17" max="17" width="50.85546875" style="2" bestFit="1" customWidth="1"/>
    <col min="18" max="244" width="11.42578125" style="2"/>
    <col min="245" max="245" width="17.7109375" style="2" bestFit="1" customWidth="1"/>
    <col min="246" max="246" width="4.5703125" style="2" customWidth="1"/>
    <col min="247" max="247" width="12.42578125" style="2" customWidth="1"/>
    <col min="248" max="248" width="32.5703125" style="2" customWidth="1"/>
    <col min="249" max="249" width="10.140625" style="2" customWidth="1"/>
    <col min="250" max="250" width="9.85546875" style="2" customWidth="1"/>
    <col min="251" max="251" width="9.5703125" style="2" customWidth="1"/>
    <col min="252" max="253" width="11.42578125" style="2"/>
    <col min="254" max="254" width="28" style="2" bestFit="1" customWidth="1"/>
    <col min="255" max="255" width="11.42578125" style="2"/>
    <col min="256" max="256" width="5.140625" style="2" customWidth="1"/>
    <col min="257" max="257" width="8" style="2" customWidth="1"/>
    <col min="258" max="500" width="11.42578125" style="2"/>
    <col min="501" max="501" width="17.7109375" style="2" bestFit="1" customWidth="1"/>
    <col min="502" max="502" width="4.5703125" style="2" customWidth="1"/>
    <col min="503" max="503" width="12.42578125" style="2" customWidth="1"/>
    <col min="504" max="504" width="32.5703125" style="2" customWidth="1"/>
    <col min="505" max="505" width="10.140625" style="2" customWidth="1"/>
    <col min="506" max="506" width="9.85546875" style="2" customWidth="1"/>
    <col min="507" max="507" width="9.5703125" style="2" customWidth="1"/>
    <col min="508" max="509" width="11.42578125" style="2"/>
    <col min="510" max="510" width="28" style="2" bestFit="1" customWidth="1"/>
    <col min="511" max="511" width="11.42578125" style="2"/>
    <col min="512" max="512" width="5.140625" style="2" customWidth="1"/>
    <col min="513" max="513" width="8" style="2" customWidth="1"/>
    <col min="514" max="756" width="11.42578125" style="2"/>
    <col min="757" max="757" width="17.7109375" style="2" bestFit="1" customWidth="1"/>
    <col min="758" max="758" width="4.5703125" style="2" customWidth="1"/>
    <col min="759" max="759" width="12.42578125" style="2" customWidth="1"/>
    <col min="760" max="760" width="32.5703125" style="2" customWidth="1"/>
    <col min="761" max="761" width="10.140625" style="2" customWidth="1"/>
    <col min="762" max="762" width="9.85546875" style="2" customWidth="1"/>
    <col min="763" max="763" width="9.5703125" style="2" customWidth="1"/>
    <col min="764" max="765" width="11.42578125" style="2"/>
    <col min="766" max="766" width="28" style="2" bestFit="1" customWidth="1"/>
    <col min="767" max="767" width="11.42578125" style="2"/>
    <col min="768" max="768" width="5.140625" style="2" customWidth="1"/>
    <col min="769" max="769" width="8" style="2" customWidth="1"/>
    <col min="770" max="1012" width="11.42578125" style="2"/>
    <col min="1013" max="1013" width="17.7109375" style="2" bestFit="1" customWidth="1"/>
    <col min="1014" max="1014" width="4.5703125" style="2" customWidth="1"/>
    <col min="1015" max="1015" width="12.42578125" style="2" customWidth="1"/>
    <col min="1016" max="1016" width="32.5703125" style="2" customWidth="1"/>
    <col min="1017" max="1017" width="10.140625" style="2" customWidth="1"/>
    <col min="1018" max="1018" width="9.85546875" style="2" customWidth="1"/>
    <col min="1019" max="1019" width="9.5703125" style="2" customWidth="1"/>
    <col min="1020" max="1021" width="11.42578125" style="2"/>
    <col min="1022" max="1022" width="28" style="2" bestFit="1" customWidth="1"/>
    <col min="1023" max="1023" width="11.42578125" style="2"/>
    <col min="1024" max="1024" width="5.140625" style="2" customWidth="1"/>
    <col min="1025" max="1025" width="8" style="2" customWidth="1"/>
    <col min="1026" max="1268" width="11.42578125" style="2"/>
    <col min="1269" max="1269" width="17.7109375" style="2" bestFit="1" customWidth="1"/>
    <col min="1270" max="1270" width="4.5703125" style="2" customWidth="1"/>
    <col min="1271" max="1271" width="12.42578125" style="2" customWidth="1"/>
    <col min="1272" max="1272" width="32.5703125" style="2" customWidth="1"/>
    <col min="1273" max="1273" width="10.140625" style="2" customWidth="1"/>
    <col min="1274" max="1274" width="9.85546875" style="2" customWidth="1"/>
    <col min="1275" max="1275" width="9.5703125" style="2" customWidth="1"/>
    <col min="1276" max="1277" width="11.42578125" style="2"/>
    <col min="1278" max="1278" width="28" style="2" bestFit="1" customWidth="1"/>
    <col min="1279" max="1279" width="11.42578125" style="2"/>
    <col min="1280" max="1280" width="5.140625" style="2" customWidth="1"/>
    <col min="1281" max="1281" width="8" style="2" customWidth="1"/>
    <col min="1282" max="1524" width="11.42578125" style="2"/>
    <col min="1525" max="1525" width="17.7109375" style="2" bestFit="1" customWidth="1"/>
    <col min="1526" max="1526" width="4.5703125" style="2" customWidth="1"/>
    <col min="1527" max="1527" width="12.42578125" style="2" customWidth="1"/>
    <col min="1528" max="1528" width="32.5703125" style="2" customWidth="1"/>
    <col min="1529" max="1529" width="10.140625" style="2" customWidth="1"/>
    <col min="1530" max="1530" width="9.85546875" style="2" customWidth="1"/>
    <col min="1531" max="1531" width="9.5703125" style="2" customWidth="1"/>
    <col min="1532" max="1533" width="11.42578125" style="2"/>
    <col min="1534" max="1534" width="28" style="2" bestFit="1" customWidth="1"/>
    <col min="1535" max="1535" width="11.42578125" style="2"/>
    <col min="1536" max="1536" width="5.140625" style="2" customWidth="1"/>
    <col min="1537" max="1537" width="8" style="2" customWidth="1"/>
    <col min="1538" max="1780" width="11.42578125" style="2"/>
    <col min="1781" max="1781" width="17.7109375" style="2" bestFit="1" customWidth="1"/>
    <col min="1782" max="1782" width="4.5703125" style="2" customWidth="1"/>
    <col min="1783" max="1783" width="12.42578125" style="2" customWidth="1"/>
    <col min="1784" max="1784" width="32.5703125" style="2" customWidth="1"/>
    <col min="1785" max="1785" width="10.140625" style="2" customWidth="1"/>
    <col min="1786" max="1786" width="9.85546875" style="2" customWidth="1"/>
    <col min="1787" max="1787" width="9.5703125" style="2" customWidth="1"/>
    <col min="1788" max="1789" width="11.42578125" style="2"/>
    <col min="1790" max="1790" width="28" style="2" bestFit="1" customWidth="1"/>
    <col min="1791" max="1791" width="11.42578125" style="2"/>
    <col min="1792" max="1792" width="5.140625" style="2" customWidth="1"/>
    <col min="1793" max="1793" width="8" style="2" customWidth="1"/>
    <col min="1794" max="2036" width="11.42578125" style="2"/>
    <col min="2037" max="2037" width="17.7109375" style="2" bestFit="1" customWidth="1"/>
    <col min="2038" max="2038" width="4.5703125" style="2" customWidth="1"/>
    <col min="2039" max="2039" width="12.42578125" style="2" customWidth="1"/>
    <col min="2040" max="2040" width="32.5703125" style="2" customWidth="1"/>
    <col min="2041" max="2041" width="10.140625" style="2" customWidth="1"/>
    <col min="2042" max="2042" width="9.85546875" style="2" customWidth="1"/>
    <col min="2043" max="2043" width="9.5703125" style="2" customWidth="1"/>
    <col min="2044" max="2045" width="11.42578125" style="2"/>
    <col min="2046" max="2046" width="28" style="2" bestFit="1" customWidth="1"/>
    <col min="2047" max="2047" width="11.42578125" style="2"/>
    <col min="2048" max="2048" width="5.140625" style="2" customWidth="1"/>
    <col min="2049" max="2049" width="8" style="2" customWidth="1"/>
    <col min="2050" max="2292" width="11.42578125" style="2"/>
    <col min="2293" max="2293" width="17.7109375" style="2" bestFit="1" customWidth="1"/>
    <col min="2294" max="2294" width="4.5703125" style="2" customWidth="1"/>
    <col min="2295" max="2295" width="12.42578125" style="2" customWidth="1"/>
    <col min="2296" max="2296" width="32.5703125" style="2" customWidth="1"/>
    <col min="2297" max="2297" width="10.140625" style="2" customWidth="1"/>
    <col min="2298" max="2298" width="9.85546875" style="2" customWidth="1"/>
    <col min="2299" max="2299" width="9.5703125" style="2" customWidth="1"/>
    <col min="2300" max="2301" width="11.42578125" style="2"/>
    <col min="2302" max="2302" width="28" style="2" bestFit="1" customWidth="1"/>
    <col min="2303" max="2303" width="11.42578125" style="2"/>
    <col min="2304" max="2304" width="5.140625" style="2" customWidth="1"/>
    <col min="2305" max="2305" width="8" style="2" customWidth="1"/>
    <col min="2306" max="2548" width="11.42578125" style="2"/>
    <col min="2549" max="2549" width="17.7109375" style="2" bestFit="1" customWidth="1"/>
    <col min="2550" max="2550" width="4.5703125" style="2" customWidth="1"/>
    <col min="2551" max="2551" width="12.42578125" style="2" customWidth="1"/>
    <col min="2552" max="2552" width="32.5703125" style="2" customWidth="1"/>
    <col min="2553" max="2553" width="10.140625" style="2" customWidth="1"/>
    <col min="2554" max="2554" width="9.85546875" style="2" customWidth="1"/>
    <col min="2555" max="2555" width="9.5703125" style="2" customWidth="1"/>
    <col min="2556" max="2557" width="11.42578125" style="2"/>
    <col min="2558" max="2558" width="28" style="2" bestFit="1" customWidth="1"/>
    <col min="2559" max="2559" width="11.42578125" style="2"/>
    <col min="2560" max="2560" width="5.140625" style="2" customWidth="1"/>
    <col min="2561" max="2561" width="8" style="2" customWidth="1"/>
    <col min="2562" max="2804" width="11.42578125" style="2"/>
    <col min="2805" max="2805" width="17.7109375" style="2" bestFit="1" customWidth="1"/>
    <col min="2806" max="2806" width="4.5703125" style="2" customWidth="1"/>
    <col min="2807" max="2807" width="12.42578125" style="2" customWidth="1"/>
    <col min="2808" max="2808" width="32.5703125" style="2" customWidth="1"/>
    <col min="2809" max="2809" width="10.140625" style="2" customWidth="1"/>
    <col min="2810" max="2810" width="9.85546875" style="2" customWidth="1"/>
    <col min="2811" max="2811" width="9.5703125" style="2" customWidth="1"/>
    <col min="2812" max="2813" width="11.42578125" style="2"/>
    <col min="2814" max="2814" width="28" style="2" bestFit="1" customWidth="1"/>
    <col min="2815" max="2815" width="11.42578125" style="2"/>
    <col min="2816" max="2816" width="5.140625" style="2" customWidth="1"/>
    <col min="2817" max="2817" width="8" style="2" customWidth="1"/>
    <col min="2818" max="3060" width="11.42578125" style="2"/>
    <col min="3061" max="3061" width="17.7109375" style="2" bestFit="1" customWidth="1"/>
    <col min="3062" max="3062" width="4.5703125" style="2" customWidth="1"/>
    <col min="3063" max="3063" width="12.42578125" style="2" customWidth="1"/>
    <col min="3064" max="3064" width="32.5703125" style="2" customWidth="1"/>
    <col min="3065" max="3065" width="10.140625" style="2" customWidth="1"/>
    <col min="3066" max="3066" width="9.85546875" style="2" customWidth="1"/>
    <col min="3067" max="3067" width="9.5703125" style="2" customWidth="1"/>
    <col min="3068" max="3069" width="11.42578125" style="2"/>
    <col min="3070" max="3070" width="28" style="2" bestFit="1" customWidth="1"/>
    <col min="3071" max="3071" width="11.42578125" style="2"/>
    <col min="3072" max="3072" width="5.140625" style="2" customWidth="1"/>
    <col min="3073" max="3073" width="8" style="2" customWidth="1"/>
    <col min="3074" max="3316" width="11.42578125" style="2"/>
    <col min="3317" max="3317" width="17.7109375" style="2" bestFit="1" customWidth="1"/>
    <col min="3318" max="3318" width="4.5703125" style="2" customWidth="1"/>
    <col min="3319" max="3319" width="12.42578125" style="2" customWidth="1"/>
    <col min="3320" max="3320" width="32.5703125" style="2" customWidth="1"/>
    <col min="3321" max="3321" width="10.140625" style="2" customWidth="1"/>
    <col min="3322" max="3322" width="9.85546875" style="2" customWidth="1"/>
    <col min="3323" max="3323" width="9.5703125" style="2" customWidth="1"/>
    <col min="3324" max="3325" width="11.42578125" style="2"/>
    <col min="3326" max="3326" width="28" style="2" bestFit="1" customWidth="1"/>
    <col min="3327" max="3327" width="11.42578125" style="2"/>
    <col min="3328" max="3328" width="5.140625" style="2" customWidth="1"/>
    <col min="3329" max="3329" width="8" style="2" customWidth="1"/>
    <col min="3330" max="3572" width="11.42578125" style="2"/>
    <col min="3573" max="3573" width="17.7109375" style="2" bestFit="1" customWidth="1"/>
    <col min="3574" max="3574" width="4.5703125" style="2" customWidth="1"/>
    <col min="3575" max="3575" width="12.42578125" style="2" customWidth="1"/>
    <col min="3576" max="3576" width="32.5703125" style="2" customWidth="1"/>
    <col min="3577" max="3577" width="10.140625" style="2" customWidth="1"/>
    <col min="3578" max="3578" width="9.85546875" style="2" customWidth="1"/>
    <col min="3579" max="3579" width="9.5703125" style="2" customWidth="1"/>
    <col min="3580" max="3581" width="11.42578125" style="2"/>
    <col min="3582" max="3582" width="28" style="2" bestFit="1" customWidth="1"/>
    <col min="3583" max="3583" width="11.42578125" style="2"/>
    <col min="3584" max="3584" width="5.140625" style="2" customWidth="1"/>
    <col min="3585" max="3585" width="8" style="2" customWidth="1"/>
    <col min="3586" max="3828" width="11.42578125" style="2"/>
    <col min="3829" max="3829" width="17.7109375" style="2" bestFit="1" customWidth="1"/>
    <col min="3830" max="3830" width="4.5703125" style="2" customWidth="1"/>
    <col min="3831" max="3831" width="12.42578125" style="2" customWidth="1"/>
    <col min="3832" max="3832" width="32.5703125" style="2" customWidth="1"/>
    <col min="3833" max="3833" width="10.140625" style="2" customWidth="1"/>
    <col min="3834" max="3834" width="9.85546875" style="2" customWidth="1"/>
    <col min="3835" max="3835" width="9.5703125" style="2" customWidth="1"/>
    <col min="3836" max="3837" width="11.42578125" style="2"/>
    <col min="3838" max="3838" width="28" style="2" bestFit="1" customWidth="1"/>
    <col min="3839" max="3839" width="11.42578125" style="2"/>
    <col min="3840" max="3840" width="5.140625" style="2" customWidth="1"/>
    <col min="3841" max="3841" width="8" style="2" customWidth="1"/>
    <col min="3842" max="4084" width="11.42578125" style="2"/>
    <col min="4085" max="4085" width="17.7109375" style="2" bestFit="1" customWidth="1"/>
    <col min="4086" max="4086" width="4.5703125" style="2" customWidth="1"/>
    <col min="4087" max="4087" width="12.42578125" style="2" customWidth="1"/>
    <col min="4088" max="4088" width="32.5703125" style="2" customWidth="1"/>
    <col min="4089" max="4089" width="10.140625" style="2" customWidth="1"/>
    <col min="4090" max="4090" width="9.85546875" style="2" customWidth="1"/>
    <col min="4091" max="4091" width="9.5703125" style="2" customWidth="1"/>
    <col min="4092" max="4093" width="11.42578125" style="2"/>
    <col min="4094" max="4094" width="28" style="2" bestFit="1" customWidth="1"/>
    <col min="4095" max="4095" width="11.42578125" style="2"/>
    <col min="4096" max="4096" width="5.140625" style="2" customWidth="1"/>
    <col min="4097" max="4097" width="8" style="2" customWidth="1"/>
    <col min="4098" max="4340" width="11.42578125" style="2"/>
    <col min="4341" max="4341" width="17.7109375" style="2" bestFit="1" customWidth="1"/>
    <col min="4342" max="4342" width="4.5703125" style="2" customWidth="1"/>
    <col min="4343" max="4343" width="12.42578125" style="2" customWidth="1"/>
    <col min="4344" max="4344" width="32.5703125" style="2" customWidth="1"/>
    <col min="4345" max="4345" width="10.140625" style="2" customWidth="1"/>
    <col min="4346" max="4346" width="9.85546875" style="2" customWidth="1"/>
    <col min="4347" max="4347" width="9.5703125" style="2" customWidth="1"/>
    <col min="4348" max="4349" width="11.42578125" style="2"/>
    <col min="4350" max="4350" width="28" style="2" bestFit="1" customWidth="1"/>
    <col min="4351" max="4351" width="11.42578125" style="2"/>
    <col min="4352" max="4352" width="5.140625" style="2" customWidth="1"/>
    <col min="4353" max="4353" width="8" style="2" customWidth="1"/>
    <col min="4354" max="4596" width="11.42578125" style="2"/>
    <col min="4597" max="4597" width="17.7109375" style="2" bestFit="1" customWidth="1"/>
    <col min="4598" max="4598" width="4.5703125" style="2" customWidth="1"/>
    <col min="4599" max="4599" width="12.42578125" style="2" customWidth="1"/>
    <col min="4600" max="4600" width="32.5703125" style="2" customWidth="1"/>
    <col min="4601" max="4601" width="10.140625" style="2" customWidth="1"/>
    <col min="4602" max="4602" width="9.85546875" style="2" customWidth="1"/>
    <col min="4603" max="4603" width="9.5703125" style="2" customWidth="1"/>
    <col min="4604" max="4605" width="11.42578125" style="2"/>
    <col min="4606" max="4606" width="28" style="2" bestFit="1" customWidth="1"/>
    <col min="4607" max="4607" width="11.42578125" style="2"/>
    <col min="4608" max="4608" width="5.140625" style="2" customWidth="1"/>
    <col min="4609" max="4609" width="8" style="2" customWidth="1"/>
    <col min="4610" max="4852" width="11.42578125" style="2"/>
    <col min="4853" max="4853" width="17.7109375" style="2" bestFit="1" customWidth="1"/>
    <col min="4854" max="4854" width="4.5703125" style="2" customWidth="1"/>
    <col min="4855" max="4855" width="12.42578125" style="2" customWidth="1"/>
    <col min="4856" max="4856" width="32.5703125" style="2" customWidth="1"/>
    <col min="4857" max="4857" width="10.140625" style="2" customWidth="1"/>
    <col min="4858" max="4858" width="9.85546875" style="2" customWidth="1"/>
    <col min="4859" max="4859" width="9.5703125" style="2" customWidth="1"/>
    <col min="4860" max="4861" width="11.42578125" style="2"/>
    <col min="4862" max="4862" width="28" style="2" bestFit="1" customWidth="1"/>
    <col min="4863" max="4863" width="11.42578125" style="2"/>
    <col min="4864" max="4864" width="5.140625" style="2" customWidth="1"/>
    <col min="4865" max="4865" width="8" style="2" customWidth="1"/>
    <col min="4866" max="5108" width="11.42578125" style="2"/>
    <col min="5109" max="5109" width="17.7109375" style="2" bestFit="1" customWidth="1"/>
    <col min="5110" max="5110" width="4.5703125" style="2" customWidth="1"/>
    <col min="5111" max="5111" width="12.42578125" style="2" customWidth="1"/>
    <col min="5112" max="5112" width="32.5703125" style="2" customWidth="1"/>
    <col min="5113" max="5113" width="10.140625" style="2" customWidth="1"/>
    <col min="5114" max="5114" width="9.85546875" style="2" customWidth="1"/>
    <col min="5115" max="5115" width="9.5703125" style="2" customWidth="1"/>
    <col min="5116" max="5117" width="11.42578125" style="2"/>
    <col min="5118" max="5118" width="28" style="2" bestFit="1" customWidth="1"/>
    <col min="5119" max="5119" width="11.42578125" style="2"/>
    <col min="5120" max="5120" width="5.140625" style="2" customWidth="1"/>
    <col min="5121" max="5121" width="8" style="2" customWidth="1"/>
    <col min="5122" max="5364" width="11.42578125" style="2"/>
    <col min="5365" max="5365" width="17.7109375" style="2" bestFit="1" customWidth="1"/>
    <col min="5366" max="5366" width="4.5703125" style="2" customWidth="1"/>
    <col min="5367" max="5367" width="12.42578125" style="2" customWidth="1"/>
    <col min="5368" max="5368" width="32.5703125" style="2" customWidth="1"/>
    <col min="5369" max="5369" width="10.140625" style="2" customWidth="1"/>
    <col min="5370" max="5370" width="9.85546875" style="2" customWidth="1"/>
    <col min="5371" max="5371" width="9.5703125" style="2" customWidth="1"/>
    <col min="5372" max="5373" width="11.42578125" style="2"/>
    <col min="5374" max="5374" width="28" style="2" bestFit="1" customWidth="1"/>
    <col min="5375" max="5375" width="11.42578125" style="2"/>
    <col min="5376" max="5376" width="5.140625" style="2" customWidth="1"/>
    <col min="5377" max="5377" width="8" style="2" customWidth="1"/>
    <col min="5378" max="5620" width="11.42578125" style="2"/>
    <col min="5621" max="5621" width="17.7109375" style="2" bestFit="1" customWidth="1"/>
    <col min="5622" max="5622" width="4.5703125" style="2" customWidth="1"/>
    <col min="5623" max="5623" width="12.42578125" style="2" customWidth="1"/>
    <col min="5624" max="5624" width="32.5703125" style="2" customWidth="1"/>
    <col min="5625" max="5625" width="10.140625" style="2" customWidth="1"/>
    <col min="5626" max="5626" width="9.85546875" style="2" customWidth="1"/>
    <col min="5627" max="5627" width="9.5703125" style="2" customWidth="1"/>
    <col min="5628" max="5629" width="11.42578125" style="2"/>
    <col min="5630" max="5630" width="28" style="2" bestFit="1" customWidth="1"/>
    <col min="5631" max="5631" width="11.42578125" style="2"/>
    <col min="5632" max="5632" width="5.140625" style="2" customWidth="1"/>
    <col min="5633" max="5633" width="8" style="2" customWidth="1"/>
    <col min="5634" max="5876" width="11.42578125" style="2"/>
    <col min="5877" max="5877" width="17.7109375" style="2" bestFit="1" customWidth="1"/>
    <col min="5878" max="5878" width="4.5703125" style="2" customWidth="1"/>
    <col min="5879" max="5879" width="12.42578125" style="2" customWidth="1"/>
    <col min="5880" max="5880" width="32.5703125" style="2" customWidth="1"/>
    <col min="5881" max="5881" width="10.140625" style="2" customWidth="1"/>
    <col min="5882" max="5882" width="9.85546875" style="2" customWidth="1"/>
    <col min="5883" max="5883" width="9.5703125" style="2" customWidth="1"/>
    <col min="5884" max="5885" width="11.42578125" style="2"/>
    <col min="5886" max="5886" width="28" style="2" bestFit="1" customWidth="1"/>
    <col min="5887" max="5887" width="11.42578125" style="2"/>
    <col min="5888" max="5888" width="5.140625" style="2" customWidth="1"/>
    <col min="5889" max="5889" width="8" style="2" customWidth="1"/>
    <col min="5890" max="6132" width="11.42578125" style="2"/>
    <col min="6133" max="6133" width="17.7109375" style="2" bestFit="1" customWidth="1"/>
    <col min="6134" max="6134" width="4.5703125" style="2" customWidth="1"/>
    <col min="6135" max="6135" width="12.42578125" style="2" customWidth="1"/>
    <col min="6136" max="6136" width="32.5703125" style="2" customWidth="1"/>
    <col min="6137" max="6137" width="10.140625" style="2" customWidth="1"/>
    <col min="6138" max="6138" width="9.85546875" style="2" customWidth="1"/>
    <col min="6139" max="6139" width="9.5703125" style="2" customWidth="1"/>
    <col min="6140" max="6141" width="11.42578125" style="2"/>
    <col min="6142" max="6142" width="28" style="2" bestFit="1" customWidth="1"/>
    <col min="6143" max="6143" width="11.42578125" style="2"/>
    <col min="6144" max="6144" width="5.140625" style="2" customWidth="1"/>
    <col min="6145" max="6145" width="8" style="2" customWidth="1"/>
    <col min="6146" max="6388" width="11.42578125" style="2"/>
    <col min="6389" max="6389" width="17.7109375" style="2" bestFit="1" customWidth="1"/>
    <col min="6390" max="6390" width="4.5703125" style="2" customWidth="1"/>
    <col min="6391" max="6391" width="12.42578125" style="2" customWidth="1"/>
    <col min="6392" max="6392" width="32.5703125" style="2" customWidth="1"/>
    <col min="6393" max="6393" width="10.140625" style="2" customWidth="1"/>
    <col min="6394" max="6394" width="9.85546875" style="2" customWidth="1"/>
    <col min="6395" max="6395" width="9.5703125" style="2" customWidth="1"/>
    <col min="6396" max="6397" width="11.42578125" style="2"/>
    <col min="6398" max="6398" width="28" style="2" bestFit="1" customWidth="1"/>
    <col min="6399" max="6399" width="11.42578125" style="2"/>
    <col min="6400" max="6400" width="5.140625" style="2" customWidth="1"/>
    <col min="6401" max="6401" width="8" style="2" customWidth="1"/>
    <col min="6402" max="6644" width="11.42578125" style="2"/>
    <col min="6645" max="6645" width="17.7109375" style="2" bestFit="1" customWidth="1"/>
    <col min="6646" max="6646" width="4.5703125" style="2" customWidth="1"/>
    <col min="6647" max="6647" width="12.42578125" style="2" customWidth="1"/>
    <col min="6648" max="6648" width="32.5703125" style="2" customWidth="1"/>
    <col min="6649" max="6649" width="10.140625" style="2" customWidth="1"/>
    <col min="6650" max="6650" width="9.85546875" style="2" customWidth="1"/>
    <col min="6651" max="6651" width="9.5703125" style="2" customWidth="1"/>
    <col min="6652" max="6653" width="11.42578125" style="2"/>
    <col min="6654" max="6654" width="28" style="2" bestFit="1" customWidth="1"/>
    <col min="6655" max="6655" width="11.42578125" style="2"/>
    <col min="6656" max="6656" width="5.140625" style="2" customWidth="1"/>
    <col min="6657" max="6657" width="8" style="2" customWidth="1"/>
    <col min="6658" max="6900" width="11.42578125" style="2"/>
    <col min="6901" max="6901" width="17.7109375" style="2" bestFit="1" customWidth="1"/>
    <col min="6902" max="6902" width="4.5703125" style="2" customWidth="1"/>
    <col min="6903" max="6903" width="12.42578125" style="2" customWidth="1"/>
    <col min="6904" max="6904" width="32.5703125" style="2" customWidth="1"/>
    <col min="6905" max="6905" width="10.140625" style="2" customWidth="1"/>
    <col min="6906" max="6906" width="9.85546875" style="2" customWidth="1"/>
    <col min="6907" max="6907" width="9.5703125" style="2" customWidth="1"/>
    <col min="6908" max="6909" width="11.42578125" style="2"/>
    <col min="6910" max="6910" width="28" style="2" bestFit="1" customWidth="1"/>
    <col min="6911" max="6911" width="11.42578125" style="2"/>
    <col min="6912" max="6912" width="5.140625" style="2" customWidth="1"/>
    <col min="6913" max="6913" width="8" style="2" customWidth="1"/>
    <col min="6914" max="7156" width="11.42578125" style="2"/>
    <col min="7157" max="7157" width="17.7109375" style="2" bestFit="1" customWidth="1"/>
    <col min="7158" max="7158" width="4.5703125" style="2" customWidth="1"/>
    <col min="7159" max="7159" width="12.42578125" style="2" customWidth="1"/>
    <col min="7160" max="7160" width="32.5703125" style="2" customWidth="1"/>
    <col min="7161" max="7161" width="10.140625" style="2" customWidth="1"/>
    <col min="7162" max="7162" width="9.85546875" style="2" customWidth="1"/>
    <col min="7163" max="7163" width="9.5703125" style="2" customWidth="1"/>
    <col min="7164" max="7165" width="11.42578125" style="2"/>
    <col min="7166" max="7166" width="28" style="2" bestFit="1" customWidth="1"/>
    <col min="7167" max="7167" width="11.42578125" style="2"/>
    <col min="7168" max="7168" width="5.140625" style="2" customWidth="1"/>
    <col min="7169" max="7169" width="8" style="2" customWidth="1"/>
    <col min="7170" max="7412" width="11.42578125" style="2"/>
    <col min="7413" max="7413" width="17.7109375" style="2" bestFit="1" customWidth="1"/>
    <col min="7414" max="7414" width="4.5703125" style="2" customWidth="1"/>
    <col min="7415" max="7415" width="12.42578125" style="2" customWidth="1"/>
    <col min="7416" max="7416" width="32.5703125" style="2" customWidth="1"/>
    <col min="7417" max="7417" width="10.140625" style="2" customWidth="1"/>
    <col min="7418" max="7418" width="9.85546875" style="2" customWidth="1"/>
    <col min="7419" max="7419" width="9.5703125" style="2" customWidth="1"/>
    <col min="7420" max="7421" width="11.42578125" style="2"/>
    <col min="7422" max="7422" width="28" style="2" bestFit="1" customWidth="1"/>
    <col min="7423" max="7423" width="11.42578125" style="2"/>
    <col min="7424" max="7424" width="5.140625" style="2" customWidth="1"/>
    <col min="7425" max="7425" width="8" style="2" customWidth="1"/>
    <col min="7426" max="7668" width="11.42578125" style="2"/>
    <col min="7669" max="7669" width="17.7109375" style="2" bestFit="1" customWidth="1"/>
    <col min="7670" max="7670" width="4.5703125" style="2" customWidth="1"/>
    <col min="7671" max="7671" width="12.42578125" style="2" customWidth="1"/>
    <col min="7672" max="7672" width="32.5703125" style="2" customWidth="1"/>
    <col min="7673" max="7673" width="10.140625" style="2" customWidth="1"/>
    <col min="7674" max="7674" width="9.85546875" style="2" customWidth="1"/>
    <col min="7675" max="7675" width="9.5703125" style="2" customWidth="1"/>
    <col min="7676" max="7677" width="11.42578125" style="2"/>
    <col min="7678" max="7678" width="28" style="2" bestFit="1" customWidth="1"/>
    <col min="7679" max="7679" width="11.42578125" style="2"/>
    <col min="7680" max="7680" width="5.140625" style="2" customWidth="1"/>
    <col min="7681" max="7681" width="8" style="2" customWidth="1"/>
    <col min="7682" max="7924" width="11.42578125" style="2"/>
    <col min="7925" max="7925" width="17.7109375" style="2" bestFit="1" customWidth="1"/>
    <col min="7926" max="7926" width="4.5703125" style="2" customWidth="1"/>
    <col min="7927" max="7927" width="12.42578125" style="2" customWidth="1"/>
    <col min="7928" max="7928" width="32.5703125" style="2" customWidth="1"/>
    <col min="7929" max="7929" width="10.140625" style="2" customWidth="1"/>
    <col min="7930" max="7930" width="9.85546875" style="2" customWidth="1"/>
    <col min="7931" max="7931" width="9.5703125" style="2" customWidth="1"/>
    <col min="7932" max="7933" width="11.42578125" style="2"/>
    <col min="7934" max="7934" width="28" style="2" bestFit="1" customWidth="1"/>
    <col min="7935" max="7935" width="11.42578125" style="2"/>
    <col min="7936" max="7936" width="5.140625" style="2" customWidth="1"/>
    <col min="7937" max="7937" width="8" style="2" customWidth="1"/>
    <col min="7938" max="8180" width="11.42578125" style="2"/>
    <col min="8181" max="8181" width="17.7109375" style="2" bestFit="1" customWidth="1"/>
    <col min="8182" max="8182" width="4.5703125" style="2" customWidth="1"/>
    <col min="8183" max="8183" width="12.42578125" style="2" customWidth="1"/>
    <col min="8184" max="8184" width="32.5703125" style="2" customWidth="1"/>
    <col min="8185" max="8185" width="10.140625" style="2" customWidth="1"/>
    <col min="8186" max="8186" width="9.85546875" style="2" customWidth="1"/>
    <col min="8187" max="8187" width="9.5703125" style="2" customWidth="1"/>
    <col min="8188" max="8189" width="11.42578125" style="2"/>
    <col min="8190" max="8190" width="28" style="2" bestFit="1" customWidth="1"/>
    <col min="8191" max="8191" width="11.42578125" style="2"/>
    <col min="8192" max="8192" width="5.140625" style="2" customWidth="1"/>
    <col min="8193" max="8193" width="8" style="2" customWidth="1"/>
    <col min="8194" max="8436" width="11.42578125" style="2"/>
    <col min="8437" max="8437" width="17.7109375" style="2" bestFit="1" customWidth="1"/>
    <col min="8438" max="8438" width="4.5703125" style="2" customWidth="1"/>
    <col min="8439" max="8439" width="12.42578125" style="2" customWidth="1"/>
    <col min="8440" max="8440" width="32.5703125" style="2" customWidth="1"/>
    <col min="8441" max="8441" width="10.140625" style="2" customWidth="1"/>
    <col min="8442" max="8442" width="9.85546875" style="2" customWidth="1"/>
    <col min="8443" max="8443" width="9.5703125" style="2" customWidth="1"/>
    <col min="8444" max="8445" width="11.42578125" style="2"/>
    <col min="8446" max="8446" width="28" style="2" bestFit="1" customWidth="1"/>
    <col min="8447" max="8447" width="11.42578125" style="2"/>
    <col min="8448" max="8448" width="5.140625" style="2" customWidth="1"/>
    <col min="8449" max="8449" width="8" style="2" customWidth="1"/>
    <col min="8450" max="8692" width="11.42578125" style="2"/>
    <col min="8693" max="8693" width="17.7109375" style="2" bestFit="1" customWidth="1"/>
    <col min="8694" max="8694" width="4.5703125" style="2" customWidth="1"/>
    <col min="8695" max="8695" width="12.42578125" style="2" customWidth="1"/>
    <col min="8696" max="8696" width="32.5703125" style="2" customWidth="1"/>
    <col min="8697" max="8697" width="10.140625" style="2" customWidth="1"/>
    <col min="8698" max="8698" width="9.85546875" style="2" customWidth="1"/>
    <col min="8699" max="8699" width="9.5703125" style="2" customWidth="1"/>
    <col min="8700" max="8701" width="11.42578125" style="2"/>
    <col min="8702" max="8702" width="28" style="2" bestFit="1" customWidth="1"/>
    <col min="8703" max="8703" width="11.42578125" style="2"/>
    <col min="8704" max="8704" width="5.140625" style="2" customWidth="1"/>
    <col min="8705" max="8705" width="8" style="2" customWidth="1"/>
    <col min="8706" max="8948" width="11.42578125" style="2"/>
    <col min="8949" max="8949" width="17.7109375" style="2" bestFit="1" customWidth="1"/>
    <col min="8950" max="8950" width="4.5703125" style="2" customWidth="1"/>
    <col min="8951" max="8951" width="12.42578125" style="2" customWidth="1"/>
    <col min="8952" max="8952" width="32.5703125" style="2" customWidth="1"/>
    <col min="8953" max="8953" width="10.140625" style="2" customWidth="1"/>
    <col min="8954" max="8954" width="9.85546875" style="2" customWidth="1"/>
    <col min="8955" max="8955" width="9.5703125" style="2" customWidth="1"/>
    <col min="8956" max="8957" width="11.42578125" style="2"/>
    <col min="8958" max="8958" width="28" style="2" bestFit="1" customWidth="1"/>
    <col min="8959" max="8959" width="11.42578125" style="2"/>
    <col min="8960" max="8960" width="5.140625" style="2" customWidth="1"/>
    <col min="8961" max="8961" width="8" style="2" customWidth="1"/>
    <col min="8962" max="9204" width="11.42578125" style="2"/>
    <col min="9205" max="9205" width="17.7109375" style="2" bestFit="1" customWidth="1"/>
    <col min="9206" max="9206" width="4.5703125" style="2" customWidth="1"/>
    <col min="9207" max="9207" width="12.42578125" style="2" customWidth="1"/>
    <col min="9208" max="9208" width="32.5703125" style="2" customWidth="1"/>
    <col min="9209" max="9209" width="10.140625" style="2" customWidth="1"/>
    <col min="9210" max="9210" width="9.85546875" style="2" customWidth="1"/>
    <col min="9211" max="9211" width="9.5703125" style="2" customWidth="1"/>
    <col min="9212" max="9213" width="11.42578125" style="2"/>
    <col min="9214" max="9214" width="28" style="2" bestFit="1" customWidth="1"/>
    <col min="9215" max="9215" width="11.42578125" style="2"/>
    <col min="9216" max="9216" width="5.140625" style="2" customWidth="1"/>
    <col min="9217" max="9217" width="8" style="2" customWidth="1"/>
    <col min="9218" max="9460" width="11.42578125" style="2"/>
    <col min="9461" max="9461" width="17.7109375" style="2" bestFit="1" customWidth="1"/>
    <col min="9462" max="9462" width="4.5703125" style="2" customWidth="1"/>
    <col min="9463" max="9463" width="12.42578125" style="2" customWidth="1"/>
    <col min="9464" max="9464" width="32.5703125" style="2" customWidth="1"/>
    <col min="9465" max="9465" width="10.140625" style="2" customWidth="1"/>
    <col min="9466" max="9466" width="9.85546875" style="2" customWidth="1"/>
    <col min="9467" max="9467" width="9.5703125" style="2" customWidth="1"/>
    <col min="9468" max="9469" width="11.42578125" style="2"/>
    <col min="9470" max="9470" width="28" style="2" bestFit="1" customWidth="1"/>
    <col min="9471" max="9471" width="11.42578125" style="2"/>
    <col min="9472" max="9472" width="5.140625" style="2" customWidth="1"/>
    <col min="9473" max="9473" width="8" style="2" customWidth="1"/>
    <col min="9474" max="9716" width="11.42578125" style="2"/>
    <col min="9717" max="9717" width="17.7109375" style="2" bestFit="1" customWidth="1"/>
    <col min="9718" max="9718" width="4.5703125" style="2" customWidth="1"/>
    <col min="9719" max="9719" width="12.42578125" style="2" customWidth="1"/>
    <col min="9720" max="9720" width="32.5703125" style="2" customWidth="1"/>
    <col min="9721" max="9721" width="10.140625" style="2" customWidth="1"/>
    <col min="9722" max="9722" width="9.85546875" style="2" customWidth="1"/>
    <col min="9723" max="9723" width="9.5703125" style="2" customWidth="1"/>
    <col min="9724" max="9725" width="11.42578125" style="2"/>
    <col min="9726" max="9726" width="28" style="2" bestFit="1" customWidth="1"/>
    <col min="9727" max="9727" width="11.42578125" style="2"/>
    <col min="9728" max="9728" width="5.140625" style="2" customWidth="1"/>
    <col min="9729" max="9729" width="8" style="2" customWidth="1"/>
    <col min="9730" max="9972" width="11.42578125" style="2"/>
    <col min="9973" max="9973" width="17.7109375" style="2" bestFit="1" customWidth="1"/>
    <col min="9974" max="9974" width="4.5703125" style="2" customWidth="1"/>
    <col min="9975" max="9975" width="12.42578125" style="2" customWidth="1"/>
    <col min="9976" max="9976" width="32.5703125" style="2" customWidth="1"/>
    <col min="9977" max="9977" width="10.140625" style="2" customWidth="1"/>
    <col min="9978" max="9978" width="9.85546875" style="2" customWidth="1"/>
    <col min="9979" max="9979" width="9.5703125" style="2" customWidth="1"/>
    <col min="9980" max="9981" width="11.42578125" style="2"/>
    <col min="9982" max="9982" width="28" style="2" bestFit="1" customWidth="1"/>
    <col min="9983" max="9983" width="11.42578125" style="2"/>
    <col min="9984" max="9984" width="5.140625" style="2" customWidth="1"/>
    <col min="9985" max="9985" width="8" style="2" customWidth="1"/>
    <col min="9986" max="10228" width="11.42578125" style="2"/>
    <col min="10229" max="10229" width="17.7109375" style="2" bestFit="1" customWidth="1"/>
    <col min="10230" max="10230" width="4.5703125" style="2" customWidth="1"/>
    <col min="10231" max="10231" width="12.42578125" style="2" customWidth="1"/>
    <col min="10232" max="10232" width="32.5703125" style="2" customWidth="1"/>
    <col min="10233" max="10233" width="10.140625" style="2" customWidth="1"/>
    <col min="10234" max="10234" width="9.85546875" style="2" customWidth="1"/>
    <col min="10235" max="10235" width="9.5703125" style="2" customWidth="1"/>
    <col min="10236" max="10237" width="11.42578125" style="2"/>
    <col min="10238" max="10238" width="28" style="2" bestFit="1" customWidth="1"/>
    <col min="10239" max="10239" width="11.42578125" style="2"/>
    <col min="10240" max="10240" width="5.140625" style="2" customWidth="1"/>
    <col min="10241" max="10241" width="8" style="2" customWidth="1"/>
    <col min="10242" max="10484" width="11.42578125" style="2"/>
    <col min="10485" max="10485" width="17.7109375" style="2" bestFit="1" customWidth="1"/>
    <col min="10486" max="10486" width="4.5703125" style="2" customWidth="1"/>
    <col min="10487" max="10487" width="12.42578125" style="2" customWidth="1"/>
    <col min="10488" max="10488" width="32.5703125" style="2" customWidth="1"/>
    <col min="10489" max="10489" width="10.140625" style="2" customWidth="1"/>
    <col min="10490" max="10490" width="9.85546875" style="2" customWidth="1"/>
    <col min="10491" max="10491" width="9.5703125" style="2" customWidth="1"/>
    <col min="10492" max="10493" width="11.42578125" style="2"/>
    <col min="10494" max="10494" width="28" style="2" bestFit="1" customWidth="1"/>
    <col min="10495" max="10495" width="11.42578125" style="2"/>
    <col min="10496" max="10496" width="5.140625" style="2" customWidth="1"/>
    <col min="10497" max="10497" width="8" style="2" customWidth="1"/>
    <col min="10498" max="10740" width="11.42578125" style="2"/>
    <col min="10741" max="10741" width="17.7109375" style="2" bestFit="1" customWidth="1"/>
    <col min="10742" max="10742" width="4.5703125" style="2" customWidth="1"/>
    <col min="10743" max="10743" width="12.42578125" style="2" customWidth="1"/>
    <col min="10744" max="10744" width="32.5703125" style="2" customWidth="1"/>
    <col min="10745" max="10745" width="10.140625" style="2" customWidth="1"/>
    <col min="10746" max="10746" width="9.85546875" style="2" customWidth="1"/>
    <col min="10747" max="10747" width="9.5703125" style="2" customWidth="1"/>
    <col min="10748" max="10749" width="11.42578125" style="2"/>
    <col min="10750" max="10750" width="28" style="2" bestFit="1" customWidth="1"/>
    <col min="10751" max="10751" width="11.42578125" style="2"/>
    <col min="10752" max="10752" width="5.140625" style="2" customWidth="1"/>
    <col min="10753" max="10753" width="8" style="2" customWidth="1"/>
    <col min="10754" max="10996" width="11.42578125" style="2"/>
    <col min="10997" max="10997" width="17.7109375" style="2" bestFit="1" customWidth="1"/>
    <col min="10998" max="10998" width="4.5703125" style="2" customWidth="1"/>
    <col min="10999" max="10999" width="12.42578125" style="2" customWidth="1"/>
    <col min="11000" max="11000" width="32.5703125" style="2" customWidth="1"/>
    <col min="11001" max="11001" width="10.140625" style="2" customWidth="1"/>
    <col min="11002" max="11002" width="9.85546875" style="2" customWidth="1"/>
    <col min="11003" max="11003" width="9.5703125" style="2" customWidth="1"/>
    <col min="11004" max="11005" width="11.42578125" style="2"/>
    <col min="11006" max="11006" width="28" style="2" bestFit="1" customWidth="1"/>
    <col min="11007" max="11007" width="11.42578125" style="2"/>
    <col min="11008" max="11008" width="5.140625" style="2" customWidth="1"/>
    <col min="11009" max="11009" width="8" style="2" customWidth="1"/>
    <col min="11010" max="11252" width="11.42578125" style="2"/>
    <col min="11253" max="11253" width="17.7109375" style="2" bestFit="1" customWidth="1"/>
    <col min="11254" max="11254" width="4.5703125" style="2" customWidth="1"/>
    <col min="11255" max="11255" width="12.42578125" style="2" customWidth="1"/>
    <col min="11256" max="11256" width="32.5703125" style="2" customWidth="1"/>
    <col min="11257" max="11257" width="10.140625" style="2" customWidth="1"/>
    <col min="11258" max="11258" width="9.85546875" style="2" customWidth="1"/>
    <col min="11259" max="11259" width="9.5703125" style="2" customWidth="1"/>
    <col min="11260" max="11261" width="11.42578125" style="2"/>
    <col min="11262" max="11262" width="28" style="2" bestFit="1" customWidth="1"/>
    <col min="11263" max="11263" width="11.42578125" style="2"/>
    <col min="11264" max="11264" width="5.140625" style="2" customWidth="1"/>
    <col min="11265" max="11265" width="8" style="2" customWidth="1"/>
    <col min="11266" max="11508" width="11.42578125" style="2"/>
    <col min="11509" max="11509" width="17.7109375" style="2" bestFit="1" customWidth="1"/>
    <col min="11510" max="11510" width="4.5703125" style="2" customWidth="1"/>
    <col min="11511" max="11511" width="12.42578125" style="2" customWidth="1"/>
    <col min="11512" max="11512" width="32.5703125" style="2" customWidth="1"/>
    <col min="11513" max="11513" width="10.140625" style="2" customWidth="1"/>
    <col min="11514" max="11514" width="9.85546875" style="2" customWidth="1"/>
    <col min="11515" max="11515" width="9.5703125" style="2" customWidth="1"/>
    <col min="11516" max="11517" width="11.42578125" style="2"/>
    <col min="11518" max="11518" width="28" style="2" bestFit="1" customWidth="1"/>
    <col min="11519" max="11519" width="11.42578125" style="2"/>
    <col min="11520" max="11520" width="5.140625" style="2" customWidth="1"/>
    <col min="11521" max="11521" width="8" style="2" customWidth="1"/>
    <col min="11522" max="11764" width="11.42578125" style="2"/>
    <col min="11765" max="11765" width="17.7109375" style="2" bestFit="1" customWidth="1"/>
    <col min="11766" max="11766" width="4.5703125" style="2" customWidth="1"/>
    <col min="11767" max="11767" width="12.42578125" style="2" customWidth="1"/>
    <col min="11768" max="11768" width="32.5703125" style="2" customWidth="1"/>
    <col min="11769" max="11769" width="10.140625" style="2" customWidth="1"/>
    <col min="11770" max="11770" width="9.85546875" style="2" customWidth="1"/>
    <col min="11771" max="11771" width="9.5703125" style="2" customWidth="1"/>
    <col min="11772" max="11773" width="11.42578125" style="2"/>
    <col min="11774" max="11774" width="28" style="2" bestFit="1" customWidth="1"/>
    <col min="11775" max="11775" width="11.42578125" style="2"/>
    <col min="11776" max="11776" width="5.140625" style="2" customWidth="1"/>
    <col min="11777" max="11777" width="8" style="2" customWidth="1"/>
    <col min="11778" max="12020" width="11.42578125" style="2"/>
    <col min="12021" max="12021" width="17.7109375" style="2" bestFit="1" customWidth="1"/>
    <col min="12022" max="12022" width="4.5703125" style="2" customWidth="1"/>
    <col min="12023" max="12023" width="12.42578125" style="2" customWidth="1"/>
    <col min="12024" max="12024" width="32.5703125" style="2" customWidth="1"/>
    <col min="12025" max="12025" width="10.140625" style="2" customWidth="1"/>
    <col min="12026" max="12026" width="9.85546875" style="2" customWidth="1"/>
    <col min="12027" max="12027" width="9.5703125" style="2" customWidth="1"/>
    <col min="12028" max="12029" width="11.42578125" style="2"/>
    <col min="12030" max="12030" width="28" style="2" bestFit="1" customWidth="1"/>
    <col min="12031" max="12031" width="11.42578125" style="2"/>
    <col min="12032" max="12032" width="5.140625" style="2" customWidth="1"/>
    <col min="12033" max="12033" width="8" style="2" customWidth="1"/>
    <col min="12034" max="12276" width="11.42578125" style="2"/>
    <col min="12277" max="12277" width="17.7109375" style="2" bestFit="1" customWidth="1"/>
    <col min="12278" max="12278" width="4.5703125" style="2" customWidth="1"/>
    <col min="12279" max="12279" width="12.42578125" style="2" customWidth="1"/>
    <col min="12280" max="12280" width="32.5703125" style="2" customWidth="1"/>
    <col min="12281" max="12281" width="10.140625" style="2" customWidth="1"/>
    <col min="12282" max="12282" width="9.85546875" style="2" customWidth="1"/>
    <col min="12283" max="12283" width="9.5703125" style="2" customWidth="1"/>
    <col min="12284" max="12285" width="11.42578125" style="2"/>
    <col min="12286" max="12286" width="28" style="2" bestFit="1" customWidth="1"/>
    <col min="12287" max="12287" width="11.42578125" style="2"/>
    <col min="12288" max="12288" width="5.140625" style="2" customWidth="1"/>
    <col min="12289" max="12289" width="8" style="2" customWidth="1"/>
    <col min="12290" max="12532" width="11.42578125" style="2"/>
    <col min="12533" max="12533" width="17.7109375" style="2" bestFit="1" customWidth="1"/>
    <col min="12534" max="12534" width="4.5703125" style="2" customWidth="1"/>
    <col min="12535" max="12535" width="12.42578125" style="2" customWidth="1"/>
    <col min="12536" max="12536" width="32.5703125" style="2" customWidth="1"/>
    <col min="12537" max="12537" width="10.140625" style="2" customWidth="1"/>
    <col min="12538" max="12538" width="9.85546875" style="2" customWidth="1"/>
    <col min="12539" max="12539" width="9.5703125" style="2" customWidth="1"/>
    <col min="12540" max="12541" width="11.42578125" style="2"/>
    <col min="12542" max="12542" width="28" style="2" bestFit="1" customWidth="1"/>
    <col min="12543" max="12543" width="11.42578125" style="2"/>
    <col min="12544" max="12544" width="5.140625" style="2" customWidth="1"/>
    <col min="12545" max="12545" width="8" style="2" customWidth="1"/>
    <col min="12546" max="12788" width="11.42578125" style="2"/>
    <col min="12789" max="12789" width="17.7109375" style="2" bestFit="1" customWidth="1"/>
    <col min="12790" max="12790" width="4.5703125" style="2" customWidth="1"/>
    <col min="12791" max="12791" width="12.42578125" style="2" customWidth="1"/>
    <col min="12792" max="12792" width="32.5703125" style="2" customWidth="1"/>
    <col min="12793" max="12793" width="10.140625" style="2" customWidth="1"/>
    <col min="12794" max="12794" width="9.85546875" style="2" customWidth="1"/>
    <col min="12795" max="12795" width="9.5703125" style="2" customWidth="1"/>
    <col min="12796" max="12797" width="11.42578125" style="2"/>
    <col min="12798" max="12798" width="28" style="2" bestFit="1" customWidth="1"/>
    <col min="12799" max="12799" width="11.42578125" style="2"/>
    <col min="12800" max="12800" width="5.140625" style="2" customWidth="1"/>
    <col min="12801" max="12801" width="8" style="2" customWidth="1"/>
    <col min="12802" max="13044" width="11.42578125" style="2"/>
    <col min="13045" max="13045" width="17.7109375" style="2" bestFit="1" customWidth="1"/>
    <col min="13046" max="13046" width="4.5703125" style="2" customWidth="1"/>
    <col min="13047" max="13047" width="12.42578125" style="2" customWidth="1"/>
    <col min="13048" max="13048" width="32.5703125" style="2" customWidth="1"/>
    <col min="13049" max="13049" width="10.140625" style="2" customWidth="1"/>
    <col min="13050" max="13050" width="9.85546875" style="2" customWidth="1"/>
    <col min="13051" max="13051" width="9.5703125" style="2" customWidth="1"/>
    <col min="13052" max="13053" width="11.42578125" style="2"/>
    <col min="13054" max="13054" width="28" style="2" bestFit="1" customWidth="1"/>
    <col min="13055" max="13055" width="11.42578125" style="2"/>
    <col min="13056" max="13056" width="5.140625" style="2" customWidth="1"/>
    <col min="13057" max="13057" width="8" style="2" customWidth="1"/>
    <col min="13058" max="13300" width="11.42578125" style="2"/>
    <col min="13301" max="13301" width="17.7109375" style="2" bestFit="1" customWidth="1"/>
    <col min="13302" max="13302" width="4.5703125" style="2" customWidth="1"/>
    <col min="13303" max="13303" width="12.42578125" style="2" customWidth="1"/>
    <col min="13304" max="13304" width="32.5703125" style="2" customWidth="1"/>
    <col min="13305" max="13305" width="10.140625" style="2" customWidth="1"/>
    <col min="13306" max="13306" width="9.85546875" style="2" customWidth="1"/>
    <col min="13307" max="13307" width="9.5703125" style="2" customWidth="1"/>
    <col min="13308" max="13309" width="11.42578125" style="2"/>
    <col min="13310" max="13310" width="28" style="2" bestFit="1" customWidth="1"/>
    <col min="13311" max="13311" width="11.42578125" style="2"/>
    <col min="13312" max="13312" width="5.140625" style="2" customWidth="1"/>
    <col min="13313" max="13313" width="8" style="2" customWidth="1"/>
    <col min="13314" max="13556" width="11.42578125" style="2"/>
    <col min="13557" max="13557" width="17.7109375" style="2" bestFit="1" customWidth="1"/>
    <col min="13558" max="13558" width="4.5703125" style="2" customWidth="1"/>
    <col min="13559" max="13559" width="12.42578125" style="2" customWidth="1"/>
    <col min="13560" max="13560" width="32.5703125" style="2" customWidth="1"/>
    <col min="13561" max="13561" width="10.140625" style="2" customWidth="1"/>
    <col min="13562" max="13562" width="9.85546875" style="2" customWidth="1"/>
    <col min="13563" max="13563" width="9.5703125" style="2" customWidth="1"/>
    <col min="13564" max="13565" width="11.42578125" style="2"/>
    <col min="13566" max="13566" width="28" style="2" bestFit="1" customWidth="1"/>
    <col min="13567" max="13567" width="11.42578125" style="2"/>
    <col min="13568" max="13568" width="5.140625" style="2" customWidth="1"/>
    <col min="13569" max="13569" width="8" style="2" customWidth="1"/>
    <col min="13570" max="13812" width="11.42578125" style="2"/>
    <col min="13813" max="13813" width="17.7109375" style="2" bestFit="1" customWidth="1"/>
    <col min="13814" max="13814" width="4.5703125" style="2" customWidth="1"/>
    <col min="13815" max="13815" width="12.42578125" style="2" customWidth="1"/>
    <col min="13816" max="13816" width="32.5703125" style="2" customWidth="1"/>
    <col min="13817" max="13817" width="10.140625" style="2" customWidth="1"/>
    <col min="13818" max="13818" width="9.85546875" style="2" customWidth="1"/>
    <col min="13819" max="13819" width="9.5703125" style="2" customWidth="1"/>
    <col min="13820" max="13821" width="11.42578125" style="2"/>
    <col min="13822" max="13822" width="28" style="2" bestFit="1" customWidth="1"/>
    <col min="13823" max="13823" width="11.42578125" style="2"/>
    <col min="13824" max="13824" width="5.140625" style="2" customWidth="1"/>
    <col min="13825" max="13825" width="8" style="2" customWidth="1"/>
    <col min="13826" max="14068" width="11.42578125" style="2"/>
    <col min="14069" max="14069" width="17.7109375" style="2" bestFit="1" customWidth="1"/>
    <col min="14070" max="14070" width="4.5703125" style="2" customWidth="1"/>
    <col min="14071" max="14071" width="12.42578125" style="2" customWidth="1"/>
    <col min="14072" max="14072" width="32.5703125" style="2" customWidth="1"/>
    <col min="14073" max="14073" width="10.140625" style="2" customWidth="1"/>
    <col min="14074" max="14074" width="9.85546875" style="2" customWidth="1"/>
    <col min="14075" max="14075" width="9.5703125" style="2" customWidth="1"/>
    <col min="14076" max="14077" width="11.42578125" style="2"/>
    <col min="14078" max="14078" width="28" style="2" bestFit="1" customWidth="1"/>
    <col min="14079" max="14079" width="11.42578125" style="2"/>
    <col min="14080" max="14080" width="5.140625" style="2" customWidth="1"/>
    <col min="14081" max="14081" width="8" style="2" customWidth="1"/>
    <col min="14082" max="14324" width="11.42578125" style="2"/>
    <col min="14325" max="14325" width="17.7109375" style="2" bestFit="1" customWidth="1"/>
    <col min="14326" max="14326" width="4.5703125" style="2" customWidth="1"/>
    <col min="14327" max="14327" width="12.42578125" style="2" customWidth="1"/>
    <col min="14328" max="14328" width="32.5703125" style="2" customWidth="1"/>
    <col min="14329" max="14329" width="10.140625" style="2" customWidth="1"/>
    <col min="14330" max="14330" width="9.85546875" style="2" customWidth="1"/>
    <col min="14331" max="14331" width="9.5703125" style="2" customWidth="1"/>
    <col min="14332" max="14333" width="11.42578125" style="2"/>
    <col min="14334" max="14334" width="28" style="2" bestFit="1" customWidth="1"/>
    <col min="14335" max="14335" width="11.42578125" style="2"/>
    <col min="14336" max="14336" width="5.140625" style="2" customWidth="1"/>
    <col min="14337" max="14337" width="8" style="2" customWidth="1"/>
    <col min="14338" max="14580" width="11.42578125" style="2"/>
    <col min="14581" max="14581" width="17.7109375" style="2" bestFit="1" customWidth="1"/>
    <col min="14582" max="14582" width="4.5703125" style="2" customWidth="1"/>
    <col min="14583" max="14583" width="12.42578125" style="2" customWidth="1"/>
    <col min="14584" max="14584" width="32.5703125" style="2" customWidth="1"/>
    <col min="14585" max="14585" width="10.140625" style="2" customWidth="1"/>
    <col min="14586" max="14586" width="9.85546875" style="2" customWidth="1"/>
    <col min="14587" max="14587" width="9.5703125" style="2" customWidth="1"/>
    <col min="14588" max="14589" width="11.42578125" style="2"/>
    <col min="14590" max="14590" width="28" style="2" bestFit="1" customWidth="1"/>
    <col min="14591" max="14591" width="11.42578125" style="2"/>
    <col min="14592" max="14592" width="5.140625" style="2" customWidth="1"/>
    <col min="14593" max="14593" width="8" style="2" customWidth="1"/>
    <col min="14594" max="14836" width="11.42578125" style="2"/>
    <col min="14837" max="14837" width="17.7109375" style="2" bestFit="1" customWidth="1"/>
    <col min="14838" max="14838" width="4.5703125" style="2" customWidth="1"/>
    <col min="14839" max="14839" width="12.42578125" style="2" customWidth="1"/>
    <col min="14840" max="14840" width="32.5703125" style="2" customWidth="1"/>
    <col min="14841" max="14841" width="10.140625" style="2" customWidth="1"/>
    <col min="14842" max="14842" width="9.85546875" style="2" customWidth="1"/>
    <col min="14843" max="14843" width="9.5703125" style="2" customWidth="1"/>
    <col min="14844" max="14845" width="11.42578125" style="2"/>
    <col min="14846" max="14846" width="28" style="2" bestFit="1" customWidth="1"/>
    <col min="14847" max="14847" width="11.42578125" style="2"/>
    <col min="14848" max="14848" width="5.140625" style="2" customWidth="1"/>
    <col min="14849" max="14849" width="8" style="2" customWidth="1"/>
    <col min="14850" max="15092" width="11.42578125" style="2"/>
    <col min="15093" max="15093" width="17.7109375" style="2" bestFit="1" customWidth="1"/>
    <col min="15094" max="15094" width="4.5703125" style="2" customWidth="1"/>
    <col min="15095" max="15095" width="12.42578125" style="2" customWidth="1"/>
    <col min="15096" max="15096" width="32.5703125" style="2" customWidth="1"/>
    <col min="15097" max="15097" width="10.140625" style="2" customWidth="1"/>
    <col min="15098" max="15098" width="9.85546875" style="2" customWidth="1"/>
    <col min="15099" max="15099" width="9.5703125" style="2" customWidth="1"/>
    <col min="15100" max="15101" width="11.42578125" style="2"/>
    <col min="15102" max="15102" width="28" style="2" bestFit="1" customWidth="1"/>
    <col min="15103" max="15103" width="11.42578125" style="2"/>
    <col min="15104" max="15104" width="5.140625" style="2" customWidth="1"/>
    <col min="15105" max="15105" width="8" style="2" customWidth="1"/>
    <col min="15106" max="15348" width="11.42578125" style="2"/>
    <col min="15349" max="15349" width="17.7109375" style="2" bestFit="1" customWidth="1"/>
    <col min="15350" max="15350" width="4.5703125" style="2" customWidth="1"/>
    <col min="15351" max="15351" width="12.42578125" style="2" customWidth="1"/>
    <col min="15352" max="15352" width="32.5703125" style="2" customWidth="1"/>
    <col min="15353" max="15353" width="10.140625" style="2" customWidth="1"/>
    <col min="15354" max="15354" width="9.85546875" style="2" customWidth="1"/>
    <col min="15355" max="15355" width="9.5703125" style="2" customWidth="1"/>
    <col min="15356" max="15357" width="11.42578125" style="2"/>
    <col min="15358" max="15358" width="28" style="2" bestFit="1" customWidth="1"/>
    <col min="15359" max="15359" width="11.42578125" style="2"/>
    <col min="15360" max="15360" width="5.140625" style="2" customWidth="1"/>
    <col min="15361" max="15361" width="8" style="2" customWidth="1"/>
    <col min="15362" max="15604" width="11.42578125" style="2"/>
    <col min="15605" max="15605" width="17.7109375" style="2" bestFit="1" customWidth="1"/>
    <col min="15606" max="15606" width="4.5703125" style="2" customWidth="1"/>
    <col min="15607" max="15607" width="12.42578125" style="2" customWidth="1"/>
    <col min="15608" max="15608" width="32.5703125" style="2" customWidth="1"/>
    <col min="15609" max="15609" width="10.140625" style="2" customWidth="1"/>
    <col min="15610" max="15610" width="9.85546875" style="2" customWidth="1"/>
    <col min="15611" max="15611" width="9.5703125" style="2" customWidth="1"/>
    <col min="15612" max="15613" width="11.42578125" style="2"/>
    <col min="15614" max="15614" width="28" style="2" bestFit="1" customWidth="1"/>
    <col min="15615" max="15615" width="11.42578125" style="2"/>
    <col min="15616" max="15616" width="5.140625" style="2" customWidth="1"/>
    <col min="15617" max="15617" width="8" style="2" customWidth="1"/>
    <col min="15618" max="15860" width="11.42578125" style="2"/>
    <col min="15861" max="15861" width="17.7109375" style="2" bestFit="1" customWidth="1"/>
    <col min="15862" max="15862" width="4.5703125" style="2" customWidth="1"/>
    <col min="15863" max="15863" width="12.42578125" style="2" customWidth="1"/>
    <col min="15864" max="15864" width="32.5703125" style="2" customWidth="1"/>
    <col min="15865" max="15865" width="10.140625" style="2" customWidth="1"/>
    <col min="15866" max="15866" width="9.85546875" style="2" customWidth="1"/>
    <col min="15867" max="15867" width="9.5703125" style="2" customWidth="1"/>
    <col min="15868" max="15869" width="11.42578125" style="2"/>
    <col min="15870" max="15870" width="28" style="2" bestFit="1" customWidth="1"/>
    <col min="15871" max="15871" width="11.42578125" style="2"/>
    <col min="15872" max="15872" width="5.140625" style="2" customWidth="1"/>
    <col min="15873" max="15873" width="8" style="2" customWidth="1"/>
    <col min="15874" max="16116" width="11.42578125" style="2"/>
    <col min="16117" max="16117" width="17.7109375" style="2" bestFit="1" customWidth="1"/>
    <col min="16118" max="16118" width="4.5703125" style="2" customWidth="1"/>
    <col min="16119" max="16119" width="12.42578125" style="2" customWidth="1"/>
    <col min="16120" max="16120" width="32.5703125" style="2" customWidth="1"/>
    <col min="16121" max="16121" width="10.140625" style="2" customWidth="1"/>
    <col min="16122" max="16122" width="9.85546875" style="2" customWidth="1"/>
    <col min="16123" max="16123" width="9.5703125" style="2" customWidth="1"/>
    <col min="16124" max="16125" width="11.42578125" style="2"/>
    <col min="16126" max="16126" width="28" style="2" bestFit="1" customWidth="1"/>
    <col min="16127" max="16127" width="11.42578125" style="2"/>
    <col min="16128" max="16128" width="5.140625" style="2" customWidth="1"/>
    <col min="16129" max="16129" width="8" style="2" customWidth="1"/>
    <col min="16130" max="16384" width="11.42578125" style="2"/>
  </cols>
  <sheetData>
    <row r="2" spans="1:243" s="72" customFormat="1" ht="12.75" x14ac:dyDescent="0.2">
      <c r="A2" s="57" t="s">
        <v>265</v>
      </c>
      <c r="B2" s="69"/>
      <c r="C2" s="70"/>
      <c r="D2" s="71"/>
      <c r="E2" s="69"/>
      <c r="F2" s="69"/>
    </row>
    <row r="3" spans="1:243" s="72" customFormat="1" ht="12.75" x14ac:dyDescent="0.2">
      <c r="A3" s="57" t="s">
        <v>1724</v>
      </c>
      <c r="B3" s="69"/>
      <c r="C3" s="70"/>
      <c r="D3" s="71"/>
      <c r="E3" s="69"/>
      <c r="F3" s="69"/>
      <c r="O3" s="794" t="s">
        <v>1617</v>
      </c>
      <c r="P3" s="794" t="s">
        <v>1618</v>
      </c>
      <c r="Q3" s="794" t="s">
        <v>1619</v>
      </c>
      <c r="R3" s="794" t="s">
        <v>1620</v>
      </c>
    </row>
    <row r="4" spans="1:243" ht="12.75" x14ac:dyDescent="0.2">
      <c r="A4" s="63"/>
      <c r="O4" s="796" t="s">
        <v>147</v>
      </c>
      <c r="P4" s="797">
        <v>51000200001</v>
      </c>
      <c r="Q4" s="796" t="s">
        <v>460</v>
      </c>
      <c r="R4" s="798">
        <v>110.75</v>
      </c>
    </row>
    <row r="5" spans="1:243" ht="12.75" x14ac:dyDescent="0.2">
      <c r="A5" s="58" t="s">
        <v>185</v>
      </c>
      <c r="B5" s="58" t="s">
        <v>186</v>
      </c>
      <c r="C5" s="67" t="s">
        <v>422</v>
      </c>
      <c r="D5" s="59" t="s">
        <v>72</v>
      </c>
      <c r="E5" s="60" t="s">
        <v>295</v>
      </c>
      <c r="F5" s="58" t="s">
        <v>299</v>
      </c>
      <c r="G5" s="61" t="s">
        <v>300</v>
      </c>
      <c r="H5" s="61" t="s">
        <v>301</v>
      </c>
      <c r="I5" s="62"/>
      <c r="J5" s="62"/>
      <c r="K5" s="62"/>
      <c r="L5" s="62"/>
      <c r="M5" s="62"/>
      <c r="N5" s="62"/>
      <c r="O5" s="796" t="s">
        <v>147</v>
      </c>
      <c r="P5" s="797">
        <v>51000200002</v>
      </c>
      <c r="Q5" s="796" t="s">
        <v>460</v>
      </c>
      <c r="R5" s="798">
        <v>110.75</v>
      </c>
      <c r="S5" s="386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</row>
    <row r="6" spans="1:243" ht="12.75" x14ac:dyDescent="0.2">
      <c r="A6" s="8" t="s">
        <v>111</v>
      </c>
      <c r="B6" s="8" t="s">
        <v>302</v>
      </c>
      <c r="C6" s="79">
        <v>52200000001</v>
      </c>
      <c r="D6" s="74" t="e">
        <f>VLOOKUP(C6,#REF!,2,FALSE)</f>
        <v>#REF!</v>
      </c>
      <c r="E6" s="326">
        <f t="shared" ref="E6:E14" si="0">SUMIFS($R$4:$R$41,$P$4:$P$41,C6,$Q$4:$Q$41,F6)</f>
        <v>128.65</v>
      </c>
      <c r="F6" s="62" t="s">
        <v>460</v>
      </c>
      <c r="G6" s="8">
        <v>13332</v>
      </c>
      <c r="H6" s="8" t="s">
        <v>302</v>
      </c>
      <c r="I6" s="62" t="s">
        <v>193</v>
      </c>
      <c r="J6" s="62" t="s">
        <v>195</v>
      </c>
      <c r="K6" s="62"/>
      <c r="L6" s="62"/>
      <c r="M6" s="62"/>
      <c r="N6" s="62"/>
      <c r="O6" s="796" t="s">
        <v>147</v>
      </c>
      <c r="P6" s="797">
        <v>51220200001</v>
      </c>
      <c r="Q6" s="796" t="s">
        <v>460</v>
      </c>
      <c r="R6" s="798">
        <v>6387.6299999999992</v>
      </c>
      <c r="S6" s="386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</row>
    <row r="7" spans="1:243" ht="12.75" x14ac:dyDescent="0.2">
      <c r="A7" s="8" t="s">
        <v>111</v>
      </c>
      <c r="B7" s="8" t="s">
        <v>302</v>
      </c>
      <c r="C7" s="79">
        <v>51000100001</v>
      </c>
      <c r="D7" s="74" t="e">
        <f>VLOOKUP(C7,#REF!,2,FALSE)</f>
        <v>#REF!</v>
      </c>
      <c r="E7" s="326">
        <f t="shared" si="0"/>
        <v>0</v>
      </c>
      <c r="F7" s="62" t="s">
        <v>460</v>
      </c>
      <c r="G7" s="8">
        <v>13332</v>
      </c>
      <c r="H7" s="8" t="s">
        <v>302</v>
      </c>
      <c r="I7" s="62" t="s">
        <v>193</v>
      </c>
      <c r="J7" s="62" t="s">
        <v>289</v>
      </c>
      <c r="K7" s="62"/>
      <c r="L7" s="62"/>
      <c r="M7" s="62"/>
      <c r="N7" s="62"/>
      <c r="O7" s="796" t="s">
        <v>147</v>
      </c>
      <c r="P7" s="797">
        <v>51220200001</v>
      </c>
      <c r="Q7" s="796" t="s">
        <v>1716</v>
      </c>
      <c r="R7" s="798">
        <v>368.33</v>
      </c>
      <c r="S7" s="386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</row>
    <row r="8" spans="1:243" ht="12.75" x14ac:dyDescent="0.2">
      <c r="A8" s="8" t="s">
        <v>111</v>
      </c>
      <c r="B8" s="8" t="s">
        <v>302</v>
      </c>
      <c r="C8" s="79">
        <v>51000100002</v>
      </c>
      <c r="D8" s="74" t="e">
        <f>VLOOKUP(C8,#REF!,2,FALSE)</f>
        <v>#REF!</v>
      </c>
      <c r="E8" s="326">
        <f t="shared" si="0"/>
        <v>0</v>
      </c>
      <c r="F8" s="62" t="s">
        <v>460</v>
      </c>
      <c r="G8" s="8">
        <v>13332</v>
      </c>
      <c r="H8" s="8" t="s">
        <v>302</v>
      </c>
      <c r="I8" s="62" t="s">
        <v>193</v>
      </c>
      <c r="J8" s="62" t="s">
        <v>289</v>
      </c>
      <c r="K8" s="62"/>
      <c r="L8" s="62"/>
      <c r="M8" s="62"/>
      <c r="N8" s="62"/>
      <c r="O8" s="796" t="s">
        <v>148</v>
      </c>
      <c r="P8" s="797">
        <v>51220200001</v>
      </c>
      <c r="Q8" s="796" t="s">
        <v>460</v>
      </c>
      <c r="R8" s="798">
        <v>3958.08</v>
      </c>
      <c r="S8" s="386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</row>
    <row r="9" spans="1:243" ht="12.75" x14ac:dyDescent="0.2">
      <c r="A9" s="8" t="s">
        <v>111</v>
      </c>
      <c r="B9" s="8" t="s">
        <v>302</v>
      </c>
      <c r="C9" s="79">
        <v>51000100002</v>
      </c>
      <c r="D9" s="74" t="e">
        <f>VLOOKUP(C9,#REF!,2,FALSE)</f>
        <v>#REF!</v>
      </c>
      <c r="E9" s="326">
        <f t="shared" si="0"/>
        <v>0</v>
      </c>
      <c r="F9" s="62" t="s">
        <v>1716</v>
      </c>
      <c r="G9" s="8"/>
      <c r="H9" s="8"/>
      <c r="I9" s="62"/>
      <c r="J9" s="62" t="s">
        <v>289</v>
      </c>
      <c r="K9" s="62"/>
      <c r="L9" s="62"/>
      <c r="M9" s="62"/>
      <c r="N9" s="62"/>
      <c r="O9" s="796" t="s">
        <v>148</v>
      </c>
      <c r="P9" s="797">
        <v>51220200001</v>
      </c>
      <c r="Q9" s="796" t="s">
        <v>1716</v>
      </c>
      <c r="R9" s="798">
        <v>468.33</v>
      </c>
      <c r="S9" s="386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</row>
    <row r="10" spans="1:243" ht="12.75" x14ac:dyDescent="0.2">
      <c r="A10" s="8" t="s">
        <v>111</v>
      </c>
      <c r="B10" s="8" t="s">
        <v>302</v>
      </c>
      <c r="C10" s="79">
        <v>51000200001</v>
      </c>
      <c r="D10" s="74" t="e">
        <f>VLOOKUP(C10,#REF!,2,FALSE)</f>
        <v>#REF!</v>
      </c>
      <c r="E10" s="326">
        <f t="shared" si="0"/>
        <v>110.75</v>
      </c>
      <c r="F10" s="62" t="s">
        <v>460</v>
      </c>
      <c r="G10" s="8">
        <v>13332</v>
      </c>
      <c r="H10" s="8" t="s">
        <v>302</v>
      </c>
      <c r="I10" s="62" t="s">
        <v>193</v>
      </c>
      <c r="J10" s="62" t="s">
        <v>8</v>
      </c>
      <c r="K10" s="62"/>
      <c r="L10" s="62"/>
      <c r="M10" s="62"/>
      <c r="N10" s="72"/>
      <c r="O10" s="796" t="s">
        <v>149</v>
      </c>
      <c r="P10" s="797">
        <v>51220200001</v>
      </c>
      <c r="Q10" s="796" t="s">
        <v>460</v>
      </c>
      <c r="R10" s="798">
        <v>5071.74</v>
      </c>
      <c r="S10" s="386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</row>
    <row r="11" spans="1:243" ht="12.75" x14ac:dyDescent="0.2">
      <c r="A11" s="8" t="s">
        <v>111</v>
      </c>
      <c r="B11" s="8" t="s">
        <v>302</v>
      </c>
      <c r="C11" s="79">
        <v>51000200002</v>
      </c>
      <c r="D11" s="74" t="e">
        <f>VLOOKUP(C11,#REF!,2,FALSE)</f>
        <v>#REF!</v>
      </c>
      <c r="E11" s="326">
        <f t="shared" si="0"/>
        <v>110.75</v>
      </c>
      <c r="F11" s="62" t="s">
        <v>460</v>
      </c>
      <c r="G11" s="8">
        <v>13332</v>
      </c>
      <c r="H11" s="8" t="s">
        <v>302</v>
      </c>
      <c r="I11" s="62" t="s">
        <v>193</v>
      </c>
      <c r="J11" s="62" t="s">
        <v>8</v>
      </c>
      <c r="K11" s="62"/>
      <c r="L11" s="62"/>
      <c r="M11" s="62"/>
      <c r="N11" s="72"/>
      <c r="O11" s="796" t="s">
        <v>149</v>
      </c>
      <c r="P11" s="797">
        <v>51220200001</v>
      </c>
      <c r="Q11" s="796" t="s">
        <v>1716</v>
      </c>
      <c r="R11" s="798">
        <v>393.33</v>
      </c>
      <c r="S11" s="386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</row>
    <row r="12" spans="1:243" ht="12.75" x14ac:dyDescent="0.2">
      <c r="A12" s="8" t="s">
        <v>111</v>
      </c>
      <c r="B12" s="8" t="s">
        <v>302</v>
      </c>
      <c r="C12" s="79">
        <v>51000300001</v>
      </c>
      <c r="D12" s="74" t="e">
        <f>VLOOKUP(C12,#REF!,2,FALSE)</f>
        <v>#REF!</v>
      </c>
      <c r="E12" s="326">
        <f t="shared" si="0"/>
        <v>0</v>
      </c>
      <c r="F12" s="62" t="s">
        <v>460</v>
      </c>
      <c r="G12" s="8">
        <v>13332</v>
      </c>
      <c r="H12" s="8" t="s">
        <v>302</v>
      </c>
      <c r="I12" s="62" t="s">
        <v>193</v>
      </c>
      <c r="J12" s="62" t="s">
        <v>289</v>
      </c>
      <c r="K12" s="62"/>
      <c r="L12" s="62"/>
      <c r="M12" s="62"/>
      <c r="N12" s="72"/>
      <c r="O12" s="796" t="s">
        <v>149</v>
      </c>
      <c r="P12" s="797">
        <v>52200000001</v>
      </c>
      <c r="Q12" s="796" t="s">
        <v>460</v>
      </c>
      <c r="R12" s="186">
        <v>128.65</v>
      </c>
      <c r="S12" s="386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</row>
    <row r="13" spans="1:243" ht="12.75" x14ac:dyDescent="0.2">
      <c r="A13" s="8" t="s">
        <v>111</v>
      </c>
      <c r="B13" s="8" t="s">
        <v>302</v>
      </c>
      <c r="C13" s="79">
        <v>51000300002</v>
      </c>
      <c r="D13" s="74" t="e">
        <f>VLOOKUP(C13,#REF!,2,FALSE)</f>
        <v>#REF!</v>
      </c>
      <c r="E13" s="326">
        <f t="shared" si="0"/>
        <v>0</v>
      </c>
      <c r="F13" s="62" t="s">
        <v>460</v>
      </c>
      <c r="G13" s="8">
        <v>13332</v>
      </c>
      <c r="H13" s="8" t="s">
        <v>302</v>
      </c>
      <c r="I13" s="62" t="s">
        <v>193</v>
      </c>
      <c r="J13" s="62" t="s">
        <v>289</v>
      </c>
      <c r="K13" s="62"/>
      <c r="L13" s="62"/>
      <c r="M13" s="62"/>
      <c r="N13" s="72"/>
      <c r="O13" s="454"/>
      <c r="P13" s="454"/>
      <c r="Q13" s="454"/>
      <c r="R13" s="1005">
        <f>SUM(R4:R12)</f>
        <v>16997.590000000004</v>
      </c>
      <c r="S13" s="795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</row>
    <row r="14" spans="1:243" ht="12.75" x14ac:dyDescent="0.2">
      <c r="A14" s="8" t="s">
        <v>111</v>
      </c>
      <c r="B14" s="8" t="s">
        <v>302</v>
      </c>
      <c r="C14" s="79">
        <v>51220200001</v>
      </c>
      <c r="D14" s="74" t="e">
        <f>VLOOKUP(C14,#REF!,2,FALSE)</f>
        <v>#REF!</v>
      </c>
      <c r="E14" s="326">
        <f t="shared" si="0"/>
        <v>15417.449999999999</v>
      </c>
      <c r="F14" s="62" t="s">
        <v>460</v>
      </c>
      <c r="G14" s="8">
        <v>13332</v>
      </c>
      <c r="H14" s="8" t="s">
        <v>302</v>
      </c>
      <c r="I14" s="62" t="s">
        <v>193</v>
      </c>
      <c r="J14" s="62" t="s">
        <v>290</v>
      </c>
      <c r="K14" s="62"/>
      <c r="L14" s="62"/>
      <c r="M14" s="62"/>
      <c r="N14" s="72"/>
      <c r="O14" s="238"/>
      <c r="P14" s="1121"/>
      <c r="Q14" s="238"/>
      <c r="R14" s="239"/>
      <c r="S14" s="386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</row>
    <row r="15" spans="1:243" ht="12.75" x14ac:dyDescent="0.2">
      <c r="A15" s="65" t="s">
        <v>111</v>
      </c>
      <c r="B15" s="65" t="s">
        <v>302</v>
      </c>
      <c r="C15" s="334">
        <v>41250100001</v>
      </c>
      <c r="D15" s="73" t="e">
        <f>VLOOKUP(C15,#REF!,2,FALSE)</f>
        <v>#REF!</v>
      </c>
      <c r="E15" s="329" t="e">
        <f>-VLOOKUP(C15,#REF!,3,FALSE)</f>
        <v>#REF!</v>
      </c>
      <c r="F15" s="335" t="s">
        <v>460</v>
      </c>
      <c r="G15" s="65">
        <v>13332</v>
      </c>
      <c r="H15" s="65" t="s">
        <v>302</v>
      </c>
      <c r="I15" s="335" t="s">
        <v>193</v>
      </c>
      <c r="J15" s="335" t="s">
        <v>433</v>
      </c>
      <c r="K15" s="62"/>
      <c r="L15" s="62"/>
      <c r="M15" s="62"/>
      <c r="N15" s="72"/>
      <c r="O15" s="238"/>
      <c r="P15" s="1121"/>
      <c r="Q15" s="238"/>
      <c r="R15" s="239"/>
      <c r="S15" s="386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</row>
    <row r="16" spans="1:243" ht="12.75" x14ac:dyDescent="0.2">
      <c r="A16" s="65" t="s">
        <v>111</v>
      </c>
      <c r="B16" s="65" t="s">
        <v>302</v>
      </c>
      <c r="C16" s="334">
        <v>41250100014</v>
      </c>
      <c r="D16" s="73" t="s">
        <v>474</v>
      </c>
      <c r="E16" s="329" t="e">
        <f>-VLOOKUP(C16,#REF!,3,FALSE)</f>
        <v>#REF!</v>
      </c>
      <c r="F16" s="335" t="s">
        <v>460</v>
      </c>
      <c r="G16" s="65">
        <v>13332</v>
      </c>
      <c r="H16" s="65" t="s">
        <v>302</v>
      </c>
      <c r="I16" s="335" t="s">
        <v>193</v>
      </c>
      <c r="J16" s="335" t="s">
        <v>475</v>
      </c>
      <c r="K16" s="62"/>
      <c r="L16" s="62"/>
      <c r="M16" s="62"/>
      <c r="N16" s="72"/>
      <c r="O16" s="238"/>
      <c r="P16" s="1121"/>
      <c r="Q16" s="238"/>
      <c r="R16" s="239"/>
      <c r="S16" s="386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</row>
    <row r="17" spans="1:243" ht="12.75" x14ac:dyDescent="0.2">
      <c r="A17" s="8" t="s">
        <v>111</v>
      </c>
      <c r="B17" s="8" t="s">
        <v>302</v>
      </c>
      <c r="C17" s="79">
        <v>53000100001</v>
      </c>
      <c r="D17" s="74" t="e">
        <f>VLOOKUP(C17,#REF!,2,FALSE)</f>
        <v>#REF!</v>
      </c>
      <c r="E17" s="326">
        <f t="shared" ref="E17:E24" si="1">SUMIFS($R$4:$R$41,$P$4:$P$41,C17,$Q$4:$Q$41,F17)</f>
        <v>0</v>
      </c>
      <c r="F17" s="62" t="s">
        <v>460</v>
      </c>
      <c r="G17" s="8">
        <v>13332</v>
      </c>
      <c r="H17" s="8" t="s">
        <v>302</v>
      </c>
      <c r="I17" s="62" t="s">
        <v>193</v>
      </c>
      <c r="J17" s="62" t="s">
        <v>501</v>
      </c>
      <c r="K17" s="62"/>
      <c r="L17" s="62"/>
      <c r="M17" s="62"/>
      <c r="N17" s="72"/>
      <c r="O17" s="238"/>
      <c r="P17" s="1121"/>
      <c r="Q17" s="238"/>
      <c r="R17" s="239"/>
      <c r="S17" s="386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</row>
    <row r="18" spans="1:243" ht="12.75" x14ac:dyDescent="0.2">
      <c r="A18" s="8" t="s">
        <v>111</v>
      </c>
      <c r="B18" s="8" t="s">
        <v>302</v>
      </c>
      <c r="C18" s="79">
        <v>51220200001</v>
      </c>
      <c r="D18" s="74" t="e">
        <f>VLOOKUP(C18,#REF!,2,FALSE)</f>
        <v>#REF!</v>
      </c>
      <c r="E18" s="326">
        <f t="shared" si="1"/>
        <v>1229.99</v>
      </c>
      <c r="F18" s="62" t="s">
        <v>1716</v>
      </c>
      <c r="G18" s="8">
        <v>13331</v>
      </c>
      <c r="H18" s="8" t="s">
        <v>302</v>
      </c>
      <c r="I18" s="62" t="s">
        <v>193</v>
      </c>
      <c r="J18" s="62" t="s">
        <v>236</v>
      </c>
      <c r="K18" s="62"/>
      <c r="L18" s="62"/>
      <c r="M18" s="62"/>
      <c r="N18" s="72"/>
      <c r="O18" s="238"/>
      <c r="P18" s="1121"/>
      <c r="Q18" s="238"/>
      <c r="R18" s="239"/>
      <c r="S18" s="386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</row>
    <row r="19" spans="1:243" ht="12.75" x14ac:dyDescent="0.2">
      <c r="A19" s="8" t="s">
        <v>111</v>
      </c>
      <c r="B19" s="8" t="s">
        <v>302</v>
      </c>
      <c r="C19" s="66">
        <v>51000000001</v>
      </c>
      <c r="D19" s="1" t="s">
        <v>132</v>
      </c>
      <c r="E19" s="326">
        <f t="shared" si="1"/>
        <v>0</v>
      </c>
      <c r="F19" s="62" t="s">
        <v>56</v>
      </c>
      <c r="G19" s="62">
        <v>13341</v>
      </c>
      <c r="H19" s="62" t="s">
        <v>302</v>
      </c>
      <c r="I19" s="62" t="s">
        <v>193</v>
      </c>
      <c r="J19" s="62" t="s">
        <v>427</v>
      </c>
      <c r="K19" s="62"/>
      <c r="L19" s="62"/>
      <c r="M19" s="62"/>
      <c r="N19" s="72"/>
      <c r="O19" s="238"/>
      <c r="P19" s="1121"/>
      <c r="Q19" s="238"/>
      <c r="R19" s="239"/>
      <c r="S19" s="386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</row>
    <row r="20" spans="1:243" ht="12.75" x14ac:dyDescent="0.2">
      <c r="A20" s="8" t="s">
        <v>111</v>
      </c>
      <c r="B20" s="8" t="s">
        <v>302</v>
      </c>
      <c r="C20" s="79">
        <v>51000000002</v>
      </c>
      <c r="D20" s="74" t="s">
        <v>10</v>
      </c>
      <c r="E20" s="326">
        <f t="shared" si="1"/>
        <v>0</v>
      </c>
      <c r="F20" s="62" t="s">
        <v>56</v>
      </c>
      <c r="G20" s="62">
        <v>13341</v>
      </c>
      <c r="H20" s="62" t="s">
        <v>302</v>
      </c>
      <c r="I20" s="62" t="s">
        <v>193</v>
      </c>
      <c r="J20" s="62" t="s">
        <v>427</v>
      </c>
      <c r="K20" s="62"/>
      <c r="L20" s="62"/>
      <c r="M20" s="62"/>
      <c r="N20" s="72"/>
      <c r="O20" s="238"/>
      <c r="P20" s="1121"/>
      <c r="Q20" s="238"/>
      <c r="R20" s="239"/>
      <c r="S20" s="386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</row>
    <row r="21" spans="1:243" ht="12.75" x14ac:dyDescent="0.2">
      <c r="A21" s="8" t="s">
        <v>111</v>
      </c>
      <c r="B21" s="8" t="s">
        <v>302</v>
      </c>
      <c r="C21" s="79">
        <v>51220200001</v>
      </c>
      <c r="D21" s="74" t="e">
        <f>VLOOKUP(C21,#REF!,2,FALSE)</f>
        <v>#REF!</v>
      </c>
      <c r="E21" s="326">
        <f t="shared" si="1"/>
        <v>0</v>
      </c>
      <c r="F21" s="62" t="s">
        <v>351</v>
      </c>
      <c r="G21" s="62">
        <v>13340</v>
      </c>
      <c r="H21" s="62" t="s">
        <v>302</v>
      </c>
      <c r="I21" s="62" t="s">
        <v>193</v>
      </c>
      <c r="J21" s="62" t="s">
        <v>236</v>
      </c>
      <c r="K21" s="62"/>
      <c r="L21" s="62"/>
      <c r="M21" s="62"/>
      <c r="N21" s="72"/>
      <c r="O21" s="238"/>
      <c r="P21" s="1121"/>
      <c r="Q21" s="238"/>
      <c r="R21" s="239"/>
      <c r="S21" s="386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</row>
    <row r="22" spans="1:243" ht="12.75" x14ac:dyDescent="0.2">
      <c r="A22" s="8" t="s">
        <v>111</v>
      </c>
      <c r="B22" s="8" t="s">
        <v>302</v>
      </c>
      <c r="C22" s="79">
        <v>53000100001</v>
      </c>
      <c r="D22" s="74" t="e">
        <f>VLOOKUP(C22,#REF!,2,FALSE)</f>
        <v>#REF!</v>
      </c>
      <c r="E22" s="326">
        <f t="shared" si="1"/>
        <v>0</v>
      </c>
      <c r="F22" s="62" t="s">
        <v>351</v>
      </c>
      <c r="G22" s="62">
        <v>13340</v>
      </c>
      <c r="H22" s="62" t="s">
        <v>302</v>
      </c>
      <c r="I22" s="62" t="s">
        <v>193</v>
      </c>
      <c r="J22" s="62" t="s">
        <v>426</v>
      </c>
      <c r="K22" s="62"/>
      <c r="L22" s="62"/>
      <c r="M22" s="62"/>
      <c r="N22" s="72"/>
      <c r="O22" s="238"/>
      <c r="P22" s="1121"/>
      <c r="Q22" s="238"/>
      <c r="R22" s="239"/>
      <c r="S22" s="386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</row>
    <row r="23" spans="1:243" ht="12.75" x14ac:dyDescent="0.2">
      <c r="A23" s="8" t="s">
        <v>111</v>
      </c>
      <c r="B23" s="8" t="s">
        <v>302</v>
      </c>
      <c r="C23" s="79">
        <v>51000200001</v>
      </c>
      <c r="D23" s="74" t="s">
        <v>382</v>
      </c>
      <c r="E23" s="326">
        <f t="shared" si="1"/>
        <v>0</v>
      </c>
      <c r="F23" s="62" t="s">
        <v>351</v>
      </c>
      <c r="G23" s="62"/>
      <c r="H23" s="62"/>
      <c r="I23" s="62"/>
      <c r="J23" s="62" t="s">
        <v>8</v>
      </c>
      <c r="K23" s="62"/>
      <c r="L23" s="62"/>
      <c r="M23" s="62"/>
      <c r="N23" s="72"/>
      <c r="O23" s="238"/>
      <c r="P23" s="1121"/>
      <c r="Q23" s="238"/>
      <c r="R23" s="239"/>
      <c r="S23" s="386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</row>
    <row r="24" spans="1:243" ht="12.75" x14ac:dyDescent="0.2">
      <c r="A24" s="8" t="s">
        <v>111</v>
      </c>
      <c r="B24" s="8" t="s">
        <v>302</v>
      </c>
      <c r="C24" s="79">
        <v>51000200002</v>
      </c>
      <c r="D24" s="74" t="s">
        <v>383</v>
      </c>
      <c r="E24" s="326">
        <f t="shared" si="1"/>
        <v>0</v>
      </c>
      <c r="F24" s="62" t="s">
        <v>351</v>
      </c>
      <c r="G24" s="62"/>
      <c r="H24" s="62"/>
      <c r="I24" s="62"/>
      <c r="J24" s="62" t="s">
        <v>8</v>
      </c>
      <c r="K24" s="62"/>
      <c r="L24" s="62"/>
      <c r="M24" s="62"/>
      <c r="N24" s="72"/>
      <c r="O24" s="238"/>
      <c r="P24" s="1121"/>
      <c r="Q24" s="238"/>
      <c r="R24" s="239"/>
      <c r="S24" s="386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</row>
    <row r="25" spans="1:243" ht="12.75" x14ac:dyDescent="0.2">
      <c r="A25" s="65" t="s">
        <v>111</v>
      </c>
      <c r="B25" s="65" t="s">
        <v>302</v>
      </c>
      <c r="C25" s="334">
        <v>41200800002</v>
      </c>
      <c r="D25" s="73" t="s">
        <v>372</v>
      </c>
      <c r="E25" s="329" t="e">
        <f>-VLOOKUP(C25,#REF!,3,FALSE)</f>
        <v>#REF!</v>
      </c>
      <c r="F25" s="335" t="s">
        <v>351</v>
      </c>
      <c r="G25" s="335">
        <v>13340</v>
      </c>
      <c r="H25" s="335" t="s">
        <v>302</v>
      </c>
      <c r="I25" s="335" t="s">
        <v>193</v>
      </c>
      <c r="J25" s="335" t="s">
        <v>435</v>
      </c>
      <c r="K25" s="62"/>
      <c r="L25" s="62"/>
      <c r="M25" s="62"/>
      <c r="N25" s="72"/>
      <c r="O25" s="238"/>
      <c r="P25" s="1121"/>
      <c r="Q25" s="238"/>
      <c r="R25" s="239"/>
      <c r="S25" s="386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</row>
    <row r="26" spans="1:243" ht="12.75" x14ac:dyDescent="0.2">
      <c r="A26" s="8" t="s">
        <v>111</v>
      </c>
      <c r="B26" s="8" t="s">
        <v>302</v>
      </c>
      <c r="C26" s="79">
        <v>51000100002</v>
      </c>
      <c r="D26" s="74" t="e">
        <f>VLOOKUP(C26,#REF!,2,FALSE)</f>
        <v>#REF!</v>
      </c>
      <c r="E26" s="326">
        <f>SUMIFS($R$4:$R$41,$P$4:$P$41,C26,$Q$4:$Q$41,F26)</f>
        <v>0</v>
      </c>
      <c r="F26" s="62" t="s">
        <v>56</v>
      </c>
      <c r="G26" s="62">
        <v>13341</v>
      </c>
      <c r="H26" s="62" t="s">
        <v>302</v>
      </c>
      <c r="I26" s="62" t="s">
        <v>193</v>
      </c>
      <c r="J26" s="62" t="s">
        <v>237</v>
      </c>
      <c r="K26" s="62"/>
      <c r="L26" s="62"/>
      <c r="M26" s="62"/>
      <c r="N26" s="72"/>
      <c r="O26" s="238"/>
      <c r="P26" s="1121"/>
      <c r="Q26" s="238"/>
      <c r="R26" s="239"/>
      <c r="S26" s="386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</row>
    <row r="27" spans="1:243" ht="12.75" x14ac:dyDescent="0.2">
      <c r="A27" s="8" t="s">
        <v>111</v>
      </c>
      <c r="B27" s="8" t="s">
        <v>302</v>
      </c>
      <c r="C27" s="79">
        <v>51000100001</v>
      </c>
      <c r="D27" s="74" t="e">
        <f>VLOOKUP(C27,#REF!,2,FALSE)</f>
        <v>#REF!</v>
      </c>
      <c r="E27" s="326">
        <f>SUMIFS($R$4:$R$41,$P$4:$P$41,C27,$Q$4:$Q$41,F27)</f>
        <v>0</v>
      </c>
      <c r="F27" s="62" t="s">
        <v>56</v>
      </c>
      <c r="G27" s="62">
        <v>13341</v>
      </c>
      <c r="H27" s="62" t="s">
        <v>302</v>
      </c>
      <c r="I27" s="62" t="s">
        <v>193</v>
      </c>
      <c r="J27" s="62" t="s">
        <v>237</v>
      </c>
      <c r="K27" s="62"/>
      <c r="L27" s="62"/>
      <c r="M27" s="62"/>
      <c r="N27" s="72"/>
      <c r="O27" s="238"/>
      <c r="P27" s="1121"/>
      <c r="Q27" s="238"/>
      <c r="R27" s="239"/>
      <c r="S27" s="386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</row>
    <row r="28" spans="1:243" ht="12.75" x14ac:dyDescent="0.2">
      <c r="A28" s="8" t="s">
        <v>111</v>
      </c>
      <c r="B28" s="8" t="s">
        <v>302</v>
      </c>
      <c r="C28" s="79">
        <v>51000100001</v>
      </c>
      <c r="D28" s="74" t="e">
        <f>VLOOKUP(C28,#REF!,2,FALSE)</f>
        <v>#REF!</v>
      </c>
      <c r="E28" s="326">
        <f>SUMIFS($R$4:$R$41,$P$4:$P$41,C28,$Q$4:$Q$41,F28)</f>
        <v>0</v>
      </c>
      <c r="F28" s="62" t="s">
        <v>1716</v>
      </c>
      <c r="G28" s="62"/>
      <c r="H28" s="62"/>
      <c r="I28" s="62"/>
      <c r="J28" s="62" t="s">
        <v>237</v>
      </c>
      <c r="K28" s="62"/>
      <c r="L28" s="62"/>
      <c r="M28" s="62"/>
      <c r="N28" s="72"/>
      <c r="O28" s="238"/>
      <c r="P28" s="1121"/>
      <c r="Q28" s="238"/>
      <c r="R28" s="239"/>
      <c r="S28" s="386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</row>
    <row r="29" spans="1:243" ht="12.75" x14ac:dyDescent="0.2">
      <c r="A29" s="8" t="s">
        <v>111</v>
      </c>
      <c r="B29" s="8" t="s">
        <v>302</v>
      </c>
      <c r="C29" s="79">
        <v>51220200001</v>
      </c>
      <c r="D29" s="74" t="e">
        <f>VLOOKUP(C29,#REF!,2,FALSE)</f>
        <v>#REF!</v>
      </c>
      <c r="E29" s="326">
        <f>SUMIFS($R$4:$R$41,$P$4:$P$41,C29,$Q$4:$Q$41,F29)</f>
        <v>0</v>
      </c>
      <c r="F29" s="62" t="s">
        <v>56</v>
      </c>
      <c r="G29" s="62">
        <v>13341</v>
      </c>
      <c r="H29" s="62" t="s">
        <v>302</v>
      </c>
      <c r="I29" s="62" t="s">
        <v>193</v>
      </c>
      <c r="J29" s="62" t="s">
        <v>236</v>
      </c>
      <c r="K29" s="62"/>
      <c r="L29" s="62"/>
      <c r="M29" s="62"/>
      <c r="N29" s="72"/>
      <c r="O29" s="238"/>
      <c r="P29" s="1121"/>
      <c r="Q29" s="238"/>
      <c r="R29" s="239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</row>
    <row r="30" spans="1:243" ht="12.75" x14ac:dyDescent="0.2">
      <c r="A30" s="8" t="s">
        <v>111</v>
      </c>
      <c r="B30" s="8" t="s">
        <v>302</v>
      </c>
      <c r="C30" s="79">
        <v>53000100001</v>
      </c>
      <c r="D30" s="74" t="e">
        <f>VLOOKUP(C30,#REF!,2,FALSE)</f>
        <v>#REF!</v>
      </c>
      <c r="E30" s="326">
        <f>SUMIFS($R$4:$R$41,$P$4:$P$41,C30,$Q$4:$Q$41,F30)</f>
        <v>0</v>
      </c>
      <c r="F30" s="62" t="s">
        <v>56</v>
      </c>
      <c r="G30" s="62">
        <v>13341</v>
      </c>
      <c r="H30" s="62" t="s">
        <v>302</v>
      </c>
      <c r="I30" s="62" t="s">
        <v>193</v>
      </c>
      <c r="J30" s="62" t="s">
        <v>237</v>
      </c>
      <c r="K30" s="62"/>
      <c r="L30" s="62"/>
      <c r="M30" s="62"/>
      <c r="N30" s="72"/>
      <c r="O30" s="238"/>
      <c r="P30" s="1121"/>
      <c r="Q30" s="238"/>
      <c r="R30" s="239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</row>
    <row r="31" spans="1:243" ht="12.75" x14ac:dyDescent="0.2">
      <c r="A31" s="65" t="s">
        <v>111</v>
      </c>
      <c r="B31" s="65" t="s">
        <v>302</v>
      </c>
      <c r="C31" s="334">
        <v>41230100001</v>
      </c>
      <c r="D31" s="73" t="s">
        <v>471</v>
      </c>
      <c r="E31" s="329" t="e">
        <f>-VLOOKUP(C31,#REF!,3,FALSE)</f>
        <v>#REF!</v>
      </c>
      <c r="F31" s="335" t="s">
        <v>351</v>
      </c>
      <c r="G31" s="335">
        <v>13340</v>
      </c>
      <c r="H31" s="335" t="s">
        <v>302</v>
      </c>
      <c r="I31" s="335" t="s">
        <v>193</v>
      </c>
      <c r="J31" s="73" t="s">
        <v>473</v>
      </c>
      <c r="K31" s="62"/>
      <c r="N31" s="72"/>
      <c r="O31" s="238"/>
      <c r="P31" s="1121"/>
      <c r="Q31" s="238"/>
      <c r="R31" s="239"/>
    </row>
    <row r="32" spans="1:243" ht="12.75" x14ac:dyDescent="0.2">
      <c r="A32" s="65" t="s">
        <v>111</v>
      </c>
      <c r="B32" s="65" t="s">
        <v>302</v>
      </c>
      <c r="C32" s="334">
        <v>41230300001</v>
      </c>
      <c r="D32" s="73" t="s">
        <v>472</v>
      </c>
      <c r="E32" s="329" t="e">
        <f>-VLOOKUP(C32,#REF!,3,FALSE)</f>
        <v>#REF!</v>
      </c>
      <c r="F32" s="335" t="s">
        <v>351</v>
      </c>
      <c r="G32" s="335">
        <v>13340</v>
      </c>
      <c r="H32" s="335" t="s">
        <v>302</v>
      </c>
      <c r="I32" s="335" t="s">
        <v>193</v>
      </c>
      <c r="J32" s="73" t="s">
        <v>473</v>
      </c>
      <c r="K32" s="62"/>
      <c r="N32" s="72"/>
      <c r="O32" s="238"/>
      <c r="P32" s="1121"/>
      <c r="Q32" s="238"/>
      <c r="R32" s="239"/>
    </row>
    <row r="33" spans="1:18" ht="12.75" x14ac:dyDescent="0.2">
      <c r="A33" s="8" t="s">
        <v>111</v>
      </c>
      <c r="B33" s="8" t="s">
        <v>302</v>
      </c>
      <c r="C33" s="79">
        <v>51000000001</v>
      </c>
      <c r="D33" s="74" t="s">
        <v>132</v>
      </c>
      <c r="E33" s="326">
        <f>SUMIFS($R$4:$R$41,$P$4:$P$41,C33,$Q$4:$Q$41,F33)</f>
        <v>0</v>
      </c>
      <c r="F33" s="62" t="s">
        <v>460</v>
      </c>
      <c r="G33" s="62"/>
      <c r="H33" s="62"/>
      <c r="I33" s="62"/>
      <c r="J33" s="74" t="s">
        <v>499</v>
      </c>
      <c r="K33" s="62"/>
      <c r="N33" s="72"/>
      <c r="O33" s="238"/>
      <c r="P33" s="1121"/>
      <c r="Q33" s="238"/>
      <c r="R33" s="239"/>
    </row>
    <row r="34" spans="1:18" ht="12.75" x14ac:dyDescent="0.2">
      <c r="A34" s="8" t="s">
        <v>111</v>
      </c>
      <c r="B34" s="8" t="s">
        <v>302</v>
      </c>
      <c r="C34" s="79">
        <v>51000000002</v>
      </c>
      <c r="D34" s="74" t="s">
        <v>10</v>
      </c>
      <c r="E34" s="326">
        <f>SUMIFS($R$4:$R$41,$P$4:$P$41,C34,$Q$4:$Q$41,F34)</f>
        <v>0</v>
      </c>
      <c r="F34" s="62" t="s">
        <v>460</v>
      </c>
      <c r="G34" s="62"/>
      <c r="H34" s="62"/>
      <c r="I34" s="62"/>
      <c r="J34" s="74" t="s">
        <v>499</v>
      </c>
      <c r="K34" s="62"/>
      <c r="N34" s="72"/>
      <c r="O34" s="238"/>
      <c r="P34" s="1121"/>
      <c r="Q34" s="238"/>
      <c r="R34" s="239"/>
    </row>
    <row r="35" spans="1:18" ht="12.75" x14ac:dyDescent="0.2">
      <c r="E35" s="110" t="e">
        <f>SUM(E6:E34)</f>
        <v>#REF!</v>
      </c>
      <c r="N35" s="72"/>
      <c r="O35" s="238"/>
      <c r="P35" s="1121"/>
      <c r="Q35" s="238"/>
      <c r="R35" s="239"/>
    </row>
    <row r="36" spans="1:18" ht="12.75" x14ac:dyDescent="0.2">
      <c r="N36" s="72"/>
      <c r="O36" s="238"/>
      <c r="P36" s="1121"/>
      <c r="Q36" s="238"/>
      <c r="R36" s="239"/>
    </row>
    <row r="37" spans="1:18" ht="12.75" x14ac:dyDescent="0.2">
      <c r="E37" s="153">
        <f>R13</f>
        <v>16997.590000000004</v>
      </c>
      <c r="F37" s="64" t="s">
        <v>491</v>
      </c>
      <c r="J37" s="156"/>
      <c r="N37" s="72"/>
      <c r="O37" s="238"/>
      <c r="P37" s="1121"/>
      <c r="Q37" s="238"/>
      <c r="R37" s="239"/>
    </row>
    <row r="38" spans="1:18" ht="15" x14ac:dyDescent="0.35">
      <c r="E38" s="160" t="e">
        <f>E15+E16+E25+E31+E32</f>
        <v>#REF!</v>
      </c>
      <c r="F38" s="64" t="s">
        <v>492</v>
      </c>
      <c r="N38" s="72"/>
      <c r="O38" s="238"/>
      <c r="P38" s="1121"/>
      <c r="Q38" s="238"/>
      <c r="R38" s="239"/>
    </row>
    <row r="39" spans="1:18" ht="12.75" x14ac:dyDescent="0.2">
      <c r="E39" s="153" t="e">
        <f>E37+E38</f>
        <v>#REF!</v>
      </c>
      <c r="F39" s="64" t="s">
        <v>493</v>
      </c>
      <c r="N39" s="72"/>
      <c r="O39" s="238"/>
      <c r="P39" s="1121"/>
      <c r="Q39" s="238"/>
      <c r="R39" s="239"/>
    </row>
    <row r="40" spans="1:18" ht="12.75" x14ac:dyDescent="0.2">
      <c r="N40" s="72"/>
      <c r="O40" s="238"/>
      <c r="P40" s="1121"/>
      <c r="Q40" s="238"/>
      <c r="R40" s="239"/>
    </row>
    <row r="41" spans="1:18" ht="12.75" x14ac:dyDescent="0.2">
      <c r="E41" s="179" t="e">
        <f>E35-E39</f>
        <v>#REF!</v>
      </c>
      <c r="N41" s="72"/>
      <c r="O41" s="238"/>
      <c r="P41" s="1121"/>
      <c r="Q41" s="238"/>
      <c r="R41" s="239"/>
    </row>
    <row r="42" spans="1:18" ht="12.75" x14ac:dyDescent="0.2">
      <c r="N42" s="72"/>
      <c r="O42" s="450"/>
      <c r="P42" s="453"/>
      <c r="Q42" s="450"/>
    </row>
    <row r="43" spans="1:18" ht="12.75" x14ac:dyDescent="0.2">
      <c r="E43" s="440"/>
      <c r="N43" s="72"/>
    </row>
    <row r="44" spans="1:18" ht="12.75" x14ac:dyDescent="0.2">
      <c r="N44" s="72"/>
    </row>
    <row r="45" spans="1:18" ht="12.75" x14ac:dyDescent="0.2">
      <c r="N45" s="72"/>
    </row>
    <row r="46" spans="1:18" ht="12.75" x14ac:dyDescent="0.2">
      <c r="E46" s="327"/>
      <c r="N46" s="72"/>
    </row>
    <row r="47" spans="1:18" ht="12.75" x14ac:dyDescent="0.2">
      <c r="E47" s="327"/>
      <c r="N47" s="72"/>
    </row>
    <row r="48" spans="1:18" ht="12.75" x14ac:dyDescent="0.2">
      <c r="E48" s="327"/>
      <c r="J48" s="441"/>
      <c r="N48" s="72"/>
    </row>
    <row r="49" spans="5:18" ht="12.75" x14ac:dyDescent="0.2">
      <c r="E49" s="327"/>
      <c r="N49" s="72"/>
    </row>
    <row r="50" spans="5:18" ht="12.75" x14ac:dyDescent="0.2">
      <c r="E50" s="327"/>
      <c r="N50" s="72"/>
    </row>
    <row r="51" spans="5:18" ht="12.75" x14ac:dyDescent="0.2">
      <c r="E51" s="327"/>
      <c r="N51" s="72"/>
    </row>
    <row r="52" spans="5:18" ht="12.75" x14ac:dyDescent="0.2">
      <c r="E52" s="327"/>
      <c r="N52" s="72"/>
    </row>
    <row r="53" spans="5:18" ht="12.75" x14ac:dyDescent="0.2">
      <c r="E53" s="328"/>
      <c r="N53" s="72"/>
    </row>
    <row r="54" spans="5:18" ht="12.75" x14ac:dyDescent="0.2">
      <c r="N54" s="72"/>
      <c r="O54" s="454"/>
      <c r="P54" s="454"/>
      <c r="Q54" s="454"/>
      <c r="R54" s="454"/>
    </row>
    <row r="55" spans="5:18" ht="12.75" x14ac:dyDescent="0.2">
      <c r="N55" s="72"/>
      <c r="O55" s="450"/>
      <c r="P55" s="453"/>
      <c r="Q55" s="453"/>
      <c r="R55" s="453"/>
    </row>
    <row r="56" spans="5:18" ht="12.75" x14ac:dyDescent="0.2">
      <c r="N56" s="72"/>
      <c r="O56" s="450"/>
      <c r="P56" s="453"/>
      <c r="Q56" s="453"/>
      <c r="R56" s="453"/>
    </row>
    <row r="57" spans="5:18" ht="12.75" x14ac:dyDescent="0.2">
      <c r="N57" s="72"/>
      <c r="O57" s="454"/>
      <c r="P57" s="451"/>
      <c r="Q57" s="450"/>
      <c r="R57" s="452"/>
    </row>
    <row r="58" spans="5:18" ht="12.75" x14ac:dyDescent="0.2">
      <c r="N58" s="72"/>
      <c r="O58" s="453"/>
      <c r="P58" s="455"/>
      <c r="Q58" s="455"/>
      <c r="R58" s="456"/>
    </row>
    <row r="59" spans="5:18" ht="12.75" x14ac:dyDescent="0.2">
      <c r="N59" s="72"/>
      <c r="O59" s="72"/>
    </row>
    <row r="60" spans="5:18" ht="12.75" x14ac:dyDescent="0.2">
      <c r="N60" s="72"/>
    </row>
    <row r="68" spans="15:18" ht="12.75" x14ac:dyDescent="0.2">
      <c r="O68" s="72"/>
      <c r="P68" s="72"/>
      <c r="Q68" s="72"/>
      <c r="R68" s="72"/>
    </row>
    <row r="69" spans="15:18" ht="12.75" x14ac:dyDescent="0.2">
      <c r="O69" s="72"/>
      <c r="P69" s="72"/>
      <c r="Q69" s="72"/>
      <c r="R69" s="72"/>
    </row>
    <row r="70" spans="15:18" ht="12.75" x14ac:dyDescent="0.2">
      <c r="O70" s="72"/>
      <c r="P70" s="72"/>
      <c r="Q70" s="72"/>
      <c r="R70" s="72"/>
    </row>
    <row r="71" spans="15:18" ht="12.75" x14ac:dyDescent="0.2">
      <c r="O71" s="72"/>
      <c r="P71" s="72"/>
      <c r="Q71" s="72"/>
      <c r="R71" s="72"/>
    </row>
    <row r="72" spans="15:18" ht="12.75" x14ac:dyDescent="0.2">
      <c r="O72" s="72"/>
      <c r="P72" s="72"/>
      <c r="Q72" s="72"/>
      <c r="R72" s="72"/>
    </row>
    <row r="73" spans="15:18" ht="12.75" x14ac:dyDescent="0.2">
      <c r="O73" s="72"/>
      <c r="P73" s="72"/>
      <c r="Q73" s="72"/>
      <c r="R73" s="72"/>
    </row>
    <row r="74" spans="15:18" ht="12.75" x14ac:dyDescent="0.2">
      <c r="O74" s="72"/>
      <c r="P74" s="72"/>
      <c r="Q74" s="72"/>
      <c r="R74" s="72"/>
    </row>
    <row r="75" spans="15:18" ht="12.75" x14ac:dyDescent="0.2">
      <c r="O75" s="72"/>
      <c r="P75" s="72"/>
      <c r="Q75" s="72"/>
      <c r="R75" s="72"/>
    </row>
    <row r="76" spans="15:18" ht="12.75" x14ac:dyDescent="0.2">
      <c r="O76" s="72"/>
      <c r="P76" s="72"/>
      <c r="Q76" s="72"/>
      <c r="R76" s="72"/>
    </row>
    <row r="77" spans="15:18" ht="12.75" x14ac:dyDescent="0.2">
      <c r="O77" s="72"/>
      <c r="P77" s="72"/>
      <c r="Q77" s="72"/>
      <c r="R77" s="72"/>
    </row>
    <row r="78" spans="15:18" ht="12.75" x14ac:dyDescent="0.2">
      <c r="O78" s="72"/>
      <c r="P78" s="72"/>
      <c r="Q78" s="72"/>
      <c r="R78" s="72"/>
    </row>
    <row r="81" spans="19:20" x14ac:dyDescent="0.2">
      <c r="S81" s="172"/>
      <c r="T81" s="172"/>
    </row>
  </sheetData>
  <autoFilter ref="A5:F35"/>
  <phoneticPr fontId="195" type="noConversion"/>
  <pageMargins left="0.75" right="0.75" top="1" bottom="1" header="0" footer="0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fitToPage="1"/>
  </sheetPr>
  <dimension ref="A1:AF1613"/>
  <sheetViews>
    <sheetView showGridLines="0" topLeftCell="A1474" zoomScale="70" zoomScaleNormal="70" workbookViewId="0">
      <pane ySplit="5" topLeftCell="A1571" activePane="bottomLeft" state="frozen"/>
      <selection activeCell="E45" sqref="E45"/>
      <selection pane="bottomLeft" activeCell="E45" sqref="E45"/>
    </sheetView>
  </sheetViews>
  <sheetFormatPr baseColWidth="10" defaultColWidth="12" defaultRowHeight="12.75" x14ac:dyDescent="0.2"/>
  <cols>
    <col min="1" max="1" width="4.85546875" style="95" customWidth="1"/>
    <col min="2" max="2" width="12" style="95" customWidth="1"/>
    <col min="3" max="3" width="9.140625" style="105" customWidth="1"/>
    <col min="4" max="4" width="12" style="105" customWidth="1"/>
    <col min="5" max="5" width="47.7109375" style="95" customWidth="1"/>
    <col min="6" max="6" width="11.7109375" style="95" customWidth="1"/>
    <col min="7" max="7" width="4.85546875" style="95" hidden="1" customWidth="1"/>
    <col min="8" max="8" width="5.140625" style="95" hidden="1" customWidth="1"/>
    <col min="9" max="9" width="5.85546875" style="95" hidden="1" customWidth="1"/>
    <col min="10" max="10" width="16.42578125" style="95" customWidth="1"/>
    <col min="11" max="11" width="16.7109375" style="95" customWidth="1"/>
    <col min="12" max="12" width="17.28515625" style="95" customWidth="1"/>
    <col min="13" max="13" width="15.85546875" style="96" customWidth="1"/>
    <col min="14" max="14" width="7.7109375" style="96" customWidth="1"/>
    <col min="15" max="15" width="10.42578125" style="96" customWidth="1"/>
    <col min="16" max="16" width="13.7109375" style="96" bestFit="1" customWidth="1"/>
    <col min="17" max="17" width="56.28515625" style="97" customWidth="1"/>
    <col min="18" max="18" width="13.28515625" style="97" customWidth="1"/>
    <col min="19" max="19" width="2.5703125" style="97" customWidth="1"/>
    <col min="20" max="20" width="13.7109375" style="97" bestFit="1" customWidth="1"/>
    <col min="21" max="22" width="12" style="97"/>
    <col min="23" max="23" width="16" style="97" customWidth="1"/>
    <col min="24" max="24" width="18.5703125" style="97" customWidth="1"/>
    <col min="25" max="25" width="20.42578125" style="97" bestFit="1" customWidth="1"/>
    <col min="26" max="26" width="16" style="97" customWidth="1"/>
    <col min="27" max="27" width="12" style="97"/>
    <col min="28" max="28" width="16.5703125" style="97" customWidth="1"/>
    <col min="29" max="16384" width="12" style="97"/>
  </cols>
  <sheetData>
    <row r="1" spans="2:26" ht="12.75" customHeight="1" x14ac:dyDescent="0.2">
      <c r="C1" s="95"/>
      <c r="D1" s="95"/>
    </row>
    <row r="2" spans="2:26" x14ac:dyDescent="0.2">
      <c r="B2" s="98" t="s">
        <v>355</v>
      </c>
      <c r="C2" s="95"/>
      <c r="D2" s="95"/>
      <c r="E2" s="99"/>
      <c r="F2" s="100"/>
    </row>
    <row r="3" spans="2:26" x14ac:dyDescent="0.2">
      <c r="B3" s="101" t="s">
        <v>252</v>
      </c>
      <c r="C3" s="95"/>
      <c r="D3" s="95"/>
      <c r="E3" s="101"/>
      <c r="F3" s="100"/>
      <c r="T3" s="159" t="s">
        <v>487</v>
      </c>
      <c r="U3" s="159" t="s">
        <v>488</v>
      </c>
    </row>
    <row r="4" spans="2:26" x14ac:dyDescent="0.2">
      <c r="B4" s="102" t="s">
        <v>253</v>
      </c>
      <c r="C4" s="95"/>
      <c r="D4" s="95"/>
      <c r="E4" s="99"/>
      <c r="F4" s="103"/>
      <c r="T4" s="97">
        <v>628352</v>
      </c>
      <c r="U4" s="97" t="s">
        <v>489</v>
      </c>
    </row>
    <row r="5" spans="2:26" x14ac:dyDescent="0.2">
      <c r="B5" s="102" t="s">
        <v>356</v>
      </c>
      <c r="C5" s="95"/>
      <c r="D5" s="95"/>
      <c r="E5" s="99"/>
      <c r="F5" s="100"/>
      <c r="T5" s="97">
        <v>1378139</v>
      </c>
      <c r="U5" s="97" t="s">
        <v>486</v>
      </c>
    </row>
    <row r="6" spans="2:26" x14ac:dyDescent="0.2">
      <c r="B6" s="104"/>
      <c r="C6" s="95"/>
      <c r="D6" s="95"/>
      <c r="E6" s="99"/>
      <c r="F6" s="100"/>
      <c r="T6" s="97">
        <v>13185646</v>
      </c>
      <c r="U6" s="97" t="s">
        <v>490</v>
      </c>
    </row>
    <row r="7" spans="2:26" ht="18" x14ac:dyDescent="0.25">
      <c r="B7" s="113" t="s">
        <v>458</v>
      </c>
      <c r="C7" s="114"/>
      <c r="D7" s="115"/>
      <c r="E7" s="116" t="s">
        <v>147</v>
      </c>
      <c r="F7" s="117" t="s">
        <v>179</v>
      </c>
      <c r="G7" s="118">
        <v>2017</v>
      </c>
      <c r="H7" s="119" t="s">
        <v>41</v>
      </c>
      <c r="I7" s="119"/>
      <c r="J7" s="114"/>
      <c r="K7" s="114"/>
      <c r="L7" s="114"/>
      <c r="T7" s="97">
        <v>62294</v>
      </c>
      <c r="U7" s="97" t="s">
        <v>2</v>
      </c>
    </row>
    <row r="8" spans="2:26" x14ac:dyDescent="0.2">
      <c r="B8" s="120" t="s">
        <v>42</v>
      </c>
      <c r="C8" s="114"/>
      <c r="D8" s="114"/>
      <c r="E8" s="121"/>
      <c r="F8" s="122"/>
      <c r="G8" s="114"/>
      <c r="H8" s="123"/>
      <c r="I8" s="123"/>
      <c r="J8" s="114"/>
      <c r="K8" s="114"/>
      <c r="L8" s="114"/>
    </row>
    <row r="9" spans="2:26" x14ac:dyDescent="0.2"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2:26" x14ac:dyDescent="0.2">
      <c r="B11" s="125"/>
      <c r="C11" s="126" t="s">
        <v>255</v>
      </c>
      <c r="D11" s="127" t="s">
        <v>43</v>
      </c>
      <c r="E11" s="127"/>
      <c r="F11" s="127" t="s">
        <v>135</v>
      </c>
      <c r="G11" s="127"/>
      <c r="H11" s="128" t="s">
        <v>136</v>
      </c>
      <c r="I11" s="129"/>
      <c r="J11" s="129"/>
      <c r="K11" s="129"/>
      <c r="L11" s="146"/>
    </row>
    <row r="12" spans="2:26" x14ac:dyDescent="0.2">
      <c r="B12" s="130" t="s">
        <v>137</v>
      </c>
      <c r="C12" s="131" t="s">
        <v>138</v>
      </c>
      <c r="D12" s="131" t="s">
        <v>258</v>
      </c>
      <c r="E12" s="131" t="s">
        <v>139</v>
      </c>
      <c r="F12" s="131" t="s">
        <v>259</v>
      </c>
      <c r="G12" s="131" t="s">
        <v>140</v>
      </c>
      <c r="H12" s="132" t="s">
        <v>94</v>
      </c>
      <c r="I12" s="129"/>
      <c r="J12" s="132" t="s">
        <v>141</v>
      </c>
      <c r="K12" s="129"/>
      <c r="L12" s="147" t="s">
        <v>325</v>
      </c>
    </row>
    <row r="13" spans="2:26" x14ac:dyDescent="0.2">
      <c r="B13" s="133"/>
      <c r="C13" s="134"/>
      <c r="D13" s="134"/>
      <c r="E13" s="133"/>
      <c r="F13" s="133"/>
      <c r="G13" s="133"/>
      <c r="H13" s="135" t="s">
        <v>326</v>
      </c>
      <c r="I13" s="136" t="s">
        <v>327</v>
      </c>
      <c r="J13" s="148" t="s">
        <v>328</v>
      </c>
      <c r="K13" s="148" t="s">
        <v>89</v>
      </c>
      <c r="L13" s="149" t="s">
        <v>94</v>
      </c>
    </row>
    <row r="14" spans="2:26" x14ac:dyDescent="0.2">
      <c r="B14" s="137"/>
      <c r="C14" s="138"/>
      <c r="D14" s="138"/>
      <c r="E14" s="139"/>
      <c r="F14" s="140"/>
      <c r="G14" s="107"/>
      <c r="H14" s="108"/>
      <c r="I14" s="108"/>
      <c r="J14" s="108"/>
      <c r="K14" s="108"/>
      <c r="L14" s="108"/>
      <c r="O14" s="170" t="s">
        <v>480</v>
      </c>
      <c r="P14" s="170"/>
      <c r="Q14" s="170"/>
      <c r="R14" s="170"/>
      <c r="U14" s="106" t="s">
        <v>465</v>
      </c>
      <c r="Y14" s="97" t="s">
        <v>479</v>
      </c>
      <c r="Z14" s="97" t="s">
        <v>340</v>
      </c>
    </row>
    <row r="15" spans="2:26" x14ac:dyDescent="0.2">
      <c r="B15" s="141">
        <v>43110</v>
      </c>
      <c r="C15" s="138" t="s">
        <v>505</v>
      </c>
      <c r="D15" s="138" t="s">
        <v>459</v>
      </c>
      <c r="E15" s="142" t="s">
        <v>496</v>
      </c>
      <c r="F15" s="142" t="s">
        <v>497</v>
      </c>
      <c r="G15" s="107"/>
      <c r="H15" s="108"/>
      <c r="I15" s="108"/>
      <c r="J15" s="108">
        <v>304.35000000000002</v>
      </c>
      <c r="K15" s="143">
        <v>39.57</v>
      </c>
      <c r="L15" s="108">
        <v>343.92</v>
      </c>
      <c r="M15" s="97">
        <v>51220200001</v>
      </c>
      <c r="O15" s="152" t="s">
        <v>147</v>
      </c>
      <c r="P15" s="78">
        <v>51000000001</v>
      </c>
      <c r="Q15" s="142" t="s">
        <v>460</v>
      </c>
      <c r="R15" s="145">
        <f>SUMIFS($J$15:$J$46,$E$15:$E$46,Q15,$M$15:$M$46,P15)</f>
        <v>18750.09</v>
      </c>
      <c r="T15" s="97">
        <v>51000000001</v>
      </c>
      <c r="U15" s="97" t="s">
        <v>132</v>
      </c>
      <c r="X15" s="109">
        <v>-18750.09</v>
      </c>
      <c r="Y15" s="150">
        <f t="shared" ref="Y15:Y20" si="0">SUMIF($P$15:$P$31,T15,$R$15:$R$31)</f>
        <v>18750.09</v>
      </c>
      <c r="Z15" s="144">
        <f t="shared" ref="Z15:Z20" si="1">X15+Y15</f>
        <v>0</v>
      </c>
    </row>
    <row r="16" spans="2:26" x14ac:dyDescent="0.2">
      <c r="B16" s="141"/>
      <c r="C16" s="138" t="s">
        <v>506</v>
      </c>
      <c r="D16" s="138" t="s">
        <v>459</v>
      </c>
      <c r="E16" s="142" t="s">
        <v>482</v>
      </c>
      <c r="F16" s="142" t="s">
        <v>482</v>
      </c>
      <c r="G16" s="142" t="s">
        <v>482</v>
      </c>
      <c r="H16" s="108"/>
      <c r="I16" s="108"/>
      <c r="J16" s="108">
        <v>0</v>
      </c>
      <c r="K16" s="143">
        <v>0</v>
      </c>
      <c r="L16" s="108">
        <v>0</v>
      </c>
      <c r="M16" s="97"/>
      <c r="O16" s="152" t="s">
        <v>147</v>
      </c>
      <c r="P16" s="78">
        <v>51000000002</v>
      </c>
      <c r="Q16" s="142" t="s">
        <v>460</v>
      </c>
      <c r="R16" s="145">
        <f t="shared" ref="R16:R31" si="2">SUMIFS($J$15:$J$46,$E$15:$E$46,Q16,$M$15:$M$46,P16)</f>
        <v>25000</v>
      </c>
      <c r="T16" s="97">
        <v>51000000002</v>
      </c>
      <c r="U16" s="97" t="s">
        <v>10</v>
      </c>
      <c r="X16" s="109">
        <v>-25000</v>
      </c>
      <c r="Y16" s="150">
        <f t="shared" si="0"/>
        <v>25000</v>
      </c>
      <c r="Z16" s="144">
        <f t="shared" si="1"/>
        <v>0</v>
      </c>
    </row>
    <row r="17" spans="2:26" x14ac:dyDescent="0.2">
      <c r="B17" s="141">
        <v>43110</v>
      </c>
      <c r="C17" s="138" t="s">
        <v>507</v>
      </c>
      <c r="D17" s="138" t="s">
        <v>459</v>
      </c>
      <c r="E17" s="142" t="s">
        <v>460</v>
      </c>
      <c r="F17" s="142" t="s">
        <v>90</v>
      </c>
      <c r="G17" s="107"/>
      <c r="H17" s="108"/>
      <c r="I17" s="108"/>
      <c r="J17" s="108">
        <v>685.61</v>
      </c>
      <c r="K17" s="143">
        <v>89.13</v>
      </c>
      <c r="L17" s="108">
        <v>774.74</v>
      </c>
      <c r="M17" s="97">
        <v>51220200001</v>
      </c>
      <c r="O17" s="152" t="s">
        <v>147</v>
      </c>
      <c r="P17" s="78">
        <v>51000200001</v>
      </c>
      <c r="Q17" s="142" t="s">
        <v>460</v>
      </c>
      <c r="R17" s="145">
        <f t="shared" si="2"/>
        <v>0</v>
      </c>
      <c r="T17" s="97">
        <v>51000300001</v>
      </c>
      <c r="U17" s="97" t="s">
        <v>384</v>
      </c>
      <c r="X17" s="109">
        <v>-12512.45</v>
      </c>
      <c r="Y17" s="150">
        <f t="shared" si="0"/>
        <v>0</v>
      </c>
      <c r="Z17" s="144">
        <f t="shared" si="1"/>
        <v>-12512.45</v>
      </c>
    </row>
    <row r="18" spans="2:26" x14ac:dyDescent="0.2">
      <c r="B18" s="141"/>
      <c r="C18" s="138" t="s">
        <v>508</v>
      </c>
      <c r="D18" s="138" t="s">
        <v>459</v>
      </c>
      <c r="E18" s="142" t="s">
        <v>482</v>
      </c>
      <c r="F18" s="142" t="s">
        <v>482</v>
      </c>
      <c r="G18" s="142" t="s">
        <v>482</v>
      </c>
      <c r="H18" s="108"/>
      <c r="I18" s="108"/>
      <c r="J18" s="108">
        <v>0</v>
      </c>
      <c r="K18" s="143">
        <v>0</v>
      </c>
      <c r="L18" s="108">
        <v>0</v>
      </c>
      <c r="M18" s="97"/>
      <c r="O18" s="152" t="s">
        <v>147</v>
      </c>
      <c r="P18" s="78">
        <v>51000200001</v>
      </c>
      <c r="Q18" s="142" t="s">
        <v>351</v>
      </c>
      <c r="R18" s="145">
        <f t="shared" si="2"/>
        <v>0</v>
      </c>
      <c r="T18" s="97">
        <v>51000300002</v>
      </c>
      <c r="U18" s="97" t="s">
        <v>168</v>
      </c>
      <c r="X18" s="109">
        <v>-6256.21</v>
      </c>
      <c r="Y18" s="150">
        <f t="shared" si="0"/>
        <v>0</v>
      </c>
      <c r="Z18" s="144">
        <f t="shared" si="1"/>
        <v>-6256.21</v>
      </c>
    </row>
    <row r="19" spans="2:26" x14ac:dyDescent="0.2">
      <c r="B19" s="141"/>
      <c r="C19" s="138" t="s">
        <v>509</v>
      </c>
      <c r="D19" s="138" t="s">
        <v>459</v>
      </c>
      <c r="E19" s="142" t="s">
        <v>482</v>
      </c>
      <c r="F19" s="142" t="s">
        <v>482</v>
      </c>
      <c r="G19" s="142" t="s">
        <v>482</v>
      </c>
      <c r="H19" s="108"/>
      <c r="I19" s="108"/>
      <c r="J19" s="108">
        <v>0</v>
      </c>
      <c r="K19" s="143">
        <v>0</v>
      </c>
      <c r="L19" s="108">
        <v>0</v>
      </c>
      <c r="O19" s="152" t="s">
        <v>147</v>
      </c>
      <c r="P19" s="78">
        <v>51000200001</v>
      </c>
      <c r="Q19" s="142" t="s">
        <v>56</v>
      </c>
      <c r="R19" s="145">
        <f t="shared" si="2"/>
        <v>0</v>
      </c>
      <c r="T19" s="97">
        <v>51220200001</v>
      </c>
      <c r="U19" s="97" t="s">
        <v>55</v>
      </c>
      <c r="X19" s="109">
        <v>-1012.15</v>
      </c>
      <c r="Y19" s="150">
        <f t="shared" si="0"/>
        <v>989.96</v>
      </c>
      <c r="Z19" s="144">
        <f t="shared" si="1"/>
        <v>-22.189999999999941</v>
      </c>
    </row>
    <row r="20" spans="2:26" x14ac:dyDescent="0.2">
      <c r="B20" s="141"/>
      <c r="C20" s="138" t="s">
        <v>510</v>
      </c>
      <c r="D20" s="138" t="s">
        <v>459</v>
      </c>
      <c r="E20" s="142" t="s">
        <v>482</v>
      </c>
      <c r="F20" s="142" t="s">
        <v>482</v>
      </c>
      <c r="G20" s="142" t="s">
        <v>482</v>
      </c>
      <c r="H20" s="108"/>
      <c r="I20" s="108"/>
      <c r="J20" s="108">
        <v>0</v>
      </c>
      <c r="K20" s="143">
        <v>0</v>
      </c>
      <c r="L20" s="108">
        <v>0</v>
      </c>
      <c r="O20" s="152" t="s">
        <v>147</v>
      </c>
      <c r="P20" s="78">
        <v>51000200002</v>
      </c>
      <c r="Q20" s="142" t="s">
        <v>460</v>
      </c>
      <c r="R20" s="145">
        <f t="shared" si="2"/>
        <v>0</v>
      </c>
      <c r="T20" s="155">
        <v>52120000003</v>
      </c>
      <c r="U20" s="155" t="s">
        <v>133</v>
      </c>
      <c r="V20" s="155"/>
      <c r="W20" s="155"/>
      <c r="X20" s="154">
        <v>-3484.92</v>
      </c>
      <c r="Y20" s="150">
        <f t="shared" si="0"/>
        <v>0</v>
      </c>
      <c r="Z20" s="144">
        <f t="shared" si="1"/>
        <v>-3484.92</v>
      </c>
    </row>
    <row r="21" spans="2:26" x14ac:dyDescent="0.2">
      <c r="B21" s="141"/>
      <c r="C21" s="138" t="s">
        <v>511</v>
      </c>
      <c r="D21" s="138" t="s">
        <v>459</v>
      </c>
      <c r="E21" s="142" t="s">
        <v>482</v>
      </c>
      <c r="F21" s="142" t="s">
        <v>482</v>
      </c>
      <c r="G21" s="142" t="s">
        <v>482</v>
      </c>
      <c r="H21" s="108"/>
      <c r="I21" s="108"/>
      <c r="J21" s="108">
        <v>0</v>
      </c>
      <c r="K21" s="143">
        <v>0</v>
      </c>
      <c r="L21" s="108">
        <v>0</v>
      </c>
      <c r="O21" s="152" t="s">
        <v>147</v>
      </c>
      <c r="P21" s="78">
        <v>51000200002</v>
      </c>
      <c r="Q21" s="142" t="s">
        <v>351</v>
      </c>
      <c r="R21" s="145">
        <f t="shared" si="2"/>
        <v>0</v>
      </c>
      <c r="X21" s="171"/>
    </row>
    <row r="22" spans="2:26" x14ac:dyDescent="0.2">
      <c r="B22" s="141"/>
      <c r="C22" s="138" t="s">
        <v>512</v>
      </c>
      <c r="D22" s="138" t="s">
        <v>459</v>
      </c>
      <c r="E22" s="142" t="s">
        <v>482</v>
      </c>
      <c r="F22" s="142" t="s">
        <v>482</v>
      </c>
      <c r="G22" s="142" t="s">
        <v>482</v>
      </c>
      <c r="H22" s="108"/>
      <c r="I22" s="108"/>
      <c r="J22" s="108">
        <v>0</v>
      </c>
      <c r="K22" s="143">
        <v>0</v>
      </c>
      <c r="L22" s="108">
        <v>0</v>
      </c>
      <c r="O22" s="152" t="s">
        <v>147</v>
      </c>
      <c r="P22" s="78">
        <v>51000200002</v>
      </c>
      <c r="Q22" s="142" t="s">
        <v>56</v>
      </c>
      <c r="R22" s="145">
        <f t="shared" si="2"/>
        <v>0</v>
      </c>
      <c r="X22" s="158">
        <f>SUM(X15:X21)</f>
        <v>-67015.819999999992</v>
      </c>
      <c r="Y22" s="158">
        <f>SUM(Y15:Y21)</f>
        <v>44740.049999999996</v>
      </c>
      <c r="Z22" s="158">
        <f>SUM(Z15:Z21)</f>
        <v>-22275.769999999997</v>
      </c>
    </row>
    <row r="23" spans="2:26" x14ac:dyDescent="0.2">
      <c r="B23" s="141"/>
      <c r="C23" s="138" t="s">
        <v>513</v>
      </c>
      <c r="D23" s="138" t="s">
        <v>459</v>
      </c>
      <c r="E23" s="142" t="s">
        <v>482</v>
      </c>
      <c r="F23" s="142" t="s">
        <v>482</v>
      </c>
      <c r="G23" s="142" t="s">
        <v>482</v>
      </c>
      <c r="H23" s="108"/>
      <c r="I23" s="108"/>
      <c r="J23" s="108">
        <v>0</v>
      </c>
      <c r="K23" s="143">
        <v>0</v>
      </c>
      <c r="L23" s="108">
        <v>0</v>
      </c>
      <c r="O23" s="152" t="s">
        <v>147</v>
      </c>
      <c r="P23" s="78">
        <v>51220200001</v>
      </c>
      <c r="Q23" s="142" t="s">
        <v>460</v>
      </c>
      <c r="R23" s="145">
        <f t="shared" si="2"/>
        <v>685.61</v>
      </c>
    </row>
    <row r="24" spans="2:26" x14ac:dyDescent="0.2">
      <c r="B24" s="141"/>
      <c r="C24" s="138" t="s">
        <v>514</v>
      </c>
      <c r="D24" s="138" t="s">
        <v>459</v>
      </c>
      <c r="E24" s="142" t="s">
        <v>482</v>
      </c>
      <c r="F24" s="142" t="s">
        <v>482</v>
      </c>
      <c r="G24" s="142" t="s">
        <v>482</v>
      </c>
      <c r="H24" s="108"/>
      <c r="I24" s="108"/>
      <c r="J24" s="108">
        <v>0</v>
      </c>
      <c r="K24" s="143">
        <v>0</v>
      </c>
      <c r="L24" s="108">
        <v>0</v>
      </c>
      <c r="O24" s="152" t="s">
        <v>147</v>
      </c>
      <c r="P24" s="78">
        <v>51220200001</v>
      </c>
      <c r="Q24" s="142" t="s">
        <v>351</v>
      </c>
      <c r="R24" s="145">
        <f t="shared" si="2"/>
        <v>0</v>
      </c>
    </row>
    <row r="25" spans="2:26" x14ac:dyDescent="0.2">
      <c r="B25" s="141"/>
      <c r="C25" s="138" t="s">
        <v>515</v>
      </c>
      <c r="D25" s="138" t="s">
        <v>459</v>
      </c>
      <c r="E25" s="142" t="s">
        <v>482</v>
      </c>
      <c r="F25" s="142" t="s">
        <v>482</v>
      </c>
      <c r="G25" s="142" t="s">
        <v>482</v>
      </c>
      <c r="H25" s="108"/>
      <c r="I25" s="108"/>
      <c r="J25" s="108">
        <v>0</v>
      </c>
      <c r="K25" s="162">
        <v>0</v>
      </c>
      <c r="L25" s="108">
        <v>0</v>
      </c>
      <c r="O25" s="152" t="s">
        <v>147</v>
      </c>
      <c r="P25" s="78">
        <v>51220200001</v>
      </c>
      <c r="Q25" s="142" t="s">
        <v>56</v>
      </c>
      <c r="R25" s="145">
        <f t="shared" si="2"/>
        <v>0</v>
      </c>
    </row>
    <row r="26" spans="2:26" x14ac:dyDescent="0.2">
      <c r="B26" s="141"/>
      <c r="C26" s="138" t="s">
        <v>516</v>
      </c>
      <c r="D26" s="138" t="s">
        <v>459</v>
      </c>
      <c r="E26" s="142" t="s">
        <v>482</v>
      </c>
      <c r="F26" s="142" t="s">
        <v>482</v>
      </c>
      <c r="G26" s="142" t="s">
        <v>482</v>
      </c>
      <c r="H26" s="108"/>
      <c r="I26" s="108"/>
      <c r="J26" s="108">
        <v>0</v>
      </c>
      <c r="K26" s="162">
        <v>0</v>
      </c>
      <c r="L26" s="108">
        <v>0</v>
      </c>
      <c r="O26" s="152" t="s">
        <v>147</v>
      </c>
      <c r="P26" s="78">
        <v>52200000001</v>
      </c>
      <c r="Q26" s="142" t="s">
        <v>460</v>
      </c>
      <c r="R26" s="145">
        <f t="shared" si="2"/>
        <v>0</v>
      </c>
    </row>
    <row r="27" spans="2:26" x14ac:dyDescent="0.2">
      <c r="B27" s="141"/>
      <c r="C27" s="138" t="s">
        <v>517</v>
      </c>
      <c r="D27" s="138" t="s">
        <v>459</v>
      </c>
      <c r="E27" s="142" t="s">
        <v>482</v>
      </c>
      <c r="F27" s="142" t="s">
        <v>482</v>
      </c>
      <c r="G27" s="142" t="s">
        <v>482</v>
      </c>
      <c r="H27" s="108"/>
      <c r="I27" s="108"/>
      <c r="J27" s="108">
        <v>0</v>
      </c>
      <c r="K27" s="162">
        <v>0</v>
      </c>
      <c r="L27" s="108">
        <v>0</v>
      </c>
      <c r="O27" s="152" t="s">
        <v>147</v>
      </c>
      <c r="P27" s="78">
        <v>52200000001</v>
      </c>
      <c r="Q27" s="142" t="s">
        <v>351</v>
      </c>
      <c r="R27" s="145">
        <f t="shared" si="2"/>
        <v>0</v>
      </c>
    </row>
    <row r="28" spans="2:26" x14ac:dyDescent="0.2">
      <c r="B28" s="173">
        <v>43111</v>
      </c>
      <c r="C28" s="174" t="s">
        <v>518</v>
      </c>
      <c r="D28" s="174" t="s">
        <v>459</v>
      </c>
      <c r="E28" s="175" t="s">
        <v>539</v>
      </c>
      <c r="F28" s="175" t="s">
        <v>329</v>
      </c>
      <c r="G28" s="176"/>
      <c r="H28" s="177"/>
      <c r="I28" s="177"/>
      <c r="J28" s="177">
        <v>1321.88</v>
      </c>
      <c r="K28" s="178">
        <v>171.84</v>
      </c>
      <c r="L28" s="177">
        <v>1493.72</v>
      </c>
      <c r="M28" s="155">
        <v>51000300001</v>
      </c>
      <c r="O28" s="152" t="s">
        <v>147</v>
      </c>
      <c r="P28" s="78">
        <v>52200000001</v>
      </c>
      <c r="Q28" s="142" t="s">
        <v>56</v>
      </c>
      <c r="R28" s="145">
        <f t="shared" si="2"/>
        <v>0</v>
      </c>
    </row>
    <row r="29" spans="2:26" x14ac:dyDescent="0.2">
      <c r="B29" s="173">
        <v>43111</v>
      </c>
      <c r="C29" s="174" t="s">
        <v>519</v>
      </c>
      <c r="D29" s="174" t="s">
        <v>459</v>
      </c>
      <c r="E29" s="175" t="s">
        <v>539</v>
      </c>
      <c r="F29" s="175" t="s">
        <v>329</v>
      </c>
      <c r="G29" s="176"/>
      <c r="H29" s="177"/>
      <c r="I29" s="177"/>
      <c r="J29" s="177">
        <v>660.94</v>
      </c>
      <c r="K29" s="178">
        <v>85.92</v>
      </c>
      <c r="L29" s="177">
        <v>746.86</v>
      </c>
      <c r="M29" s="155">
        <v>51000300002</v>
      </c>
      <c r="O29" s="152" t="s">
        <v>147</v>
      </c>
      <c r="P29" s="78">
        <v>52200000001</v>
      </c>
      <c r="Q29" s="142" t="s">
        <v>460</v>
      </c>
      <c r="R29" s="145">
        <f t="shared" si="2"/>
        <v>0</v>
      </c>
    </row>
    <row r="30" spans="2:26" x14ac:dyDescent="0.2">
      <c r="B30" s="173">
        <v>43112</v>
      </c>
      <c r="C30" s="174" t="s">
        <v>520</v>
      </c>
      <c r="D30" s="174" t="s">
        <v>459</v>
      </c>
      <c r="E30" s="175" t="s">
        <v>539</v>
      </c>
      <c r="F30" s="175" t="s">
        <v>329</v>
      </c>
      <c r="G30" s="176"/>
      <c r="H30" s="177"/>
      <c r="I30" s="177"/>
      <c r="J30" s="177">
        <v>3289.06</v>
      </c>
      <c r="K30" s="178">
        <v>427.58</v>
      </c>
      <c r="L30" s="177">
        <v>3716.64</v>
      </c>
      <c r="M30" s="155">
        <v>51000300001</v>
      </c>
      <c r="O30" s="152" t="s">
        <v>147</v>
      </c>
      <c r="P30" s="78">
        <v>51220200001</v>
      </c>
      <c r="Q30" s="142" t="s">
        <v>496</v>
      </c>
      <c r="R30" s="145">
        <f t="shared" si="2"/>
        <v>304.35000000000002</v>
      </c>
    </row>
    <row r="31" spans="2:26" x14ac:dyDescent="0.2">
      <c r="B31" s="173">
        <v>43112</v>
      </c>
      <c r="C31" s="174" t="s">
        <v>521</v>
      </c>
      <c r="D31" s="174" t="s">
        <v>459</v>
      </c>
      <c r="E31" s="175" t="s">
        <v>539</v>
      </c>
      <c r="F31" s="175" t="s">
        <v>329</v>
      </c>
      <c r="G31" s="176"/>
      <c r="H31" s="177"/>
      <c r="I31" s="177"/>
      <c r="J31" s="177">
        <v>1644.53</v>
      </c>
      <c r="K31" s="178">
        <v>213.79</v>
      </c>
      <c r="L31" s="177">
        <v>1858.32</v>
      </c>
      <c r="M31" s="155">
        <v>51000300002</v>
      </c>
      <c r="O31" s="152" t="s">
        <v>147</v>
      </c>
      <c r="P31" s="78">
        <v>53000100001</v>
      </c>
      <c r="Q31" s="142" t="s">
        <v>460</v>
      </c>
      <c r="R31" s="145">
        <f t="shared" si="2"/>
        <v>0</v>
      </c>
    </row>
    <row r="32" spans="2:26" x14ac:dyDescent="0.2">
      <c r="B32" s="173">
        <v>43116</v>
      </c>
      <c r="C32" s="174" t="s">
        <v>522</v>
      </c>
      <c r="D32" s="174" t="s">
        <v>459</v>
      </c>
      <c r="E32" s="175" t="s">
        <v>539</v>
      </c>
      <c r="F32" s="175" t="s">
        <v>329</v>
      </c>
      <c r="G32" s="176"/>
      <c r="H32" s="177"/>
      <c r="I32" s="177"/>
      <c r="J32" s="177">
        <v>1976.25</v>
      </c>
      <c r="K32" s="178">
        <v>256.91000000000003</v>
      </c>
      <c r="L32" s="177">
        <v>2233.16</v>
      </c>
      <c r="M32" s="155">
        <v>51000300001</v>
      </c>
      <c r="O32" s="161"/>
      <c r="R32" s="151">
        <f>SUM(R15:R31)</f>
        <v>44740.049999999996</v>
      </c>
    </row>
    <row r="33" spans="2:13" x14ac:dyDescent="0.2">
      <c r="B33" s="173">
        <v>43116</v>
      </c>
      <c r="C33" s="174" t="s">
        <v>523</v>
      </c>
      <c r="D33" s="174" t="s">
        <v>459</v>
      </c>
      <c r="E33" s="175" t="s">
        <v>539</v>
      </c>
      <c r="F33" s="175" t="s">
        <v>329</v>
      </c>
      <c r="G33" s="176"/>
      <c r="H33" s="177"/>
      <c r="I33" s="177"/>
      <c r="J33" s="177">
        <v>988.12</v>
      </c>
      <c r="K33" s="178">
        <v>128.46</v>
      </c>
      <c r="L33" s="177">
        <v>1116.58</v>
      </c>
      <c r="M33" s="155">
        <v>51000300002</v>
      </c>
    </row>
    <row r="34" spans="2:13" x14ac:dyDescent="0.2">
      <c r="B34" s="173">
        <v>43117</v>
      </c>
      <c r="C34" s="174" t="s">
        <v>524</v>
      </c>
      <c r="D34" s="174" t="s">
        <v>459</v>
      </c>
      <c r="E34" s="175" t="s">
        <v>539</v>
      </c>
      <c r="F34" s="175" t="s">
        <v>329</v>
      </c>
      <c r="G34" s="176"/>
      <c r="H34" s="177"/>
      <c r="I34" s="177"/>
      <c r="J34" s="177">
        <v>5269.01</v>
      </c>
      <c r="K34" s="178">
        <v>684.97</v>
      </c>
      <c r="L34" s="177">
        <v>5953.9800000000005</v>
      </c>
      <c r="M34" s="155">
        <v>51000300001</v>
      </c>
    </row>
    <row r="35" spans="2:13" x14ac:dyDescent="0.2">
      <c r="B35" s="173">
        <v>43117</v>
      </c>
      <c r="C35" s="174" t="s">
        <v>525</v>
      </c>
      <c r="D35" s="174" t="s">
        <v>459</v>
      </c>
      <c r="E35" s="175" t="s">
        <v>539</v>
      </c>
      <c r="F35" s="175" t="s">
        <v>329</v>
      </c>
      <c r="G35" s="176"/>
      <c r="H35" s="177"/>
      <c r="I35" s="177"/>
      <c r="J35" s="177">
        <v>2634.5</v>
      </c>
      <c r="K35" s="178">
        <v>342.49</v>
      </c>
      <c r="L35" s="177">
        <v>2976.99</v>
      </c>
      <c r="M35" s="155">
        <v>51000300002</v>
      </c>
    </row>
    <row r="36" spans="2:13" x14ac:dyDescent="0.2">
      <c r="B36" s="141"/>
      <c r="C36" s="138" t="s">
        <v>526</v>
      </c>
      <c r="D36" s="138" t="s">
        <v>459</v>
      </c>
      <c r="E36" s="142" t="s">
        <v>482</v>
      </c>
      <c r="F36" s="142" t="s">
        <v>482</v>
      </c>
      <c r="G36" s="142" t="s">
        <v>482</v>
      </c>
      <c r="H36" s="108"/>
      <c r="I36" s="108"/>
      <c r="J36" s="108">
        <v>0</v>
      </c>
      <c r="K36" s="143">
        <v>0</v>
      </c>
      <c r="L36" s="108">
        <v>0</v>
      </c>
    </row>
    <row r="37" spans="2:13" x14ac:dyDescent="0.2">
      <c r="B37" s="141"/>
      <c r="C37" s="138" t="s">
        <v>527</v>
      </c>
      <c r="D37" s="138" t="s">
        <v>459</v>
      </c>
      <c r="E37" s="142" t="s">
        <v>482</v>
      </c>
      <c r="F37" s="142" t="s">
        <v>482</v>
      </c>
      <c r="G37" s="142" t="s">
        <v>482</v>
      </c>
      <c r="H37" s="108"/>
      <c r="I37" s="108"/>
      <c r="J37" s="108">
        <v>0</v>
      </c>
      <c r="K37" s="143">
        <v>0</v>
      </c>
      <c r="L37" s="108">
        <v>0</v>
      </c>
    </row>
    <row r="38" spans="2:13" x14ac:dyDescent="0.2">
      <c r="B38" s="141"/>
      <c r="C38" s="138" t="s">
        <v>528</v>
      </c>
      <c r="D38" s="138" t="s">
        <v>459</v>
      </c>
      <c r="E38" s="142" t="s">
        <v>482</v>
      </c>
      <c r="F38" s="142" t="s">
        <v>482</v>
      </c>
      <c r="G38" s="142" t="s">
        <v>482</v>
      </c>
      <c r="H38" s="108"/>
      <c r="I38" s="108"/>
      <c r="J38" s="108">
        <v>0</v>
      </c>
      <c r="K38" s="143">
        <v>0</v>
      </c>
      <c r="L38" s="108">
        <v>0</v>
      </c>
    </row>
    <row r="39" spans="2:13" x14ac:dyDescent="0.2">
      <c r="B39" s="141"/>
      <c r="C39" s="138" t="s">
        <v>529</v>
      </c>
      <c r="D39" s="138" t="s">
        <v>459</v>
      </c>
      <c r="E39" s="142" t="s">
        <v>482</v>
      </c>
      <c r="F39" s="142" t="s">
        <v>482</v>
      </c>
      <c r="G39" s="142" t="s">
        <v>482</v>
      </c>
      <c r="H39" s="108"/>
      <c r="I39" s="108"/>
      <c r="J39" s="108">
        <v>0</v>
      </c>
      <c r="K39" s="143">
        <v>0</v>
      </c>
      <c r="L39" s="108">
        <v>0</v>
      </c>
    </row>
    <row r="40" spans="2:13" x14ac:dyDescent="0.2">
      <c r="B40" s="141"/>
      <c r="C40" s="138" t="s">
        <v>530</v>
      </c>
      <c r="D40" s="138" t="s">
        <v>459</v>
      </c>
      <c r="E40" s="142" t="s">
        <v>482</v>
      </c>
      <c r="F40" s="142" t="s">
        <v>482</v>
      </c>
      <c r="G40" s="142" t="s">
        <v>482</v>
      </c>
      <c r="H40" s="108"/>
      <c r="I40" s="108"/>
      <c r="J40" s="108">
        <v>0</v>
      </c>
      <c r="K40" s="143">
        <v>0</v>
      </c>
      <c r="L40" s="108">
        <v>0</v>
      </c>
    </row>
    <row r="41" spans="2:13" x14ac:dyDescent="0.2">
      <c r="B41" s="141"/>
      <c r="C41" s="138" t="s">
        <v>531</v>
      </c>
      <c r="D41" s="138" t="s">
        <v>459</v>
      </c>
      <c r="E41" s="142" t="s">
        <v>482</v>
      </c>
      <c r="F41" s="142" t="s">
        <v>482</v>
      </c>
      <c r="G41" s="142" t="s">
        <v>482</v>
      </c>
      <c r="H41" s="108"/>
      <c r="I41" s="108"/>
      <c r="J41" s="108">
        <v>0</v>
      </c>
      <c r="K41" s="143">
        <v>0</v>
      </c>
      <c r="L41" s="108">
        <v>0</v>
      </c>
    </row>
    <row r="42" spans="2:13" x14ac:dyDescent="0.2">
      <c r="B42" s="141"/>
      <c r="C42" s="138" t="s">
        <v>532</v>
      </c>
      <c r="D42" s="138" t="s">
        <v>459</v>
      </c>
      <c r="E42" s="142" t="s">
        <v>460</v>
      </c>
      <c r="F42" s="142" t="s">
        <v>90</v>
      </c>
      <c r="G42" s="107"/>
      <c r="H42" s="108"/>
      <c r="I42" s="108"/>
      <c r="J42" s="108">
        <v>25000</v>
      </c>
      <c r="K42" s="143">
        <v>3250</v>
      </c>
      <c r="L42" s="108">
        <v>28250</v>
      </c>
      <c r="M42" s="97">
        <v>51000000001</v>
      </c>
    </row>
    <row r="43" spans="2:13" x14ac:dyDescent="0.2">
      <c r="B43" s="141"/>
      <c r="C43" s="138" t="s">
        <v>533</v>
      </c>
      <c r="D43" s="138" t="s">
        <v>459</v>
      </c>
      <c r="E43" s="142" t="s">
        <v>460</v>
      </c>
      <c r="F43" s="142" t="s">
        <v>90</v>
      </c>
      <c r="G43" s="107"/>
      <c r="H43" s="108"/>
      <c r="I43" s="108"/>
      <c r="J43" s="108">
        <v>25000</v>
      </c>
      <c r="K43" s="143">
        <v>3250</v>
      </c>
      <c r="L43" s="108">
        <v>28250</v>
      </c>
      <c r="M43" s="97">
        <v>51000000002</v>
      </c>
    </row>
    <row r="44" spans="2:13" x14ac:dyDescent="0.2">
      <c r="B44" s="141">
        <v>43126</v>
      </c>
      <c r="C44" s="138" t="s">
        <v>534</v>
      </c>
      <c r="D44" s="138" t="s">
        <v>459</v>
      </c>
      <c r="E44" s="142" t="s">
        <v>460</v>
      </c>
      <c r="F44" s="142" t="s">
        <v>90</v>
      </c>
      <c r="G44" s="107"/>
      <c r="H44" s="108"/>
      <c r="I44" s="108"/>
      <c r="J44" s="108">
        <v>-6249.91</v>
      </c>
      <c r="K44" s="143">
        <v>-812.49</v>
      </c>
      <c r="L44" s="108">
        <v>-7062.4</v>
      </c>
      <c r="M44" s="97">
        <v>51000000001</v>
      </c>
    </row>
    <row r="45" spans="2:13" x14ac:dyDescent="0.2">
      <c r="B45" s="173">
        <v>43126</v>
      </c>
      <c r="C45" s="174" t="s">
        <v>535</v>
      </c>
      <c r="D45" s="174" t="s">
        <v>459</v>
      </c>
      <c r="E45" s="175" t="s">
        <v>539</v>
      </c>
      <c r="F45" s="175" t="s">
        <v>329</v>
      </c>
      <c r="G45" s="176"/>
      <c r="H45" s="177"/>
      <c r="I45" s="177"/>
      <c r="J45" s="177">
        <v>656.25</v>
      </c>
      <c r="K45" s="178">
        <v>85.31</v>
      </c>
      <c r="L45" s="177">
        <v>741.56</v>
      </c>
      <c r="M45" s="155">
        <v>51000300001</v>
      </c>
    </row>
    <row r="46" spans="2:13" x14ac:dyDescent="0.2">
      <c r="B46" s="173">
        <v>43126</v>
      </c>
      <c r="C46" s="174" t="s">
        <v>536</v>
      </c>
      <c r="D46" s="174" t="s">
        <v>459</v>
      </c>
      <c r="E46" s="175" t="s">
        <v>539</v>
      </c>
      <c r="F46" s="175" t="s">
        <v>329</v>
      </c>
      <c r="G46" s="176"/>
      <c r="H46" s="177"/>
      <c r="I46" s="177"/>
      <c r="J46" s="177">
        <v>328.12</v>
      </c>
      <c r="K46" s="178">
        <v>42.66</v>
      </c>
      <c r="L46" s="177">
        <v>370.78</v>
      </c>
      <c r="M46" s="155">
        <v>51000300002</v>
      </c>
    </row>
    <row r="47" spans="2:13" x14ac:dyDescent="0.2">
      <c r="B47" s="141"/>
      <c r="C47" s="138"/>
      <c r="D47" s="138"/>
      <c r="E47" s="142" t="s">
        <v>537</v>
      </c>
      <c r="F47" s="114"/>
      <c r="G47" s="157"/>
      <c r="H47" s="157"/>
      <c r="I47" s="157"/>
      <c r="J47" s="157"/>
      <c r="K47" s="143">
        <v>-3268.73</v>
      </c>
      <c r="L47" s="108">
        <v>-3268.73</v>
      </c>
    </row>
    <row r="48" spans="2:13" x14ac:dyDescent="0.2">
      <c r="B48" s="141"/>
      <c r="C48" s="138"/>
      <c r="D48" s="138"/>
      <c r="E48" s="142" t="s">
        <v>538</v>
      </c>
      <c r="F48" s="114"/>
      <c r="G48" s="157"/>
      <c r="H48" s="157"/>
      <c r="I48" s="157"/>
      <c r="J48" s="157"/>
      <c r="K48" s="143">
        <v>-800.82</v>
      </c>
      <c r="L48" s="108"/>
    </row>
    <row r="49" spans="2:26" x14ac:dyDescent="0.2">
      <c r="B49" s="141"/>
      <c r="C49" s="138"/>
      <c r="D49" s="138"/>
      <c r="E49" s="142"/>
      <c r="F49" s="114"/>
      <c r="G49" s="157"/>
      <c r="H49" s="157"/>
      <c r="I49" s="157"/>
      <c r="J49" s="157"/>
      <c r="K49" s="143"/>
      <c r="L49" s="108"/>
    </row>
    <row r="50" spans="2:26" x14ac:dyDescent="0.2">
      <c r="B50" s="114"/>
      <c r="C50" s="115"/>
      <c r="D50" s="115"/>
      <c r="E50" s="142"/>
      <c r="F50" s="114"/>
      <c r="G50" s="157"/>
      <c r="H50" s="157"/>
      <c r="I50" s="157"/>
      <c r="J50" s="157"/>
      <c r="K50" s="157"/>
      <c r="L50" s="157"/>
    </row>
    <row r="51" spans="2:26" x14ac:dyDescent="0.2">
      <c r="B51" s="163"/>
      <c r="C51" s="164"/>
      <c r="D51" s="164"/>
      <c r="E51" s="142"/>
      <c r="F51" s="163"/>
      <c r="G51" s="165"/>
      <c r="H51" s="165"/>
      <c r="I51" s="165"/>
      <c r="J51" s="165"/>
      <c r="K51" s="165"/>
      <c r="L51" s="165"/>
    </row>
    <row r="52" spans="2:26" x14ac:dyDescent="0.2">
      <c r="B52" s="114"/>
      <c r="C52" s="115"/>
      <c r="D52" s="115"/>
      <c r="E52" s="114"/>
      <c r="F52" s="114"/>
      <c r="G52" s="166">
        <v>0</v>
      </c>
      <c r="H52" s="166">
        <v>0</v>
      </c>
      <c r="I52" s="166">
        <v>0</v>
      </c>
      <c r="J52" s="166">
        <v>63508.71</v>
      </c>
      <c r="K52" s="166">
        <v>4186.59</v>
      </c>
      <c r="L52" s="166">
        <v>68496.12000000001</v>
      </c>
    </row>
    <row r="53" spans="2:26" x14ac:dyDescent="0.2">
      <c r="B53" s="114"/>
      <c r="C53" s="115"/>
      <c r="D53" s="115"/>
      <c r="E53" s="114"/>
      <c r="F53" s="114"/>
      <c r="G53" s="166"/>
      <c r="H53" s="166"/>
      <c r="I53" s="166"/>
      <c r="J53" s="166"/>
      <c r="K53" s="166"/>
      <c r="L53" s="166"/>
    </row>
    <row r="54" spans="2:26" x14ac:dyDescent="0.2">
      <c r="B54" s="114"/>
      <c r="C54" s="115"/>
      <c r="D54" s="115"/>
      <c r="E54" s="114"/>
      <c r="F54" s="114"/>
      <c r="G54" s="166"/>
      <c r="H54" s="166"/>
      <c r="I54" s="166"/>
      <c r="J54" s="166"/>
      <c r="K54" s="166"/>
      <c r="L54" s="166"/>
    </row>
    <row r="55" spans="2:26" x14ac:dyDescent="0.2">
      <c r="B55" s="114"/>
      <c r="C55" s="115"/>
      <c r="D55" s="115"/>
      <c r="E55" s="114"/>
      <c r="F55" s="114"/>
      <c r="G55" s="166"/>
      <c r="H55" s="166"/>
      <c r="I55" s="166"/>
      <c r="J55" s="166"/>
      <c r="K55" s="166"/>
      <c r="L55" s="166"/>
    </row>
    <row r="57" spans="2:26" ht="16.5" x14ac:dyDescent="0.25">
      <c r="B57" s="113" t="s">
        <v>458</v>
      </c>
      <c r="C57" s="114"/>
      <c r="D57" s="115"/>
      <c r="E57" s="116" t="s">
        <v>148</v>
      </c>
    </row>
    <row r="58" spans="2:26" x14ac:dyDescent="0.2">
      <c r="B58" s="120" t="s">
        <v>42</v>
      </c>
      <c r="C58" s="114"/>
      <c r="D58" s="114"/>
      <c r="E58" s="121"/>
    </row>
    <row r="61" spans="2:26" x14ac:dyDescent="0.2">
      <c r="B61" s="125"/>
      <c r="C61" s="126" t="s">
        <v>255</v>
      </c>
      <c r="D61" s="127" t="s">
        <v>43</v>
      </c>
      <c r="E61" s="127"/>
      <c r="F61" s="127" t="s">
        <v>135</v>
      </c>
      <c r="G61" s="127"/>
      <c r="H61" s="128" t="s">
        <v>136</v>
      </c>
      <c r="I61" s="129"/>
      <c r="J61" s="129"/>
      <c r="K61" s="129"/>
      <c r="L61" s="146"/>
    </row>
    <row r="62" spans="2:26" x14ac:dyDescent="0.2">
      <c r="B62" s="130" t="s">
        <v>137</v>
      </c>
      <c r="C62" s="131" t="s">
        <v>138</v>
      </c>
      <c r="D62" s="131" t="s">
        <v>258</v>
      </c>
      <c r="E62" s="131" t="s">
        <v>139</v>
      </c>
      <c r="F62" s="131" t="s">
        <v>259</v>
      </c>
      <c r="G62" s="131" t="s">
        <v>140</v>
      </c>
      <c r="H62" s="132" t="s">
        <v>94</v>
      </c>
      <c r="I62" s="129"/>
      <c r="J62" s="132" t="s">
        <v>141</v>
      </c>
      <c r="K62" s="129"/>
      <c r="L62" s="147" t="s">
        <v>325</v>
      </c>
    </row>
    <row r="63" spans="2:26" x14ac:dyDescent="0.2">
      <c r="B63" s="133"/>
      <c r="C63" s="134"/>
      <c r="D63" s="134"/>
      <c r="E63" s="133"/>
      <c r="F63" s="133"/>
      <c r="G63" s="133"/>
      <c r="H63" s="135" t="s">
        <v>326</v>
      </c>
      <c r="I63" s="136" t="s">
        <v>327</v>
      </c>
      <c r="J63" s="148" t="s">
        <v>328</v>
      </c>
      <c r="K63" s="148" t="s">
        <v>89</v>
      </c>
      <c r="L63" s="149" t="s">
        <v>94</v>
      </c>
    </row>
    <row r="64" spans="2:26" x14ac:dyDescent="0.2">
      <c r="B64" s="137"/>
      <c r="C64" s="138"/>
      <c r="D64" s="138"/>
      <c r="E64" s="139"/>
      <c r="F64" s="140"/>
      <c r="G64" s="107"/>
      <c r="H64" s="108"/>
      <c r="I64" s="108"/>
      <c r="J64" s="108"/>
      <c r="K64" s="108"/>
      <c r="L64" s="108"/>
      <c r="O64" s="170" t="s">
        <v>480</v>
      </c>
      <c r="P64" s="170"/>
      <c r="Q64" s="170"/>
      <c r="R64" s="170"/>
      <c r="U64" s="106" t="s">
        <v>465</v>
      </c>
      <c r="Y64" s="97" t="s">
        <v>479</v>
      </c>
      <c r="Z64" s="97" t="s">
        <v>340</v>
      </c>
    </row>
    <row r="65" spans="2:26" x14ac:dyDescent="0.2">
      <c r="B65" s="141">
        <v>43140</v>
      </c>
      <c r="C65" s="138" t="s">
        <v>541</v>
      </c>
      <c r="D65" s="138" t="s">
        <v>459</v>
      </c>
      <c r="E65" s="142" t="s">
        <v>496</v>
      </c>
      <c r="F65" s="142" t="s">
        <v>497</v>
      </c>
      <c r="G65" s="107"/>
      <c r="H65" s="108"/>
      <c r="I65" s="108"/>
      <c r="J65" s="108">
        <v>454.35</v>
      </c>
      <c r="K65" s="143">
        <v>59.07</v>
      </c>
      <c r="L65" s="108">
        <v>513.42000000000007</v>
      </c>
      <c r="M65" s="97">
        <v>51220200001</v>
      </c>
      <c r="O65" s="152" t="s">
        <v>148</v>
      </c>
      <c r="P65" s="78">
        <v>51000000001</v>
      </c>
      <c r="Q65" s="142" t="s">
        <v>460</v>
      </c>
      <c r="R65" s="145">
        <f>SUMIFS($J$65:$J$75,$E$65:$E$75,Q65,$M$65:$M$75,P65)</f>
        <v>0</v>
      </c>
      <c r="T65" s="97">
        <v>51000300001</v>
      </c>
      <c r="U65" s="97" t="s">
        <v>384</v>
      </c>
      <c r="X65" s="109">
        <v>-17590.059999999998</v>
      </c>
      <c r="Y65" s="150">
        <f>SUMIF($P$65:$P$81,T65,$R$65:$R$81)</f>
        <v>0</v>
      </c>
      <c r="Z65" s="144">
        <f>X65+Y65</f>
        <v>-17590.059999999998</v>
      </c>
    </row>
    <row r="66" spans="2:26" x14ac:dyDescent="0.2">
      <c r="B66" s="141">
        <v>43140</v>
      </c>
      <c r="C66" s="138" t="s">
        <v>542</v>
      </c>
      <c r="D66" s="138" t="s">
        <v>459</v>
      </c>
      <c r="E66" s="142" t="s">
        <v>460</v>
      </c>
      <c r="F66" s="142" t="s">
        <v>90</v>
      </c>
      <c r="G66" s="142"/>
      <c r="H66" s="108"/>
      <c r="I66" s="108"/>
      <c r="J66" s="108">
        <v>1396.07</v>
      </c>
      <c r="K66" s="143">
        <v>181.49</v>
      </c>
      <c r="L66" s="108">
        <v>1577.56</v>
      </c>
      <c r="M66" s="97">
        <v>51220200001</v>
      </c>
      <c r="O66" s="152" t="s">
        <v>148</v>
      </c>
      <c r="P66" s="78">
        <v>51000000002</v>
      </c>
      <c r="Q66" s="142" t="s">
        <v>460</v>
      </c>
      <c r="R66" s="145">
        <f t="shared" ref="R66:R72" si="3">SUMIFS($J$65:$J$75,$E$65:$E$75,Q66,$M$65:$M$75,P66)</f>
        <v>0</v>
      </c>
      <c r="T66" s="97">
        <v>51000300002</v>
      </c>
      <c r="U66" s="97" t="s">
        <v>168</v>
      </c>
      <c r="X66" s="109">
        <v>-8795.02</v>
      </c>
      <c r="Y66" s="150">
        <f>SUMIF($P$65:$P$81,T66,$R$65:$R$81)</f>
        <v>0</v>
      </c>
      <c r="Z66" s="144">
        <f>X66+Y66</f>
        <v>-8795.02</v>
      </c>
    </row>
    <row r="67" spans="2:26" x14ac:dyDescent="0.2">
      <c r="B67" s="173">
        <v>43140</v>
      </c>
      <c r="C67" s="174" t="s">
        <v>543</v>
      </c>
      <c r="D67" s="174" t="s">
        <v>459</v>
      </c>
      <c r="E67" s="175" t="s">
        <v>539</v>
      </c>
      <c r="F67" s="175" t="s">
        <v>329</v>
      </c>
      <c r="G67" s="176"/>
      <c r="H67" s="177"/>
      <c r="I67" s="177"/>
      <c r="J67" s="177">
        <v>1552.16</v>
      </c>
      <c r="K67" s="178">
        <v>201.78</v>
      </c>
      <c r="L67" s="177">
        <v>1753.94</v>
      </c>
      <c r="M67" s="155">
        <v>51220200001</v>
      </c>
      <c r="O67" s="152" t="s">
        <v>148</v>
      </c>
      <c r="P67" s="78">
        <v>51000200001</v>
      </c>
      <c r="Q67" s="142" t="s">
        <v>460</v>
      </c>
      <c r="R67" s="145">
        <f t="shared" si="3"/>
        <v>0</v>
      </c>
      <c r="T67" s="97">
        <v>51220200001</v>
      </c>
      <c r="U67" s="97" t="s">
        <v>55</v>
      </c>
      <c r="X67" s="109">
        <v>-3404.44</v>
      </c>
      <c r="Y67" s="150">
        <f>SUMIF($P$65:$P$81,T67,$R$65:$R$81)</f>
        <v>1850.42</v>
      </c>
      <c r="Z67" s="144">
        <f>X67+Y67</f>
        <v>-1554.02</v>
      </c>
    </row>
    <row r="68" spans="2:26" x14ac:dyDescent="0.2">
      <c r="B68" s="173">
        <v>43145</v>
      </c>
      <c r="C68" s="174" t="s">
        <v>544</v>
      </c>
      <c r="D68" s="174" t="s">
        <v>459</v>
      </c>
      <c r="E68" s="175" t="s">
        <v>539</v>
      </c>
      <c r="F68" s="175" t="s">
        <v>329</v>
      </c>
      <c r="G68" s="175"/>
      <c r="H68" s="177"/>
      <c r="I68" s="177"/>
      <c r="J68" s="177">
        <v>12906.25</v>
      </c>
      <c r="K68" s="178">
        <v>1677.81</v>
      </c>
      <c r="L68" s="177">
        <v>14584.06</v>
      </c>
      <c r="M68" s="155">
        <v>51000300001</v>
      </c>
      <c r="O68" s="152" t="s">
        <v>148</v>
      </c>
      <c r="P68" s="78">
        <v>51000200001</v>
      </c>
      <c r="Q68" s="142" t="s">
        <v>351</v>
      </c>
      <c r="R68" s="145">
        <f t="shared" si="3"/>
        <v>0</v>
      </c>
      <c r="T68" s="155">
        <v>52120000001</v>
      </c>
      <c r="U68" s="155" t="s">
        <v>26</v>
      </c>
      <c r="V68" s="155"/>
      <c r="W68" s="155"/>
      <c r="X68" s="154">
        <v>-5</v>
      </c>
      <c r="Y68" s="150">
        <f>SUMIF($P$65:$P$81,T68,$R$65:$R$81)</f>
        <v>0</v>
      </c>
      <c r="Z68" s="144">
        <f>X68+Y68</f>
        <v>-5</v>
      </c>
    </row>
    <row r="69" spans="2:26" x14ac:dyDescent="0.2">
      <c r="B69" s="173">
        <v>43145</v>
      </c>
      <c r="C69" s="174" t="s">
        <v>545</v>
      </c>
      <c r="D69" s="174" t="s">
        <v>459</v>
      </c>
      <c r="E69" s="175" t="s">
        <v>539</v>
      </c>
      <c r="F69" s="175" t="s">
        <v>329</v>
      </c>
      <c r="G69" s="175"/>
      <c r="H69" s="177"/>
      <c r="I69" s="177"/>
      <c r="J69" s="177">
        <v>6453.12</v>
      </c>
      <c r="K69" s="178">
        <v>838.91</v>
      </c>
      <c r="L69" s="177">
        <v>7292.03</v>
      </c>
      <c r="M69" s="155">
        <v>51000300002</v>
      </c>
      <c r="O69" s="152" t="s">
        <v>148</v>
      </c>
      <c r="P69" s="78">
        <v>51000200001</v>
      </c>
      <c r="Q69" s="142" t="s">
        <v>56</v>
      </c>
      <c r="R69" s="145">
        <f t="shared" si="3"/>
        <v>0</v>
      </c>
      <c r="T69" s="155">
        <v>52120000003</v>
      </c>
      <c r="U69" s="155" t="s">
        <v>133</v>
      </c>
      <c r="V69" s="155"/>
      <c r="W69" s="155"/>
      <c r="X69" s="154">
        <v>-3484.9300000000003</v>
      </c>
      <c r="Y69" s="150">
        <f>SUMIF($P$65:$P$81,T69,$R$65:$R$81)</f>
        <v>0</v>
      </c>
      <c r="Z69" s="144">
        <f>X69+Y69</f>
        <v>-3484.9300000000003</v>
      </c>
    </row>
    <row r="70" spans="2:26" x14ac:dyDescent="0.2">
      <c r="B70" s="173">
        <v>43146</v>
      </c>
      <c r="C70" s="174" t="s">
        <v>546</v>
      </c>
      <c r="D70" s="174" t="s">
        <v>459</v>
      </c>
      <c r="E70" s="175" t="s">
        <v>539</v>
      </c>
      <c r="F70" s="175" t="s">
        <v>329</v>
      </c>
      <c r="G70" s="175"/>
      <c r="H70" s="177"/>
      <c r="I70" s="177"/>
      <c r="J70" s="177">
        <v>4683.8100000000004</v>
      </c>
      <c r="K70" s="178">
        <v>608.89</v>
      </c>
      <c r="L70" s="177">
        <v>5292.7000000000007</v>
      </c>
      <c r="M70" s="155">
        <v>51000300001</v>
      </c>
      <c r="O70" s="152" t="s">
        <v>148</v>
      </c>
      <c r="P70" s="78">
        <v>51000200002</v>
      </c>
      <c r="Q70" s="142" t="s">
        <v>460</v>
      </c>
      <c r="R70" s="145">
        <f t="shared" si="3"/>
        <v>0</v>
      </c>
      <c r="Y70" s="150"/>
      <c r="Z70" s="144"/>
    </row>
    <row r="71" spans="2:26" x14ac:dyDescent="0.2">
      <c r="B71" s="173">
        <v>43146</v>
      </c>
      <c r="C71" s="174" t="s">
        <v>547</v>
      </c>
      <c r="D71" s="174" t="s">
        <v>459</v>
      </c>
      <c r="E71" s="175" t="s">
        <v>539</v>
      </c>
      <c r="F71" s="175" t="s">
        <v>329</v>
      </c>
      <c r="G71" s="175"/>
      <c r="H71" s="177"/>
      <c r="I71" s="177"/>
      <c r="J71" s="177">
        <v>2341.9</v>
      </c>
      <c r="K71" s="178">
        <v>304.45</v>
      </c>
      <c r="L71" s="177">
        <v>2646.35</v>
      </c>
      <c r="M71" s="155">
        <v>51000300002</v>
      </c>
      <c r="O71" s="152" t="s">
        <v>148</v>
      </c>
      <c r="P71" s="78">
        <v>51000200002</v>
      </c>
      <c r="Q71" s="142" t="s">
        <v>351</v>
      </c>
      <c r="R71" s="145">
        <f t="shared" si="3"/>
        <v>0</v>
      </c>
      <c r="Y71" s="158">
        <f>SUM(Y65:Y70)</f>
        <v>1850.42</v>
      </c>
      <c r="Z71" s="158">
        <f>SUM(Z65:Z70)</f>
        <v>-31429.03</v>
      </c>
    </row>
    <row r="72" spans="2:26" x14ac:dyDescent="0.2">
      <c r="B72" s="141"/>
      <c r="C72" s="138"/>
      <c r="D72" s="138"/>
      <c r="E72" s="142" t="s">
        <v>537</v>
      </c>
      <c r="F72" s="114"/>
      <c r="G72" s="157"/>
      <c r="H72" s="157"/>
      <c r="I72" s="157"/>
      <c r="J72" s="157"/>
      <c r="K72" s="143">
        <v>-1955.03</v>
      </c>
      <c r="L72" s="108">
        <v>-1955.03</v>
      </c>
      <c r="O72" s="152" t="s">
        <v>148</v>
      </c>
      <c r="P72" s="78">
        <v>51000200002</v>
      </c>
      <c r="Q72" s="142" t="s">
        <v>56</v>
      </c>
      <c r="R72" s="145">
        <f t="shared" si="3"/>
        <v>0</v>
      </c>
    </row>
    <row r="73" spans="2:26" x14ac:dyDescent="0.2">
      <c r="B73" s="141"/>
      <c r="C73" s="138"/>
      <c r="D73" s="138"/>
      <c r="E73" s="142" t="s">
        <v>538</v>
      </c>
      <c r="F73" s="114"/>
      <c r="G73" s="157"/>
      <c r="H73" s="157"/>
      <c r="I73" s="157"/>
      <c r="J73" s="157"/>
      <c r="K73" s="143">
        <v>0</v>
      </c>
      <c r="L73" s="108"/>
      <c r="O73" s="152" t="s">
        <v>148</v>
      </c>
      <c r="P73" s="78">
        <v>51220200001</v>
      </c>
      <c r="Q73" s="142" t="s">
        <v>460</v>
      </c>
      <c r="R73" s="145">
        <f t="shared" ref="R73:R81" si="4">SUMIFS($J$65:$J$75,$E$65:$E$75,Q73,$M$65:$M$75,P73)</f>
        <v>1396.07</v>
      </c>
    </row>
    <row r="74" spans="2:26" x14ac:dyDescent="0.2">
      <c r="B74" s="141"/>
      <c r="C74" s="138"/>
      <c r="D74" s="138"/>
      <c r="E74" s="142"/>
      <c r="F74" s="114"/>
      <c r="G74" s="157"/>
      <c r="H74" s="157"/>
      <c r="I74" s="157"/>
      <c r="J74" s="157"/>
      <c r="K74" s="143"/>
      <c r="L74" s="108"/>
      <c r="O74" s="152" t="s">
        <v>148</v>
      </c>
      <c r="P74" s="78">
        <v>51220200001</v>
      </c>
      <c r="Q74" s="142" t="s">
        <v>351</v>
      </c>
      <c r="R74" s="145">
        <f t="shared" si="4"/>
        <v>0</v>
      </c>
    </row>
    <row r="75" spans="2:26" x14ac:dyDescent="0.2">
      <c r="B75" s="114"/>
      <c r="C75" s="115"/>
      <c r="D75" s="115"/>
      <c r="E75" s="142"/>
      <c r="F75" s="114"/>
      <c r="G75" s="157"/>
      <c r="H75" s="157"/>
      <c r="I75" s="157"/>
      <c r="J75" s="157"/>
      <c r="K75" s="157"/>
      <c r="L75" s="157"/>
      <c r="O75" s="152" t="s">
        <v>148</v>
      </c>
      <c r="P75" s="78">
        <v>51220200001</v>
      </c>
      <c r="Q75" s="142" t="s">
        <v>56</v>
      </c>
      <c r="R75" s="145">
        <f t="shared" si="4"/>
        <v>0</v>
      </c>
    </row>
    <row r="76" spans="2:26" x14ac:dyDescent="0.2">
      <c r="B76" s="163"/>
      <c r="C76" s="164"/>
      <c r="D76" s="164"/>
      <c r="E76" s="142"/>
      <c r="F76" s="163"/>
      <c r="G76" s="165"/>
      <c r="H76" s="165"/>
      <c r="I76" s="165"/>
      <c r="J76" s="165"/>
      <c r="K76" s="165"/>
      <c r="L76" s="165"/>
      <c r="O76" s="152" t="s">
        <v>148</v>
      </c>
      <c r="P76" s="78">
        <v>52200000001</v>
      </c>
      <c r="Q76" s="142" t="s">
        <v>460</v>
      </c>
      <c r="R76" s="145">
        <f t="shared" si="4"/>
        <v>0</v>
      </c>
    </row>
    <row r="77" spans="2:26" x14ac:dyDescent="0.2">
      <c r="B77" s="114"/>
      <c r="C77" s="115"/>
      <c r="D77" s="115"/>
      <c r="E77" s="114"/>
      <c r="F77" s="114"/>
      <c r="G77" s="166">
        <v>0</v>
      </c>
      <c r="H77" s="166">
        <v>0</v>
      </c>
      <c r="I77" s="166">
        <v>0</v>
      </c>
      <c r="J77" s="166">
        <v>29787.660000000003</v>
      </c>
      <c r="K77" s="166">
        <v>1917.3699999999997</v>
      </c>
      <c r="L77" s="166">
        <v>31705.03</v>
      </c>
      <c r="O77" s="152" t="s">
        <v>148</v>
      </c>
      <c r="P77" s="78">
        <v>52200000001</v>
      </c>
      <c r="Q77" s="142" t="s">
        <v>351</v>
      </c>
      <c r="R77" s="145">
        <f t="shared" si="4"/>
        <v>0</v>
      </c>
      <c r="W77" s="106" t="s">
        <v>478</v>
      </c>
      <c r="X77" s="144">
        <f>X65+X66+X67</f>
        <v>-29789.519999999997</v>
      </c>
    </row>
    <row r="78" spans="2:26" x14ac:dyDescent="0.2">
      <c r="O78" s="152" t="s">
        <v>148</v>
      </c>
      <c r="P78" s="78">
        <v>52200000001</v>
      </c>
      <c r="Q78" s="142" t="s">
        <v>56</v>
      </c>
      <c r="R78" s="145">
        <f t="shared" si="4"/>
        <v>0</v>
      </c>
      <c r="W78" s="97" t="s">
        <v>480</v>
      </c>
      <c r="X78" s="144">
        <f>Y71</f>
        <v>1850.42</v>
      </c>
    </row>
    <row r="79" spans="2:26" x14ac:dyDescent="0.2">
      <c r="O79" s="152" t="s">
        <v>148</v>
      </c>
      <c r="P79" s="78">
        <v>52200000001</v>
      </c>
      <c r="Q79" s="142" t="s">
        <v>460</v>
      </c>
      <c r="R79" s="145">
        <f t="shared" si="4"/>
        <v>0</v>
      </c>
      <c r="W79" s="97" t="s">
        <v>486</v>
      </c>
      <c r="X79" s="167">
        <f>SUM(J67:J71)</f>
        <v>27937.24</v>
      </c>
    </row>
    <row r="80" spans="2:26" x14ac:dyDescent="0.2">
      <c r="O80" s="152" t="s">
        <v>148</v>
      </c>
      <c r="P80" s="78">
        <v>51220200001</v>
      </c>
      <c r="Q80" s="142" t="s">
        <v>496</v>
      </c>
      <c r="R80" s="145">
        <f t="shared" si="4"/>
        <v>454.35</v>
      </c>
      <c r="X80" s="158">
        <f>X77+X78+X79</f>
        <v>-1.8599999999969441</v>
      </c>
      <c r="Y80" s="97" t="s">
        <v>500</v>
      </c>
    </row>
    <row r="81" spans="2:26" x14ac:dyDescent="0.2">
      <c r="O81" s="152" t="s">
        <v>148</v>
      </c>
      <c r="P81" s="78">
        <v>53000100001</v>
      </c>
      <c r="Q81" s="142" t="s">
        <v>460</v>
      </c>
      <c r="R81" s="145">
        <f t="shared" si="4"/>
        <v>0</v>
      </c>
    </row>
    <row r="82" spans="2:26" x14ac:dyDescent="0.2">
      <c r="O82" s="161"/>
      <c r="R82" s="151">
        <f>SUM(R65:R81)</f>
        <v>1850.42</v>
      </c>
    </row>
    <row r="89" spans="2:26" ht="18" x14ac:dyDescent="0.25">
      <c r="B89" s="113" t="s">
        <v>458</v>
      </c>
      <c r="C89" s="114"/>
      <c r="D89" s="115"/>
      <c r="E89" s="116" t="s">
        <v>149</v>
      </c>
      <c r="F89" s="117" t="s">
        <v>179</v>
      </c>
      <c r="G89" s="118">
        <v>2017</v>
      </c>
      <c r="H89" s="119" t="s">
        <v>41</v>
      </c>
      <c r="I89" s="119"/>
      <c r="J89" s="114"/>
      <c r="K89" s="114"/>
      <c r="L89" s="114"/>
    </row>
    <row r="90" spans="2:26" x14ac:dyDescent="0.2">
      <c r="B90" s="120" t="s">
        <v>42</v>
      </c>
      <c r="C90" s="114"/>
      <c r="D90" s="114"/>
      <c r="E90" s="121"/>
      <c r="F90" s="122"/>
      <c r="G90" s="114"/>
      <c r="H90" s="123"/>
      <c r="I90" s="123"/>
      <c r="J90" s="114"/>
      <c r="K90" s="114"/>
      <c r="L90" s="114"/>
    </row>
    <row r="91" spans="2:26" x14ac:dyDescent="0.2"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</row>
    <row r="92" spans="2:26" x14ac:dyDescent="0.2">
      <c r="B92" s="124"/>
      <c r="C92" s="124"/>
      <c r="D92" s="124"/>
      <c r="E92" s="124"/>
      <c r="F92" s="124"/>
      <c r="G92" s="124"/>
      <c r="H92" s="117"/>
      <c r="I92" s="117"/>
      <c r="J92" s="117"/>
      <c r="K92" s="117"/>
      <c r="L92" s="124"/>
    </row>
    <row r="93" spans="2:26" x14ac:dyDescent="0.2">
      <c r="B93" s="125"/>
      <c r="C93" s="126" t="s">
        <v>255</v>
      </c>
      <c r="D93" s="127" t="s">
        <v>43</v>
      </c>
      <c r="E93" s="127"/>
      <c r="F93" s="127" t="s">
        <v>135</v>
      </c>
      <c r="G93" s="127"/>
      <c r="H93" s="128" t="s">
        <v>136</v>
      </c>
      <c r="I93" s="129"/>
      <c r="J93" s="129"/>
      <c r="K93" s="129"/>
      <c r="L93" s="146"/>
      <c r="M93" s="180"/>
      <c r="N93" s="180"/>
    </row>
    <row r="94" spans="2:26" x14ac:dyDescent="0.2">
      <c r="B94" s="130" t="s">
        <v>137</v>
      </c>
      <c r="C94" s="131" t="s">
        <v>138</v>
      </c>
      <c r="D94" s="131" t="s">
        <v>258</v>
      </c>
      <c r="E94" s="131" t="s">
        <v>139</v>
      </c>
      <c r="F94" s="131" t="s">
        <v>259</v>
      </c>
      <c r="G94" s="131" t="s">
        <v>140</v>
      </c>
      <c r="H94" s="132" t="s">
        <v>94</v>
      </c>
      <c r="I94" s="129"/>
      <c r="J94" s="132" t="s">
        <v>141</v>
      </c>
      <c r="K94" s="129"/>
      <c r="L94" s="147" t="s">
        <v>325</v>
      </c>
      <c r="M94" s="180"/>
      <c r="N94" s="180"/>
    </row>
    <row r="95" spans="2:26" x14ac:dyDescent="0.2">
      <c r="B95" s="133"/>
      <c r="C95" s="134"/>
      <c r="D95" s="134"/>
      <c r="E95" s="133"/>
      <c r="F95" s="133"/>
      <c r="G95" s="133"/>
      <c r="H95" s="135" t="s">
        <v>326</v>
      </c>
      <c r="I95" s="136" t="s">
        <v>327</v>
      </c>
      <c r="J95" s="148" t="s">
        <v>328</v>
      </c>
      <c r="K95" s="148" t="s">
        <v>89</v>
      </c>
      <c r="L95" s="149" t="s">
        <v>94</v>
      </c>
      <c r="M95" s="180"/>
      <c r="N95" s="180"/>
    </row>
    <row r="96" spans="2:26" x14ac:dyDescent="0.2">
      <c r="B96" s="137"/>
      <c r="C96" s="138"/>
      <c r="D96" s="138"/>
      <c r="E96" s="139"/>
      <c r="F96" s="140"/>
      <c r="G96" s="107"/>
      <c r="H96" s="108"/>
      <c r="I96" s="108"/>
      <c r="J96" s="108"/>
      <c r="K96" s="108"/>
      <c r="L96" s="108"/>
      <c r="M96" s="181"/>
      <c r="N96" s="181"/>
      <c r="O96" s="170" t="s">
        <v>480</v>
      </c>
      <c r="P96" s="170"/>
      <c r="Q96" s="170"/>
      <c r="R96" s="170"/>
      <c r="U96" s="106" t="s">
        <v>465</v>
      </c>
      <c r="Y96" s="97" t="s">
        <v>479</v>
      </c>
      <c r="Z96" s="97" t="s">
        <v>340</v>
      </c>
    </row>
    <row r="97" spans="2:26" x14ac:dyDescent="0.2">
      <c r="B97" s="141">
        <v>43168</v>
      </c>
      <c r="C97" s="138" t="s">
        <v>552</v>
      </c>
      <c r="D97" s="138" t="s">
        <v>459</v>
      </c>
      <c r="E97" s="142" t="str">
        <f>+VLOOKUP(F97,[2]bd!A:B,2,0)</f>
        <v>CITIBANK, N.A. SUCURSAL EL SALVADOR</v>
      </c>
      <c r="F97" s="142" t="s">
        <v>329</v>
      </c>
      <c r="G97" s="107"/>
      <c r="H97" s="108"/>
      <c r="I97" s="108"/>
      <c r="J97" s="108">
        <v>1784.17</v>
      </c>
      <c r="K97" s="143">
        <v>231.94</v>
      </c>
      <c r="L97" s="108">
        <f>+J97+K97</f>
        <v>2016.1100000000001</v>
      </c>
      <c r="M97" s="181"/>
      <c r="N97" s="181"/>
      <c r="O97" s="152" t="s">
        <v>149</v>
      </c>
      <c r="P97" s="78">
        <v>51000000001</v>
      </c>
      <c r="Q97" s="142" t="s">
        <v>460</v>
      </c>
      <c r="R97" s="145">
        <f>SUMIFS($J$97:$J$104,$E$97:$E$104,Q97,$M$97:$M$104,P97)</f>
        <v>0</v>
      </c>
      <c r="T97" s="97">
        <v>51220200001</v>
      </c>
      <c r="U97" s="97" t="s">
        <v>55</v>
      </c>
      <c r="X97" s="109">
        <v>-2831.04</v>
      </c>
      <c r="Y97" s="150">
        <f>SUMIF($P$97:$P$113,T97,$R$97:$R$113)</f>
        <v>1045.04</v>
      </c>
      <c r="Z97" s="144">
        <f>X97+Y97</f>
        <v>-1786</v>
      </c>
    </row>
    <row r="98" spans="2:26" x14ac:dyDescent="0.2">
      <c r="B98" s="183">
        <v>43168</v>
      </c>
      <c r="C98" s="184" t="s">
        <v>553</v>
      </c>
      <c r="D98" s="184" t="s">
        <v>459</v>
      </c>
      <c r="E98" s="185" t="str">
        <f>+VLOOKUP(F98,[2]bd!A:B,2,0)</f>
        <v>INVERSIONES FINANCIERAS IMPERIA CUSCATLAN, SA</v>
      </c>
      <c r="F98" s="185" t="s">
        <v>497</v>
      </c>
      <c r="G98" s="185"/>
      <c r="H98" s="186"/>
      <c r="I98" s="186"/>
      <c r="J98" s="190">
        <v>354.35</v>
      </c>
      <c r="K98" s="187">
        <v>46.07</v>
      </c>
      <c r="L98" s="186">
        <f>+J98+K98</f>
        <v>400.42</v>
      </c>
      <c r="M98" s="189">
        <v>51220200001</v>
      </c>
      <c r="N98" s="181"/>
      <c r="O98" s="152" t="s">
        <v>149</v>
      </c>
      <c r="P98" s="78">
        <v>51000000002</v>
      </c>
      <c r="Q98" s="142" t="s">
        <v>460</v>
      </c>
      <c r="R98" s="145">
        <f t="shared" ref="R98:R113" si="5">SUMIFS($J$97:$J$104,$E$97:$E$104,Q98,$M$97:$M$104,P98)</f>
        <v>0</v>
      </c>
      <c r="T98" s="97">
        <v>52120000003</v>
      </c>
      <c r="U98" s="97" t="s">
        <v>133</v>
      </c>
      <c r="X98" s="109">
        <v>-3484.9300000000003</v>
      </c>
      <c r="Y98" s="150">
        <f>SUMIF($P$97:$P$113,T98,$R$97:$R$113)</f>
        <v>0</v>
      </c>
      <c r="Z98" s="144">
        <f>X98+Y98</f>
        <v>-3484.9300000000003</v>
      </c>
    </row>
    <row r="99" spans="2:26" x14ac:dyDescent="0.2">
      <c r="B99" s="183">
        <v>43168</v>
      </c>
      <c r="C99" s="184" t="s">
        <v>554</v>
      </c>
      <c r="D99" s="184" t="s">
        <v>459</v>
      </c>
      <c r="E99" s="185" t="str">
        <f>+VLOOKUP(F99,[2]bd!A:B,2,0)</f>
        <v>BANCO CUSCATLAN DE EL SALVADOR S.A.</v>
      </c>
      <c r="F99" s="185" t="s">
        <v>90</v>
      </c>
      <c r="G99" s="188"/>
      <c r="H99" s="186"/>
      <c r="I99" s="186"/>
      <c r="J99" s="190">
        <v>690.69</v>
      </c>
      <c r="K99" s="187">
        <v>89.79</v>
      </c>
      <c r="L99" s="186">
        <f>+J99+K99</f>
        <v>780.48</v>
      </c>
      <c r="M99" s="189">
        <v>51220200001</v>
      </c>
      <c r="N99" s="181"/>
      <c r="O99" s="152" t="s">
        <v>149</v>
      </c>
      <c r="P99" s="78">
        <v>51000200001</v>
      </c>
      <c r="Q99" s="142" t="s">
        <v>460</v>
      </c>
      <c r="R99" s="145">
        <f t="shared" si="5"/>
        <v>0</v>
      </c>
      <c r="T99" s="192">
        <v>52200000001</v>
      </c>
      <c r="U99" s="193" t="s">
        <v>33</v>
      </c>
      <c r="V99" s="193"/>
      <c r="W99" s="193"/>
      <c r="X99" s="194">
        <v>-1025.82</v>
      </c>
      <c r="Y99" s="150">
        <v>1025.82</v>
      </c>
      <c r="Z99" s="144">
        <f>X99+Y99</f>
        <v>0</v>
      </c>
    </row>
    <row r="100" spans="2:26" x14ac:dyDescent="0.2">
      <c r="B100" s="141"/>
      <c r="C100" s="138"/>
      <c r="D100" s="138"/>
      <c r="E100" s="142" t="s">
        <v>537</v>
      </c>
      <c r="F100" s="114"/>
      <c r="G100" s="157"/>
      <c r="H100" s="157"/>
      <c r="I100" s="157"/>
      <c r="J100" s="157"/>
      <c r="K100" s="143">
        <v>-367.8</v>
      </c>
      <c r="L100" s="108">
        <f>+J100+K100</f>
        <v>-367.8</v>
      </c>
      <c r="M100" s="181"/>
      <c r="N100" s="181"/>
      <c r="O100" s="152" t="s">
        <v>149</v>
      </c>
      <c r="P100" s="78">
        <v>51000200001</v>
      </c>
      <c r="Q100" s="142" t="s">
        <v>351</v>
      </c>
      <c r="R100" s="145">
        <f t="shared" si="5"/>
        <v>0</v>
      </c>
      <c r="T100" s="195"/>
      <c r="U100" s="195"/>
      <c r="V100" s="195"/>
      <c r="W100" s="195"/>
      <c r="X100" s="191"/>
      <c r="Y100" s="158">
        <f>SUM(Y97:Y98)</f>
        <v>1045.04</v>
      </c>
      <c r="Z100" s="158">
        <f>SUM(Z97:Z99)</f>
        <v>-5270.93</v>
      </c>
    </row>
    <row r="101" spans="2:26" x14ac:dyDescent="0.2">
      <c r="B101" s="141"/>
      <c r="C101" s="138"/>
      <c r="D101" s="138"/>
      <c r="E101" s="142"/>
      <c r="F101" s="114"/>
      <c r="G101" s="157"/>
      <c r="H101" s="157"/>
      <c r="I101" s="157"/>
      <c r="J101" s="157"/>
      <c r="K101" s="143">
        <v>0</v>
      </c>
      <c r="L101" s="108"/>
      <c r="M101" s="181"/>
      <c r="N101" s="181"/>
      <c r="O101" s="152" t="s">
        <v>149</v>
      </c>
      <c r="P101" s="78">
        <v>51000200001</v>
      </c>
      <c r="Q101" s="142" t="s">
        <v>56</v>
      </c>
      <c r="R101" s="145">
        <f t="shared" si="5"/>
        <v>0</v>
      </c>
      <c r="T101" s="195"/>
      <c r="U101" s="195"/>
      <c r="V101" s="195"/>
      <c r="W101" s="195"/>
      <c r="X101" s="191"/>
      <c r="Y101" s="150"/>
      <c r="Z101" s="144"/>
    </row>
    <row r="102" spans="2:26" x14ac:dyDescent="0.2">
      <c r="B102" s="141"/>
      <c r="C102" s="138"/>
      <c r="D102" s="138"/>
      <c r="E102" s="142"/>
      <c r="F102" s="114"/>
      <c r="G102" s="157"/>
      <c r="H102" s="157"/>
      <c r="I102" s="157"/>
      <c r="J102" s="157"/>
      <c r="K102" s="143"/>
      <c r="L102" s="108"/>
      <c r="M102" s="181"/>
      <c r="N102" s="181"/>
      <c r="O102" s="152" t="s">
        <v>149</v>
      </c>
      <c r="P102" s="78">
        <v>51000200002</v>
      </c>
      <c r="Q102" s="142" t="s">
        <v>460</v>
      </c>
      <c r="R102" s="145">
        <f t="shared" si="5"/>
        <v>0</v>
      </c>
      <c r="Y102" s="150"/>
      <c r="Z102" s="144"/>
    </row>
    <row r="103" spans="2:26" x14ac:dyDescent="0.2">
      <c r="B103" s="114"/>
      <c r="C103" s="115"/>
      <c r="D103" s="115"/>
      <c r="E103" s="142"/>
      <c r="F103" s="114"/>
      <c r="G103" s="157"/>
      <c r="H103" s="157"/>
      <c r="I103" s="157"/>
      <c r="J103" s="157"/>
      <c r="K103" s="157"/>
      <c r="L103" s="157"/>
      <c r="M103" s="182"/>
      <c r="N103" s="182"/>
      <c r="O103" s="152" t="s">
        <v>149</v>
      </c>
      <c r="P103" s="78">
        <v>51000200002</v>
      </c>
      <c r="Q103" s="142" t="s">
        <v>351</v>
      </c>
      <c r="R103" s="145">
        <f t="shared" si="5"/>
        <v>0</v>
      </c>
    </row>
    <row r="104" spans="2:26" x14ac:dyDescent="0.2">
      <c r="B104" s="163"/>
      <c r="C104" s="164"/>
      <c r="D104" s="164"/>
      <c r="E104" s="142"/>
      <c r="F104" s="163"/>
      <c r="G104" s="165"/>
      <c r="H104" s="165"/>
      <c r="I104" s="165"/>
      <c r="J104" s="165"/>
      <c r="K104" s="165"/>
      <c r="L104" s="165"/>
      <c r="O104" s="152" t="s">
        <v>149</v>
      </c>
      <c r="P104" s="78">
        <v>51000200002</v>
      </c>
      <c r="Q104" s="142" t="s">
        <v>56</v>
      </c>
      <c r="R104" s="145">
        <f t="shared" si="5"/>
        <v>0</v>
      </c>
    </row>
    <row r="105" spans="2:26" x14ac:dyDescent="0.2">
      <c r="B105" s="114"/>
      <c r="C105" s="115"/>
      <c r="D105" s="115"/>
      <c r="E105" s="114"/>
      <c r="F105" s="114"/>
      <c r="G105" s="166">
        <f t="shared" ref="G105:L105" si="6">SUM(G96:G104)</f>
        <v>0</v>
      </c>
      <c r="H105" s="166">
        <f t="shared" si="6"/>
        <v>0</v>
      </c>
      <c r="I105" s="166">
        <f t="shared" si="6"/>
        <v>0</v>
      </c>
      <c r="J105" s="166">
        <f t="shared" si="6"/>
        <v>2829.21</v>
      </c>
      <c r="K105" s="166">
        <f t="shared" si="6"/>
        <v>0</v>
      </c>
      <c r="L105" s="166">
        <f t="shared" si="6"/>
        <v>2829.21</v>
      </c>
      <c r="O105" s="152" t="s">
        <v>149</v>
      </c>
      <c r="P105" s="78">
        <v>51220200001</v>
      </c>
      <c r="Q105" s="142" t="s">
        <v>460</v>
      </c>
      <c r="R105" s="145">
        <f t="shared" si="5"/>
        <v>690.69</v>
      </c>
    </row>
    <row r="106" spans="2:26" x14ac:dyDescent="0.2">
      <c r="O106" s="152" t="s">
        <v>149</v>
      </c>
      <c r="P106" s="78">
        <v>51220200001</v>
      </c>
      <c r="Q106" s="142" t="s">
        <v>351</v>
      </c>
      <c r="R106" s="145">
        <f t="shared" si="5"/>
        <v>0</v>
      </c>
    </row>
    <row r="107" spans="2:26" x14ac:dyDescent="0.2">
      <c r="O107" s="152" t="s">
        <v>149</v>
      </c>
      <c r="P107" s="78">
        <v>51220200001</v>
      </c>
      <c r="Q107" s="142" t="s">
        <v>56</v>
      </c>
      <c r="R107" s="145">
        <f t="shared" si="5"/>
        <v>0</v>
      </c>
    </row>
    <row r="108" spans="2:26" x14ac:dyDescent="0.2">
      <c r="O108" s="152" t="s">
        <v>149</v>
      </c>
      <c r="P108" s="78">
        <v>52200000001</v>
      </c>
      <c r="Q108" s="142" t="s">
        <v>460</v>
      </c>
      <c r="R108" s="145">
        <f t="shared" si="5"/>
        <v>0</v>
      </c>
    </row>
    <row r="109" spans="2:26" x14ac:dyDescent="0.2">
      <c r="O109" s="152" t="s">
        <v>149</v>
      </c>
      <c r="P109" s="78">
        <v>52200000001</v>
      </c>
      <c r="Q109" s="142" t="s">
        <v>351</v>
      </c>
      <c r="R109" s="145">
        <f t="shared" si="5"/>
        <v>0</v>
      </c>
      <c r="W109" s="106" t="s">
        <v>478</v>
      </c>
      <c r="X109" s="144">
        <f>+X97</f>
        <v>-2831.04</v>
      </c>
    </row>
    <row r="110" spans="2:26" x14ac:dyDescent="0.2">
      <c r="O110" s="152" t="s">
        <v>149</v>
      </c>
      <c r="P110" s="78">
        <v>52200000001</v>
      </c>
      <c r="Q110" s="142" t="s">
        <v>56</v>
      </c>
      <c r="R110" s="145">
        <f t="shared" si="5"/>
        <v>0</v>
      </c>
      <c r="W110" s="97" t="s">
        <v>480</v>
      </c>
      <c r="X110" s="144">
        <f>Y100</f>
        <v>1045.04</v>
      </c>
    </row>
    <row r="111" spans="2:26" x14ac:dyDescent="0.2">
      <c r="O111" s="152" t="s">
        <v>149</v>
      </c>
      <c r="P111" s="78">
        <v>52200000001</v>
      </c>
      <c r="Q111" s="142" t="s">
        <v>460</v>
      </c>
      <c r="R111" s="145">
        <f t="shared" si="5"/>
        <v>0</v>
      </c>
      <c r="W111" s="97" t="s">
        <v>486</v>
      </c>
      <c r="X111" s="167">
        <f>SUM(J97)</f>
        <v>1784.17</v>
      </c>
    </row>
    <row r="112" spans="2:26" x14ac:dyDescent="0.2">
      <c r="O112" s="152" t="s">
        <v>149</v>
      </c>
      <c r="P112" s="78">
        <v>51220200001</v>
      </c>
      <c r="Q112" s="142" t="s">
        <v>496</v>
      </c>
      <c r="R112" s="145">
        <f t="shared" si="5"/>
        <v>354.35</v>
      </c>
      <c r="X112" s="158">
        <f>X109+X110+X111</f>
        <v>-1.8299999999999272</v>
      </c>
      <c r="Y112" s="97" t="s">
        <v>500</v>
      </c>
    </row>
    <row r="113" spans="2:26" x14ac:dyDescent="0.2">
      <c r="O113" s="152" t="s">
        <v>149</v>
      </c>
      <c r="P113" s="78">
        <v>53000100001</v>
      </c>
      <c r="Q113" s="142" t="s">
        <v>460</v>
      </c>
      <c r="R113" s="145">
        <f t="shared" si="5"/>
        <v>0</v>
      </c>
    </row>
    <row r="114" spans="2:26" x14ac:dyDescent="0.2">
      <c r="O114" s="152"/>
      <c r="P114" s="97"/>
      <c r="Q114" s="142"/>
      <c r="R114" s="151">
        <f>SUM(R97:R113)</f>
        <v>1045.04</v>
      </c>
    </row>
    <row r="117" spans="2:26" ht="16.5" x14ac:dyDescent="0.25">
      <c r="B117" s="113" t="s">
        <v>458</v>
      </c>
      <c r="C117" s="114"/>
      <c r="D117" s="115"/>
      <c r="E117" s="116" t="s">
        <v>150</v>
      </c>
    </row>
    <row r="118" spans="2:26" x14ac:dyDescent="0.2">
      <c r="B118" s="120" t="s">
        <v>42</v>
      </c>
      <c r="C118" s="114"/>
      <c r="D118" s="114"/>
      <c r="E118" s="121"/>
    </row>
    <row r="120" spans="2:26" x14ac:dyDescent="0.2">
      <c r="O120" s="170" t="s">
        <v>480</v>
      </c>
      <c r="P120" s="170"/>
      <c r="Q120" s="170"/>
      <c r="R120" s="170"/>
      <c r="U120" s="106" t="s">
        <v>465</v>
      </c>
      <c r="Y120" s="97" t="s">
        <v>479</v>
      </c>
      <c r="Z120" s="97" t="s">
        <v>340</v>
      </c>
    </row>
    <row r="121" spans="2:26" x14ac:dyDescent="0.2">
      <c r="B121" s="125"/>
      <c r="C121" s="126" t="s">
        <v>255</v>
      </c>
      <c r="D121" s="127" t="s">
        <v>43</v>
      </c>
      <c r="E121" s="127"/>
      <c r="F121" s="127" t="s">
        <v>135</v>
      </c>
      <c r="G121" s="127"/>
      <c r="H121" s="128" t="s">
        <v>136</v>
      </c>
      <c r="I121" s="129"/>
      <c r="J121" s="129"/>
      <c r="K121" s="129"/>
      <c r="L121" s="146"/>
      <c r="O121" s="152" t="s">
        <v>150</v>
      </c>
      <c r="P121" s="78">
        <v>51000000001</v>
      </c>
      <c r="Q121" s="142" t="s">
        <v>460</v>
      </c>
      <c r="R121" s="145">
        <f>SUMIFS($J$125:$J$134,$E$125:$E$134,Q121,$M$125:$M$134,P121)</f>
        <v>0</v>
      </c>
      <c r="T121" s="97">
        <v>51000100001</v>
      </c>
      <c r="U121" s="97" t="s">
        <v>12</v>
      </c>
      <c r="X121" s="109">
        <v>-193.27</v>
      </c>
      <c r="Y121" s="150">
        <f>R123</f>
        <v>193.27</v>
      </c>
      <c r="Z121" s="144">
        <f>X121+Y121</f>
        <v>0</v>
      </c>
    </row>
    <row r="122" spans="2:26" x14ac:dyDescent="0.2">
      <c r="B122" s="130" t="s">
        <v>137</v>
      </c>
      <c r="C122" s="131" t="s">
        <v>138</v>
      </c>
      <c r="D122" s="131" t="s">
        <v>258</v>
      </c>
      <c r="E122" s="131" t="s">
        <v>139</v>
      </c>
      <c r="F122" s="131" t="s">
        <v>259</v>
      </c>
      <c r="G122" s="131" t="s">
        <v>140</v>
      </c>
      <c r="H122" s="132" t="s">
        <v>94</v>
      </c>
      <c r="I122" s="129"/>
      <c r="J122" s="132" t="s">
        <v>141</v>
      </c>
      <c r="K122" s="129"/>
      <c r="L122" s="147" t="s">
        <v>325</v>
      </c>
      <c r="O122" s="152" t="s">
        <v>150</v>
      </c>
      <c r="P122" s="78">
        <v>51000000002</v>
      </c>
      <c r="Q122" s="142" t="s">
        <v>460</v>
      </c>
      <c r="R122" s="145">
        <f>SUMIFS($J$125:$J$134,$E$125:$E$134,Q122,$M$125:$M$134,P122)</f>
        <v>0</v>
      </c>
      <c r="T122" s="97">
        <v>51000100002</v>
      </c>
      <c r="U122" s="97" t="s">
        <v>380</v>
      </c>
      <c r="X122" s="109">
        <v>-193.27</v>
      </c>
      <c r="Y122" s="150">
        <f>R124</f>
        <v>193.27</v>
      </c>
      <c r="Z122" s="144">
        <f>X122+Y122</f>
        <v>0</v>
      </c>
    </row>
    <row r="123" spans="2:26" x14ac:dyDescent="0.2">
      <c r="B123" s="133"/>
      <c r="C123" s="134"/>
      <c r="D123" s="134"/>
      <c r="E123" s="133"/>
      <c r="F123" s="133"/>
      <c r="G123" s="133"/>
      <c r="H123" s="135" t="s">
        <v>326</v>
      </c>
      <c r="I123" s="136" t="s">
        <v>327</v>
      </c>
      <c r="J123" s="148" t="s">
        <v>328</v>
      </c>
      <c r="K123" s="148" t="s">
        <v>89</v>
      </c>
      <c r="L123" s="149" t="s">
        <v>94</v>
      </c>
      <c r="O123" s="152" t="s">
        <v>150</v>
      </c>
      <c r="P123" s="78">
        <v>51000100001</v>
      </c>
      <c r="Q123" s="142" t="s">
        <v>460</v>
      </c>
      <c r="R123" s="145">
        <f>SUMIFS($J$125:$J$134,$E$125:$E$134,Q123,$M$125:$M$134,P123)</f>
        <v>193.27</v>
      </c>
      <c r="T123" s="97">
        <v>51220200001</v>
      </c>
      <c r="U123" s="97" t="s">
        <v>55</v>
      </c>
      <c r="X123" s="109">
        <v>-1024.6799999999994</v>
      </c>
      <c r="Y123" s="150">
        <f>R131+R138</f>
        <v>1022.86</v>
      </c>
      <c r="Z123" s="144">
        <f>X123+Y123</f>
        <v>-1.8199999999993679</v>
      </c>
    </row>
    <row r="124" spans="2:26" x14ac:dyDescent="0.2">
      <c r="B124" s="137"/>
      <c r="C124" s="138"/>
      <c r="D124" s="138"/>
      <c r="E124" s="139"/>
      <c r="F124" s="140"/>
      <c r="G124" s="107"/>
      <c r="H124" s="108"/>
      <c r="I124" s="108"/>
      <c r="J124" s="108"/>
      <c r="K124" s="108"/>
      <c r="L124" s="108"/>
      <c r="O124" s="152" t="s">
        <v>150</v>
      </c>
      <c r="P124" s="78">
        <v>51000100002</v>
      </c>
      <c r="Q124" s="142" t="s">
        <v>460</v>
      </c>
      <c r="R124" s="145">
        <f>SUMIFS($J$125:$J$134,$E$125:$E$134,Q124,$M$125:$M$134,P124)</f>
        <v>193.27</v>
      </c>
      <c r="T124" s="97">
        <v>52200000001</v>
      </c>
      <c r="U124" s="97" t="s">
        <v>33</v>
      </c>
      <c r="X124" s="109">
        <v>-6719.37</v>
      </c>
    </row>
    <row r="125" spans="2:26" x14ac:dyDescent="0.2">
      <c r="B125" s="141"/>
      <c r="C125" s="138" t="s">
        <v>556</v>
      </c>
      <c r="D125" s="138" t="s">
        <v>459</v>
      </c>
      <c r="E125" s="142" t="s">
        <v>482</v>
      </c>
      <c r="F125" s="142">
        <v>0</v>
      </c>
      <c r="G125" s="107"/>
      <c r="H125" s="108"/>
      <c r="I125" s="108"/>
      <c r="J125" s="108">
        <v>0</v>
      </c>
      <c r="K125" s="143">
        <v>0</v>
      </c>
      <c r="L125" s="108">
        <v>0</v>
      </c>
      <c r="O125" s="152" t="s">
        <v>150</v>
      </c>
      <c r="P125" s="78">
        <v>51000200001</v>
      </c>
      <c r="Q125" s="142" t="s">
        <v>460</v>
      </c>
      <c r="R125" s="145">
        <f t="shared" ref="R125:R139" si="7">SUMIFS($J$125:$J$134,$E$125:$E$134,Q125,$M$125:$M$134,P125)</f>
        <v>0</v>
      </c>
      <c r="Y125" s="158">
        <f>SUM(Y121:Y124)</f>
        <v>1409.4</v>
      </c>
      <c r="Z125" s="158">
        <f>SUM(Z121:Z124)</f>
        <v>-1.8199999999993679</v>
      </c>
    </row>
    <row r="126" spans="2:26" x14ac:dyDescent="0.2">
      <c r="B126" s="141"/>
      <c r="C126" s="138" t="s">
        <v>557</v>
      </c>
      <c r="D126" s="138" t="s">
        <v>459</v>
      </c>
      <c r="E126" s="142" t="s">
        <v>482</v>
      </c>
      <c r="F126" s="142">
        <v>0</v>
      </c>
      <c r="G126" s="142"/>
      <c r="H126" s="108"/>
      <c r="I126" s="108"/>
      <c r="J126" s="108">
        <v>0</v>
      </c>
      <c r="K126" s="143">
        <v>0</v>
      </c>
      <c r="L126" s="108">
        <v>0</v>
      </c>
      <c r="O126" s="152" t="s">
        <v>150</v>
      </c>
      <c r="P126" s="78">
        <v>51000200001</v>
      </c>
      <c r="Q126" s="142" t="s">
        <v>351</v>
      </c>
      <c r="R126" s="145">
        <f t="shared" si="7"/>
        <v>0</v>
      </c>
    </row>
    <row r="127" spans="2:26" x14ac:dyDescent="0.2">
      <c r="B127" s="141">
        <v>43196</v>
      </c>
      <c r="C127" s="138" t="s">
        <v>558</v>
      </c>
      <c r="D127" s="138" t="s">
        <v>459</v>
      </c>
      <c r="E127" s="142" t="s">
        <v>460</v>
      </c>
      <c r="F127" s="142" t="s">
        <v>90</v>
      </c>
      <c r="G127" s="107"/>
      <c r="H127" s="108"/>
      <c r="I127" s="108"/>
      <c r="J127" s="108">
        <v>193.27</v>
      </c>
      <c r="K127" s="143">
        <v>25.12</v>
      </c>
      <c r="L127" s="108">
        <v>218.39000000000001</v>
      </c>
      <c r="M127" s="97">
        <v>51000100001</v>
      </c>
      <c r="O127" s="152" t="s">
        <v>150</v>
      </c>
      <c r="P127" s="78">
        <v>51000200001</v>
      </c>
      <c r="Q127" s="142" t="s">
        <v>56</v>
      </c>
      <c r="R127" s="145">
        <f t="shared" si="7"/>
        <v>0</v>
      </c>
    </row>
    <row r="128" spans="2:26" x14ac:dyDescent="0.2">
      <c r="B128" s="141">
        <v>43196</v>
      </c>
      <c r="C128" s="138" t="s">
        <v>559</v>
      </c>
      <c r="D128" s="138" t="s">
        <v>459</v>
      </c>
      <c r="E128" s="142" t="s">
        <v>460</v>
      </c>
      <c r="F128" s="142" t="s">
        <v>90</v>
      </c>
      <c r="G128" s="142"/>
      <c r="H128" s="108"/>
      <c r="I128" s="108"/>
      <c r="J128" s="108">
        <v>193.27</v>
      </c>
      <c r="K128" s="143">
        <v>25.12</v>
      </c>
      <c r="L128" s="108">
        <v>218.39000000000001</v>
      </c>
      <c r="M128" s="97">
        <v>51000100002</v>
      </c>
      <c r="O128" s="152" t="s">
        <v>150</v>
      </c>
      <c r="P128" s="78">
        <v>51000200002</v>
      </c>
      <c r="Q128" s="142" t="s">
        <v>460</v>
      </c>
      <c r="R128" s="145">
        <f t="shared" si="7"/>
        <v>0</v>
      </c>
    </row>
    <row r="129" spans="2:25" x14ac:dyDescent="0.2">
      <c r="B129" s="141"/>
      <c r="C129" s="138" t="s">
        <v>560</v>
      </c>
      <c r="D129" s="138" t="s">
        <v>459</v>
      </c>
      <c r="E129" s="142" t="s">
        <v>482</v>
      </c>
      <c r="F129" s="142">
        <v>0</v>
      </c>
      <c r="G129" s="142"/>
      <c r="H129" s="108"/>
      <c r="I129" s="108"/>
      <c r="J129" s="108">
        <v>0</v>
      </c>
      <c r="K129" s="143">
        <v>0</v>
      </c>
      <c r="L129" s="108">
        <v>0</v>
      </c>
      <c r="O129" s="152" t="s">
        <v>150</v>
      </c>
      <c r="P129" s="78">
        <v>51000200002</v>
      </c>
      <c r="Q129" s="142" t="s">
        <v>351</v>
      </c>
      <c r="R129" s="145">
        <f t="shared" si="7"/>
        <v>0</v>
      </c>
    </row>
    <row r="130" spans="2:25" x14ac:dyDescent="0.2">
      <c r="B130" s="141"/>
      <c r="C130" s="138" t="s">
        <v>561</v>
      </c>
      <c r="D130" s="138" t="s">
        <v>459</v>
      </c>
      <c r="E130" s="142" t="s">
        <v>482</v>
      </c>
      <c r="F130" s="142">
        <v>0</v>
      </c>
      <c r="G130" s="142"/>
      <c r="H130" s="108"/>
      <c r="I130" s="108"/>
      <c r="J130" s="108">
        <v>0</v>
      </c>
      <c r="K130" s="143">
        <v>0</v>
      </c>
      <c r="L130" s="108">
        <v>0</v>
      </c>
      <c r="O130" s="152" t="s">
        <v>150</v>
      </c>
      <c r="P130" s="78">
        <v>51000200002</v>
      </c>
      <c r="Q130" s="142" t="s">
        <v>56</v>
      </c>
      <c r="R130" s="145">
        <f t="shared" si="7"/>
        <v>0</v>
      </c>
    </row>
    <row r="131" spans="2:25" x14ac:dyDescent="0.2">
      <c r="B131" s="141">
        <v>43202</v>
      </c>
      <c r="C131" s="138" t="s">
        <v>562</v>
      </c>
      <c r="D131" s="138" t="s">
        <v>459</v>
      </c>
      <c r="E131" s="142" t="s">
        <v>496</v>
      </c>
      <c r="F131" s="142" t="s">
        <v>497</v>
      </c>
      <c r="G131" s="142"/>
      <c r="H131" s="108"/>
      <c r="I131" s="108"/>
      <c r="J131" s="108">
        <v>379.35</v>
      </c>
      <c r="K131" s="143">
        <v>49.32</v>
      </c>
      <c r="L131" s="108">
        <v>428.67</v>
      </c>
      <c r="M131" s="97">
        <v>51220200001</v>
      </c>
      <c r="O131" s="152" t="s">
        <v>150</v>
      </c>
      <c r="P131" s="78">
        <v>51220200001</v>
      </c>
      <c r="Q131" s="142" t="s">
        <v>460</v>
      </c>
      <c r="R131" s="145">
        <f t="shared" si="7"/>
        <v>643.51</v>
      </c>
      <c r="W131" s="106" t="s">
        <v>478</v>
      </c>
      <c r="X131" s="144">
        <f>+X121+X122+X123</f>
        <v>-1411.2199999999993</v>
      </c>
    </row>
    <row r="132" spans="2:25" x14ac:dyDescent="0.2">
      <c r="B132" s="141">
        <v>43202</v>
      </c>
      <c r="C132" s="138" t="s">
        <v>563</v>
      </c>
      <c r="D132" s="138" t="s">
        <v>459</v>
      </c>
      <c r="E132" s="142" t="s">
        <v>460</v>
      </c>
      <c r="F132" s="142" t="s">
        <v>90</v>
      </c>
      <c r="G132" s="142"/>
      <c r="H132" s="108"/>
      <c r="I132" s="108"/>
      <c r="J132" s="108">
        <v>643.51</v>
      </c>
      <c r="K132" s="143">
        <v>83.66</v>
      </c>
      <c r="L132" s="108">
        <v>727.17</v>
      </c>
      <c r="M132" s="97">
        <v>51220200001</v>
      </c>
      <c r="O132" s="152" t="s">
        <v>150</v>
      </c>
      <c r="P132" s="78">
        <v>51220200001</v>
      </c>
      <c r="Q132" s="142" t="s">
        <v>351</v>
      </c>
      <c r="R132" s="145">
        <f t="shared" si="7"/>
        <v>0</v>
      </c>
      <c r="W132" s="97" t="s">
        <v>480</v>
      </c>
      <c r="X132" s="144">
        <f>Y125</f>
        <v>1409.4</v>
      </c>
    </row>
    <row r="133" spans="2:25" x14ac:dyDescent="0.2">
      <c r="O133" s="152" t="s">
        <v>150</v>
      </c>
      <c r="P133" s="78">
        <v>51220200001</v>
      </c>
      <c r="Q133" s="142" t="s">
        <v>56</v>
      </c>
      <c r="R133" s="145">
        <f t="shared" si="7"/>
        <v>0</v>
      </c>
      <c r="W133" s="97" t="s">
        <v>486</v>
      </c>
      <c r="X133" s="167">
        <v>0</v>
      </c>
    </row>
    <row r="134" spans="2:25" x14ac:dyDescent="0.2">
      <c r="E134" s="142" t="s">
        <v>537</v>
      </c>
      <c r="F134" s="114"/>
      <c r="G134" s="157"/>
      <c r="H134" s="157"/>
      <c r="I134" s="157"/>
      <c r="J134" s="157"/>
      <c r="K134" s="143">
        <v>-183.22</v>
      </c>
      <c r="L134" s="108">
        <f>+J134+K134</f>
        <v>-183.22</v>
      </c>
      <c r="O134" s="152" t="s">
        <v>150</v>
      </c>
      <c r="P134" s="78">
        <v>52200000001</v>
      </c>
      <c r="Q134" s="142" t="s">
        <v>460</v>
      </c>
      <c r="R134" s="145">
        <f t="shared" si="7"/>
        <v>0</v>
      </c>
      <c r="X134" s="158">
        <f>X131+X132+X133</f>
        <v>-1.8199999999992542</v>
      </c>
      <c r="Y134" s="97" t="s">
        <v>500</v>
      </c>
    </row>
    <row r="135" spans="2:25" x14ac:dyDescent="0.2">
      <c r="E135" s="142"/>
      <c r="F135" s="114"/>
      <c r="G135" s="157"/>
      <c r="H135" s="157"/>
      <c r="I135" s="157"/>
      <c r="J135" s="157"/>
      <c r="K135" s="143">
        <v>0</v>
      </c>
      <c r="L135" s="108"/>
      <c r="O135" s="152" t="s">
        <v>150</v>
      </c>
      <c r="P135" s="78">
        <v>52200000001</v>
      </c>
      <c r="Q135" s="142" t="s">
        <v>351</v>
      </c>
      <c r="R135" s="145">
        <f t="shared" si="7"/>
        <v>0</v>
      </c>
    </row>
    <row r="136" spans="2:25" x14ac:dyDescent="0.2">
      <c r="E136" s="142"/>
      <c r="F136" s="114"/>
      <c r="G136" s="157"/>
      <c r="H136" s="157"/>
      <c r="I136" s="157"/>
      <c r="J136" s="157"/>
      <c r="K136" s="143"/>
      <c r="L136" s="108"/>
      <c r="O136" s="152" t="s">
        <v>150</v>
      </c>
      <c r="P136" s="78">
        <v>52200000001</v>
      </c>
      <c r="Q136" s="142" t="s">
        <v>56</v>
      </c>
      <c r="R136" s="145">
        <f t="shared" si="7"/>
        <v>0</v>
      </c>
    </row>
    <row r="137" spans="2:25" x14ac:dyDescent="0.2">
      <c r="E137" s="142"/>
      <c r="F137" s="114"/>
      <c r="G137" s="157"/>
      <c r="H137" s="157"/>
      <c r="I137" s="157"/>
      <c r="J137" s="157"/>
      <c r="K137" s="157"/>
      <c r="L137" s="157"/>
      <c r="O137" s="152" t="s">
        <v>150</v>
      </c>
      <c r="P137" s="78">
        <v>52200000001</v>
      </c>
      <c r="Q137" s="142" t="s">
        <v>460</v>
      </c>
      <c r="R137" s="145">
        <f t="shared" si="7"/>
        <v>0</v>
      </c>
    </row>
    <row r="138" spans="2:25" x14ac:dyDescent="0.2">
      <c r="E138" s="142"/>
      <c r="F138" s="163"/>
      <c r="G138" s="165"/>
      <c r="H138" s="165"/>
      <c r="I138" s="165"/>
      <c r="J138" s="165"/>
      <c r="K138" s="165"/>
      <c r="L138" s="165"/>
      <c r="O138" s="152" t="s">
        <v>150</v>
      </c>
      <c r="P138" s="78">
        <v>51220200001</v>
      </c>
      <c r="Q138" s="142" t="s">
        <v>496</v>
      </c>
      <c r="R138" s="145">
        <f t="shared" si="7"/>
        <v>379.35</v>
      </c>
    </row>
    <row r="139" spans="2:25" x14ac:dyDescent="0.2">
      <c r="E139" s="114"/>
      <c r="F139" s="114"/>
      <c r="G139" s="166">
        <f t="shared" ref="G139:L139" si="8">SUM(G56:G138)</f>
        <v>2017</v>
      </c>
      <c r="H139" s="166">
        <f t="shared" si="8"/>
        <v>0</v>
      </c>
      <c r="I139" s="166">
        <f t="shared" si="8"/>
        <v>0</v>
      </c>
      <c r="J139" s="166">
        <f t="shared" si="8"/>
        <v>66643.14</v>
      </c>
      <c r="K139" s="166">
        <f t="shared" si="8"/>
        <v>3834.7399999999989</v>
      </c>
      <c r="L139" s="166">
        <f t="shared" si="8"/>
        <v>70477.87999999999</v>
      </c>
      <c r="O139" s="152" t="s">
        <v>150</v>
      </c>
      <c r="P139" s="78">
        <v>53000100001</v>
      </c>
      <c r="Q139" s="142" t="s">
        <v>460</v>
      </c>
      <c r="R139" s="196">
        <f t="shared" si="7"/>
        <v>0</v>
      </c>
    </row>
    <row r="140" spans="2:25" x14ac:dyDescent="0.2">
      <c r="R140" s="151">
        <f>SUM(R121:R139)</f>
        <v>1409.4</v>
      </c>
    </row>
    <row r="147" spans="2:26" ht="16.5" x14ac:dyDescent="0.25">
      <c r="B147" s="113" t="s">
        <v>458</v>
      </c>
      <c r="C147" s="114"/>
      <c r="D147" s="115"/>
      <c r="E147" s="116" t="s">
        <v>151</v>
      </c>
    </row>
    <row r="148" spans="2:26" x14ac:dyDescent="0.2">
      <c r="B148" s="120" t="s">
        <v>42</v>
      </c>
      <c r="C148" s="114"/>
      <c r="D148" s="114"/>
      <c r="E148" s="121"/>
    </row>
    <row r="151" spans="2:26" x14ac:dyDescent="0.2">
      <c r="B151" s="125"/>
      <c r="C151" s="126" t="s">
        <v>255</v>
      </c>
      <c r="D151" s="127" t="s">
        <v>43</v>
      </c>
      <c r="E151" s="127"/>
      <c r="F151" s="127" t="s">
        <v>135</v>
      </c>
      <c r="G151" s="127"/>
      <c r="H151" s="128" t="s">
        <v>136</v>
      </c>
      <c r="I151" s="129"/>
      <c r="J151" s="129"/>
      <c r="K151" s="129"/>
      <c r="L151" s="146"/>
      <c r="O151" s="170" t="s">
        <v>480</v>
      </c>
      <c r="P151" s="170"/>
      <c r="Q151" s="170"/>
      <c r="R151" s="170"/>
      <c r="U151" s="106" t="s">
        <v>465</v>
      </c>
      <c r="Y151" s="97" t="s">
        <v>479</v>
      </c>
      <c r="Z151" s="97" t="s">
        <v>340</v>
      </c>
    </row>
    <row r="152" spans="2:26" x14ac:dyDescent="0.2">
      <c r="B152" s="130" t="s">
        <v>137</v>
      </c>
      <c r="C152" s="131" t="s">
        <v>138</v>
      </c>
      <c r="D152" s="131" t="s">
        <v>258</v>
      </c>
      <c r="E152" s="131" t="s">
        <v>139</v>
      </c>
      <c r="F152" s="131" t="s">
        <v>259</v>
      </c>
      <c r="G152" s="131" t="s">
        <v>140</v>
      </c>
      <c r="H152" s="132" t="s">
        <v>94</v>
      </c>
      <c r="I152" s="129"/>
      <c r="J152" s="132" t="s">
        <v>141</v>
      </c>
      <c r="K152" s="129"/>
      <c r="L152" s="147" t="s">
        <v>325</v>
      </c>
      <c r="O152" s="152" t="s">
        <v>151</v>
      </c>
      <c r="P152" s="78">
        <v>51000000001</v>
      </c>
      <c r="Q152" s="142" t="s">
        <v>460</v>
      </c>
      <c r="R152" s="145">
        <f>SUMIFS($J$155:$J$171,$E$155:$E$171,Q152,$M$155:$M$171,P152)</f>
        <v>0</v>
      </c>
      <c r="T152" s="97">
        <v>51000100001</v>
      </c>
      <c r="U152" s="97" t="s">
        <v>12</v>
      </c>
      <c r="X152" s="109">
        <v>-16204.79</v>
      </c>
      <c r="Y152" s="109">
        <f>R154</f>
        <v>2246.86</v>
      </c>
      <c r="Z152" s="144">
        <f>X152+Y152</f>
        <v>-13957.93</v>
      </c>
    </row>
    <row r="153" spans="2:26" x14ac:dyDescent="0.2">
      <c r="B153" s="133"/>
      <c r="C153" s="134"/>
      <c r="D153" s="134"/>
      <c r="E153" s="133"/>
      <c r="F153" s="133"/>
      <c r="G153" s="133"/>
      <c r="H153" s="135" t="s">
        <v>326</v>
      </c>
      <c r="I153" s="136" t="s">
        <v>327</v>
      </c>
      <c r="J153" s="148" t="s">
        <v>328</v>
      </c>
      <c r="K153" s="148" t="s">
        <v>89</v>
      </c>
      <c r="L153" s="149" t="s">
        <v>94</v>
      </c>
      <c r="O153" s="152" t="s">
        <v>151</v>
      </c>
      <c r="P153" s="78">
        <v>51000000002</v>
      </c>
      <c r="Q153" s="142" t="s">
        <v>460</v>
      </c>
      <c r="R153" s="145">
        <f t="shared" ref="R153:R170" si="9">SUMIFS($J$155:$J$171,$E$155:$E$171,Q153,$M$155:$M$171,P153)</f>
        <v>0</v>
      </c>
      <c r="T153" s="97">
        <v>51000100002</v>
      </c>
      <c r="U153" s="97" t="s">
        <v>380</v>
      </c>
      <c r="X153" s="109">
        <v>-10970.58</v>
      </c>
      <c r="Y153" s="109">
        <f>R155</f>
        <v>2246.86</v>
      </c>
      <c r="Z153" s="144">
        <f>X153+Y153</f>
        <v>-8723.7199999999993</v>
      </c>
    </row>
    <row r="154" spans="2:26" x14ac:dyDescent="0.2">
      <c r="B154" s="137"/>
      <c r="C154" s="138"/>
      <c r="D154" s="138"/>
      <c r="E154" s="139"/>
      <c r="F154" s="140"/>
      <c r="G154" s="107"/>
      <c r="H154" s="108"/>
      <c r="I154" s="108"/>
      <c r="J154" s="108"/>
      <c r="K154" s="108"/>
      <c r="L154" s="108"/>
      <c r="O154" s="152" t="s">
        <v>151</v>
      </c>
      <c r="P154" s="78">
        <v>51000100001</v>
      </c>
      <c r="Q154" s="142" t="s">
        <v>460</v>
      </c>
      <c r="R154" s="145">
        <f t="shared" si="9"/>
        <v>2246.86</v>
      </c>
      <c r="T154" s="97">
        <v>51220200001</v>
      </c>
      <c r="U154" s="97" t="s">
        <v>55</v>
      </c>
      <c r="X154" s="109">
        <v>-942.17000000000007</v>
      </c>
      <c r="Y154" s="109">
        <f>R162+R169</f>
        <v>918.99</v>
      </c>
      <c r="Z154" s="144">
        <f>X154+Y154</f>
        <v>-23.180000000000064</v>
      </c>
    </row>
    <row r="155" spans="2:26" x14ac:dyDescent="0.2">
      <c r="B155" s="141">
        <v>43222</v>
      </c>
      <c r="C155" s="138" t="s">
        <v>565</v>
      </c>
      <c r="D155" s="138" t="s">
        <v>459</v>
      </c>
      <c r="E155" s="142" t="s">
        <v>460</v>
      </c>
      <c r="F155" s="142" t="s">
        <v>90</v>
      </c>
      <c r="G155" s="107"/>
      <c r="H155" s="108"/>
      <c r="I155" s="108"/>
      <c r="J155" s="108">
        <v>2246.86</v>
      </c>
      <c r="K155" s="143">
        <v>292.08999999999997</v>
      </c>
      <c r="L155" s="108">
        <v>2538.9500000000003</v>
      </c>
      <c r="M155" s="97">
        <v>51000100002</v>
      </c>
      <c r="O155" s="152" t="s">
        <v>151</v>
      </c>
      <c r="P155" s="78">
        <v>51000100002</v>
      </c>
      <c r="Q155" s="142" t="s">
        <v>460</v>
      </c>
      <c r="R155" s="145">
        <f t="shared" si="9"/>
        <v>2246.86</v>
      </c>
      <c r="T155" s="97">
        <v>52200000001</v>
      </c>
      <c r="U155" s="97" t="s">
        <v>33</v>
      </c>
      <c r="X155" s="109">
        <v>-5836.4399999999987</v>
      </c>
      <c r="Y155" s="171"/>
      <c r="Z155" s="201"/>
    </row>
    <row r="156" spans="2:26" x14ac:dyDescent="0.2">
      <c r="B156" s="141"/>
      <c r="C156" s="138" t="s">
        <v>566</v>
      </c>
      <c r="D156" s="138" t="s">
        <v>459</v>
      </c>
      <c r="E156" s="142" t="s">
        <v>482</v>
      </c>
      <c r="F156" s="142">
        <v>0</v>
      </c>
      <c r="G156" s="142"/>
      <c r="H156" s="108"/>
      <c r="I156" s="108"/>
      <c r="J156" s="108">
        <v>0</v>
      </c>
      <c r="K156" s="143">
        <v>0</v>
      </c>
      <c r="L156" s="108">
        <v>0</v>
      </c>
      <c r="O156" s="152" t="s">
        <v>151</v>
      </c>
      <c r="P156" s="78">
        <v>51000200001</v>
      </c>
      <c r="Q156" s="142" t="s">
        <v>460</v>
      </c>
      <c r="R156" s="145">
        <f t="shared" si="9"/>
        <v>0</v>
      </c>
      <c r="Y156" s="158">
        <f>SUM(Y152:Y155)</f>
        <v>5412.71</v>
      </c>
      <c r="Z156" s="158">
        <f>SUM(Z152:Z155)</f>
        <v>-22704.83</v>
      </c>
    </row>
    <row r="157" spans="2:26" x14ac:dyDescent="0.2">
      <c r="B157" s="141">
        <v>43222</v>
      </c>
      <c r="C157" s="138" t="s">
        <v>567</v>
      </c>
      <c r="D157" s="138" t="s">
        <v>459</v>
      </c>
      <c r="E157" s="142" t="s">
        <v>539</v>
      </c>
      <c r="F157" s="142" t="s">
        <v>329</v>
      </c>
      <c r="G157" s="107"/>
      <c r="H157" s="108"/>
      <c r="I157" s="108"/>
      <c r="J157" s="108">
        <v>3594.96</v>
      </c>
      <c r="K157" s="143">
        <v>467.33</v>
      </c>
      <c r="L157" s="108">
        <v>4062.29</v>
      </c>
      <c r="M157" s="97">
        <v>51000100001</v>
      </c>
      <c r="O157" s="152" t="s">
        <v>151</v>
      </c>
      <c r="P157" s="78">
        <v>51000200001</v>
      </c>
      <c r="Q157" s="142" t="s">
        <v>351</v>
      </c>
      <c r="R157" s="145">
        <f t="shared" si="9"/>
        <v>0</v>
      </c>
    </row>
    <row r="158" spans="2:26" x14ac:dyDescent="0.2">
      <c r="B158" s="141"/>
      <c r="C158" s="138" t="s">
        <v>568</v>
      </c>
      <c r="D158" s="138" t="s">
        <v>459</v>
      </c>
      <c r="E158" s="142" t="s">
        <v>482</v>
      </c>
      <c r="F158" s="142">
        <v>0</v>
      </c>
      <c r="G158" s="142"/>
      <c r="H158" s="108"/>
      <c r="I158" s="108"/>
      <c r="J158" s="108">
        <v>0</v>
      </c>
      <c r="K158" s="143">
        <v>0</v>
      </c>
      <c r="L158" s="108">
        <v>0</v>
      </c>
      <c r="O158" s="152" t="s">
        <v>151</v>
      </c>
      <c r="P158" s="78">
        <v>51000200001</v>
      </c>
      <c r="Q158" s="142" t="s">
        <v>56</v>
      </c>
      <c r="R158" s="145">
        <f t="shared" si="9"/>
        <v>0</v>
      </c>
    </row>
    <row r="159" spans="2:26" x14ac:dyDescent="0.2">
      <c r="B159" s="141"/>
      <c r="C159" s="138" t="s">
        <v>569</v>
      </c>
      <c r="D159" s="138" t="s">
        <v>459</v>
      </c>
      <c r="E159" s="142" t="s">
        <v>482</v>
      </c>
      <c r="F159" s="142">
        <v>0</v>
      </c>
      <c r="G159" s="142"/>
      <c r="H159" s="108"/>
      <c r="I159" s="108"/>
      <c r="J159" s="108">
        <v>0</v>
      </c>
      <c r="K159" s="143">
        <v>0</v>
      </c>
      <c r="L159" s="108">
        <v>0</v>
      </c>
      <c r="O159" s="152" t="s">
        <v>151</v>
      </c>
      <c r="P159" s="78">
        <v>51000200002</v>
      </c>
      <c r="Q159" s="142" t="s">
        <v>460</v>
      </c>
      <c r="R159" s="145">
        <f t="shared" si="9"/>
        <v>0</v>
      </c>
    </row>
    <row r="160" spans="2:26" x14ac:dyDescent="0.2">
      <c r="B160" s="141"/>
      <c r="C160" s="138" t="s">
        <v>570</v>
      </c>
      <c r="D160" s="138" t="s">
        <v>459</v>
      </c>
      <c r="E160" s="142" t="s">
        <v>482</v>
      </c>
      <c r="F160" s="142">
        <v>0</v>
      </c>
      <c r="G160" s="142"/>
      <c r="H160" s="108"/>
      <c r="I160" s="108"/>
      <c r="J160" s="108">
        <v>0</v>
      </c>
      <c r="K160" s="143">
        <v>0</v>
      </c>
      <c r="L160" s="108">
        <v>0</v>
      </c>
      <c r="O160" s="152" t="s">
        <v>151</v>
      </c>
      <c r="P160" s="78">
        <v>51000200002</v>
      </c>
      <c r="Q160" s="142" t="s">
        <v>351</v>
      </c>
      <c r="R160" s="145">
        <f t="shared" si="9"/>
        <v>0</v>
      </c>
    </row>
    <row r="161" spans="2:25" x14ac:dyDescent="0.2">
      <c r="B161" s="141">
        <v>43222</v>
      </c>
      <c r="C161" s="138" t="s">
        <v>571</v>
      </c>
      <c r="D161" s="138" t="s">
        <v>459</v>
      </c>
      <c r="E161" s="142" t="s">
        <v>539</v>
      </c>
      <c r="F161" s="142" t="s">
        <v>329</v>
      </c>
      <c r="G161" s="142"/>
      <c r="H161" s="108"/>
      <c r="I161" s="108"/>
      <c r="J161" s="108">
        <v>2246.86</v>
      </c>
      <c r="K161" s="143">
        <v>292.08999999999997</v>
      </c>
      <c r="L161" s="108">
        <v>2538.9500000000003</v>
      </c>
      <c r="M161" s="97">
        <v>51000100002</v>
      </c>
      <c r="O161" s="152" t="s">
        <v>151</v>
      </c>
      <c r="P161" s="78">
        <v>51000200002</v>
      </c>
      <c r="Q161" s="142" t="s">
        <v>56</v>
      </c>
      <c r="R161" s="145">
        <f t="shared" si="9"/>
        <v>0</v>
      </c>
    </row>
    <row r="162" spans="2:25" x14ac:dyDescent="0.2">
      <c r="B162" s="141"/>
      <c r="C162" s="138" t="s">
        <v>572</v>
      </c>
      <c r="D162" s="138" t="s">
        <v>459</v>
      </c>
      <c r="E162" s="142" t="s">
        <v>482</v>
      </c>
      <c r="F162" s="142">
        <v>0</v>
      </c>
      <c r="G162" s="142"/>
      <c r="H162" s="108"/>
      <c r="I162" s="108"/>
      <c r="J162" s="108">
        <v>0</v>
      </c>
      <c r="K162" s="143">
        <v>0</v>
      </c>
      <c r="L162" s="108">
        <v>0</v>
      </c>
      <c r="O162" s="152" t="s">
        <v>151</v>
      </c>
      <c r="P162" s="78">
        <v>51220200001</v>
      </c>
      <c r="Q162" s="142" t="s">
        <v>460</v>
      </c>
      <c r="R162" s="145">
        <f t="shared" si="9"/>
        <v>539.64</v>
      </c>
    </row>
    <row r="163" spans="2:25" x14ac:dyDescent="0.2">
      <c r="B163" s="141">
        <v>43222</v>
      </c>
      <c r="C163" s="138" t="s">
        <v>573</v>
      </c>
      <c r="D163" s="138" t="s">
        <v>459</v>
      </c>
      <c r="E163" s="142" t="s">
        <v>460</v>
      </c>
      <c r="F163" s="142" t="s">
        <v>90</v>
      </c>
      <c r="G163" s="142"/>
      <c r="H163" s="108"/>
      <c r="I163" s="108"/>
      <c r="J163" s="108">
        <v>2246.86</v>
      </c>
      <c r="K163" s="143">
        <v>292.08999999999997</v>
      </c>
      <c r="L163" s="108">
        <v>2538.9500000000003</v>
      </c>
      <c r="M163" s="97">
        <v>51000100001</v>
      </c>
      <c r="O163" s="152" t="s">
        <v>151</v>
      </c>
      <c r="P163" s="78">
        <v>51220200001</v>
      </c>
      <c r="Q163" s="142" t="s">
        <v>351</v>
      </c>
      <c r="R163" s="145">
        <f t="shared" si="9"/>
        <v>0</v>
      </c>
    </row>
    <row r="164" spans="2:25" x14ac:dyDescent="0.2">
      <c r="B164" s="141"/>
      <c r="C164" s="138" t="s">
        <v>574</v>
      </c>
      <c r="D164" s="138" t="s">
        <v>459</v>
      </c>
      <c r="E164" s="142" t="s">
        <v>482</v>
      </c>
      <c r="F164" s="142">
        <v>0</v>
      </c>
      <c r="G164" s="142"/>
      <c r="H164" s="108"/>
      <c r="I164" s="108"/>
      <c r="J164" s="108">
        <v>0</v>
      </c>
      <c r="K164" s="143">
        <v>0</v>
      </c>
      <c r="L164" s="108">
        <v>0</v>
      </c>
      <c r="O164" s="152" t="s">
        <v>151</v>
      </c>
      <c r="P164" s="78">
        <v>51220200001</v>
      </c>
      <c r="Q164" s="142" t="s">
        <v>56</v>
      </c>
      <c r="R164" s="145">
        <f t="shared" si="9"/>
        <v>0</v>
      </c>
      <c r="W164" s="106" t="s">
        <v>478</v>
      </c>
      <c r="X164" s="144">
        <f>+X152+X153+X154</f>
        <v>-28117.54</v>
      </c>
    </row>
    <row r="165" spans="2:25" x14ac:dyDescent="0.2">
      <c r="B165" s="141">
        <v>43229</v>
      </c>
      <c r="C165" s="138" t="s">
        <v>575</v>
      </c>
      <c r="D165" s="138" t="s">
        <v>459</v>
      </c>
      <c r="E165" s="142" t="s">
        <v>496</v>
      </c>
      <c r="F165" s="142" t="s">
        <v>497</v>
      </c>
      <c r="G165" s="142"/>
      <c r="H165" s="108"/>
      <c r="I165" s="108"/>
      <c r="J165" s="108">
        <v>379.35</v>
      </c>
      <c r="K165" s="162">
        <v>49.32</v>
      </c>
      <c r="L165" s="108">
        <v>428.67</v>
      </c>
      <c r="M165" s="97">
        <v>51220200001</v>
      </c>
      <c r="O165" s="152" t="s">
        <v>151</v>
      </c>
      <c r="P165" s="78">
        <v>52200000001</v>
      </c>
      <c r="Q165" s="142" t="s">
        <v>460</v>
      </c>
      <c r="R165" s="145">
        <f t="shared" si="9"/>
        <v>0</v>
      </c>
      <c r="W165" s="97" t="s">
        <v>480</v>
      </c>
      <c r="X165" s="144">
        <f>Y156</f>
        <v>5412.71</v>
      </c>
    </row>
    <row r="166" spans="2:25" x14ac:dyDescent="0.2">
      <c r="B166" s="141">
        <v>43229</v>
      </c>
      <c r="C166" s="138" t="s">
        <v>576</v>
      </c>
      <c r="D166" s="138" t="s">
        <v>459</v>
      </c>
      <c r="E166" s="142" t="s">
        <v>460</v>
      </c>
      <c r="F166" s="142" t="s">
        <v>90</v>
      </c>
      <c r="G166" s="142"/>
      <c r="H166" s="108"/>
      <c r="I166" s="108"/>
      <c r="J166" s="108">
        <v>539.64</v>
      </c>
      <c r="K166" s="162">
        <v>70.150000000000006</v>
      </c>
      <c r="L166" s="108">
        <v>609.79</v>
      </c>
      <c r="M166" s="97">
        <v>51220200001</v>
      </c>
      <c r="O166" s="152" t="s">
        <v>151</v>
      </c>
      <c r="P166" s="78">
        <v>52200000001</v>
      </c>
      <c r="Q166" s="142" t="s">
        <v>351</v>
      </c>
      <c r="R166" s="145">
        <f t="shared" si="9"/>
        <v>0</v>
      </c>
      <c r="W166" s="97" t="s">
        <v>486</v>
      </c>
      <c r="X166" s="167">
        <f>J157+J161+J167+J168</f>
        <v>22681.649999999998</v>
      </c>
    </row>
    <row r="167" spans="2:25" x14ac:dyDescent="0.2">
      <c r="B167" s="141">
        <v>43235</v>
      </c>
      <c r="C167" s="138" t="s">
        <v>577</v>
      </c>
      <c r="D167" s="138" t="s">
        <v>459</v>
      </c>
      <c r="E167" s="142" t="s">
        <v>539</v>
      </c>
      <c r="F167" s="142" t="s">
        <v>329</v>
      </c>
      <c r="G167" s="142"/>
      <c r="H167" s="108"/>
      <c r="I167" s="108"/>
      <c r="J167" s="108">
        <v>10362.969999999999</v>
      </c>
      <c r="K167" s="162">
        <v>1347.19</v>
      </c>
      <c r="L167" s="108">
        <v>11710.16</v>
      </c>
      <c r="M167" s="200">
        <v>51000100001</v>
      </c>
      <c r="O167" s="152" t="s">
        <v>151</v>
      </c>
      <c r="P167" s="78">
        <v>52200000001</v>
      </c>
      <c r="Q167" s="142" t="s">
        <v>56</v>
      </c>
      <c r="R167" s="145">
        <f t="shared" si="9"/>
        <v>0</v>
      </c>
      <c r="X167" s="158">
        <f>X164+X165+X166</f>
        <v>-23.180000000003929</v>
      </c>
      <c r="Y167" s="97" t="s">
        <v>500</v>
      </c>
    </row>
    <row r="168" spans="2:25" x14ac:dyDescent="0.2">
      <c r="B168" s="141">
        <v>43235</v>
      </c>
      <c r="C168" s="138" t="s">
        <v>578</v>
      </c>
      <c r="D168" s="138" t="s">
        <v>459</v>
      </c>
      <c r="E168" s="142" t="s">
        <v>539</v>
      </c>
      <c r="F168" s="142" t="s">
        <v>329</v>
      </c>
      <c r="G168" s="107"/>
      <c r="H168" s="108"/>
      <c r="I168" s="108"/>
      <c r="J168" s="108">
        <v>6476.86</v>
      </c>
      <c r="K168" s="162">
        <v>841.99</v>
      </c>
      <c r="L168" s="108">
        <v>7318.8499999999995</v>
      </c>
      <c r="M168" s="200">
        <v>51000100002</v>
      </c>
      <c r="O168" s="152" t="s">
        <v>151</v>
      </c>
      <c r="P168" s="78">
        <v>52200000001</v>
      </c>
      <c r="Q168" s="142" t="s">
        <v>460</v>
      </c>
      <c r="R168" s="145">
        <f t="shared" si="9"/>
        <v>0</v>
      </c>
    </row>
    <row r="169" spans="2:25" x14ac:dyDescent="0.2">
      <c r="O169" s="152" t="s">
        <v>151</v>
      </c>
      <c r="P169" s="78">
        <v>51220200001</v>
      </c>
      <c r="Q169" s="142" t="s">
        <v>496</v>
      </c>
      <c r="R169" s="145">
        <f t="shared" si="9"/>
        <v>379.35</v>
      </c>
    </row>
    <row r="170" spans="2:25" x14ac:dyDescent="0.2">
      <c r="O170" s="152" t="s">
        <v>151</v>
      </c>
      <c r="P170" s="78">
        <v>53000100001</v>
      </c>
      <c r="Q170" s="142" t="s">
        <v>460</v>
      </c>
      <c r="R170" s="196">
        <f t="shared" si="9"/>
        <v>0</v>
      </c>
    </row>
    <row r="171" spans="2:25" x14ac:dyDescent="0.2">
      <c r="B171" s="141"/>
      <c r="C171" s="138"/>
      <c r="D171" s="138"/>
      <c r="E171" s="142" t="s">
        <v>537</v>
      </c>
      <c r="F171" s="114"/>
      <c r="G171" s="157"/>
      <c r="H171" s="157"/>
      <c r="I171" s="157"/>
      <c r="J171" s="198"/>
      <c r="K171" s="191">
        <v>-1332.68</v>
      </c>
      <c r="L171" s="108">
        <v>-1332.68</v>
      </c>
      <c r="R171" s="151">
        <f>SUM(R152:R170)</f>
        <v>5412.7100000000009</v>
      </c>
    </row>
    <row r="172" spans="2:25" x14ac:dyDescent="0.2">
      <c r="B172" s="141"/>
      <c r="C172" s="138"/>
      <c r="D172" s="138"/>
      <c r="E172" s="142"/>
      <c r="F172" s="114"/>
      <c r="G172" s="157"/>
      <c r="H172" s="157"/>
      <c r="I172" s="157"/>
      <c r="J172" s="198"/>
      <c r="K172" s="191">
        <v>0</v>
      </c>
      <c r="L172" s="108"/>
    </row>
    <row r="173" spans="2:25" x14ac:dyDescent="0.2">
      <c r="B173" s="141"/>
      <c r="C173" s="138"/>
      <c r="D173" s="138"/>
      <c r="E173" s="142"/>
      <c r="F173" s="114"/>
      <c r="G173" s="157"/>
      <c r="H173" s="157"/>
      <c r="I173" s="157"/>
      <c r="J173" s="198"/>
      <c r="K173" s="191"/>
      <c r="L173" s="108"/>
    </row>
    <row r="174" spans="2:25" x14ac:dyDescent="0.2">
      <c r="B174" s="114"/>
      <c r="C174" s="115"/>
      <c r="D174" s="115"/>
      <c r="E174" s="142"/>
      <c r="F174" s="114"/>
      <c r="G174" s="157"/>
      <c r="H174" s="157"/>
      <c r="I174" s="157"/>
      <c r="J174" s="198"/>
      <c r="K174" s="198"/>
      <c r="L174" s="198"/>
    </row>
    <row r="175" spans="2:25" x14ac:dyDescent="0.2">
      <c r="B175" s="163"/>
      <c r="C175" s="164"/>
      <c r="D175" s="164"/>
      <c r="E175" s="142"/>
      <c r="F175" s="163"/>
      <c r="G175" s="165"/>
      <c r="H175" s="165"/>
      <c r="I175" s="165"/>
      <c r="J175" s="171"/>
      <c r="K175" s="171"/>
      <c r="L175" s="171"/>
    </row>
    <row r="176" spans="2:25" x14ac:dyDescent="0.2">
      <c r="B176" s="114"/>
      <c r="C176" s="115"/>
      <c r="D176" s="115"/>
      <c r="E176" s="114"/>
      <c r="F176" s="114"/>
      <c r="G176" s="166">
        <v>0</v>
      </c>
      <c r="H176" s="166">
        <v>0</v>
      </c>
      <c r="I176" s="166">
        <v>0</v>
      </c>
      <c r="J176" s="199">
        <v>28094.36</v>
      </c>
      <c r="K176" s="199">
        <v>2319.5699999999997</v>
      </c>
      <c r="L176" s="199">
        <v>30413.93</v>
      </c>
    </row>
    <row r="177" spans="1:28" x14ac:dyDescent="0.2">
      <c r="J177" s="198"/>
      <c r="K177" s="198"/>
      <c r="L177" s="198"/>
    </row>
    <row r="181" spans="1:28" ht="3.75" customHeight="1" x14ac:dyDescent="0.2">
      <c r="A181" s="247"/>
      <c r="B181" s="247"/>
      <c r="C181" s="248"/>
      <c r="D181" s="248"/>
      <c r="E181" s="247"/>
      <c r="F181" s="247"/>
      <c r="G181" s="247"/>
      <c r="H181" s="247"/>
      <c r="I181" s="247"/>
      <c r="J181" s="247"/>
      <c r="K181" s="247"/>
      <c r="L181" s="247"/>
      <c r="M181" s="249"/>
      <c r="N181" s="249"/>
      <c r="O181" s="249"/>
      <c r="P181" s="249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</row>
    <row r="185" spans="1:28" ht="16.5" x14ac:dyDescent="0.25">
      <c r="B185" s="113" t="s">
        <v>458</v>
      </c>
      <c r="C185" s="114"/>
      <c r="D185" s="115"/>
      <c r="E185" s="116" t="s">
        <v>152</v>
      </c>
    </row>
    <row r="186" spans="1:28" x14ac:dyDescent="0.2">
      <c r="B186" s="120" t="s">
        <v>42</v>
      </c>
      <c r="C186" s="114"/>
      <c r="D186" s="114"/>
      <c r="E186" s="121"/>
    </row>
    <row r="189" spans="1:28" x14ac:dyDescent="0.2">
      <c r="B189" s="125"/>
      <c r="C189" s="126" t="s">
        <v>255</v>
      </c>
      <c r="D189" s="127" t="s">
        <v>43</v>
      </c>
      <c r="E189" s="127"/>
      <c r="F189" s="127" t="s">
        <v>135</v>
      </c>
      <c r="G189" s="127"/>
      <c r="H189" s="128" t="s">
        <v>136</v>
      </c>
      <c r="I189" s="129"/>
      <c r="J189" s="129"/>
      <c r="K189" s="129"/>
      <c r="L189" s="146"/>
      <c r="O189" s="170" t="s">
        <v>480</v>
      </c>
      <c r="P189" s="170"/>
      <c r="Q189" s="170"/>
      <c r="R189" s="170"/>
      <c r="U189" s="106" t="s">
        <v>465</v>
      </c>
      <c r="Y189" s="97" t="s">
        <v>479</v>
      </c>
      <c r="Z189" s="97" t="s">
        <v>340</v>
      </c>
    </row>
    <row r="190" spans="1:28" x14ac:dyDescent="0.2">
      <c r="B190" s="130" t="s">
        <v>137</v>
      </c>
      <c r="C190" s="131" t="s">
        <v>138</v>
      </c>
      <c r="D190" s="131" t="s">
        <v>258</v>
      </c>
      <c r="E190" s="131" t="s">
        <v>139</v>
      </c>
      <c r="F190" s="131" t="s">
        <v>259</v>
      </c>
      <c r="G190" s="131" t="s">
        <v>140</v>
      </c>
      <c r="H190" s="132" t="s">
        <v>94</v>
      </c>
      <c r="I190" s="129"/>
      <c r="J190" s="132" t="s">
        <v>141</v>
      </c>
      <c r="K190" s="129"/>
      <c r="L190" s="147" t="s">
        <v>325</v>
      </c>
      <c r="O190" s="152" t="s">
        <v>152</v>
      </c>
      <c r="P190" s="78">
        <v>51000000001</v>
      </c>
      <c r="Q190" s="142" t="s">
        <v>460</v>
      </c>
      <c r="R190" s="145">
        <f>SUMIFS($J$193:$J$203,$E$193:$E$203,Q190,$M$193:$M$203,P190)</f>
        <v>0</v>
      </c>
      <c r="T190" s="97">
        <v>51000100001</v>
      </c>
      <c r="U190" s="97" t="s">
        <v>12</v>
      </c>
      <c r="X190" s="109">
        <v>-1176.8099999999977</v>
      </c>
      <c r="Y190" s="109">
        <f>R193</f>
        <v>1176.81</v>
      </c>
      <c r="Z190" s="144">
        <f>X190+Y190</f>
        <v>2.2737367544323206E-12</v>
      </c>
    </row>
    <row r="191" spans="1:28" x14ac:dyDescent="0.2">
      <c r="B191" s="133"/>
      <c r="C191" s="134"/>
      <c r="D191" s="134"/>
      <c r="E191" s="133"/>
      <c r="F191" s="133"/>
      <c r="G191" s="133"/>
      <c r="H191" s="135" t="s">
        <v>326</v>
      </c>
      <c r="I191" s="136" t="s">
        <v>327</v>
      </c>
      <c r="J191" s="148" t="s">
        <v>328</v>
      </c>
      <c r="K191" s="148" t="s">
        <v>89</v>
      </c>
      <c r="L191" s="149" t="s">
        <v>94</v>
      </c>
      <c r="O191" s="152" t="s">
        <v>152</v>
      </c>
      <c r="P191" s="78">
        <v>51000000002</v>
      </c>
      <c r="Q191" s="142" t="s">
        <v>460</v>
      </c>
      <c r="R191" s="108">
        <f>SUMIFS($J$193:$J$203,$E$193:$E$203,Q191,$M$193:$M$203,P191)</f>
        <v>0</v>
      </c>
      <c r="T191" s="97">
        <v>51000100002</v>
      </c>
      <c r="U191" s="97" t="s">
        <v>380</v>
      </c>
      <c r="X191" s="109">
        <v>-36.779999999998836</v>
      </c>
      <c r="Y191" s="109">
        <f>R195</f>
        <v>36.78</v>
      </c>
      <c r="Z191" s="144">
        <f>X191+Y191</f>
        <v>1.1652900866465643E-12</v>
      </c>
    </row>
    <row r="192" spans="1:28" x14ac:dyDescent="0.2">
      <c r="B192" s="137"/>
      <c r="C192" s="138"/>
      <c r="D192" s="138"/>
      <c r="E192" s="139"/>
      <c r="F192" s="140"/>
      <c r="G192" s="107"/>
      <c r="H192" s="108"/>
      <c r="I192" s="108"/>
      <c r="J192" s="108"/>
      <c r="K192" s="108"/>
      <c r="L192" s="108"/>
      <c r="O192" s="152" t="s">
        <v>152</v>
      </c>
      <c r="P192" s="78">
        <v>51000100001</v>
      </c>
      <c r="Q192" s="142" t="s">
        <v>460</v>
      </c>
      <c r="R192" s="108">
        <f t="shared" ref="R192:R210" si="10">SUMIFS($J$193:$J$203,$E$193:$E$203,Q192,$M$193:$M$203,P192)</f>
        <v>0</v>
      </c>
      <c r="T192" s="97">
        <v>51220200001</v>
      </c>
      <c r="U192" s="97" t="s">
        <v>55</v>
      </c>
      <c r="X192" s="109">
        <v>-1423.9600000000009</v>
      </c>
      <c r="Y192" s="109">
        <f>R202+R209</f>
        <v>941.89</v>
      </c>
      <c r="Z192" s="144">
        <f>X192+Y192</f>
        <v>-482.07000000000096</v>
      </c>
    </row>
    <row r="193" spans="2:26" x14ac:dyDescent="0.2">
      <c r="B193" s="141">
        <v>43262</v>
      </c>
      <c r="C193" s="138" t="s">
        <v>579</v>
      </c>
      <c r="D193" s="138" t="s">
        <v>459</v>
      </c>
      <c r="E193" s="142" t="s">
        <v>496</v>
      </c>
      <c r="F193" s="142" t="s">
        <v>497</v>
      </c>
      <c r="G193" s="107"/>
      <c r="H193" s="108"/>
      <c r="I193" s="108"/>
      <c r="J193" s="108">
        <v>354.35</v>
      </c>
      <c r="K193" s="191">
        <v>46.07</v>
      </c>
      <c r="L193" s="108">
        <f>+J193+K193</f>
        <v>400.42</v>
      </c>
      <c r="M193" s="97">
        <v>51220200001</v>
      </c>
      <c r="O193" s="152" t="s">
        <v>152</v>
      </c>
      <c r="P193" s="78">
        <v>51000100001</v>
      </c>
      <c r="Q193" s="142" t="s">
        <v>496</v>
      </c>
      <c r="R193" s="108">
        <f t="shared" si="10"/>
        <v>1176.81</v>
      </c>
      <c r="T193" s="97">
        <v>52200000001</v>
      </c>
      <c r="U193" s="97" t="s">
        <v>33</v>
      </c>
      <c r="X193" s="109">
        <v>-3719.9600000000028</v>
      </c>
      <c r="Y193" s="171"/>
      <c r="Z193" s="201"/>
    </row>
    <row r="194" spans="2:26" x14ac:dyDescent="0.2">
      <c r="B194" s="141">
        <v>43262</v>
      </c>
      <c r="C194" s="138" t="s">
        <v>580</v>
      </c>
      <c r="D194" s="138" t="s">
        <v>459</v>
      </c>
      <c r="E194" s="142" t="s">
        <v>460</v>
      </c>
      <c r="F194" s="142" t="s">
        <v>90</v>
      </c>
      <c r="G194" s="142"/>
      <c r="H194" s="108"/>
      <c r="I194" s="108"/>
      <c r="J194" s="108">
        <v>587.54</v>
      </c>
      <c r="K194" s="191">
        <v>76.38</v>
      </c>
      <c r="L194" s="108">
        <f>+J194+K194</f>
        <v>663.92</v>
      </c>
      <c r="M194" s="97">
        <v>51220200001</v>
      </c>
      <c r="O194" s="152" t="s">
        <v>152</v>
      </c>
      <c r="P194" s="78">
        <v>51000100002</v>
      </c>
      <c r="Q194" s="142" t="s">
        <v>460</v>
      </c>
      <c r="R194" s="108">
        <f t="shared" si="10"/>
        <v>0</v>
      </c>
      <c r="X194" s="158">
        <f>SUM(X190:X193)</f>
        <v>-6357.51</v>
      </c>
      <c r="Y194" s="158">
        <f>SUM(Y190:Y193)</f>
        <v>2155.48</v>
      </c>
      <c r="Z194" s="158">
        <f>SUM(Z190:Z193)</f>
        <v>-482.06999999999755</v>
      </c>
    </row>
    <row r="195" spans="2:26" x14ac:dyDescent="0.2">
      <c r="B195" s="141">
        <v>43262</v>
      </c>
      <c r="C195" s="138" t="s">
        <v>581</v>
      </c>
      <c r="D195" s="138" t="s">
        <v>459</v>
      </c>
      <c r="E195" s="142" t="s">
        <v>539</v>
      </c>
      <c r="F195" s="142" t="s">
        <v>329</v>
      </c>
      <c r="G195" s="107"/>
      <c r="H195" s="108"/>
      <c r="I195" s="108"/>
      <c r="J195" s="108">
        <v>480.34</v>
      </c>
      <c r="K195" s="191">
        <v>62.44</v>
      </c>
      <c r="L195" s="108">
        <f>+J195+K195</f>
        <v>542.78</v>
      </c>
      <c r="M195" s="97">
        <v>51220200001</v>
      </c>
      <c r="O195" s="152" t="s">
        <v>152</v>
      </c>
      <c r="P195" s="78">
        <v>51000100002</v>
      </c>
      <c r="Q195" s="142" t="s">
        <v>496</v>
      </c>
      <c r="R195" s="108">
        <f t="shared" si="10"/>
        <v>36.78</v>
      </c>
    </row>
    <row r="196" spans="2:26" x14ac:dyDescent="0.2">
      <c r="B196" s="203">
        <v>43278</v>
      </c>
      <c r="C196" s="204"/>
      <c r="D196" s="184" t="s">
        <v>459</v>
      </c>
      <c r="E196" s="185" t="s">
        <v>496</v>
      </c>
      <c r="F196" s="185" t="s">
        <v>497</v>
      </c>
      <c r="J196" s="186">
        <v>1176.81</v>
      </c>
      <c r="K196" s="205">
        <f>J196*0.13</f>
        <v>152.9853</v>
      </c>
      <c r="L196" s="186">
        <f>J196+K196</f>
        <v>1329.7953</v>
      </c>
      <c r="M196" s="200">
        <v>51000100001</v>
      </c>
      <c r="O196" s="152" t="s">
        <v>152</v>
      </c>
      <c r="P196" s="78">
        <v>51000200001</v>
      </c>
      <c r="Q196" s="142" t="s">
        <v>460</v>
      </c>
      <c r="R196" s="108">
        <f t="shared" si="10"/>
        <v>0</v>
      </c>
    </row>
    <row r="197" spans="2:26" x14ac:dyDescent="0.2">
      <c r="B197" s="203">
        <v>43278</v>
      </c>
      <c r="C197" s="204"/>
      <c r="D197" s="184" t="s">
        <v>459</v>
      </c>
      <c r="E197" s="185" t="s">
        <v>496</v>
      </c>
      <c r="F197" s="185" t="s">
        <v>497</v>
      </c>
      <c r="J197" s="186">
        <v>36.78</v>
      </c>
      <c r="K197" s="205">
        <f>J197*0.13</f>
        <v>4.7814000000000005</v>
      </c>
      <c r="L197" s="186">
        <f>J197+K197</f>
        <v>41.561399999999999</v>
      </c>
      <c r="M197" s="200">
        <v>51000100002</v>
      </c>
      <c r="O197" s="152" t="s">
        <v>152</v>
      </c>
      <c r="P197" s="78">
        <v>51000200001</v>
      </c>
      <c r="Q197" s="142" t="s">
        <v>351</v>
      </c>
      <c r="R197" s="108">
        <f t="shared" si="10"/>
        <v>0</v>
      </c>
    </row>
    <row r="198" spans="2:26" x14ac:dyDescent="0.2">
      <c r="O198" s="152" t="s">
        <v>152</v>
      </c>
      <c r="P198" s="78">
        <v>51000200001</v>
      </c>
      <c r="Q198" s="142" t="s">
        <v>56</v>
      </c>
      <c r="R198" s="108">
        <f t="shared" si="10"/>
        <v>0</v>
      </c>
    </row>
    <row r="199" spans="2:26" x14ac:dyDescent="0.2">
      <c r="O199" s="152" t="s">
        <v>152</v>
      </c>
      <c r="P199" s="78">
        <v>51000200002</v>
      </c>
      <c r="Q199" s="142" t="s">
        <v>460</v>
      </c>
      <c r="R199" s="108">
        <f t="shared" si="10"/>
        <v>0</v>
      </c>
    </row>
    <row r="200" spans="2:26" x14ac:dyDescent="0.2">
      <c r="O200" s="152" t="s">
        <v>152</v>
      </c>
      <c r="P200" s="78">
        <v>51000200002</v>
      </c>
      <c r="Q200" s="142" t="s">
        <v>351</v>
      </c>
      <c r="R200" s="108">
        <f t="shared" si="10"/>
        <v>0</v>
      </c>
    </row>
    <row r="201" spans="2:26" x14ac:dyDescent="0.2">
      <c r="E201" s="95" t="s">
        <v>537</v>
      </c>
      <c r="K201" s="95">
        <v>-182.1</v>
      </c>
      <c r="L201" s="95">
        <v>-182.1</v>
      </c>
      <c r="O201" s="152" t="s">
        <v>152</v>
      </c>
      <c r="P201" s="78">
        <v>51000200002</v>
      </c>
      <c r="Q201" s="142" t="s">
        <v>56</v>
      </c>
      <c r="R201" s="108">
        <f t="shared" si="10"/>
        <v>0</v>
      </c>
    </row>
    <row r="202" spans="2:26" x14ac:dyDescent="0.2">
      <c r="O202" s="152" t="s">
        <v>152</v>
      </c>
      <c r="P202" s="78">
        <v>51220200001</v>
      </c>
      <c r="Q202" s="142" t="s">
        <v>460</v>
      </c>
      <c r="R202" s="108">
        <f t="shared" si="10"/>
        <v>587.54</v>
      </c>
    </row>
    <row r="203" spans="2:26" x14ac:dyDescent="0.2">
      <c r="B203" s="201"/>
      <c r="C203" s="202"/>
      <c r="D203" s="202"/>
      <c r="E203" s="201"/>
      <c r="F203" s="201"/>
      <c r="G203" s="201"/>
      <c r="H203" s="201"/>
      <c r="I203" s="201"/>
      <c r="J203" s="201"/>
      <c r="K203" s="201"/>
      <c r="L203" s="201"/>
      <c r="O203" s="152" t="s">
        <v>152</v>
      </c>
      <c r="P203" s="78">
        <v>51220200001</v>
      </c>
      <c r="Q203" s="142" t="s">
        <v>351</v>
      </c>
      <c r="R203" s="108">
        <f t="shared" si="10"/>
        <v>0</v>
      </c>
      <c r="W203" s="106" t="s">
        <v>478</v>
      </c>
      <c r="X203" s="144">
        <f>+X191+X192+X190</f>
        <v>-2637.5499999999975</v>
      </c>
    </row>
    <row r="204" spans="2:26" x14ac:dyDescent="0.2">
      <c r="G204" s="95">
        <v>0</v>
      </c>
      <c r="H204" s="95">
        <v>0</v>
      </c>
      <c r="I204" s="95">
        <v>0</v>
      </c>
      <c r="J204" s="95">
        <v>1422.23</v>
      </c>
      <c r="K204" s="95">
        <v>2.789999999999992</v>
      </c>
      <c r="L204" s="95">
        <v>1425.02</v>
      </c>
      <c r="O204" s="152" t="s">
        <v>152</v>
      </c>
      <c r="P204" s="78">
        <v>51220200001</v>
      </c>
      <c r="Q204" s="142" t="s">
        <v>56</v>
      </c>
      <c r="R204" s="108">
        <f t="shared" si="10"/>
        <v>0</v>
      </c>
      <c r="W204" s="97" t="s">
        <v>480</v>
      </c>
      <c r="X204" s="144">
        <f>R211</f>
        <v>2155.48</v>
      </c>
    </row>
    <row r="205" spans="2:26" x14ac:dyDescent="0.2">
      <c r="O205" s="152" t="s">
        <v>152</v>
      </c>
      <c r="P205" s="78">
        <v>52200000001</v>
      </c>
      <c r="Q205" s="142" t="s">
        <v>460</v>
      </c>
      <c r="R205" s="108">
        <f t="shared" si="10"/>
        <v>0</v>
      </c>
      <c r="W205" s="97" t="s">
        <v>486</v>
      </c>
      <c r="X205" s="167">
        <f>J195</f>
        <v>480.34</v>
      </c>
    </row>
    <row r="206" spans="2:26" x14ac:dyDescent="0.2">
      <c r="O206" s="152" t="s">
        <v>152</v>
      </c>
      <c r="P206" s="78">
        <v>52200000001</v>
      </c>
      <c r="Q206" s="142" t="s">
        <v>351</v>
      </c>
      <c r="R206" s="108">
        <f t="shared" si="10"/>
        <v>0</v>
      </c>
      <c r="X206" s="158">
        <f>X203+X204+X205</f>
        <v>-1.7299999999974602</v>
      </c>
      <c r="Y206" s="97" t="s">
        <v>500</v>
      </c>
    </row>
    <row r="207" spans="2:26" x14ac:dyDescent="0.2">
      <c r="O207" s="152" t="s">
        <v>152</v>
      </c>
      <c r="P207" s="78">
        <v>52200000001</v>
      </c>
      <c r="Q207" s="142" t="s">
        <v>56</v>
      </c>
      <c r="R207" s="108">
        <f t="shared" si="10"/>
        <v>0</v>
      </c>
    </row>
    <row r="208" spans="2:26" x14ac:dyDescent="0.2">
      <c r="O208" s="152" t="s">
        <v>152</v>
      </c>
      <c r="P208" s="78">
        <v>52200000001</v>
      </c>
      <c r="Q208" s="142" t="s">
        <v>460</v>
      </c>
      <c r="R208" s="108">
        <f t="shared" si="10"/>
        <v>0</v>
      </c>
    </row>
    <row r="209" spans="1:28" x14ac:dyDescent="0.2">
      <c r="O209" s="152" t="s">
        <v>152</v>
      </c>
      <c r="P209" s="78">
        <v>51220200001</v>
      </c>
      <c r="Q209" s="142" t="s">
        <v>496</v>
      </c>
      <c r="R209" s="108">
        <f t="shared" si="10"/>
        <v>354.35</v>
      </c>
    </row>
    <row r="210" spans="1:28" x14ac:dyDescent="0.2">
      <c r="O210" s="152" t="s">
        <v>152</v>
      </c>
      <c r="P210" s="78">
        <v>53000100001</v>
      </c>
      <c r="Q210" s="142" t="s">
        <v>460</v>
      </c>
      <c r="R210" s="196">
        <f t="shared" si="10"/>
        <v>0</v>
      </c>
    </row>
    <row r="211" spans="1:28" x14ac:dyDescent="0.2">
      <c r="R211" s="144">
        <f>SUM(R190:R210)</f>
        <v>2155.48</v>
      </c>
    </row>
    <row r="212" spans="1:28" ht="3.75" customHeight="1" x14ac:dyDescent="0.2">
      <c r="A212" s="247"/>
      <c r="B212" s="247"/>
      <c r="C212" s="248"/>
      <c r="D212" s="248"/>
      <c r="E212" s="247"/>
      <c r="F212" s="247"/>
      <c r="G212" s="247"/>
      <c r="H212" s="247"/>
      <c r="I212" s="247"/>
      <c r="J212" s="247"/>
      <c r="K212" s="247"/>
      <c r="L212" s="247"/>
      <c r="M212" s="249"/>
      <c r="N212" s="249"/>
      <c r="O212" s="249"/>
      <c r="P212" s="249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</row>
    <row r="213" spans="1:28" ht="16.5" x14ac:dyDescent="0.25">
      <c r="B213" s="113" t="s">
        <v>458</v>
      </c>
      <c r="C213" s="114"/>
      <c r="E213" s="116" t="s">
        <v>153</v>
      </c>
    </row>
    <row r="214" spans="1:28" x14ac:dyDescent="0.2">
      <c r="B214" s="120" t="s">
        <v>42</v>
      </c>
      <c r="C214" s="114"/>
    </row>
    <row r="215" spans="1:28" x14ac:dyDescent="0.2">
      <c r="A215" s="207"/>
      <c r="B215" s="124"/>
      <c r="C215" s="124"/>
      <c r="D215" s="124"/>
      <c r="E215" s="124"/>
      <c r="F215" s="124"/>
      <c r="G215" s="124"/>
      <c r="H215" s="117"/>
      <c r="I215" s="117"/>
      <c r="J215" s="117"/>
      <c r="K215" s="117"/>
      <c r="L215" s="124"/>
      <c r="M215" s="209"/>
      <c r="N215" s="209"/>
    </row>
    <row r="216" spans="1:28" x14ac:dyDescent="0.2">
      <c r="A216" s="206"/>
      <c r="B216" s="125"/>
      <c r="C216" s="126" t="s">
        <v>255</v>
      </c>
      <c r="D216" s="127" t="s">
        <v>43</v>
      </c>
      <c r="E216" s="127"/>
      <c r="F216" s="127" t="s">
        <v>135</v>
      </c>
      <c r="G216" s="127"/>
      <c r="H216" s="128" t="s">
        <v>136</v>
      </c>
      <c r="I216" s="129"/>
      <c r="J216" s="129"/>
      <c r="K216" s="129"/>
      <c r="L216" s="146"/>
      <c r="M216" s="210"/>
      <c r="N216" s="210"/>
      <c r="O216" s="170" t="s">
        <v>480</v>
      </c>
      <c r="P216" s="170"/>
      <c r="Q216" s="170"/>
      <c r="R216" s="170"/>
      <c r="U216" s="106" t="s">
        <v>465</v>
      </c>
      <c r="Y216" s="97" t="s">
        <v>479</v>
      </c>
      <c r="Z216" s="97" t="s">
        <v>340</v>
      </c>
    </row>
    <row r="217" spans="1:28" x14ac:dyDescent="0.2">
      <c r="A217" s="206"/>
      <c r="B217" s="130" t="s">
        <v>137</v>
      </c>
      <c r="C217" s="131" t="s">
        <v>138</v>
      </c>
      <c r="D217" s="131" t="s">
        <v>258</v>
      </c>
      <c r="E217" s="131" t="s">
        <v>139</v>
      </c>
      <c r="F217" s="131" t="s">
        <v>259</v>
      </c>
      <c r="G217" s="131" t="s">
        <v>140</v>
      </c>
      <c r="H217" s="132" t="s">
        <v>94</v>
      </c>
      <c r="I217" s="129"/>
      <c r="J217" s="132" t="s">
        <v>141</v>
      </c>
      <c r="K217" s="129"/>
      <c r="L217" s="147" t="s">
        <v>325</v>
      </c>
      <c r="M217" s="210"/>
      <c r="N217" s="210"/>
      <c r="O217" s="152" t="s">
        <v>153</v>
      </c>
      <c r="P217" s="78">
        <v>51000000001</v>
      </c>
      <c r="Q217" s="142" t="s">
        <v>460</v>
      </c>
      <c r="R217" s="212">
        <f>SUMIFS($J$220:$J$229,$E$220:$E$229,Q217,$M$220:$M$229,P217)</f>
        <v>0</v>
      </c>
      <c r="T217" s="97">
        <v>51000100001</v>
      </c>
      <c r="U217" s="97" t="s">
        <v>12</v>
      </c>
      <c r="X217" s="109">
        <v>0</v>
      </c>
      <c r="Y217" s="109">
        <f>R220</f>
        <v>0</v>
      </c>
      <c r="Z217" s="144">
        <f>X217+Y217</f>
        <v>0</v>
      </c>
    </row>
    <row r="218" spans="1:28" x14ac:dyDescent="0.2">
      <c r="A218" s="206"/>
      <c r="B218" s="133"/>
      <c r="C218" s="134"/>
      <c r="D218" s="134"/>
      <c r="E218" s="133"/>
      <c r="F218" s="133"/>
      <c r="G218" s="133"/>
      <c r="H218" s="135" t="s">
        <v>326</v>
      </c>
      <c r="I218" s="136" t="s">
        <v>327</v>
      </c>
      <c r="J218" s="148" t="s">
        <v>328</v>
      </c>
      <c r="K218" s="148" t="s">
        <v>89</v>
      </c>
      <c r="L218" s="149" t="s">
        <v>94</v>
      </c>
      <c r="M218" s="210"/>
      <c r="N218" s="210"/>
      <c r="O218" s="152" t="s">
        <v>153</v>
      </c>
      <c r="P218" s="78">
        <v>51000000002</v>
      </c>
      <c r="Q218" s="142" t="s">
        <v>460</v>
      </c>
      <c r="R218" s="212">
        <f>SUMIFS($J$220:$J$229,$E$220:$E$229,Q218,$M$220:$M$229,P218)</f>
        <v>0</v>
      </c>
      <c r="T218" s="97">
        <v>51000100002</v>
      </c>
      <c r="U218" s="97" t="s">
        <v>380</v>
      </c>
      <c r="X218" s="109">
        <v>0</v>
      </c>
      <c r="Y218" s="109">
        <f>R222</f>
        <v>0</v>
      </c>
      <c r="Z218" s="144">
        <f>X218+Y218</f>
        <v>0</v>
      </c>
    </row>
    <row r="219" spans="1:28" x14ac:dyDescent="0.2">
      <c r="A219" s="207"/>
      <c r="B219" s="137"/>
      <c r="C219" s="138"/>
      <c r="D219" s="138"/>
      <c r="E219" s="139"/>
      <c r="F219" s="140"/>
      <c r="G219" s="211"/>
      <c r="H219" s="212"/>
      <c r="I219" s="212"/>
      <c r="J219" s="212"/>
      <c r="K219" s="212"/>
      <c r="L219" s="212"/>
      <c r="M219" s="210"/>
      <c r="N219" s="210"/>
      <c r="O219" s="152" t="s">
        <v>153</v>
      </c>
      <c r="P219" s="78">
        <v>51000100001</v>
      </c>
      <c r="Q219" s="142" t="s">
        <v>460</v>
      </c>
      <c r="R219" s="212">
        <f>SUMIFS($J$220:$J$229,$E$220:$E$229,Q219,$M$220:$M$229,P219)</f>
        <v>0</v>
      </c>
      <c r="T219" s="97">
        <v>51220200001</v>
      </c>
      <c r="U219" s="97" t="s">
        <v>55</v>
      </c>
      <c r="X219" s="109">
        <v>-1003.0900000000001</v>
      </c>
      <c r="Y219" s="109">
        <f>R229+R236</f>
        <v>981.03</v>
      </c>
      <c r="Z219" s="144">
        <f>X219+Y219</f>
        <v>-22.060000000000173</v>
      </c>
    </row>
    <row r="220" spans="1:28" x14ac:dyDescent="0.2">
      <c r="A220" s="207"/>
      <c r="B220" s="141"/>
      <c r="C220" s="138" t="s">
        <v>583</v>
      </c>
      <c r="D220" s="138" t="s">
        <v>459</v>
      </c>
      <c r="E220" s="142" t="s">
        <v>482</v>
      </c>
      <c r="F220" s="142">
        <v>0</v>
      </c>
      <c r="G220" s="211"/>
      <c r="H220" s="212"/>
      <c r="I220" s="212"/>
      <c r="J220" s="212">
        <v>0</v>
      </c>
      <c r="K220" s="143">
        <v>0</v>
      </c>
      <c r="L220" s="212">
        <f t="shared" ref="L220:L225" si="11">+J220+K220</f>
        <v>0</v>
      </c>
      <c r="M220" s="210"/>
      <c r="N220" s="210"/>
      <c r="O220" s="152" t="s">
        <v>153</v>
      </c>
      <c r="P220" s="78">
        <v>51000100001</v>
      </c>
      <c r="Q220" s="142" t="s">
        <v>496</v>
      </c>
      <c r="R220" s="212">
        <f>SUMIFS($J$220:$J$229,$E$220:$E$229,Q220,$M$220:$M$229,P220)</f>
        <v>0</v>
      </c>
      <c r="T220" s="97">
        <v>52200000001</v>
      </c>
      <c r="U220" s="97" t="s">
        <v>33</v>
      </c>
      <c r="X220" s="109">
        <f>-8532.43</f>
        <v>-8532.43</v>
      </c>
      <c r="Y220" s="109">
        <f>R230+R237</f>
        <v>0</v>
      </c>
      <c r="Z220" s="144">
        <v>0</v>
      </c>
    </row>
    <row r="221" spans="1:28" x14ac:dyDescent="0.2">
      <c r="A221" s="207"/>
      <c r="B221" s="141"/>
      <c r="C221" s="138" t="s">
        <v>584</v>
      </c>
      <c r="D221" s="138" t="s">
        <v>459</v>
      </c>
      <c r="E221" s="142" t="s">
        <v>482</v>
      </c>
      <c r="F221" s="142">
        <v>0</v>
      </c>
      <c r="G221" s="142"/>
      <c r="H221" s="212"/>
      <c r="I221" s="212"/>
      <c r="J221" s="212">
        <v>0</v>
      </c>
      <c r="K221" s="143">
        <v>0</v>
      </c>
      <c r="L221" s="212">
        <f t="shared" si="11"/>
        <v>0</v>
      </c>
      <c r="M221" s="210"/>
      <c r="N221" s="210"/>
      <c r="O221" s="152" t="s">
        <v>153</v>
      </c>
      <c r="P221" s="78">
        <v>51000100002</v>
      </c>
      <c r="Q221" s="142" t="s">
        <v>460</v>
      </c>
      <c r="R221" s="212">
        <f t="shared" ref="R221:R237" si="12">SUMIFS($J$220:$J$229,$E$220:$E$229,Q221,$M$220:$M$229,P221)</f>
        <v>0</v>
      </c>
      <c r="T221" s="97">
        <v>53000000009</v>
      </c>
      <c r="U221" s="97" t="s">
        <v>446</v>
      </c>
      <c r="X221" s="198">
        <v>-60</v>
      </c>
      <c r="Y221" s="109">
        <v>0</v>
      </c>
      <c r="Z221" s="144">
        <v>0</v>
      </c>
    </row>
    <row r="222" spans="1:28" x14ac:dyDescent="0.2">
      <c r="A222" s="207"/>
      <c r="B222" s="141">
        <v>43298</v>
      </c>
      <c r="C222" s="138" t="s">
        <v>585</v>
      </c>
      <c r="D222" s="138" t="s">
        <v>459</v>
      </c>
      <c r="E222" s="220" t="s">
        <v>496</v>
      </c>
      <c r="F222" s="220" t="s">
        <v>497</v>
      </c>
      <c r="G222" s="221"/>
      <c r="H222" s="222"/>
      <c r="I222" s="222"/>
      <c r="J222" s="222">
        <v>379.35</v>
      </c>
      <c r="K222" s="223">
        <v>49.32</v>
      </c>
      <c r="L222" s="222">
        <f t="shared" si="11"/>
        <v>428.67</v>
      </c>
      <c r="M222" s="97">
        <v>51220200001</v>
      </c>
      <c r="N222" s="210"/>
      <c r="O222" s="152" t="s">
        <v>153</v>
      </c>
      <c r="P222" s="78">
        <v>51000100002</v>
      </c>
      <c r="Q222" s="142" t="s">
        <v>496</v>
      </c>
      <c r="R222" s="212">
        <f t="shared" si="12"/>
        <v>0</v>
      </c>
      <c r="T222" s="97">
        <v>53000000012</v>
      </c>
      <c r="U222" s="97" t="s">
        <v>447</v>
      </c>
      <c r="X222" s="171">
        <v>-1</v>
      </c>
      <c r="Y222" s="171">
        <f>R232+R239</f>
        <v>0</v>
      </c>
      <c r="Z222" s="167">
        <v>0</v>
      </c>
    </row>
    <row r="223" spans="1:28" x14ac:dyDescent="0.2">
      <c r="A223" s="207"/>
      <c r="B223" s="141">
        <v>43298</v>
      </c>
      <c r="C223" s="138" t="s">
        <v>586</v>
      </c>
      <c r="D223" s="138" t="s">
        <v>459</v>
      </c>
      <c r="E223" s="220" t="s">
        <v>460</v>
      </c>
      <c r="F223" s="220" t="s">
        <v>90</v>
      </c>
      <c r="G223" s="220"/>
      <c r="H223" s="222"/>
      <c r="I223" s="222"/>
      <c r="J223" s="222">
        <v>601.67999999999995</v>
      </c>
      <c r="K223" s="223">
        <v>78.22</v>
      </c>
      <c r="L223" s="222">
        <f t="shared" si="11"/>
        <v>679.9</v>
      </c>
      <c r="M223" s="97">
        <v>51220200001</v>
      </c>
      <c r="N223" s="210"/>
      <c r="O223" s="152" t="s">
        <v>153</v>
      </c>
      <c r="P223" s="78">
        <v>51000200001</v>
      </c>
      <c r="Q223" s="142" t="s">
        <v>460</v>
      </c>
      <c r="R223" s="212">
        <f t="shared" si="12"/>
        <v>0</v>
      </c>
      <c r="X223" s="158">
        <f>SUM(X217:X222)</f>
        <v>-9596.52</v>
      </c>
      <c r="Y223" s="158">
        <f>SUM(Y217:Y222)</f>
        <v>981.03</v>
      </c>
      <c r="Z223" s="158">
        <f>SUM(Z217:Z222)</f>
        <v>-22.060000000000173</v>
      </c>
    </row>
    <row r="224" spans="1:28" x14ac:dyDescent="0.2">
      <c r="A224" s="114"/>
      <c r="B224" s="141"/>
      <c r="C224" s="138"/>
      <c r="D224" s="138"/>
      <c r="E224" s="142" t="s">
        <v>537</v>
      </c>
      <c r="F224" s="114"/>
      <c r="G224" s="157"/>
      <c r="H224" s="157"/>
      <c r="I224" s="157"/>
      <c r="J224" s="157"/>
      <c r="K224" s="143">
        <v>-127.54</v>
      </c>
      <c r="L224" s="212">
        <f t="shared" si="11"/>
        <v>-127.54</v>
      </c>
      <c r="M224" s="210"/>
      <c r="N224" s="210"/>
      <c r="O224" s="152" t="s">
        <v>153</v>
      </c>
      <c r="P224" s="78">
        <v>51000200001</v>
      </c>
      <c r="Q224" s="142" t="s">
        <v>351</v>
      </c>
      <c r="R224" s="212">
        <f t="shared" si="12"/>
        <v>0</v>
      </c>
    </row>
    <row r="225" spans="1:25" x14ac:dyDescent="0.2">
      <c r="A225" s="114"/>
      <c r="B225" s="141"/>
      <c r="C225" s="138"/>
      <c r="D225" s="138"/>
      <c r="E225" s="142"/>
      <c r="F225" s="114"/>
      <c r="G225" s="157"/>
      <c r="H225" s="157"/>
      <c r="I225" s="157"/>
      <c r="J225" s="157"/>
      <c r="K225" s="143"/>
      <c r="L225" s="212">
        <f t="shared" si="11"/>
        <v>0</v>
      </c>
      <c r="M225" s="210"/>
      <c r="N225" s="210"/>
      <c r="O225" s="152" t="s">
        <v>153</v>
      </c>
      <c r="P225" s="78">
        <v>51000200001</v>
      </c>
      <c r="Q225" s="142" t="s">
        <v>56</v>
      </c>
      <c r="R225" s="212">
        <f t="shared" si="12"/>
        <v>0</v>
      </c>
    </row>
    <row r="226" spans="1:25" x14ac:dyDescent="0.2">
      <c r="A226" s="114"/>
      <c r="B226" s="141"/>
      <c r="C226" s="138"/>
      <c r="D226" s="138"/>
      <c r="E226" s="142"/>
      <c r="F226" s="114"/>
      <c r="G226" s="157"/>
      <c r="H226" s="157"/>
      <c r="I226" s="157"/>
      <c r="J226" s="157"/>
      <c r="K226" s="143"/>
      <c r="L226" s="212"/>
      <c r="M226" s="210"/>
      <c r="N226" s="210"/>
      <c r="O226" s="152" t="s">
        <v>153</v>
      </c>
      <c r="P226" s="78">
        <v>51000200002</v>
      </c>
      <c r="Q226" s="142" t="s">
        <v>460</v>
      </c>
      <c r="R226" s="212">
        <f t="shared" si="12"/>
        <v>0</v>
      </c>
    </row>
    <row r="227" spans="1:25" x14ac:dyDescent="0.2">
      <c r="A227" s="114"/>
      <c r="B227" s="141"/>
      <c r="C227" s="138"/>
      <c r="D227" s="138"/>
      <c r="E227" s="142"/>
      <c r="F227" s="114"/>
      <c r="G227" s="157"/>
      <c r="H227" s="157"/>
      <c r="I227" s="157"/>
      <c r="J227" s="157"/>
      <c r="K227" s="143"/>
      <c r="L227" s="212"/>
      <c r="M227" s="210"/>
      <c r="N227" s="210"/>
      <c r="O227" s="152" t="s">
        <v>153</v>
      </c>
      <c r="P227" s="78">
        <v>51000200002</v>
      </c>
      <c r="Q227" s="142" t="s">
        <v>351</v>
      </c>
      <c r="R227" s="212">
        <f t="shared" si="12"/>
        <v>0</v>
      </c>
    </row>
    <row r="228" spans="1:25" x14ac:dyDescent="0.2">
      <c r="A228" s="114"/>
      <c r="B228" s="114"/>
      <c r="C228" s="115"/>
      <c r="D228" s="115"/>
      <c r="E228" s="142"/>
      <c r="F228" s="114"/>
      <c r="G228" s="157"/>
      <c r="H228" s="157"/>
      <c r="I228" s="157"/>
      <c r="J228" s="157"/>
      <c r="K228" s="157"/>
      <c r="L228" s="157"/>
      <c r="M228" s="213"/>
      <c r="N228" s="213"/>
      <c r="O228" s="152" t="s">
        <v>153</v>
      </c>
      <c r="P228" s="78">
        <v>51000200002</v>
      </c>
      <c r="Q228" s="142" t="s">
        <v>56</v>
      </c>
      <c r="R228" s="212">
        <f t="shared" si="12"/>
        <v>0</v>
      </c>
    </row>
    <row r="229" spans="1:25" x14ac:dyDescent="0.2">
      <c r="A229" s="114"/>
      <c r="B229" s="163"/>
      <c r="C229" s="164"/>
      <c r="D229" s="164"/>
      <c r="E229" s="142"/>
      <c r="F229" s="163"/>
      <c r="G229" s="165"/>
      <c r="H229" s="165"/>
      <c r="I229" s="165"/>
      <c r="J229" s="165"/>
      <c r="K229" s="165"/>
      <c r="L229" s="165"/>
      <c r="M229" s="209"/>
      <c r="N229" s="209"/>
      <c r="O229" s="152" t="s">
        <v>153</v>
      </c>
      <c r="P229" s="78">
        <v>51220200001</v>
      </c>
      <c r="Q229" s="142" t="s">
        <v>460</v>
      </c>
      <c r="R229" s="212">
        <f t="shared" si="12"/>
        <v>601.67999999999995</v>
      </c>
    </row>
    <row r="230" spans="1:25" x14ac:dyDescent="0.2">
      <c r="A230" s="114"/>
      <c r="B230" s="114"/>
      <c r="C230" s="115"/>
      <c r="D230" s="115"/>
      <c r="E230" s="114"/>
      <c r="F230" s="114"/>
      <c r="G230" s="166">
        <f t="shared" ref="G230:L230" si="13">SUM(G219:G229)</f>
        <v>0</v>
      </c>
      <c r="H230" s="166">
        <f t="shared" si="13"/>
        <v>0</v>
      </c>
      <c r="I230" s="166">
        <f t="shared" si="13"/>
        <v>0</v>
      </c>
      <c r="J230" s="166">
        <f t="shared" si="13"/>
        <v>981.03</v>
      </c>
      <c r="K230" s="166">
        <f t="shared" si="13"/>
        <v>0</v>
      </c>
      <c r="L230" s="166">
        <f t="shared" si="13"/>
        <v>981.03</v>
      </c>
      <c r="M230" s="209"/>
      <c r="N230" s="209"/>
      <c r="O230" s="152" t="s">
        <v>153</v>
      </c>
      <c r="P230" s="78">
        <v>51220200001</v>
      </c>
      <c r="Q230" s="142" t="s">
        <v>351</v>
      </c>
      <c r="R230" s="212">
        <f t="shared" si="12"/>
        <v>0</v>
      </c>
      <c r="W230" s="106" t="s">
        <v>478</v>
      </c>
      <c r="X230" s="144">
        <f>+X218+X219+X217+X221+X222</f>
        <v>-1064.0900000000001</v>
      </c>
    </row>
    <row r="231" spans="1:25" x14ac:dyDescent="0.2">
      <c r="A231" s="114"/>
      <c r="B231" s="114"/>
      <c r="C231" s="115"/>
      <c r="D231" s="115"/>
      <c r="E231" s="114"/>
      <c r="F231" s="114"/>
      <c r="G231" s="208"/>
      <c r="H231" s="208"/>
      <c r="I231" s="208"/>
      <c r="J231" s="208"/>
      <c r="K231" s="208"/>
      <c r="L231" s="208"/>
      <c r="M231" s="209"/>
      <c r="N231" s="209"/>
      <c r="O231" s="152" t="s">
        <v>153</v>
      </c>
      <c r="P231" s="78">
        <v>51220200001</v>
      </c>
      <c r="Q231" s="142" t="s">
        <v>56</v>
      </c>
      <c r="R231" s="212">
        <f t="shared" si="12"/>
        <v>0</v>
      </c>
      <c r="W231" s="97" t="s">
        <v>480</v>
      </c>
      <c r="X231" s="144">
        <f>R238</f>
        <v>981.03</v>
      </c>
    </row>
    <row r="232" spans="1:25" x14ac:dyDescent="0.2">
      <c r="A232" s="114"/>
      <c r="B232" s="114"/>
      <c r="C232" s="115"/>
      <c r="D232" s="115"/>
      <c r="E232" s="114"/>
      <c r="F232" s="114"/>
      <c r="G232" s="208"/>
      <c r="H232" s="208"/>
      <c r="I232" s="208"/>
      <c r="J232" s="208"/>
      <c r="K232" s="208"/>
      <c r="L232" s="208"/>
      <c r="M232" s="209"/>
      <c r="N232" s="209"/>
      <c r="O232" s="152" t="s">
        <v>153</v>
      </c>
      <c r="P232" s="78">
        <v>52200000001</v>
      </c>
      <c r="Q232" s="142" t="s">
        <v>460</v>
      </c>
      <c r="R232" s="212">
        <f t="shared" si="12"/>
        <v>0</v>
      </c>
      <c r="W232" s="97" t="s">
        <v>486</v>
      </c>
      <c r="X232" s="167">
        <v>0</v>
      </c>
    </row>
    <row r="233" spans="1:25" x14ac:dyDescent="0.2">
      <c r="A233" s="114"/>
      <c r="B233" s="114"/>
      <c r="C233" s="115"/>
      <c r="D233" s="115"/>
      <c r="E233" s="114"/>
      <c r="F233" s="114"/>
      <c r="G233" s="208"/>
      <c r="H233" s="208"/>
      <c r="I233" s="208"/>
      <c r="J233" s="208"/>
      <c r="K233" s="208"/>
      <c r="L233" s="208"/>
      <c r="M233" s="209"/>
      <c r="N233" s="209"/>
      <c r="O233" s="152" t="s">
        <v>153</v>
      </c>
      <c r="P233" s="78">
        <v>52200000001</v>
      </c>
      <c r="Q233" s="142" t="s">
        <v>351</v>
      </c>
      <c r="R233" s="212">
        <f t="shared" si="12"/>
        <v>0</v>
      </c>
      <c r="X233" s="158">
        <f>X230+X231+X232</f>
        <v>-83.060000000000173</v>
      </c>
      <c r="Y233" s="97" t="s">
        <v>500</v>
      </c>
    </row>
    <row r="234" spans="1:25" x14ac:dyDescent="0.2">
      <c r="A234" s="114"/>
      <c r="B234" s="114"/>
      <c r="C234" s="115"/>
      <c r="D234" s="115"/>
      <c r="E234" s="114"/>
      <c r="F234" s="114"/>
      <c r="G234" s="208"/>
      <c r="H234" s="208"/>
      <c r="I234" s="208"/>
      <c r="J234" s="208"/>
      <c r="K234" s="208"/>
      <c r="L234" s="208"/>
      <c r="M234" s="209"/>
      <c r="N234" s="209"/>
      <c r="O234" s="152" t="s">
        <v>153</v>
      </c>
      <c r="P234" s="78">
        <v>52200000001</v>
      </c>
      <c r="Q234" s="142" t="s">
        <v>56</v>
      </c>
      <c r="R234" s="212">
        <f t="shared" si="12"/>
        <v>0</v>
      </c>
    </row>
    <row r="235" spans="1:25" x14ac:dyDescent="0.2">
      <c r="A235" s="114"/>
      <c r="B235" s="114"/>
      <c r="C235" s="115"/>
      <c r="D235" s="115"/>
      <c r="E235" s="114"/>
      <c r="F235" s="114"/>
      <c r="G235" s="208"/>
      <c r="H235" s="208"/>
      <c r="I235" s="208"/>
      <c r="J235" s="208"/>
      <c r="K235" s="208"/>
      <c r="L235" s="208"/>
      <c r="M235" s="209"/>
      <c r="N235" s="209"/>
      <c r="O235" s="152" t="s">
        <v>153</v>
      </c>
      <c r="P235" s="78">
        <v>52200000001</v>
      </c>
      <c r="Q235" s="142" t="s">
        <v>460</v>
      </c>
      <c r="R235" s="212">
        <f t="shared" si="12"/>
        <v>0</v>
      </c>
    </row>
    <row r="236" spans="1:25" x14ac:dyDescent="0.2">
      <c r="A236" s="114"/>
      <c r="B236" s="114"/>
      <c r="C236" s="115"/>
      <c r="D236" s="115"/>
      <c r="E236" s="114"/>
      <c r="F236" s="114"/>
      <c r="G236" s="114"/>
      <c r="H236" s="114"/>
      <c r="I236" s="114"/>
      <c r="J236" s="114"/>
      <c r="K236" s="114"/>
      <c r="L236" s="114"/>
      <c r="M236" s="209"/>
      <c r="N236" s="209"/>
      <c r="O236" s="152" t="s">
        <v>153</v>
      </c>
      <c r="P236" s="78">
        <v>51220200001</v>
      </c>
      <c r="Q236" s="142" t="s">
        <v>496</v>
      </c>
      <c r="R236" s="212">
        <f t="shared" si="12"/>
        <v>379.35</v>
      </c>
    </row>
    <row r="237" spans="1:25" x14ac:dyDescent="0.2">
      <c r="A237" s="114"/>
      <c r="B237" s="114"/>
      <c r="C237" s="117" t="s">
        <v>587</v>
      </c>
      <c r="D237" s="115"/>
      <c r="E237" s="115"/>
      <c r="F237" s="114"/>
      <c r="G237" s="114"/>
      <c r="H237" s="114"/>
      <c r="I237" s="117" t="s">
        <v>588</v>
      </c>
      <c r="J237" s="114"/>
      <c r="K237" s="114"/>
      <c r="L237" s="114"/>
      <c r="M237" s="209"/>
      <c r="N237" s="209"/>
      <c r="O237" s="152" t="s">
        <v>153</v>
      </c>
      <c r="P237" s="78">
        <v>53000100001</v>
      </c>
      <c r="Q237" s="142" t="s">
        <v>460</v>
      </c>
      <c r="R237" s="196">
        <f t="shared" si="12"/>
        <v>0</v>
      </c>
    </row>
    <row r="238" spans="1:25" x14ac:dyDescent="0.2">
      <c r="A238" s="114"/>
      <c r="B238" s="114"/>
      <c r="C238" s="117"/>
      <c r="D238" s="115"/>
      <c r="E238" s="115"/>
      <c r="F238" s="114"/>
      <c r="G238" s="114"/>
      <c r="H238" s="114"/>
      <c r="I238" s="117"/>
      <c r="J238" s="114"/>
      <c r="K238" s="114"/>
      <c r="L238" s="114"/>
      <c r="M238" s="209"/>
      <c r="N238" s="209"/>
      <c r="O238" s="209"/>
      <c r="P238" s="209"/>
      <c r="R238" s="144">
        <f>SUM(R217:R237)</f>
        <v>981.03</v>
      </c>
    </row>
    <row r="239" spans="1:25" x14ac:dyDescent="0.2">
      <c r="A239" s="114"/>
      <c r="B239" s="114"/>
      <c r="C239" s="114" t="s">
        <v>140</v>
      </c>
      <c r="D239" s="115"/>
      <c r="E239" s="115"/>
      <c r="F239" s="114"/>
      <c r="G239" s="214">
        <v>0</v>
      </c>
      <c r="H239" s="114"/>
      <c r="I239" s="114" t="s">
        <v>140</v>
      </c>
      <c r="J239" s="114"/>
      <c r="K239" s="114"/>
      <c r="L239" s="214">
        <v>0</v>
      </c>
      <c r="M239" s="209"/>
      <c r="N239" s="209"/>
    </row>
    <row r="240" spans="1:25" x14ac:dyDescent="0.2">
      <c r="A240" s="114"/>
      <c r="B240" s="114"/>
      <c r="C240" s="114"/>
      <c r="D240" s="115"/>
      <c r="E240" s="115"/>
      <c r="F240" s="114"/>
      <c r="G240" s="114"/>
      <c r="H240" s="114"/>
      <c r="I240" s="114"/>
      <c r="J240" s="114"/>
      <c r="K240" s="114"/>
      <c r="L240" s="114"/>
      <c r="M240" s="209"/>
      <c r="N240" s="209"/>
    </row>
    <row r="241" spans="1:28" x14ac:dyDescent="0.2">
      <c r="A241" s="114"/>
      <c r="B241" s="114"/>
      <c r="C241" s="114" t="s">
        <v>589</v>
      </c>
      <c r="D241" s="115"/>
      <c r="E241" s="115"/>
      <c r="F241" s="114"/>
      <c r="G241" s="214">
        <v>0</v>
      </c>
      <c r="H241" s="114"/>
      <c r="I241" s="114" t="s">
        <v>589</v>
      </c>
      <c r="J241" s="114"/>
      <c r="K241" s="114"/>
      <c r="L241" s="214">
        <v>0</v>
      </c>
      <c r="M241" s="209"/>
      <c r="N241" s="209"/>
    </row>
    <row r="242" spans="1:28" x14ac:dyDescent="0.2">
      <c r="A242" s="114"/>
      <c r="B242" s="114"/>
      <c r="C242" s="114"/>
      <c r="D242" s="115"/>
      <c r="E242" s="115"/>
      <c r="F242" s="114"/>
      <c r="G242" s="214"/>
      <c r="H242" s="114"/>
      <c r="I242" s="114"/>
      <c r="J242" s="114"/>
      <c r="K242" s="114"/>
      <c r="L242" s="214"/>
      <c r="M242" s="209"/>
      <c r="N242" s="209"/>
    </row>
    <row r="243" spans="1:28" x14ac:dyDescent="0.2">
      <c r="A243" s="114"/>
      <c r="B243" s="114"/>
      <c r="C243" s="114"/>
      <c r="D243" s="115"/>
      <c r="E243" s="115"/>
      <c r="F243" s="114"/>
      <c r="G243" s="214"/>
      <c r="H243" s="114"/>
      <c r="I243" s="114"/>
      <c r="J243" s="114"/>
      <c r="K243" s="114"/>
      <c r="L243" s="214"/>
      <c r="M243" s="209"/>
      <c r="N243" s="209"/>
    </row>
    <row r="244" spans="1:28" x14ac:dyDescent="0.2">
      <c r="A244" s="114"/>
      <c r="B244" s="114"/>
      <c r="C244" s="114" t="s">
        <v>590</v>
      </c>
      <c r="D244" s="115"/>
      <c r="E244" s="115"/>
      <c r="F244" s="114"/>
      <c r="G244" s="214"/>
      <c r="H244" s="114"/>
      <c r="I244" s="114" t="s">
        <v>590</v>
      </c>
      <c r="J244" s="114"/>
      <c r="K244" s="114"/>
      <c r="L244" s="214"/>
      <c r="M244" s="209"/>
      <c r="N244" s="209"/>
    </row>
    <row r="245" spans="1:28" x14ac:dyDescent="0.2">
      <c r="A245" s="114"/>
      <c r="B245" s="114"/>
      <c r="C245" s="114" t="s">
        <v>141</v>
      </c>
      <c r="D245" s="115"/>
      <c r="E245" s="115"/>
      <c r="F245" s="114"/>
      <c r="G245" s="214" t="e">
        <f>+#REF!</f>
        <v>#REF!</v>
      </c>
      <c r="H245" s="114"/>
      <c r="I245" s="114" t="s">
        <v>141</v>
      </c>
      <c r="J245" s="114"/>
      <c r="K245" s="114"/>
      <c r="L245" s="214">
        <f>+J230</f>
        <v>981.03</v>
      </c>
      <c r="M245" s="209"/>
      <c r="N245" s="209"/>
    </row>
    <row r="246" spans="1:28" x14ac:dyDescent="0.2">
      <c r="A246" s="114"/>
      <c r="B246" s="114"/>
      <c r="C246" s="114" t="s">
        <v>591</v>
      </c>
      <c r="D246" s="115"/>
      <c r="E246" s="115"/>
      <c r="F246" s="114"/>
      <c r="G246" s="215" t="e">
        <f>+G245*0.13</f>
        <v>#REF!</v>
      </c>
      <c r="H246" s="114"/>
      <c r="I246" s="114" t="s">
        <v>591</v>
      </c>
      <c r="J246" s="114"/>
      <c r="K246" s="114"/>
      <c r="L246" s="215">
        <f>+K230</f>
        <v>0</v>
      </c>
      <c r="M246" s="209"/>
      <c r="N246" s="209"/>
    </row>
    <row r="247" spans="1:28" x14ac:dyDescent="0.2">
      <c r="A247" s="114"/>
      <c r="B247" s="114"/>
      <c r="C247" s="114"/>
      <c r="D247" s="115"/>
      <c r="E247" s="115"/>
      <c r="F247" s="114"/>
      <c r="G247" s="214"/>
      <c r="H247" s="114"/>
      <c r="I247" s="114"/>
      <c r="J247" s="114"/>
      <c r="K247" s="114"/>
      <c r="L247" s="214"/>
      <c r="M247" s="209"/>
      <c r="N247" s="209"/>
    </row>
    <row r="248" spans="1:28" ht="13.5" thickBot="1" x14ac:dyDescent="0.25">
      <c r="A248" s="114"/>
      <c r="B248" s="114"/>
      <c r="C248" s="114" t="s">
        <v>592</v>
      </c>
      <c r="D248" s="115"/>
      <c r="E248" s="115"/>
      <c r="F248" s="114"/>
      <c r="G248" s="216" t="e">
        <f>SUM(G239:G246)</f>
        <v>#REF!</v>
      </c>
      <c r="H248" s="114"/>
      <c r="I248" s="114" t="s">
        <v>592</v>
      </c>
      <c r="J248" s="114"/>
      <c r="K248" s="114"/>
      <c r="L248" s="216">
        <f>SUM(L245:L247)</f>
        <v>981.03</v>
      </c>
      <c r="M248" s="209"/>
      <c r="N248" s="209"/>
    </row>
    <row r="249" spans="1:28" ht="13.5" thickTop="1" x14ac:dyDescent="0.2"/>
    <row r="250" spans="1:28" ht="3.75" customHeight="1" x14ac:dyDescent="0.2">
      <c r="A250" s="247"/>
      <c r="B250" s="247"/>
      <c r="C250" s="248"/>
      <c r="D250" s="248"/>
      <c r="E250" s="247"/>
      <c r="F250" s="247"/>
      <c r="G250" s="247"/>
      <c r="H250" s="247"/>
      <c r="I250" s="247"/>
      <c r="J250" s="247"/>
      <c r="K250" s="247"/>
      <c r="L250" s="247"/>
      <c r="M250" s="249"/>
      <c r="N250" s="249"/>
      <c r="O250" s="249"/>
      <c r="P250" s="249"/>
      <c r="Q250" s="250"/>
      <c r="R250" s="250"/>
      <c r="S250" s="250"/>
      <c r="T250" s="250"/>
      <c r="U250" s="250"/>
      <c r="V250" s="250"/>
      <c r="W250" s="250"/>
      <c r="X250" s="250"/>
      <c r="Y250" s="250"/>
      <c r="Z250" s="250"/>
      <c r="AA250" s="250"/>
      <c r="AB250" s="250"/>
    </row>
    <row r="254" spans="1:28" x14ac:dyDescent="0.2">
      <c r="A254" s="97"/>
      <c r="B254" s="225" t="s">
        <v>355</v>
      </c>
      <c r="C254" s="114"/>
      <c r="D254" s="114"/>
      <c r="E254" s="121"/>
      <c r="F254" s="122"/>
      <c r="G254" s="114"/>
      <c r="H254" s="114"/>
      <c r="I254" s="114"/>
      <c r="J254" s="114"/>
      <c r="K254" s="114"/>
      <c r="L254" s="114"/>
      <c r="M254" s="232"/>
      <c r="N254" s="232"/>
    </row>
    <row r="255" spans="1:28" x14ac:dyDescent="0.2">
      <c r="A255" s="97"/>
      <c r="B255" s="226" t="s">
        <v>252</v>
      </c>
      <c r="C255" s="114"/>
      <c r="D255" s="114"/>
      <c r="E255" s="226"/>
      <c r="F255" s="122"/>
      <c r="G255" s="114"/>
      <c r="H255" s="114"/>
      <c r="I255" s="114"/>
      <c r="J255" s="114"/>
      <c r="K255" s="114"/>
      <c r="L255" s="114"/>
      <c r="M255" s="232"/>
      <c r="N255" s="232"/>
    </row>
    <row r="256" spans="1:28" x14ac:dyDescent="0.2">
      <c r="A256" s="97"/>
      <c r="B256" s="231" t="s">
        <v>253</v>
      </c>
      <c r="C256" s="114"/>
      <c r="D256" s="114"/>
      <c r="E256" s="121"/>
      <c r="F256" s="230"/>
      <c r="G256" s="114"/>
      <c r="H256" s="114"/>
      <c r="I256" s="114"/>
      <c r="J256" s="114"/>
      <c r="K256" s="114"/>
      <c r="L256" s="114"/>
      <c r="M256" s="232"/>
      <c r="N256" s="232"/>
    </row>
    <row r="257" spans="1:26" x14ac:dyDescent="0.2">
      <c r="A257" s="97"/>
      <c r="B257" s="231" t="s">
        <v>356</v>
      </c>
      <c r="C257" s="114"/>
      <c r="D257" s="114"/>
      <c r="E257" s="121"/>
      <c r="F257" s="122"/>
      <c r="G257" s="114"/>
      <c r="H257" s="114"/>
      <c r="I257" s="114"/>
      <c r="J257" s="114"/>
      <c r="K257" s="114"/>
      <c r="L257" s="114"/>
      <c r="M257" s="232"/>
      <c r="N257" s="232"/>
    </row>
    <row r="258" spans="1:26" x14ac:dyDescent="0.2">
      <c r="A258" s="97"/>
      <c r="B258" s="229"/>
      <c r="C258" s="114"/>
      <c r="D258" s="114"/>
      <c r="E258" s="121"/>
      <c r="F258" s="122"/>
      <c r="G258" s="114"/>
      <c r="H258" s="114"/>
      <c r="I258" s="114"/>
      <c r="J258" s="114"/>
      <c r="K258" s="114"/>
      <c r="L258" s="114"/>
      <c r="M258" s="232"/>
      <c r="N258" s="232"/>
    </row>
    <row r="259" spans="1:26" ht="18" x14ac:dyDescent="0.25">
      <c r="A259" s="97"/>
      <c r="B259" s="113" t="s">
        <v>458</v>
      </c>
      <c r="C259" s="114"/>
      <c r="D259" s="115"/>
      <c r="E259" s="116" t="s">
        <v>154</v>
      </c>
      <c r="F259" s="117" t="s">
        <v>179</v>
      </c>
      <c r="G259" s="118">
        <v>2017</v>
      </c>
      <c r="H259" s="119" t="s">
        <v>41</v>
      </c>
      <c r="I259" s="119"/>
      <c r="J259" s="114"/>
      <c r="K259" s="114"/>
      <c r="L259" s="114"/>
      <c r="M259" s="232"/>
      <c r="N259" s="232"/>
    </row>
    <row r="260" spans="1:26" x14ac:dyDescent="0.2">
      <c r="A260" s="97"/>
      <c r="B260" s="120" t="s">
        <v>42</v>
      </c>
      <c r="C260" s="114"/>
      <c r="D260" s="114"/>
      <c r="E260" s="121"/>
      <c r="F260" s="122"/>
      <c r="G260" s="114"/>
      <c r="H260" s="123"/>
      <c r="I260" s="123"/>
      <c r="J260" s="114"/>
      <c r="K260" s="114"/>
      <c r="L260" s="114"/>
      <c r="M260" s="232"/>
      <c r="N260" s="232"/>
    </row>
    <row r="261" spans="1:26" x14ac:dyDescent="0.2">
      <c r="A261" s="97"/>
      <c r="B261" s="124"/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232"/>
      <c r="N261" s="232"/>
    </row>
    <row r="262" spans="1:26" x14ac:dyDescent="0.2">
      <c r="A262" s="97"/>
      <c r="B262" s="124"/>
      <c r="C262" s="124"/>
      <c r="D262" s="124"/>
      <c r="E262" s="124"/>
      <c r="F262" s="124"/>
      <c r="G262" s="124"/>
      <c r="H262" s="117"/>
      <c r="I262" s="117"/>
      <c r="J262" s="117"/>
      <c r="K262" s="117"/>
      <c r="L262" s="124"/>
      <c r="M262" s="232"/>
      <c r="N262" s="232"/>
    </row>
    <row r="263" spans="1:26" x14ac:dyDescent="0.2">
      <c r="A263" s="97"/>
      <c r="B263" s="125"/>
      <c r="C263" s="126" t="s">
        <v>255</v>
      </c>
      <c r="D263" s="127" t="s">
        <v>43</v>
      </c>
      <c r="E263" s="127"/>
      <c r="F263" s="127" t="s">
        <v>135</v>
      </c>
      <c r="G263" s="127"/>
      <c r="H263" s="128" t="s">
        <v>136</v>
      </c>
      <c r="I263" s="129"/>
      <c r="J263" s="129"/>
      <c r="K263" s="129"/>
      <c r="L263" s="146"/>
      <c r="M263" s="233"/>
      <c r="N263" s="233"/>
      <c r="O263" s="170" t="s">
        <v>480</v>
      </c>
      <c r="P263" s="170"/>
      <c r="Q263" s="170"/>
      <c r="R263" s="170"/>
      <c r="U263" s="106" t="s">
        <v>465</v>
      </c>
      <c r="Y263" s="97" t="s">
        <v>479</v>
      </c>
      <c r="Z263" s="97" t="s">
        <v>340</v>
      </c>
    </row>
    <row r="264" spans="1:26" x14ac:dyDescent="0.2">
      <c r="A264" s="97"/>
      <c r="B264" s="130" t="s">
        <v>137</v>
      </c>
      <c r="C264" s="131" t="s">
        <v>138</v>
      </c>
      <c r="D264" s="131" t="s">
        <v>258</v>
      </c>
      <c r="E264" s="131" t="s">
        <v>139</v>
      </c>
      <c r="F264" s="131" t="s">
        <v>259</v>
      </c>
      <c r="G264" s="131" t="s">
        <v>140</v>
      </c>
      <c r="H264" s="132" t="s">
        <v>94</v>
      </c>
      <c r="I264" s="129"/>
      <c r="J264" s="132" t="s">
        <v>141</v>
      </c>
      <c r="K264" s="129"/>
      <c r="L264" s="147" t="s">
        <v>325</v>
      </c>
      <c r="M264" s="233"/>
      <c r="N264" s="233"/>
      <c r="O264" s="152" t="s">
        <v>154</v>
      </c>
      <c r="P264" s="78">
        <v>51000000001</v>
      </c>
      <c r="Q264" s="142" t="s">
        <v>460</v>
      </c>
      <c r="R264" s="235">
        <f>SUMIFS($J$267:$J$276,$E$267:$E$276,Q264,$M$267:$M$276,P264)</f>
        <v>0</v>
      </c>
      <c r="T264" s="97">
        <v>51000200001</v>
      </c>
      <c r="U264" s="97" t="s">
        <v>382</v>
      </c>
      <c r="X264" s="109">
        <v>-47.95</v>
      </c>
      <c r="Y264" s="109">
        <f>R267</f>
        <v>0</v>
      </c>
      <c r="Z264" s="144">
        <v>0</v>
      </c>
    </row>
    <row r="265" spans="1:26" x14ac:dyDescent="0.2">
      <c r="A265" s="97"/>
      <c r="B265" s="133"/>
      <c r="C265" s="134"/>
      <c r="D265" s="134"/>
      <c r="E265" s="133"/>
      <c r="F265" s="133"/>
      <c r="G265" s="133"/>
      <c r="H265" s="135" t="s">
        <v>326</v>
      </c>
      <c r="I265" s="136" t="s">
        <v>327</v>
      </c>
      <c r="J265" s="148" t="s">
        <v>328</v>
      </c>
      <c r="K265" s="148" t="s">
        <v>89</v>
      </c>
      <c r="L265" s="149" t="s">
        <v>94</v>
      </c>
      <c r="M265" s="233"/>
      <c r="N265" s="233"/>
      <c r="O265" s="152" t="s">
        <v>154</v>
      </c>
      <c r="P265" s="78">
        <v>51000000002</v>
      </c>
      <c r="Q265" s="142" t="s">
        <v>460</v>
      </c>
      <c r="R265" s="235">
        <f t="shared" ref="R265:R284" si="14">SUMIFS($J$267:$J$276,$E$267:$E$276,Q265,$M$267:$M$276,P265)</f>
        <v>0</v>
      </c>
      <c r="T265" s="97">
        <v>51000200002</v>
      </c>
      <c r="U265" s="97" t="s">
        <v>383</v>
      </c>
      <c r="X265" s="109">
        <v>-47.95</v>
      </c>
      <c r="Y265" s="109">
        <f>R269</f>
        <v>0</v>
      </c>
      <c r="Z265" s="144">
        <v>0</v>
      </c>
    </row>
    <row r="266" spans="1:26" x14ac:dyDescent="0.2">
      <c r="A266" s="97"/>
      <c r="B266" s="137"/>
      <c r="C266" s="138"/>
      <c r="D266" s="138"/>
      <c r="E266" s="139"/>
      <c r="F266" s="140"/>
      <c r="G266" s="234"/>
      <c r="H266" s="235"/>
      <c r="I266" s="235"/>
      <c r="J266" s="235"/>
      <c r="K266" s="235"/>
      <c r="L266" s="235"/>
      <c r="M266" s="236"/>
      <c r="N266" s="236"/>
      <c r="O266" s="152" t="s">
        <v>154</v>
      </c>
      <c r="P266" s="78">
        <v>51000100001</v>
      </c>
      <c r="Q266" s="142" t="s">
        <v>460</v>
      </c>
      <c r="R266" s="235">
        <f t="shared" si="14"/>
        <v>0</v>
      </c>
      <c r="T266" s="97">
        <v>51220200001</v>
      </c>
      <c r="U266" s="97" t="s">
        <v>55</v>
      </c>
      <c r="X266" s="109">
        <v>-1776.8599999999988</v>
      </c>
      <c r="Y266" s="109">
        <f>R276+R283</f>
        <v>1775.1599999999999</v>
      </c>
      <c r="Z266" s="144">
        <f>X266+Y266</f>
        <v>-1.6999999999989086</v>
      </c>
    </row>
    <row r="267" spans="1:26" x14ac:dyDescent="0.2">
      <c r="A267" s="97"/>
      <c r="B267" s="141">
        <v>43333</v>
      </c>
      <c r="C267" s="138" t="s">
        <v>595</v>
      </c>
      <c r="D267" s="138" t="s">
        <v>459</v>
      </c>
      <c r="E267" s="142" t="s">
        <v>496</v>
      </c>
      <c r="F267" s="142" t="s">
        <v>497</v>
      </c>
      <c r="G267" s="234"/>
      <c r="H267" s="235"/>
      <c r="I267" s="235"/>
      <c r="J267" s="235">
        <v>384.11</v>
      </c>
      <c r="K267" s="143">
        <v>49.93</v>
      </c>
      <c r="L267" s="235">
        <f t="shared" ref="L267:L273" si="15">+J267+K267</f>
        <v>434.04</v>
      </c>
      <c r="M267" s="97">
        <v>51220200001</v>
      </c>
      <c r="N267" s="236"/>
      <c r="O267" s="152" t="s">
        <v>154</v>
      </c>
      <c r="P267" s="78">
        <v>51000100001</v>
      </c>
      <c r="Q267" s="142" t="s">
        <v>496</v>
      </c>
      <c r="R267" s="235">
        <f t="shared" si="14"/>
        <v>0</v>
      </c>
      <c r="T267" s="97">
        <v>52200000001</v>
      </c>
      <c r="U267" s="97" t="s">
        <v>33</v>
      </c>
      <c r="X267" s="109">
        <v>0</v>
      </c>
      <c r="Y267" s="109">
        <f>R277+R284</f>
        <v>0</v>
      </c>
      <c r="Z267" s="144">
        <v>0</v>
      </c>
    </row>
    <row r="268" spans="1:26" x14ac:dyDescent="0.2">
      <c r="A268" s="97"/>
      <c r="B268" s="141">
        <v>43333</v>
      </c>
      <c r="C268" s="138" t="s">
        <v>596</v>
      </c>
      <c r="D268" s="138" t="s">
        <v>459</v>
      </c>
      <c r="E268" s="142" t="s">
        <v>460</v>
      </c>
      <c r="F268" s="142" t="s">
        <v>90</v>
      </c>
      <c r="G268" s="142"/>
      <c r="H268" s="235"/>
      <c r="I268" s="235"/>
      <c r="J268" s="235">
        <v>1391.05</v>
      </c>
      <c r="K268" s="143">
        <v>180.84</v>
      </c>
      <c r="L268" s="235">
        <f t="shared" si="15"/>
        <v>1571.8899999999999</v>
      </c>
      <c r="M268" s="97">
        <v>51220200001</v>
      </c>
      <c r="N268" s="236"/>
      <c r="O268" s="152" t="s">
        <v>154</v>
      </c>
      <c r="P268" s="78">
        <v>51000100002</v>
      </c>
      <c r="Q268" s="142" t="s">
        <v>460</v>
      </c>
      <c r="R268" s="235">
        <f t="shared" si="14"/>
        <v>0</v>
      </c>
      <c r="T268" s="97">
        <v>53000000009</v>
      </c>
      <c r="U268" s="97" t="s">
        <v>446</v>
      </c>
      <c r="X268" s="198">
        <v>0</v>
      </c>
      <c r="Y268" s="109">
        <v>0</v>
      </c>
      <c r="Z268" s="144">
        <v>0</v>
      </c>
    </row>
    <row r="269" spans="1:26" x14ac:dyDescent="0.2">
      <c r="A269" s="97"/>
      <c r="B269" s="141">
        <v>43335</v>
      </c>
      <c r="C269" s="138" t="s">
        <v>597</v>
      </c>
      <c r="D269" s="138" t="s">
        <v>459</v>
      </c>
      <c r="E269" s="142" t="s">
        <v>460</v>
      </c>
      <c r="F269" s="142" t="s">
        <v>90</v>
      </c>
      <c r="G269" s="234"/>
      <c r="H269" s="235"/>
      <c r="I269" s="235"/>
      <c r="J269" s="235">
        <v>47.95</v>
      </c>
      <c r="K269" s="143">
        <v>6.23</v>
      </c>
      <c r="L269" s="235">
        <f t="shared" si="15"/>
        <v>54.180000000000007</v>
      </c>
      <c r="M269" s="97">
        <v>51000200001</v>
      </c>
      <c r="N269" s="236"/>
      <c r="O269" s="152" t="s">
        <v>154</v>
      </c>
      <c r="P269" s="78">
        <v>51000100002</v>
      </c>
      <c r="Q269" s="142" t="s">
        <v>496</v>
      </c>
      <c r="R269" s="235">
        <f t="shared" si="14"/>
        <v>0</v>
      </c>
      <c r="T269" s="97">
        <v>53000000012</v>
      </c>
      <c r="U269" s="97" t="s">
        <v>447</v>
      </c>
      <c r="X269" s="171">
        <v>0</v>
      </c>
      <c r="Y269" s="171">
        <f>R279+R286</f>
        <v>0</v>
      </c>
      <c r="Z269" s="167">
        <v>0</v>
      </c>
    </row>
    <row r="270" spans="1:26" x14ac:dyDescent="0.2">
      <c r="A270" s="97"/>
      <c r="B270" s="141">
        <v>43335</v>
      </c>
      <c r="C270" s="138" t="s">
        <v>598</v>
      </c>
      <c r="D270" s="138" t="s">
        <v>459</v>
      </c>
      <c r="E270" s="142" t="s">
        <v>460</v>
      </c>
      <c r="F270" s="142" t="s">
        <v>90</v>
      </c>
      <c r="G270" s="142"/>
      <c r="H270" s="235"/>
      <c r="I270" s="235"/>
      <c r="J270" s="235">
        <v>47.95</v>
      </c>
      <c r="K270" s="143">
        <v>6.23</v>
      </c>
      <c r="L270" s="235">
        <f t="shared" si="15"/>
        <v>54.180000000000007</v>
      </c>
      <c r="M270" s="97">
        <v>51000200002</v>
      </c>
      <c r="N270" s="236"/>
      <c r="O270" s="152" t="s">
        <v>154</v>
      </c>
      <c r="P270" s="78">
        <v>51000200001</v>
      </c>
      <c r="Q270" s="142" t="s">
        <v>460</v>
      </c>
      <c r="R270" s="235">
        <f t="shared" si="14"/>
        <v>47.95</v>
      </c>
      <c r="X270" s="158">
        <f>SUM(X264:X269)</f>
        <v>-1872.7599999999989</v>
      </c>
      <c r="Y270" s="158">
        <f>SUM(Y264:Y269)</f>
        <v>1775.1599999999999</v>
      </c>
      <c r="Z270" s="158">
        <f>SUM(Z264:Z269)</f>
        <v>-1.6999999999989086</v>
      </c>
    </row>
    <row r="271" spans="1:26" x14ac:dyDescent="0.2">
      <c r="A271" s="97"/>
      <c r="B271" s="141"/>
      <c r="C271" s="138"/>
      <c r="D271" s="138"/>
      <c r="E271" s="142"/>
      <c r="F271" s="142"/>
      <c r="G271" s="142"/>
      <c r="H271" s="235"/>
      <c r="I271" s="235"/>
      <c r="J271" s="235"/>
      <c r="K271" s="143"/>
      <c r="L271" s="235"/>
      <c r="M271" s="236"/>
      <c r="N271" s="236"/>
      <c r="O271" s="152" t="s">
        <v>154</v>
      </c>
      <c r="P271" s="78">
        <v>51000200001</v>
      </c>
      <c r="Q271" s="142" t="s">
        <v>351</v>
      </c>
      <c r="R271" s="235">
        <f t="shared" si="14"/>
        <v>0</v>
      </c>
    </row>
    <row r="272" spans="1:26" x14ac:dyDescent="0.2">
      <c r="B272" s="141"/>
      <c r="C272" s="138"/>
      <c r="D272" s="138"/>
      <c r="E272" s="142" t="s">
        <v>537</v>
      </c>
      <c r="F272" s="114"/>
      <c r="G272" s="157"/>
      <c r="H272" s="157"/>
      <c r="I272" s="157"/>
      <c r="J272" s="157"/>
      <c r="K272" s="143">
        <v>-243.23</v>
      </c>
      <c r="L272" s="235">
        <f t="shared" si="15"/>
        <v>-243.23</v>
      </c>
      <c r="M272" s="236"/>
      <c r="N272" s="236"/>
      <c r="O272" s="152" t="s">
        <v>154</v>
      </c>
      <c r="P272" s="78">
        <v>51000200001</v>
      </c>
      <c r="Q272" s="142" t="s">
        <v>56</v>
      </c>
      <c r="R272" s="235">
        <f t="shared" si="14"/>
        <v>0</v>
      </c>
    </row>
    <row r="273" spans="2:25" x14ac:dyDescent="0.2">
      <c r="B273" s="141"/>
      <c r="C273" s="138"/>
      <c r="D273" s="138"/>
      <c r="E273" s="142"/>
      <c r="F273" s="114"/>
      <c r="G273" s="157"/>
      <c r="H273" s="157"/>
      <c r="I273" s="157"/>
      <c r="J273" s="157"/>
      <c r="K273" s="143"/>
      <c r="L273" s="235">
        <f t="shared" si="15"/>
        <v>0</v>
      </c>
      <c r="M273" s="236"/>
      <c r="N273" s="236"/>
      <c r="O273" s="152" t="s">
        <v>154</v>
      </c>
      <c r="P273" s="78">
        <v>51000200002</v>
      </c>
      <c r="Q273" s="142" t="s">
        <v>460</v>
      </c>
      <c r="R273" s="235">
        <f t="shared" si="14"/>
        <v>47.95</v>
      </c>
    </row>
    <row r="274" spans="2:25" x14ac:dyDescent="0.2">
      <c r="B274" s="141"/>
      <c r="C274" s="138"/>
      <c r="D274" s="138"/>
      <c r="E274" s="142"/>
      <c r="F274" s="114"/>
      <c r="G274" s="157"/>
      <c r="H274" s="157"/>
      <c r="I274" s="157"/>
      <c r="J274" s="157"/>
      <c r="K274" s="143"/>
      <c r="L274" s="235"/>
      <c r="M274" s="236"/>
      <c r="N274" s="236"/>
      <c r="O274" s="152" t="s">
        <v>154</v>
      </c>
      <c r="P274" s="78">
        <v>51000200002</v>
      </c>
      <c r="Q274" s="142" t="s">
        <v>351</v>
      </c>
      <c r="R274" s="235">
        <f t="shared" si="14"/>
        <v>0</v>
      </c>
    </row>
    <row r="275" spans="2:25" x14ac:dyDescent="0.2">
      <c r="B275" s="141"/>
      <c r="C275" s="138"/>
      <c r="D275" s="138"/>
      <c r="E275" s="142"/>
      <c r="F275" s="114"/>
      <c r="G275" s="157"/>
      <c r="H275" s="157"/>
      <c r="I275" s="157"/>
      <c r="J275" s="157"/>
      <c r="K275" s="143"/>
      <c r="L275" s="235"/>
      <c r="M275" s="236"/>
      <c r="N275" s="236"/>
      <c r="O275" s="152" t="s">
        <v>154</v>
      </c>
      <c r="P275" s="78">
        <v>51000200002</v>
      </c>
      <c r="Q275" s="142" t="s">
        <v>56</v>
      </c>
      <c r="R275" s="235">
        <f t="shared" si="14"/>
        <v>0</v>
      </c>
    </row>
    <row r="276" spans="2:25" x14ac:dyDescent="0.2">
      <c r="B276" s="114"/>
      <c r="C276" s="115"/>
      <c r="D276" s="115"/>
      <c r="E276" s="142"/>
      <c r="F276" s="114"/>
      <c r="G276" s="157"/>
      <c r="H276" s="157"/>
      <c r="I276" s="157"/>
      <c r="J276" s="157"/>
      <c r="K276" s="157"/>
      <c r="L276" s="157"/>
      <c r="M276" s="237"/>
      <c r="N276" s="237"/>
      <c r="O276" s="152" t="s">
        <v>154</v>
      </c>
      <c r="P276" s="78">
        <v>51220200001</v>
      </c>
      <c r="Q276" s="142" t="s">
        <v>460</v>
      </c>
      <c r="R276" s="235">
        <f t="shared" si="14"/>
        <v>1391.05</v>
      </c>
    </row>
    <row r="277" spans="2:25" x14ac:dyDescent="0.2">
      <c r="B277" s="163"/>
      <c r="C277" s="164"/>
      <c r="D277" s="164"/>
      <c r="E277" s="142"/>
      <c r="F277" s="163"/>
      <c r="G277" s="165"/>
      <c r="H277" s="165"/>
      <c r="I277" s="165"/>
      <c r="J277" s="165"/>
      <c r="K277" s="165"/>
      <c r="L277" s="165"/>
      <c r="M277" s="232"/>
      <c r="N277" s="232"/>
      <c r="O277" s="152" t="s">
        <v>154</v>
      </c>
      <c r="P277" s="78">
        <v>51220200001</v>
      </c>
      <c r="Q277" s="142" t="s">
        <v>351</v>
      </c>
      <c r="R277" s="235">
        <f t="shared" si="14"/>
        <v>0</v>
      </c>
      <c r="W277" s="106" t="s">
        <v>478</v>
      </c>
      <c r="X277" s="144">
        <f>+X265+X266+X264+X268+X269</f>
        <v>-1872.7599999999989</v>
      </c>
    </row>
    <row r="278" spans="2:25" x14ac:dyDescent="0.2">
      <c r="B278" s="114"/>
      <c r="C278" s="115"/>
      <c r="D278" s="115"/>
      <c r="E278" s="114"/>
      <c r="F278" s="114"/>
      <c r="G278" s="166" t="e">
        <f>SUM(G194:G277)</f>
        <v>#REF!</v>
      </c>
      <c r="H278" s="166">
        <f>SUM(H194:H277)</f>
        <v>0</v>
      </c>
      <c r="I278" s="166">
        <f>SUM(I194:I277)</f>
        <v>0</v>
      </c>
      <c r="J278" s="166">
        <f>SUM(J267:J277)</f>
        <v>1871.06</v>
      </c>
      <c r="K278" s="166">
        <f>SUM(K266:K277)</f>
        <v>0</v>
      </c>
      <c r="L278" s="166">
        <f>SUM(L267:L277)</f>
        <v>1871.0599999999995</v>
      </c>
      <c r="M278" s="232"/>
      <c r="N278" s="232"/>
      <c r="O278" s="152" t="s">
        <v>154</v>
      </c>
      <c r="P278" s="78">
        <v>51220200001</v>
      </c>
      <c r="Q278" s="142" t="s">
        <v>56</v>
      </c>
      <c r="R278" s="235">
        <f t="shared" si="14"/>
        <v>0</v>
      </c>
      <c r="W278" s="97" t="s">
        <v>480</v>
      </c>
      <c r="X278" s="144">
        <f>R285</f>
        <v>1871.06</v>
      </c>
    </row>
    <row r="279" spans="2:25" x14ac:dyDescent="0.2">
      <c r="B279" s="114"/>
      <c r="C279" s="115"/>
      <c r="D279" s="115"/>
      <c r="E279" s="114"/>
      <c r="F279" s="114"/>
      <c r="G279" s="208"/>
      <c r="H279" s="208"/>
      <c r="I279" s="208"/>
      <c r="J279" s="208"/>
      <c r="K279" s="208"/>
      <c r="L279" s="208"/>
      <c r="M279" s="232"/>
      <c r="N279" s="232"/>
      <c r="O279" s="152" t="s">
        <v>154</v>
      </c>
      <c r="P279" s="78">
        <v>52200000001</v>
      </c>
      <c r="Q279" s="142" t="s">
        <v>460</v>
      </c>
      <c r="R279" s="235">
        <f t="shared" si="14"/>
        <v>0</v>
      </c>
      <c r="W279" s="97" t="s">
        <v>486</v>
      </c>
      <c r="X279" s="167">
        <v>0</v>
      </c>
    </row>
    <row r="280" spans="2:25" x14ac:dyDescent="0.2">
      <c r="B280" s="114"/>
      <c r="C280" s="115"/>
      <c r="D280" s="115"/>
      <c r="E280" s="114"/>
      <c r="F280" s="114"/>
      <c r="G280" s="208"/>
      <c r="H280" s="208"/>
      <c r="I280" s="208"/>
      <c r="J280" s="208"/>
      <c r="K280" s="208"/>
      <c r="L280" s="208"/>
      <c r="M280" s="232"/>
      <c r="N280" s="232"/>
      <c r="O280" s="152" t="s">
        <v>154</v>
      </c>
      <c r="P280" s="78">
        <v>52200000001</v>
      </c>
      <c r="Q280" s="142" t="s">
        <v>351</v>
      </c>
      <c r="R280" s="235">
        <f t="shared" si="14"/>
        <v>0</v>
      </c>
      <c r="X280" s="158">
        <f>X277+X278+X279</f>
        <v>-1.6999999999989086</v>
      </c>
      <c r="Y280" s="97" t="s">
        <v>500</v>
      </c>
    </row>
    <row r="281" spans="2:25" x14ac:dyDescent="0.2">
      <c r="B281" s="114"/>
      <c r="C281" s="115"/>
      <c r="D281" s="115"/>
      <c r="E281" s="114"/>
      <c r="F281" s="114"/>
      <c r="G281" s="208"/>
      <c r="H281" s="208"/>
      <c r="I281" s="208"/>
      <c r="J281" s="208"/>
      <c r="K281" s="208"/>
      <c r="L281" s="208"/>
      <c r="M281" s="232"/>
      <c r="N281" s="232"/>
      <c r="O281" s="152" t="s">
        <v>154</v>
      </c>
      <c r="P281" s="78">
        <v>52200000001</v>
      </c>
      <c r="Q281" s="142" t="s">
        <v>56</v>
      </c>
      <c r="R281" s="235">
        <f t="shared" si="14"/>
        <v>0</v>
      </c>
    </row>
    <row r="282" spans="2:25" x14ac:dyDescent="0.2">
      <c r="B282" s="114"/>
      <c r="C282" s="115"/>
      <c r="D282" s="115"/>
      <c r="E282" s="114"/>
      <c r="F282" s="114"/>
      <c r="G282" s="208"/>
      <c r="H282" s="208"/>
      <c r="I282" s="208"/>
      <c r="J282" s="208"/>
      <c r="K282" s="208"/>
      <c r="L282" s="208"/>
      <c r="M282" s="232"/>
      <c r="N282" s="232"/>
      <c r="O282" s="152" t="s">
        <v>154</v>
      </c>
      <c r="P282" s="78">
        <v>52200000001</v>
      </c>
      <c r="Q282" s="142" t="s">
        <v>460</v>
      </c>
      <c r="R282" s="235">
        <f t="shared" si="14"/>
        <v>0</v>
      </c>
    </row>
    <row r="283" spans="2:25" x14ac:dyDescent="0.2">
      <c r="B283" s="114"/>
      <c r="C283" s="115"/>
      <c r="D283" s="115"/>
      <c r="E283" s="114"/>
      <c r="F283" s="114"/>
      <c r="G283" s="208"/>
      <c r="H283" s="208"/>
      <c r="I283" s="208"/>
      <c r="J283" s="208"/>
      <c r="K283" s="208"/>
      <c r="L283" s="208"/>
      <c r="M283" s="232"/>
      <c r="N283" s="232"/>
      <c r="O283" s="152" t="s">
        <v>154</v>
      </c>
      <c r="P283" s="78">
        <v>51220200001</v>
      </c>
      <c r="Q283" s="142" t="s">
        <v>496</v>
      </c>
      <c r="R283" s="235">
        <f t="shared" si="14"/>
        <v>384.11</v>
      </c>
    </row>
    <row r="284" spans="2:25" x14ac:dyDescent="0.2">
      <c r="B284" s="114"/>
      <c r="C284" s="115"/>
      <c r="D284" s="115"/>
      <c r="E284" s="114"/>
      <c r="F284" s="114"/>
      <c r="G284" s="114"/>
      <c r="H284" s="114"/>
      <c r="I284" s="114"/>
      <c r="J284" s="114"/>
      <c r="K284" s="114"/>
      <c r="L284" s="114"/>
      <c r="M284" s="232"/>
      <c r="N284" s="232"/>
      <c r="O284" s="152" t="s">
        <v>154</v>
      </c>
      <c r="P284" s="78">
        <v>53000100001</v>
      </c>
      <c r="Q284" s="142" t="s">
        <v>460</v>
      </c>
      <c r="R284" s="196">
        <f t="shared" si="14"/>
        <v>0</v>
      </c>
    </row>
    <row r="285" spans="2:25" x14ac:dyDescent="0.2">
      <c r="B285" s="114"/>
      <c r="C285" s="117" t="s">
        <v>587</v>
      </c>
      <c r="D285" s="115"/>
      <c r="E285" s="115"/>
      <c r="F285" s="114"/>
      <c r="G285" s="114"/>
      <c r="H285" s="114"/>
      <c r="I285" s="117" t="s">
        <v>588</v>
      </c>
      <c r="J285" s="114"/>
      <c r="K285" s="114"/>
      <c r="L285" s="114"/>
      <c r="M285" s="232"/>
      <c r="N285" s="232"/>
      <c r="O285" s="232"/>
      <c r="P285" s="232"/>
      <c r="R285" s="144">
        <f>SUM(R264:R284)</f>
        <v>1871.06</v>
      </c>
    </row>
    <row r="286" spans="2:25" x14ac:dyDescent="0.2">
      <c r="B286" s="114"/>
      <c r="C286" s="117"/>
      <c r="D286" s="115"/>
      <c r="E286" s="115"/>
      <c r="F286" s="114"/>
      <c r="G286" s="114"/>
      <c r="H286" s="114"/>
      <c r="I286" s="117"/>
      <c r="J286" s="114"/>
      <c r="K286" s="114"/>
      <c r="L286" s="114"/>
      <c r="M286" s="232"/>
      <c r="N286" s="232"/>
    </row>
    <row r="287" spans="2:25" x14ac:dyDescent="0.2">
      <c r="B287" s="114"/>
      <c r="C287" s="114" t="s">
        <v>140</v>
      </c>
      <c r="D287" s="115"/>
      <c r="E287" s="115"/>
      <c r="F287" s="114"/>
      <c r="G287" s="214">
        <v>0</v>
      </c>
      <c r="H287" s="114"/>
      <c r="I287" s="114" t="s">
        <v>140</v>
      </c>
      <c r="J287" s="114"/>
      <c r="K287" s="114"/>
      <c r="L287" s="214">
        <v>0</v>
      </c>
      <c r="M287" s="232"/>
      <c r="N287" s="232"/>
    </row>
    <row r="288" spans="2:25" x14ac:dyDescent="0.2">
      <c r="B288" s="114"/>
      <c r="C288" s="114"/>
      <c r="D288" s="115"/>
      <c r="E288" s="115"/>
      <c r="F288" s="114"/>
      <c r="G288" s="114"/>
      <c r="H288" s="114"/>
      <c r="I288" s="114"/>
      <c r="J288" s="114"/>
      <c r="K288" s="114"/>
      <c r="L288" s="114"/>
      <c r="M288" s="232"/>
      <c r="N288" s="232"/>
    </row>
    <row r="289" spans="1:28" x14ac:dyDescent="0.2">
      <c r="B289" s="114"/>
      <c r="C289" s="114" t="s">
        <v>589</v>
      </c>
      <c r="D289" s="115"/>
      <c r="E289" s="115"/>
      <c r="F289" s="114"/>
      <c r="G289" s="214">
        <v>0</v>
      </c>
      <c r="H289" s="114"/>
      <c r="I289" s="114" t="s">
        <v>589</v>
      </c>
      <c r="J289" s="114"/>
      <c r="K289" s="114"/>
      <c r="L289" s="214">
        <v>0</v>
      </c>
      <c r="M289" s="232"/>
      <c r="N289" s="232"/>
    </row>
    <row r="290" spans="1:28" x14ac:dyDescent="0.2">
      <c r="B290" s="114"/>
      <c r="C290" s="114"/>
      <c r="D290" s="115"/>
      <c r="E290" s="115"/>
      <c r="F290" s="114"/>
      <c r="G290" s="214"/>
      <c r="H290" s="114"/>
      <c r="I290" s="114"/>
      <c r="J290" s="114"/>
      <c r="K290" s="114"/>
      <c r="L290" s="214"/>
      <c r="M290" s="232"/>
      <c r="N290" s="232"/>
    </row>
    <row r="291" spans="1:28" x14ac:dyDescent="0.2">
      <c r="B291" s="114"/>
      <c r="C291" s="114"/>
      <c r="D291" s="115"/>
      <c r="E291" s="115"/>
      <c r="F291" s="114"/>
      <c r="G291" s="214"/>
      <c r="H291" s="114"/>
      <c r="I291" s="114"/>
      <c r="J291" s="114"/>
      <c r="K291" s="114"/>
      <c r="L291" s="214"/>
      <c r="M291" s="232"/>
      <c r="N291" s="232"/>
    </row>
    <row r="292" spans="1:28" x14ac:dyDescent="0.2">
      <c r="B292" s="114"/>
      <c r="C292" s="114" t="s">
        <v>590</v>
      </c>
      <c r="D292" s="115"/>
      <c r="E292" s="115"/>
      <c r="F292" s="114"/>
      <c r="G292" s="214"/>
      <c r="H292" s="114"/>
      <c r="I292" s="114" t="s">
        <v>590</v>
      </c>
      <c r="J292" s="114"/>
      <c r="K292" s="114"/>
      <c r="L292" s="214"/>
      <c r="M292" s="232"/>
      <c r="N292" s="232"/>
    </row>
    <row r="293" spans="1:28" x14ac:dyDescent="0.2">
      <c r="B293" s="114"/>
      <c r="C293" s="114" t="s">
        <v>141</v>
      </c>
      <c r="D293" s="115"/>
      <c r="E293" s="115"/>
      <c r="F293" s="114"/>
      <c r="G293" s="214">
        <v>1.6991150442477878</v>
      </c>
      <c r="H293" s="114"/>
      <c r="I293" s="114" t="s">
        <v>141</v>
      </c>
      <c r="J293" s="114"/>
      <c r="K293" s="114"/>
      <c r="L293" s="214">
        <f>+J278</f>
        <v>1871.06</v>
      </c>
      <c r="M293" s="232"/>
      <c r="N293" s="232"/>
    </row>
    <row r="294" spans="1:28" x14ac:dyDescent="0.2">
      <c r="B294" s="114"/>
      <c r="C294" s="114" t="s">
        <v>591</v>
      </c>
      <c r="D294" s="115"/>
      <c r="E294" s="115"/>
      <c r="F294" s="114"/>
      <c r="G294" s="215">
        <v>0.22088495575221243</v>
      </c>
      <c r="H294" s="114"/>
      <c r="I294" s="114" t="s">
        <v>591</v>
      </c>
      <c r="J294" s="114"/>
      <c r="K294" s="114"/>
      <c r="L294" s="215">
        <f>+K278</f>
        <v>0</v>
      </c>
      <c r="M294" s="232"/>
      <c r="N294" s="232"/>
    </row>
    <row r="295" spans="1:28" x14ac:dyDescent="0.2">
      <c r="B295" s="114"/>
      <c r="C295" s="114"/>
      <c r="D295" s="115"/>
      <c r="E295" s="115"/>
      <c r="F295" s="114"/>
      <c r="G295" s="214"/>
      <c r="H295" s="114"/>
      <c r="I295" s="114"/>
      <c r="J295" s="114"/>
      <c r="K295" s="114"/>
      <c r="L295" s="214"/>
      <c r="M295" s="232"/>
      <c r="N295" s="232"/>
    </row>
    <row r="296" spans="1:28" ht="13.5" thickBot="1" x14ac:dyDescent="0.25">
      <c r="B296" s="114"/>
      <c r="C296" s="114" t="s">
        <v>592</v>
      </c>
      <c r="D296" s="115"/>
      <c r="E296" s="115"/>
      <c r="F296" s="114"/>
      <c r="G296" s="216">
        <v>1.9200000000000002</v>
      </c>
      <c r="H296" s="114"/>
      <c r="I296" s="114" t="s">
        <v>592</v>
      </c>
      <c r="J296" s="114"/>
      <c r="K296" s="114"/>
      <c r="L296" s="216">
        <f>SUM(L293:L295)</f>
        <v>1871.06</v>
      </c>
      <c r="M296" s="232"/>
      <c r="N296" s="232"/>
    </row>
    <row r="297" spans="1:28" ht="13.5" thickTop="1" x14ac:dyDescent="0.2"/>
    <row r="301" spans="1:28" ht="3.75" customHeight="1" x14ac:dyDescent="0.2">
      <c r="A301" s="247"/>
      <c r="B301" s="247"/>
      <c r="C301" s="248"/>
      <c r="D301" s="248"/>
      <c r="E301" s="247"/>
      <c r="F301" s="247"/>
      <c r="G301" s="247"/>
      <c r="H301" s="247"/>
      <c r="I301" s="247"/>
      <c r="J301" s="247"/>
      <c r="K301" s="247"/>
      <c r="L301" s="247"/>
      <c r="M301" s="249"/>
      <c r="N301" s="249"/>
      <c r="O301" s="249"/>
      <c r="P301" s="249"/>
      <c r="Q301" s="250"/>
      <c r="R301" s="250"/>
      <c r="S301" s="250"/>
      <c r="T301" s="250"/>
      <c r="U301" s="250"/>
      <c r="V301" s="250"/>
      <c r="W301" s="250"/>
      <c r="X301" s="250"/>
      <c r="Y301" s="250"/>
      <c r="Z301" s="250"/>
      <c r="AA301" s="250"/>
      <c r="AB301" s="250"/>
    </row>
    <row r="307" spans="2:26" x14ac:dyDescent="0.2">
      <c r="B307" s="225" t="s">
        <v>355</v>
      </c>
      <c r="C307" s="114"/>
      <c r="D307" s="114"/>
      <c r="E307" s="121"/>
      <c r="F307" s="122"/>
      <c r="G307" s="114"/>
      <c r="H307" s="114"/>
      <c r="I307" s="114"/>
      <c r="J307" s="114"/>
      <c r="K307" s="114"/>
      <c r="L307" s="114"/>
    </row>
    <row r="308" spans="2:26" x14ac:dyDescent="0.2">
      <c r="B308" s="226" t="s">
        <v>252</v>
      </c>
      <c r="C308" s="114"/>
      <c r="D308" s="114"/>
      <c r="E308" s="226"/>
      <c r="F308" s="122"/>
      <c r="G308" s="114"/>
      <c r="H308" s="114"/>
      <c r="I308" s="114"/>
      <c r="J308" s="114"/>
      <c r="K308" s="114"/>
      <c r="L308" s="114"/>
    </row>
    <row r="309" spans="2:26" x14ac:dyDescent="0.2">
      <c r="B309" s="231" t="s">
        <v>253</v>
      </c>
      <c r="C309" s="114"/>
      <c r="D309" s="114"/>
      <c r="E309" s="121"/>
      <c r="F309" s="230"/>
      <c r="G309" s="114"/>
      <c r="H309" s="114"/>
      <c r="I309" s="114"/>
      <c r="J309" s="114"/>
      <c r="K309" s="114"/>
      <c r="L309" s="114"/>
    </row>
    <row r="310" spans="2:26" x14ac:dyDescent="0.2">
      <c r="B310" s="231" t="s">
        <v>356</v>
      </c>
      <c r="C310" s="114"/>
      <c r="D310" s="114"/>
      <c r="E310" s="121"/>
      <c r="F310" s="122"/>
      <c r="G310" s="114"/>
      <c r="H310" s="114"/>
      <c r="I310" s="114"/>
      <c r="J310" s="114"/>
      <c r="K310" s="114"/>
      <c r="L310" s="114"/>
    </row>
    <row r="311" spans="2:26" x14ac:dyDescent="0.2">
      <c r="B311" s="229"/>
      <c r="C311" s="114"/>
      <c r="D311" s="114"/>
      <c r="E311" s="121"/>
      <c r="F311" s="122"/>
      <c r="G311" s="114"/>
      <c r="H311" s="114"/>
      <c r="I311" s="114"/>
      <c r="J311" s="114"/>
      <c r="K311" s="114"/>
      <c r="L311" s="114"/>
    </row>
    <row r="312" spans="2:26" ht="18" x14ac:dyDescent="0.25">
      <c r="B312" s="113" t="s">
        <v>458</v>
      </c>
      <c r="C312" s="114"/>
      <c r="D312" s="115"/>
      <c r="E312" s="116" t="s">
        <v>582</v>
      </c>
      <c r="F312" s="117" t="s">
        <v>179</v>
      </c>
      <c r="G312" s="118">
        <v>2017</v>
      </c>
      <c r="H312" s="119" t="s">
        <v>41</v>
      </c>
      <c r="I312" s="119"/>
      <c r="J312" s="114"/>
      <c r="K312" s="114"/>
      <c r="L312" s="114"/>
    </row>
    <row r="313" spans="2:26" x14ac:dyDescent="0.2">
      <c r="B313" s="120" t="s">
        <v>42</v>
      </c>
      <c r="C313" s="114"/>
      <c r="D313" s="114"/>
      <c r="E313" s="121"/>
      <c r="F313" s="122"/>
      <c r="G313" s="114"/>
      <c r="H313" s="123"/>
      <c r="I313" s="123"/>
      <c r="J313" s="114"/>
      <c r="K313" s="114"/>
      <c r="L313" s="114"/>
    </row>
    <row r="314" spans="2:26" x14ac:dyDescent="0.2"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</row>
    <row r="315" spans="2:26" x14ac:dyDescent="0.2">
      <c r="B315" s="124"/>
      <c r="C315" s="124"/>
      <c r="D315" s="124"/>
      <c r="E315" s="124"/>
      <c r="F315" s="124"/>
      <c r="G315" s="124"/>
      <c r="H315" s="117"/>
      <c r="I315" s="117"/>
      <c r="J315" s="117"/>
      <c r="K315" s="117"/>
      <c r="L315" s="124"/>
    </row>
    <row r="316" spans="2:26" x14ac:dyDescent="0.2">
      <c r="B316" s="125"/>
      <c r="C316" s="126" t="s">
        <v>255</v>
      </c>
      <c r="D316" s="127" t="s">
        <v>43</v>
      </c>
      <c r="E316" s="127"/>
      <c r="F316" s="127" t="s">
        <v>135</v>
      </c>
      <c r="G316" s="127"/>
      <c r="H316" s="128" t="s">
        <v>136</v>
      </c>
      <c r="I316" s="129"/>
      <c r="J316" s="129"/>
      <c r="K316" s="129"/>
      <c r="L316" s="146"/>
      <c r="O316" s="170" t="s">
        <v>480</v>
      </c>
      <c r="P316" s="170"/>
      <c r="Q316" s="170"/>
      <c r="R316" s="170"/>
      <c r="U316" s="106" t="s">
        <v>465</v>
      </c>
      <c r="Y316" s="97" t="s">
        <v>479</v>
      </c>
      <c r="Z316" s="97" t="s">
        <v>340</v>
      </c>
    </row>
    <row r="317" spans="2:26" x14ac:dyDescent="0.2">
      <c r="B317" s="130" t="s">
        <v>137</v>
      </c>
      <c r="C317" s="131" t="s">
        <v>138</v>
      </c>
      <c r="D317" s="131" t="s">
        <v>258</v>
      </c>
      <c r="E317" s="131" t="s">
        <v>139</v>
      </c>
      <c r="F317" s="131" t="s">
        <v>259</v>
      </c>
      <c r="G317" s="131" t="s">
        <v>140</v>
      </c>
      <c r="H317" s="132" t="s">
        <v>94</v>
      </c>
      <c r="I317" s="129"/>
      <c r="J317" s="132" t="s">
        <v>141</v>
      </c>
      <c r="K317" s="129"/>
      <c r="L317" s="147" t="s">
        <v>325</v>
      </c>
      <c r="O317" s="152" t="s">
        <v>582</v>
      </c>
      <c r="P317" s="78">
        <v>51000000001</v>
      </c>
      <c r="Q317" s="142" t="s">
        <v>460</v>
      </c>
      <c r="R317" s="235">
        <f>SUMIFS($J$320:$J$335,$E$320:$E$335,Q317,$M$320:$M$335,P317)</f>
        <v>0</v>
      </c>
      <c r="T317" s="97">
        <v>51000200001</v>
      </c>
      <c r="U317" s="97" t="s">
        <v>382</v>
      </c>
      <c r="X317" s="109">
        <v>-416.72</v>
      </c>
      <c r="Y317" s="109">
        <f>R320</f>
        <v>0</v>
      </c>
      <c r="Z317" s="144">
        <v>0</v>
      </c>
    </row>
    <row r="318" spans="2:26" x14ac:dyDescent="0.2">
      <c r="B318" s="133"/>
      <c r="C318" s="134"/>
      <c r="D318" s="134"/>
      <c r="E318" s="133"/>
      <c r="F318" s="133"/>
      <c r="G318" s="133"/>
      <c r="H318" s="135" t="s">
        <v>326</v>
      </c>
      <c r="I318" s="136" t="s">
        <v>327</v>
      </c>
      <c r="J318" s="148" t="s">
        <v>328</v>
      </c>
      <c r="K318" s="148" t="s">
        <v>89</v>
      </c>
      <c r="L318" s="149" t="s">
        <v>94</v>
      </c>
      <c r="O318" s="152" t="s">
        <v>582</v>
      </c>
      <c r="P318" s="78">
        <v>51000000002</v>
      </c>
      <c r="Q318" s="142" t="s">
        <v>460</v>
      </c>
      <c r="R318" s="235">
        <f t="shared" ref="R318:R337" si="16">SUMIFS($J$320:$J$335,$E$320:$E$335,Q318,$M$320:$M$335,P318)</f>
        <v>0</v>
      </c>
      <c r="T318" s="97">
        <v>51000200002</v>
      </c>
      <c r="U318" s="97" t="s">
        <v>383</v>
      </c>
      <c r="X318" s="109">
        <v>-416.72</v>
      </c>
      <c r="Y318" s="109">
        <f>R322</f>
        <v>0</v>
      </c>
      <c r="Z318" s="144">
        <v>0</v>
      </c>
    </row>
    <row r="319" spans="2:26" x14ac:dyDescent="0.2">
      <c r="B319" s="137"/>
      <c r="C319" s="138"/>
      <c r="D319" s="138"/>
      <c r="E319" s="139"/>
      <c r="F319" s="140"/>
      <c r="G319" s="234"/>
      <c r="H319" s="235"/>
      <c r="I319" s="235"/>
      <c r="J319" s="235"/>
      <c r="K319" s="235"/>
      <c r="L319" s="235"/>
      <c r="O319" s="152" t="s">
        <v>582</v>
      </c>
      <c r="P319" s="78">
        <v>51000100001</v>
      </c>
      <c r="Q319" s="142" t="s">
        <v>460</v>
      </c>
      <c r="R319" s="235">
        <f t="shared" si="16"/>
        <v>0</v>
      </c>
      <c r="T319" s="97">
        <v>51000100001</v>
      </c>
      <c r="U319" s="109" t="s">
        <v>12</v>
      </c>
      <c r="X319" s="109">
        <v>-11947.14</v>
      </c>
    </row>
    <row r="320" spans="2:26" x14ac:dyDescent="0.2">
      <c r="B320" s="141">
        <v>43350</v>
      </c>
      <c r="C320" s="138" t="s">
        <v>599</v>
      </c>
      <c r="D320" s="138" t="s">
        <v>459</v>
      </c>
      <c r="E320" s="217" t="str">
        <f>+VLOOKUP(F320,[3]bd!A:B,2,0)</f>
        <v>BANCO CUSCATLAN DE EL SALVADOR S.A.</v>
      </c>
      <c r="F320" s="217" t="s">
        <v>90</v>
      </c>
      <c r="G320" s="218"/>
      <c r="H320" s="219"/>
      <c r="I320" s="219"/>
      <c r="J320" s="219">
        <v>143.86000000000001</v>
      </c>
      <c r="K320" s="228">
        <v>18.7</v>
      </c>
      <c r="L320" s="219">
        <f t="shared" ref="L320:L326" si="17">+J320+K320</f>
        <v>162.56</v>
      </c>
      <c r="M320" s="224">
        <v>51000200002</v>
      </c>
      <c r="O320" s="152" t="s">
        <v>582</v>
      </c>
      <c r="P320" s="78">
        <v>51000100001</v>
      </c>
      <c r="Q320" s="142" t="s">
        <v>496</v>
      </c>
      <c r="R320" s="235">
        <f t="shared" si="16"/>
        <v>0</v>
      </c>
      <c r="T320" s="97">
        <v>51000100002</v>
      </c>
      <c r="U320" s="109" t="s">
        <v>380</v>
      </c>
      <c r="X320" s="109">
        <v>-7466.97</v>
      </c>
    </row>
    <row r="321" spans="2:26" x14ac:dyDescent="0.2">
      <c r="B321" s="141">
        <v>43350</v>
      </c>
      <c r="C321" s="138" t="s">
        <v>600</v>
      </c>
      <c r="D321" s="138" t="s">
        <v>459</v>
      </c>
      <c r="E321" s="217" t="str">
        <f>+VLOOKUP(F321,[3]bd!A:B,2,0)</f>
        <v>BANCO CUSCATLAN DE EL SALVADOR S.A.</v>
      </c>
      <c r="F321" s="217" t="s">
        <v>90</v>
      </c>
      <c r="G321" s="217"/>
      <c r="H321" s="219"/>
      <c r="I321" s="219"/>
      <c r="J321" s="219">
        <v>143.86000000000001</v>
      </c>
      <c r="K321" s="228">
        <v>18.7</v>
      </c>
      <c r="L321" s="219">
        <f t="shared" si="17"/>
        <v>162.56</v>
      </c>
      <c r="M321" s="224">
        <v>51000200001</v>
      </c>
      <c r="O321" s="152" t="s">
        <v>582</v>
      </c>
      <c r="P321" s="78">
        <v>51000100002</v>
      </c>
      <c r="Q321" s="142" t="s">
        <v>460</v>
      </c>
      <c r="R321" s="235">
        <f t="shared" si="16"/>
        <v>0</v>
      </c>
      <c r="T321" s="97">
        <v>51220200001</v>
      </c>
      <c r="U321" s="97" t="s">
        <v>55</v>
      </c>
      <c r="X321" s="109">
        <v>-1847.14</v>
      </c>
      <c r="Y321" s="109">
        <f>R329+R336</f>
        <v>1845.48</v>
      </c>
      <c r="Z321" s="144">
        <f>X321+Y321</f>
        <v>-1.6600000000000819</v>
      </c>
    </row>
    <row r="322" spans="2:26" x14ac:dyDescent="0.2">
      <c r="B322" s="141">
        <v>43350</v>
      </c>
      <c r="C322" s="138" t="s">
        <v>601</v>
      </c>
      <c r="D322" s="138" t="s">
        <v>459</v>
      </c>
      <c r="E322" s="142" t="str">
        <f>+VLOOKUP(F322,[3]bd!A:B,2,0)</f>
        <v>CITIBANK, N.A. SUCURSAL EL SALVADOR</v>
      </c>
      <c r="F322" s="142" t="s">
        <v>329</v>
      </c>
      <c r="G322" s="234"/>
      <c r="H322" s="235"/>
      <c r="I322" s="235"/>
      <c r="J322" s="197">
        <v>7369.39</v>
      </c>
      <c r="K322" s="191">
        <v>958.02</v>
      </c>
      <c r="L322" s="235">
        <f t="shared" si="17"/>
        <v>8327.41</v>
      </c>
      <c r="O322" s="152" t="s">
        <v>582</v>
      </c>
      <c r="P322" s="78">
        <v>51000100002</v>
      </c>
      <c r="Q322" s="142" t="s">
        <v>496</v>
      </c>
      <c r="R322" s="235">
        <f t="shared" si="16"/>
        <v>0</v>
      </c>
      <c r="T322" s="97">
        <v>52200000001</v>
      </c>
      <c r="U322" s="97" t="s">
        <v>33</v>
      </c>
      <c r="X322" s="109">
        <v>-2040.21</v>
      </c>
      <c r="Y322" s="109">
        <f>R330+R337</f>
        <v>0</v>
      </c>
      <c r="Z322" s="144">
        <v>0</v>
      </c>
    </row>
    <row r="323" spans="2:26" x14ac:dyDescent="0.2">
      <c r="B323" s="141">
        <v>43350</v>
      </c>
      <c r="C323" s="138" t="s">
        <v>602</v>
      </c>
      <c r="D323" s="138" t="s">
        <v>459</v>
      </c>
      <c r="E323" s="142" t="str">
        <f>+VLOOKUP(F323,[3]bd!A:B,2,0)</f>
        <v>CITIBANK, N.A. SUCURSAL EL SALVADOR</v>
      </c>
      <c r="F323" s="142" t="s">
        <v>329</v>
      </c>
      <c r="G323" s="142"/>
      <c r="H323" s="235"/>
      <c r="I323" s="235"/>
      <c r="J323" s="235">
        <v>4605.87</v>
      </c>
      <c r="K323" s="191">
        <v>598.76</v>
      </c>
      <c r="L323" s="235">
        <f t="shared" si="17"/>
        <v>5204.63</v>
      </c>
      <c r="O323" s="152" t="s">
        <v>582</v>
      </c>
      <c r="P323" s="227">
        <v>51000200001</v>
      </c>
      <c r="Q323" s="142" t="s">
        <v>460</v>
      </c>
      <c r="R323" s="235">
        <f t="shared" si="16"/>
        <v>416.72</v>
      </c>
      <c r="X323" s="198">
        <v>0</v>
      </c>
      <c r="Y323" s="109">
        <v>0</v>
      </c>
      <c r="Z323" s="144">
        <v>0</v>
      </c>
    </row>
    <row r="324" spans="2:26" x14ac:dyDescent="0.2">
      <c r="B324" s="141">
        <v>43350</v>
      </c>
      <c r="C324" s="138" t="s">
        <v>603</v>
      </c>
      <c r="D324" s="138" t="s">
        <v>459</v>
      </c>
      <c r="E324" s="142" t="str">
        <f>+VLOOKUP(F324,[3]bd!A:B,2,0)</f>
        <v>CITIBANK, N.A. SUCURSAL EL SALVADOR</v>
      </c>
      <c r="F324" s="142" t="s">
        <v>329</v>
      </c>
      <c r="G324" s="142"/>
      <c r="H324" s="235"/>
      <c r="I324" s="235"/>
      <c r="J324" s="197">
        <v>4577.75</v>
      </c>
      <c r="K324" s="191">
        <v>595.11</v>
      </c>
      <c r="L324" s="235">
        <f t="shared" si="17"/>
        <v>5172.8599999999997</v>
      </c>
      <c r="O324" s="152" t="s">
        <v>582</v>
      </c>
      <c r="P324" s="78">
        <v>51000200001</v>
      </c>
      <c r="Q324" s="142" t="s">
        <v>351</v>
      </c>
      <c r="R324" s="235">
        <f t="shared" si="16"/>
        <v>0</v>
      </c>
      <c r="X324" s="171">
        <v>0</v>
      </c>
      <c r="Y324" s="171">
        <f>R332+R339</f>
        <v>0</v>
      </c>
      <c r="Z324" s="167">
        <v>0</v>
      </c>
    </row>
    <row r="325" spans="2:26" x14ac:dyDescent="0.2">
      <c r="B325" s="141">
        <v>43350</v>
      </c>
      <c r="C325" s="138" t="s">
        <v>604</v>
      </c>
      <c r="D325" s="138" t="s">
        <v>459</v>
      </c>
      <c r="E325" s="142" t="str">
        <f>+VLOOKUP(F325,[3]bd!A:B,2,0)</f>
        <v>CITIBANK, N.A. SUCURSAL EL SALVADOR</v>
      </c>
      <c r="F325" s="142" t="s">
        <v>329</v>
      </c>
      <c r="G325" s="142"/>
      <c r="H325" s="235"/>
      <c r="I325" s="235"/>
      <c r="J325" s="235">
        <v>2861.1</v>
      </c>
      <c r="K325" s="191">
        <v>371.94</v>
      </c>
      <c r="L325" s="235">
        <f t="shared" si="17"/>
        <v>3233.04</v>
      </c>
      <c r="O325" s="152" t="s">
        <v>582</v>
      </c>
      <c r="P325" s="78">
        <v>51000200001</v>
      </c>
      <c r="Q325" s="142" t="s">
        <v>56</v>
      </c>
      <c r="R325" s="235">
        <f t="shared" si="16"/>
        <v>0</v>
      </c>
      <c r="X325" s="158">
        <f>SUM(X317:X324)</f>
        <v>-24134.899999999998</v>
      </c>
      <c r="Y325" s="158">
        <f>SUM(Y317:Y324)</f>
        <v>1845.48</v>
      </c>
      <c r="Z325" s="158">
        <f>SUM(Z317:Z324)</f>
        <v>-1.6600000000000819</v>
      </c>
    </row>
    <row r="326" spans="2:26" x14ac:dyDescent="0.2">
      <c r="B326" s="141">
        <v>43356</v>
      </c>
      <c r="C326" s="138" t="s">
        <v>605</v>
      </c>
      <c r="D326" s="138" t="s">
        <v>459</v>
      </c>
      <c r="E326" s="217" t="str">
        <f>+VLOOKUP(F326,[3]bd!A:B,2,0)</f>
        <v>BANCO CUSCATLAN DE EL SALVADOR S.A.</v>
      </c>
      <c r="F326" s="217" t="s">
        <v>90</v>
      </c>
      <c r="G326" s="217"/>
      <c r="H326" s="219"/>
      <c r="I326" s="219"/>
      <c r="J326" s="219">
        <v>81.069999999999993</v>
      </c>
      <c r="K326" s="228">
        <v>10.54</v>
      </c>
      <c r="L326" s="219">
        <f t="shared" si="17"/>
        <v>91.609999999999985</v>
      </c>
      <c r="M326" s="224">
        <v>51000200002</v>
      </c>
      <c r="O326" s="152" t="s">
        <v>582</v>
      </c>
      <c r="P326" s="227">
        <v>51000200002</v>
      </c>
      <c r="Q326" s="142" t="s">
        <v>460</v>
      </c>
      <c r="R326" s="235">
        <f t="shared" si="16"/>
        <v>416.72</v>
      </c>
      <c r="U326" s="109"/>
    </row>
    <row r="327" spans="2:26" x14ac:dyDescent="0.2">
      <c r="B327" s="141">
        <v>43356</v>
      </c>
      <c r="C327" s="138" t="s">
        <v>606</v>
      </c>
      <c r="D327" s="138" t="s">
        <v>459</v>
      </c>
      <c r="E327" s="217" t="str">
        <f>+VLOOKUP(F327,[3]bd!A:B,2,0)</f>
        <v>BANCO CUSCATLAN DE EL SALVADOR S.A.</v>
      </c>
      <c r="F327" s="217" t="s">
        <v>90</v>
      </c>
      <c r="G327" s="217"/>
      <c r="H327" s="219"/>
      <c r="I327" s="219"/>
      <c r="J327" s="219">
        <v>81.069999999999993</v>
      </c>
      <c r="K327" s="228">
        <v>10.54</v>
      </c>
      <c r="L327" s="219">
        <f>+J327+K327</f>
        <v>91.609999999999985</v>
      </c>
      <c r="M327" s="224">
        <v>51000200001</v>
      </c>
      <c r="O327" s="152" t="s">
        <v>582</v>
      </c>
      <c r="P327" s="78">
        <v>51000200002</v>
      </c>
      <c r="Q327" s="142" t="s">
        <v>351</v>
      </c>
      <c r="R327" s="235">
        <f t="shared" si="16"/>
        <v>0</v>
      </c>
      <c r="U327" s="109"/>
    </row>
    <row r="328" spans="2:26" x14ac:dyDescent="0.2">
      <c r="B328" s="141">
        <v>43361</v>
      </c>
      <c r="C328" s="138" t="s">
        <v>607</v>
      </c>
      <c r="D328" s="138" t="s">
        <v>459</v>
      </c>
      <c r="E328" s="217" t="str">
        <f>+VLOOKUP(F328,[3]bd!A:B,2,0)</f>
        <v>BANCO CUSCATLAN DE EL SALVADOR S.A.</v>
      </c>
      <c r="F328" s="217" t="s">
        <v>90</v>
      </c>
      <c r="G328" s="217"/>
      <c r="H328" s="219"/>
      <c r="I328" s="219"/>
      <c r="J328" s="219">
        <v>95.89</v>
      </c>
      <c r="K328" s="228">
        <v>12.47</v>
      </c>
      <c r="L328" s="219">
        <f>+J328+K328</f>
        <v>108.36</v>
      </c>
      <c r="M328" s="224">
        <v>51000200002</v>
      </c>
      <c r="O328" s="152" t="s">
        <v>582</v>
      </c>
      <c r="P328" s="78">
        <v>51000200002</v>
      </c>
      <c r="Q328" s="142" t="s">
        <v>56</v>
      </c>
      <c r="R328" s="235">
        <f t="shared" si="16"/>
        <v>0</v>
      </c>
      <c r="U328" s="109"/>
    </row>
    <row r="329" spans="2:26" x14ac:dyDescent="0.2">
      <c r="B329" s="141">
        <v>43361</v>
      </c>
      <c r="C329" s="138" t="s">
        <v>608</v>
      </c>
      <c r="D329" s="138" t="s">
        <v>459</v>
      </c>
      <c r="E329" s="217" t="str">
        <f>+VLOOKUP(F329,[3]bd!A:B,2,0)</f>
        <v>BANCO CUSCATLAN DE EL SALVADOR S.A.</v>
      </c>
      <c r="F329" s="217" t="s">
        <v>90</v>
      </c>
      <c r="G329" s="217"/>
      <c r="H329" s="219"/>
      <c r="I329" s="219"/>
      <c r="J329" s="219">
        <v>95.89</v>
      </c>
      <c r="K329" s="228">
        <v>12.47</v>
      </c>
      <c r="L329" s="219">
        <f t="shared" ref="L329:L335" si="18">+J329+K329</f>
        <v>108.36</v>
      </c>
      <c r="M329" s="224">
        <v>51000200001</v>
      </c>
      <c r="O329" s="152" t="s">
        <v>582</v>
      </c>
      <c r="P329" s="227">
        <v>51220200001</v>
      </c>
      <c r="Q329" s="142" t="s">
        <v>460</v>
      </c>
      <c r="R329" s="235">
        <f t="shared" si="16"/>
        <v>1478.63</v>
      </c>
      <c r="U329" s="109"/>
    </row>
    <row r="330" spans="2:26" x14ac:dyDescent="0.2">
      <c r="B330" s="141">
        <v>43361</v>
      </c>
      <c r="C330" s="138" t="s">
        <v>609</v>
      </c>
      <c r="D330" s="138" t="s">
        <v>459</v>
      </c>
      <c r="E330" s="142" t="str">
        <f>+VLOOKUP(F330,[3]bd!A:B,2,0)</f>
        <v>INVERSIONES FINANCIERAS IMPERIA CUSCATLAN, SA</v>
      </c>
      <c r="F330" s="142" t="s">
        <v>497</v>
      </c>
      <c r="G330" s="142"/>
      <c r="H330" s="235"/>
      <c r="I330" s="235"/>
      <c r="J330" s="235">
        <v>366.85</v>
      </c>
      <c r="K330" s="145">
        <v>47.69</v>
      </c>
      <c r="L330" s="235">
        <f t="shared" si="18"/>
        <v>414.54</v>
      </c>
      <c r="M330" s="224">
        <v>51220200001</v>
      </c>
      <c r="O330" s="152" t="s">
        <v>582</v>
      </c>
      <c r="P330" s="78">
        <v>51220200001</v>
      </c>
      <c r="Q330" s="142" t="s">
        <v>351</v>
      </c>
      <c r="R330" s="235">
        <f t="shared" si="16"/>
        <v>0</v>
      </c>
    </row>
    <row r="331" spans="2:26" x14ac:dyDescent="0.2">
      <c r="B331" s="141">
        <v>43361</v>
      </c>
      <c r="C331" s="138" t="s">
        <v>610</v>
      </c>
      <c r="D331" s="138" t="s">
        <v>459</v>
      </c>
      <c r="E331" s="217" t="str">
        <f>+VLOOKUP(F331,[3]bd!A:B,2,0)</f>
        <v>BANCO CUSCATLAN DE EL SALVADOR S.A.</v>
      </c>
      <c r="F331" s="217" t="s">
        <v>90</v>
      </c>
      <c r="G331" s="217"/>
      <c r="H331" s="219"/>
      <c r="I331" s="219"/>
      <c r="J331" s="219">
        <v>1478.63</v>
      </c>
      <c r="K331" s="228">
        <v>192.22</v>
      </c>
      <c r="L331" s="219">
        <f t="shared" si="18"/>
        <v>1670.8500000000001</v>
      </c>
      <c r="M331" s="224">
        <v>51220200001</v>
      </c>
      <c r="O331" s="152" t="s">
        <v>582</v>
      </c>
      <c r="P331" s="78">
        <v>51220200001</v>
      </c>
      <c r="Q331" s="142" t="s">
        <v>56</v>
      </c>
      <c r="R331" s="235">
        <f t="shared" si="16"/>
        <v>0</v>
      </c>
    </row>
    <row r="332" spans="2:26" x14ac:dyDescent="0.2">
      <c r="B332" s="141">
        <v>43367</v>
      </c>
      <c r="C332" s="138" t="s">
        <v>611</v>
      </c>
      <c r="D332" s="138" t="s">
        <v>459</v>
      </c>
      <c r="E332" s="217" t="str">
        <f>+VLOOKUP(F332,[3]bd!A:B,2,0)</f>
        <v>BANCO CUSCATLAN DE EL SALVADOR S.A.</v>
      </c>
      <c r="F332" s="217" t="s">
        <v>90</v>
      </c>
      <c r="G332" s="217"/>
      <c r="H332" s="219"/>
      <c r="I332" s="219"/>
      <c r="J332" s="219">
        <v>41.1</v>
      </c>
      <c r="K332" s="228">
        <v>5.34</v>
      </c>
      <c r="L332" s="219">
        <f t="shared" si="18"/>
        <v>46.44</v>
      </c>
      <c r="M332" s="224">
        <v>51000200002</v>
      </c>
      <c r="O332" s="152" t="s">
        <v>582</v>
      </c>
      <c r="P332" s="78">
        <v>52200000001</v>
      </c>
      <c r="Q332" s="142" t="s">
        <v>460</v>
      </c>
      <c r="R332" s="235">
        <f t="shared" si="16"/>
        <v>0</v>
      </c>
      <c r="W332" s="106" t="s">
        <v>478</v>
      </c>
      <c r="X332" s="144">
        <f>+X318+X321+X317+X323+X324+X319+X320</f>
        <v>-22094.69</v>
      </c>
    </row>
    <row r="333" spans="2:26" x14ac:dyDescent="0.2">
      <c r="B333" s="141">
        <v>43367</v>
      </c>
      <c r="C333" s="138" t="s">
        <v>612</v>
      </c>
      <c r="D333" s="138" t="s">
        <v>459</v>
      </c>
      <c r="E333" s="217" t="str">
        <f>+VLOOKUP(F333,[3]bd!A:B,2,0)</f>
        <v>BANCO CUSCATLAN DE EL SALVADOR S.A.</v>
      </c>
      <c r="F333" s="217" t="s">
        <v>90</v>
      </c>
      <c r="G333" s="218"/>
      <c r="H333" s="219"/>
      <c r="I333" s="219"/>
      <c r="J333" s="219">
        <v>41.1</v>
      </c>
      <c r="K333" s="228">
        <v>5.34</v>
      </c>
      <c r="L333" s="219">
        <f t="shared" si="18"/>
        <v>46.44</v>
      </c>
      <c r="M333" s="224">
        <v>51000200001</v>
      </c>
      <c r="O333" s="152" t="s">
        <v>582</v>
      </c>
      <c r="P333" s="78">
        <v>52200000001</v>
      </c>
      <c r="Q333" s="142" t="s">
        <v>351</v>
      </c>
      <c r="R333" s="235">
        <f t="shared" si="16"/>
        <v>0</v>
      </c>
      <c r="W333" s="97" t="s">
        <v>480</v>
      </c>
      <c r="X333" s="144">
        <f>R338</f>
        <v>2678.92</v>
      </c>
    </row>
    <row r="334" spans="2:26" x14ac:dyDescent="0.2">
      <c r="B334" s="141">
        <v>43371</v>
      </c>
      <c r="C334" s="138" t="s">
        <v>613</v>
      </c>
      <c r="D334" s="138" t="s">
        <v>459</v>
      </c>
      <c r="E334" s="217" t="str">
        <f>+VLOOKUP(F334,[3]bd!A:B,2,0)</f>
        <v>BANCO CUSCATLAN DE EL SALVADOR S.A.</v>
      </c>
      <c r="F334" s="217" t="s">
        <v>90</v>
      </c>
      <c r="G334" s="218"/>
      <c r="H334" s="219"/>
      <c r="I334" s="219"/>
      <c r="J334" s="219">
        <v>54.8</v>
      </c>
      <c r="K334" s="228">
        <v>7.12</v>
      </c>
      <c r="L334" s="219">
        <f t="shared" si="18"/>
        <v>61.919999999999995</v>
      </c>
      <c r="M334" s="224">
        <v>51000200002</v>
      </c>
      <c r="O334" s="152" t="s">
        <v>582</v>
      </c>
      <c r="P334" s="78">
        <v>52200000001</v>
      </c>
      <c r="Q334" s="142" t="s">
        <v>56</v>
      </c>
      <c r="R334" s="235">
        <f t="shared" si="16"/>
        <v>0</v>
      </c>
      <c r="W334" s="97" t="s">
        <v>486</v>
      </c>
      <c r="X334" s="167">
        <v>19414.11</v>
      </c>
    </row>
    <row r="335" spans="2:26" x14ac:dyDescent="0.2">
      <c r="B335" s="141">
        <v>43371</v>
      </c>
      <c r="C335" s="138" t="s">
        <v>614</v>
      </c>
      <c r="D335" s="138" t="s">
        <v>459</v>
      </c>
      <c r="E335" s="217" t="str">
        <f>+VLOOKUP(F335,[3]bd!A:B,2,0)</f>
        <v>BANCO CUSCATLAN DE EL SALVADOR S.A.</v>
      </c>
      <c r="F335" s="217" t="s">
        <v>90</v>
      </c>
      <c r="G335" s="218"/>
      <c r="H335" s="219"/>
      <c r="I335" s="219"/>
      <c r="J335" s="219">
        <v>54.8</v>
      </c>
      <c r="K335" s="228">
        <v>7.12</v>
      </c>
      <c r="L335" s="219">
        <f t="shared" si="18"/>
        <v>61.919999999999995</v>
      </c>
      <c r="M335" s="224">
        <v>51000200001</v>
      </c>
      <c r="O335" s="152" t="s">
        <v>582</v>
      </c>
      <c r="P335" s="78">
        <v>52200000001</v>
      </c>
      <c r="Q335" s="142" t="s">
        <v>460</v>
      </c>
      <c r="R335" s="235">
        <f t="shared" si="16"/>
        <v>0</v>
      </c>
      <c r="X335" s="158">
        <f>X332+X333+X334</f>
        <v>-1.6599999999962165</v>
      </c>
      <c r="Y335" s="97" t="s">
        <v>500</v>
      </c>
    </row>
    <row r="336" spans="2:26" x14ac:dyDescent="0.2">
      <c r="J336" s="198"/>
      <c r="K336" s="198"/>
      <c r="L336" s="198"/>
      <c r="O336" s="152" t="s">
        <v>582</v>
      </c>
      <c r="P336" s="227">
        <v>51220200001</v>
      </c>
      <c r="Q336" s="142" t="s">
        <v>496</v>
      </c>
      <c r="R336" s="235">
        <f t="shared" si="16"/>
        <v>366.85</v>
      </c>
    </row>
    <row r="337" spans="3:18" x14ac:dyDescent="0.2">
      <c r="E337" s="95" t="s">
        <v>537</v>
      </c>
      <c r="J337" s="198"/>
      <c r="K337" s="198">
        <v>-1394.73</v>
      </c>
      <c r="L337" s="198">
        <v>-1394.73</v>
      </c>
      <c r="O337" s="152" t="s">
        <v>582</v>
      </c>
      <c r="P337" s="78">
        <v>53000100001</v>
      </c>
      <c r="Q337" s="142" t="s">
        <v>460</v>
      </c>
      <c r="R337" s="196">
        <f t="shared" si="16"/>
        <v>0</v>
      </c>
    </row>
    <row r="338" spans="3:18" x14ac:dyDescent="0.2">
      <c r="J338" s="198"/>
      <c r="K338" s="198"/>
      <c r="L338" s="198">
        <v>0</v>
      </c>
      <c r="O338" s="232"/>
      <c r="P338" s="232"/>
      <c r="R338" s="144">
        <f>SUM(R317:R337)</f>
        <v>2678.92</v>
      </c>
    </row>
    <row r="339" spans="3:18" x14ac:dyDescent="0.2">
      <c r="J339" s="198"/>
      <c r="K339" s="198"/>
      <c r="L339" s="198"/>
    </row>
    <row r="340" spans="3:18" x14ac:dyDescent="0.2">
      <c r="J340" s="198"/>
      <c r="K340" s="198"/>
      <c r="L340" s="198"/>
    </row>
    <row r="341" spans="3:18" x14ac:dyDescent="0.2">
      <c r="J341" s="198"/>
      <c r="K341" s="198"/>
      <c r="L341" s="198"/>
    </row>
    <row r="342" spans="3:18" x14ac:dyDescent="0.2">
      <c r="J342" s="198"/>
      <c r="K342" s="198"/>
      <c r="L342" s="198"/>
    </row>
    <row r="343" spans="3:18" x14ac:dyDescent="0.2">
      <c r="G343" s="95">
        <v>0</v>
      </c>
      <c r="H343" s="95">
        <v>0</v>
      </c>
      <c r="I343" s="95">
        <v>0</v>
      </c>
      <c r="J343" s="198">
        <v>22093.029999999992</v>
      </c>
      <c r="K343" s="198">
        <v>1477.3499999999995</v>
      </c>
      <c r="L343" s="198">
        <v>23570.379999999997</v>
      </c>
    </row>
    <row r="344" spans="3:18" x14ac:dyDescent="0.2">
      <c r="J344" s="198"/>
      <c r="K344" s="198"/>
      <c r="L344" s="198"/>
    </row>
    <row r="345" spans="3:18" x14ac:dyDescent="0.2">
      <c r="J345" s="198"/>
      <c r="K345" s="198"/>
      <c r="L345" s="198"/>
    </row>
    <row r="346" spans="3:18" x14ac:dyDescent="0.2">
      <c r="J346" s="198"/>
      <c r="K346" s="198"/>
      <c r="L346" s="198"/>
    </row>
    <row r="347" spans="3:18" x14ac:dyDescent="0.2">
      <c r="J347" s="198"/>
      <c r="K347" s="198"/>
      <c r="L347" s="198"/>
    </row>
    <row r="348" spans="3:18" x14ac:dyDescent="0.2">
      <c r="J348" s="198"/>
      <c r="K348" s="198"/>
      <c r="L348" s="198"/>
    </row>
    <row r="349" spans="3:18" x14ac:dyDescent="0.2">
      <c r="J349" s="198"/>
      <c r="K349" s="198"/>
      <c r="L349" s="198"/>
    </row>
    <row r="350" spans="3:18" x14ac:dyDescent="0.2">
      <c r="C350" s="105" t="s">
        <v>587</v>
      </c>
      <c r="I350" s="95" t="s">
        <v>588</v>
      </c>
      <c r="J350" s="198"/>
      <c r="K350" s="198"/>
      <c r="L350" s="198"/>
    </row>
    <row r="351" spans="3:18" x14ac:dyDescent="0.2">
      <c r="J351" s="198"/>
      <c r="K351" s="198"/>
      <c r="L351" s="198"/>
    </row>
    <row r="352" spans="3:18" x14ac:dyDescent="0.2">
      <c r="C352" s="105" t="s">
        <v>140</v>
      </c>
      <c r="G352" s="95">
        <v>0</v>
      </c>
      <c r="I352" s="95" t="s">
        <v>140</v>
      </c>
      <c r="J352" s="198"/>
      <c r="K352" s="198"/>
      <c r="L352" s="198">
        <v>0</v>
      </c>
    </row>
    <row r="353" spans="1:28" x14ac:dyDescent="0.2">
      <c r="J353" s="198"/>
      <c r="K353" s="198"/>
      <c r="L353" s="198"/>
    </row>
    <row r="354" spans="1:28" x14ac:dyDescent="0.2">
      <c r="C354" s="105" t="s">
        <v>589</v>
      </c>
      <c r="G354" s="95">
        <v>0</v>
      </c>
      <c r="I354" s="95" t="s">
        <v>589</v>
      </c>
      <c r="J354" s="198"/>
      <c r="K354" s="198"/>
      <c r="L354" s="198">
        <v>0</v>
      </c>
    </row>
    <row r="355" spans="1:28" x14ac:dyDescent="0.2">
      <c r="J355" s="198"/>
      <c r="K355" s="198"/>
      <c r="L355" s="198"/>
    </row>
    <row r="356" spans="1:28" x14ac:dyDescent="0.2">
      <c r="J356" s="198"/>
      <c r="K356" s="198"/>
      <c r="L356" s="198"/>
    </row>
    <row r="357" spans="1:28" x14ac:dyDescent="0.2">
      <c r="C357" s="105" t="s">
        <v>590</v>
      </c>
      <c r="I357" s="95" t="s">
        <v>590</v>
      </c>
      <c r="J357" s="198"/>
      <c r="K357" s="198"/>
      <c r="L357" s="198"/>
    </row>
    <row r="358" spans="1:28" x14ac:dyDescent="0.2">
      <c r="C358" s="105" t="s">
        <v>141</v>
      </c>
      <c r="G358" s="95">
        <v>1.6637168141592922</v>
      </c>
      <c r="I358" s="95" t="s">
        <v>141</v>
      </c>
      <c r="J358" s="198"/>
      <c r="K358" s="198"/>
      <c r="L358" s="198">
        <v>22093.029999999992</v>
      </c>
    </row>
    <row r="359" spans="1:28" x14ac:dyDescent="0.2">
      <c r="C359" s="105" t="s">
        <v>591</v>
      </c>
      <c r="G359" s="95">
        <v>0.21628318584070799</v>
      </c>
      <c r="I359" s="95" t="s">
        <v>591</v>
      </c>
      <c r="J359" s="198"/>
      <c r="K359" s="198"/>
      <c r="L359" s="198">
        <v>1477.3499999999995</v>
      </c>
    </row>
    <row r="360" spans="1:28" x14ac:dyDescent="0.2">
      <c r="J360" s="198"/>
      <c r="K360" s="198"/>
      <c r="L360" s="198"/>
    </row>
    <row r="361" spans="1:28" x14ac:dyDescent="0.2">
      <c r="C361" s="105" t="s">
        <v>592</v>
      </c>
      <c r="G361" s="95">
        <v>1.8800000000000001</v>
      </c>
      <c r="I361" s="95" t="s">
        <v>592</v>
      </c>
      <c r="J361" s="198"/>
      <c r="K361" s="198"/>
      <c r="L361" s="198">
        <v>23570.37999999999</v>
      </c>
    </row>
    <row r="363" spans="1:28" ht="3.75" customHeight="1" x14ac:dyDescent="0.2">
      <c r="A363" s="247"/>
      <c r="B363" s="247"/>
      <c r="C363" s="248"/>
      <c r="D363" s="248"/>
      <c r="E363" s="247"/>
      <c r="F363" s="247"/>
      <c r="G363" s="247"/>
      <c r="H363" s="247"/>
      <c r="I363" s="247"/>
      <c r="J363" s="247"/>
      <c r="K363" s="247"/>
      <c r="L363" s="247"/>
      <c r="M363" s="249"/>
      <c r="N363" s="249"/>
      <c r="O363" s="249"/>
      <c r="P363" s="249"/>
      <c r="Q363" s="250"/>
      <c r="R363" s="250"/>
      <c r="S363" s="250"/>
      <c r="T363" s="250"/>
      <c r="U363" s="250"/>
      <c r="V363" s="250"/>
      <c r="W363" s="250"/>
      <c r="X363" s="250"/>
      <c r="Y363" s="250"/>
      <c r="Z363" s="250"/>
      <c r="AA363" s="250"/>
      <c r="AB363" s="250"/>
    </row>
    <row r="365" spans="1:28" x14ac:dyDescent="0.2">
      <c r="B365" s="225" t="s">
        <v>355</v>
      </c>
      <c r="C365" s="114"/>
      <c r="D365" s="114"/>
      <c r="E365" s="121"/>
      <c r="F365" s="122"/>
      <c r="G365" s="114"/>
      <c r="H365" s="114"/>
      <c r="I365" s="114"/>
      <c r="J365" s="114"/>
      <c r="K365" s="114"/>
      <c r="L365" s="114"/>
      <c r="M365" s="232"/>
      <c r="N365" s="232"/>
      <c r="O365" s="232"/>
      <c r="P365" s="232"/>
    </row>
    <row r="366" spans="1:28" x14ac:dyDescent="0.2">
      <c r="B366" s="226" t="s">
        <v>252</v>
      </c>
      <c r="C366" s="114"/>
      <c r="D366" s="114"/>
      <c r="E366" s="226"/>
      <c r="F366" s="122"/>
      <c r="G366" s="114"/>
      <c r="H366" s="114"/>
      <c r="I366" s="114"/>
      <c r="J366" s="114"/>
      <c r="K366" s="114"/>
      <c r="L366" s="114"/>
      <c r="M366" s="232"/>
      <c r="N366" s="232"/>
      <c r="O366" s="232"/>
      <c r="P366" s="232"/>
    </row>
    <row r="367" spans="1:28" x14ac:dyDescent="0.2">
      <c r="B367" s="231" t="s">
        <v>253</v>
      </c>
      <c r="C367" s="114"/>
      <c r="D367" s="114"/>
      <c r="E367" s="121"/>
      <c r="F367" s="230"/>
      <c r="G367" s="114"/>
      <c r="H367" s="114"/>
      <c r="I367" s="114"/>
      <c r="J367" s="114"/>
      <c r="K367" s="114"/>
      <c r="L367" s="114"/>
      <c r="M367" s="232"/>
      <c r="N367" s="232"/>
      <c r="O367" s="232"/>
      <c r="P367" s="232"/>
    </row>
    <row r="368" spans="1:28" x14ac:dyDescent="0.2">
      <c r="B368" s="231" t="s">
        <v>356</v>
      </c>
      <c r="C368" s="114"/>
      <c r="D368" s="114"/>
      <c r="E368" s="121"/>
      <c r="F368" s="122"/>
      <c r="G368" s="114"/>
      <c r="H368" s="114"/>
      <c r="I368" s="114"/>
      <c r="J368" s="114"/>
      <c r="K368" s="114"/>
      <c r="L368" s="114"/>
      <c r="M368" s="232"/>
      <c r="N368" s="232"/>
      <c r="O368" s="232"/>
      <c r="P368" s="232"/>
    </row>
    <row r="369" spans="2:26" x14ac:dyDescent="0.2">
      <c r="B369" s="229"/>
      <c r="C369" s="114"/>
      <c r="D369" s="114"/>
      <c r="E369" s="121"/>
      <c r="F369" s="122"/>
      <c r="G369" s="114"/>
      <c r="H369" s="114"/>
      <c r="I369" s="114"/>
      <c r="J369" s="114"/>
      <c r="K369" s="114"/>
      <c r="L369" s="114"/>
      <c r="M369" s="232"/>
      <c r="N369" s="232"/>
      <c r="O369" s="232"/>
      <c r="P369" s="232"/>
    </row>
    <row r="370" spans="2:26" ht="18" x14ac:dyDescent="0.25">
      <c r="B370" s="113" t="s">
        <v>458</v>
      </c>
      <c r="C370" s="114"/>
      <c r="D370" s="115"/>
      <c r="E370" s="116" t="s">
        <v>639</v>
      </c>
      <c r="F370" s="117" t="s">
        <v>179</v>
      </c>
      <c r="G370" s="118">
        <v>2017</v>
      </c>
      <c r="H370" s="119" t="s">
        <v>41</v>
      </c>
      <c r="I370" s="119"/>
      <c r="J370" s="114"/>
      <c r="K370" s="114"/>
      <c r="L370" s="114"/>
      <c r="M370" s="232"/>
      <c r="N370" s="232"/>
      <c r="O370" s="232"/>
      <c r="P370" s="232"/>
    </row>
    <row r="371" spans="2:26" x14ac:dyDescent="0.2">
      <c r="B371" s="120" t="s">
        <v>42</v>
      </c>
      <c r="C371" s="114"/>
      <c r="D371" s="114"/>
      <c r="E371" s="121"/>
      <c r="F371" s="122"/>
      <c r="G371" s="114"/>
      <c r="H371" s="123"/>
      <c r="I371" s="123"/>
      <c r="J371" s="114"/>
      <c r="K371" s="114"/>
      <c r="L371" s="114"/>
      <c r="M371" s="232"/>
      <c r="N371" s="232"/>
      <c r="O371" s="232"/>
      <c r="P371" s="232"/>
    </row>
    <row r="374" spans="2:26" x14ac:dyDescent="0.2">
      <c r="B374" s="130" t="s">
        <v>137</v>
      </c>
      <c r="C374" s="131" t="s">
        <v>138</v>
      </c>
      <c r="D374" s="131" t="s">
        <v>258</v>
      </c>
      <c r="E374" s="131" t="s">
        <v>139</v>
      </c>
      <c r="F374" s="131" t="s">
        <v>259</v>
      </c>
      <c r="G374" s="131" t="s">
        <v>140</v>
      </c>
      <c r="H374" s="132" t="s">
        <v>94</v>
      </c>
      <c r="I374" s="129"/>
      <c r="J374" s="132" t="s">
        <v>141</v>
      </c>
      <c r="K374" s="129"/>
      <c r="L374" s="147" t="s">
        <v>325</v>
      </c>
      <c r="M374" s="233"/>
      <c r="N374" s="233"/>
      <c r="O374" s="170" t="s">
        <v>480</v>
      </c>
      <c r="P374" s="170"/>
      <c r="Q374" s="170"/>
      <c r="R374" s="170"/>
      <c r="U374" s="106" t="s">
        <v>465</v>
      </c>
      <c r="Y374" s="97" t="s">
        <v>479</v>
      </c>
      <c r="Z374" s="97" t="s">
        <v>340</v>
      </c>
    </row>
    <row r="375" spans="2:26" x14ac:dyDescent="0.2">
      <c r="B375" s="133"/>
      <c r="C375" s="134"/>
      <c r="D375" s="134"/>
      <c r="E375" s="133"/>
      <c r="F375" s="133"/>
      <c r="G375" s="133"/>
      <c r="H375" s="135" t="s">
        <v>326</v>
      </c>
      <c r="I375" s="136" t="s">
        <v>327</v>
      </c>
      <c r="J375" s="148" t="s">
        <v>328</v>
      </c>
      <c r="K375" s="148" t="s">
        <v>89</v>
      </c>
      <c r="L375" s="149" t="s">
        <v>94</v>
      </c>
      <c r="M375" s="233"/>
      <c r="N375" s="233"/>
      <c r="O375" s="152" t="s">
        <v>639</v>
      </c>
      <c r="P375" s="78">
        <v>51000000001</v>
      </c>
      <c r="Q375" s="142" t="s">
        <v>460</v>
      </c>
      <c r="R375" s="235">
        <f>SUMIFS($J$377:$J$399,$E$377:$E$399,Q375,$M$377:$M$399,P375)</f>
        <v>0</v>
      </c>
      <c r="T375" s="97">
        <v>51000200001</v>
      </c>
      <c r="U375" s="97" t="s">
        <v>382</v>
      </c>
      <c r="X375" s="109">
        <v>-700.3</v>
      </c>
      <c r="Y375" s="109">
        <f>R378</f>
        <v>0</v>
      </c>
      <c r="Z375" s="144">
        <v>0</v>
      </c>
    </row>
    <row r="376" spans="2:26" x14ac:dyDescent="0.2">
      <c r="B376" s="137"/>
      <c r="C376" s="138"/>
      <c r="D376" s="138"/>
      <c r="E376" s="139"/>
      <c r="F376" s="140"/>
      <c r="G376" s="234"/>
      <c r="H376" s="235"/>
      <c r="I376" s="235"/>
      <c r="J376" s="235"/>
      <c r="K376" s="235"/>
      <c r="L376" s="235"/>
      <c r="M376" s="236"/>
      <c r="N376" s="236"/>
      <c r="O376" s="152" t="s">
        <v>639</v>
      </c>
      <c r="P376" s="78">
        <v>51000000002</v>
      </c>
      <c r="Q376" s="142" t="s">
        <v>460</v>
      </c>
      <c r="R376" s="235">
        <f t="shared" ref="R376:R395" si="19">SUMIFS($J$377:$J$399,$E$377:$E$399,Q376,$M$377:$M$399,P376)</f>
        <v>0</v>
      </c>
      <c r="T376" s="97">
        <v>51000200002</v>
      </c>
      <c r="U376" s="97" t="s">
        <v>383</v>
      </c>
      <c r="X376" s="109">
        <v>-700.3</v>
      </c>
      <c r="Y376" s="109">
        <f>R380</f>
        <v>0</v>
      </c>
      <c r="Z376" s="144">
        <v>0</v>
      </c>
    </row>
    <row r="377" spans="2:26" x14ac:dyDescent="0.2">
      <c r="B377" s="141">
        <v>43374</v>
      </c>
      <c r="C377" s="138" t="s">
        <v>616</v>
      </c>
      <c r="D377" s="138" t="s">
        <v>459</v>
      </c>
      <c r="E377" s="185" t="str">
        <f>+VLOOKUP(F377,[4]bd!A:B,2,0)</f>
        <v>BANCO CUSCATLAN DE EL SALVADOR S.A.</v>
      </c>
      <c r="F377" s="185" t="s">
        <v>90</v>
      </c>
      <c r="G377" s="188"/>
      <c r="H377" s="186"/>
      <c r="I377" s="186"/>
      <c r="J377" s="219">
        <v>14.02</v>
      </c>
      <c r="K377" s="187">
        <v>1.82</v>
      </c>
      <c r="L377" s="186">
        <f t="shared" ref="L377:L384" si="20">+J377+K377</f>
        <v>15.84</v>
      </c>
      <c r="M377" s="245">
        <v>51000200002</v>
      </c>
      <c r="N377" s="236"/>
      <c r="O377" s="152" t="s">
        <v>639</v>
      </c>
      <c r="P377" s="78">
        <v>51000100001</v>
      </c>
      <c r="Q377" s="142" t="s">
        <v>460</v>
      </c>
      <c r="R377" s="235">
        <f t="shared" si="19"/>
        <v>0</v>
      </c>
      <c r="T377" s="97">
        <v>51000100001</v>
      </c>
      <c r="U377" s="109" t="s">
        <v>12</v>
      </c>
      <c r="X377" s="109">
        <v>0</v>
      </c>
    </row>
    <row r="378" spans="2:26" x14ac:dyDescent="0.2">
      <c r="B378" s="141">
        <v>43374</v>
      </c>
      <c r="C378" s="138" t="s">
        <v>617</v>
      </c>
      <c r="D378" s="138" t="s">
        <v>459</v>
      </c>
      <c r="E378" s="185" t="str">
        <f>+VLOOKUP(F378,[4]bd!A:B,2,0)</f>
        <v>BANCO CUSCATLAN DE EL SALVADOR S.A.</v>
      </c>
      <c r="F378" s="185" t="s">
        <v>90</v>
      </c>
      <c r="G378" s="185"/>
      <c r="H378" s="186"/>
      <c r="I378" s="186"/>
      <c r="J378" s="186">
        <v>14.02</v>
      </c>
      <c r="K378" s="187">
        <v>1.82</v>
      </c>
      <c r="L378" s="186">
        <f t="shared" si="20"/>
        <v>15.84</v>
      </c>
      <c r="M378" s="245">
        <v>51000200001</v>
      </c>
      <c r="N378" s="236"/>
      <c r="O378" s="152" t="s">
        <v>639</v>
      </c>
      <c r="P378" s="78">
        <v>51000100001</v>
      </c>
      <c r="Q378" s="142" t="s">
        <v>496</v>
      </c>
      <c r="R378" s="235">
        <f t="shared" si="19"/>
        <v>0</v>
      </c>
      <c r="T378" s="97">
        <v>51000100002</v>
      </c>
      <c r="U378" s="109" t="s">
        <v>380</v>
      </c>
      <c r="X378" s="109">
        <v>0</v>
      </c>
    </row>
    <row r="379" spans="2:26" x14ac:dyDescent="0.2">
      <c r="B379" s="141">
        <v>43375</v>
      </c>
      <c r="C379" s="138" t="s">
        <v>618</v>
      </c>
      <c r="D379" s="138" t="s">
        <v>459</v>
      </c>
      <c r="E379" s="185" t="str">
        <f>+VLOOKUP(F379,[4]bd!A:B,2,0)</f>
        <v>BANCO CUSCATLAN DE EL SALVADOR S.A.</v>
      </c>
      <c r="F379" s="185" t="s">
        <v>90</v>
      </c>
      <c r="G379" s="188"/>
      <c r="H379" s="186"/>
      <c r="I379" s="186"/>
      <c r="J379" s="219">
        <v>95.89</v>
      </c>
      <c r="K379" s="187">
        <v>12.47</v>
      </c>
      <c r="L379" s="186">
        <f t="shared" si="20"/>
        <v>108.36</v>
      </c>
      <c r="M379" s="245">
        <v>51000200002</v>
      </c>
      <c r="N379" s="236"/>
      <c r="O379" s="152" t="s">
        <v>639</v>
      </c>
      <c r="P379" s="78">
        <v>51000100002</v>
      </c>
      <c r="Q379" s="142" t="s">
        <v>460</v>
      </c>
      <c r="R379" s="235">
        <f t="shared" si="19"/>
        <v>0</v>
      </c>
      <c r="T379" s="97">
        <v>51220200001</v>
      </c>
      <c r="U379" s="97" t="s">
        <v>55</v>
      </c>
      <c r="X379" s="109">
        <v>-1915.7100000000009</v>
      </c>
      <c r="Y379" s="109">
        <f>R387+R394</f>
        <v>1418.28</v>
      </c>
      <c r="Z379" s="144">
        <f>X379+Y379</f>
        <v>-497.43000000000097</v>
      </c>
    </row>
    <row r="380" spans="2:26" x14ac:dyDescent="0.2">
      <c r="B380" s="141">
        <v>43375</v>
      </c>
      <c r="C380" s="138" t="s">
        <v>619</v>
      </c>
      <c r="D380" s="138" t="s">
        <v>459</v>
      </c>
      <c r="E380" s="185" t="str">
        <f>+VLOOKUP(F380,[4]bd!A:B,2,0)</f>
        <v>BANCO CUSCATLAN DE EL SALVADOR S.A.</v>
      </c>
      <c r="F380" s="185" t="s">
        <v>90</v>
      </c>
      <c r="G380" s="188"/>
      <c r="H380" s="186"/>
      <c r="I380" s="186"/>
      <c r="J380" s="186">
        <v>95.89</v>
      </c>
      <c r="K380" s="187">
        <v>12.47</v>
      </c>
      <c r="L380" s="186">
        <f t="shared" si="20"/>
        <v>108.36</v>
      </c>
      <c r="M380" s="245">
        <v>51000200001</v>
      </c>
      <c r="N380" s="236"/>
      <c r="O380" s="152" t="s">
        <v>639</v>
      </c>
      <c r="P380" s="78">
        <v>51000100002</v>
      </c>
      <c r="Q380" s="142" t="s">
        <v>496</v>
      </c>
      <c r="R380" s="235">
        <f t="shared" si="19"/>
        <v>0</v>
      </c>
      <c r="T380" s="97">
        <v>52200000001</v>
      </c>
      <c r="U380" s="97" t="s">
        <v>33</v>
      </c>
      <c r="X380" s="109">
        <v>-168.58000000000175</v>
      </c>
      <c r="Y380" s="109">
        <f>R388+R395</f>
        <v>0</v>
      </c>
      <c r="Z380" s="144">
        <v>0</v>
      </c>
    </row>
    <row r="381" spans="2:26" x14ac:dyDescent="0.2">
      <c r="B381" s="141">
        <v>43381</v>
      </c>
      <c r="C381" s="138" t="s">
        <v>620</v>
      </c>
      <c r="D381" s="138" t="s">
        <v>459</v>
      </c>
      <c r="E381" s="185" t="str">
        <f>+VLOOKUP(F381,[4]bd!A:B,2,0)</f>
        <v>BANCO CUSCATLAN DE EL SALVADOR S.A.</v>
      </c>
      <c r="F381" s="185" t="s">
        <v>90</v>
      </c>
      <c r="G381" s="185"/>
      <c r="H381" s="186"/>
      <c r="I381" s="186"/>
      <c r="J381" s="219">
        <v>119.87</v>
      </c>
      <c r="K381" s="187">
        <v>15.58</v>
      </c>
      <c r="L381" s="186">
        <f t="shared" si="20"/>
        <v>135.45000000000002</v>
      </c>
      <c r="M381" s="245">
        <v>51000200002</v>
      </c>
      <c r="N381" s="236"/>
      <c r="O381" s="152" t="s">
        <v>639</v>
      </c>
      <c r="P381" s="227">
        <v>51000200001</v>
      </c>
      <c r="Q381" s="217" t="s">
        <v>460</v>
      </c>
      <c r="R381" s="219">
        <f t="shared" si="19"/>
        <v>700.3</v>
      </c>
      <c r="X381" s="198">
        <v>0</v>
      </c>
      <c r="Y381" s="109">
        <v>0</v>
      </c>
      <c r="Z381" s="144">
        <v>0</v>
      </c>
    </row>
    <row r="382" spans="2:26" x14ac:dyDescent="0.2">
      <c r="B382" s="141">
        <v>43381</v>
      </c>
      <c r="C382" s="138" t="s">
        <v>621</v>
      </c>
      <c r="D382" s="138" t="s">
        <v>459</v>
      </c>
      <c r="E382" s="185" t="str">
        <f>+VLOOKUP(F382,[4]bd!A:B,2,0)</f>
        <v>BANCO CUSCATLAN DE EL SALVADOR S.A.</v>
      </c>
      <c r="F382" s="185" t="s">
        <v>90</v>
      </c>
      <c r="G382" s="185"/>
      <c r="H382" s="186"/>
      <c r="I382" s="186"/>
      <c r="J382" s="186">
        <v>119.87</v>
      </c>
      <c r="K382" s="187">
        <v>15.58</v>
      </c>
      <c r="L382" s="186">
        <f t="shared" si="20"/>
        <v>135.45000000000002</v>
      </c>
      <c r="M382" s="245">
        <v>51000200001</v>
      </c>
      <c r="N382" s="236"/>
      <c r="O382" s="152" t="s">
        <v>639</v>
      </c>
      <c r="P382" s="78">
        <v>51000200001</v>
      </c>
      <c r="Q382" s="142" t="s">
        <v>351</v>
      </c>
      <c r="R382" s="235">
        <f t="shared" si="19"/>
        <v>0</v>
      </c>
      <c r="X382" s="171">
        <v>0</v>
      </c>
      <c r="Y382" s="171">
        <f>R390+R397</f>
        <v>0</v>
      </c>
      <c r="Z382" s="167">
        <v>0</v>
      </c>
    </row>
    <row r="383" spans="2:26" x14ac:dyDescent="0.2">
      <c r="B383" s="141">
        <v>43384</v>
      </c>
      <c r="C383" s="138" t="s">
        <v>622</v>
      </c>
      <c r="D383" s="138" t="s">
        <v>459</v>
      </c>
      <c r="E383" s="185" t="str">
        <f>+VLOOKUP(F383,[4]bd!A:B,2,0)</f>
        <v>BANCO CUSCATLAN DE EL SALVADOR S.A.</v>
      </c>
      <c r="F383" s="185" t="s">
        <v>90</v>
      </c>
      <c r="G383" s="185"/>
      <c r="H383" s="186"/>
      <c r="I383" s="186"/>
      <c r="J383" s="219">
        <v>45.55</v>
      </c>
      <c r="K383" s="187">
        <v>5.92</v>
      </c>
      <c r="L383" s="186">
        <f t="shared" si="20"/>
        <v>51.47</v>
      </c>
      <c r="M383" s="245">
        <v>51000200002</v>
      </c>
      <c r="N383" s="236"/>
      <c r="O383" s="152" t="s">
        <v>639</v>
      </c>
      <c r="P383" s="78">
        <v>51000200001</v>
      </c>
      <c r="Q383" s="142" t="s">
        <v>56</v>
      </c>
      <c r="R383" s="235">
        <f t="shared" si="19"/>
        <v>0</v>
      </c>
      <c r="X383" s="158">
        <f>SUM(X375:X382)</f>
        <v>-3484.8900000000026</v>
      </c>
      <c r="Y383" s="158">
        <f>SUM(Y375:Y382)</f>
        <v>1418.28</v>
      </c>
      <c r="Z383" s="158">
        <f>SUM(Z375:Z382)</f>
        <v>-497.43000000000097</v>
      </c>
    </row>
    <row r="384" spans="2:26" x14ac:dyDescent="0.2">
      <c r="B384" s="141">
        <v>43384</v>
      </c>
      <c r="C384" s="138" t="s">
        <v>623</v>
      </c>
      <c r="D384" s="138" t="s">
        <v>459</v>
      </c>
      <c r="E384" s="185" t="str">
        <f>+VLOOKUP(F384,[4]bd!A:B,2,0)</f>
        <v>BANCO CUSCATLAN DE EL SALVADOR S.A.</v>
      </c>
      <c r="F384" s="185" t="s">
        <v>90</v>
      </c>
      <c r="G384" s="185"/>
      <c r="H384" s="186"/>
      <c r="I384" s="186"/>
      <c r="J384" s="186">
        <v>45.55</v>
      </c>
      <c r="K384" s="187">
        <v>5.92</v>
      </c>
      <c r="L384" s="186">
        <f t="shared" si="20"/>
        <v>51.47</v>
      </c>
      <c r="M384" s="245">
        <v>51000200001</v>
      </c>
      <c r="N384" s="236"/>
      <c r="O384" s="152" t="s">
        <v>639</v>
      </c>
      <c r="P384" s="227">
        <v>51000200002</v>
      </c>
      <c r="Q384" s="217" t="s">
        <v>460</v>
      </c>
      <c r="R384" s="219">
        <f t="shared" si="19"/>
        <v>700.3</v>
      </c>
      <c r="U384" s="109"/>
    </row>
    <row r="385" spans="2:26" x14ac:dyDescent="0.2">
      <c r="B385" s="141">
        <v>43388</v>
      </c>
      <c r="C385" s="138" t="s">
        <v>624</v>
      </c>
      <c r="D385" s="138" t="s">
        <v>459</v>
      </c>
      <c r="E385" s="185" t="str">
        <f>+VLOOKUP(F385,[4]bd!A:B,2,0)</f>
        <v>BANCO CUSCATLAN DE EL SALVADOR S.A.</v>
      </c>
      <c r="F385" s="185" t="s">
        <v>90</v>
      </c>
      <c r="G385" s="185"/>
      <c r="H385" s="186"/>
      <c r="I385" s="186"/>
      <c r="J385" s="219">
        <v>47.95</v>
      </c>
      <c r="K385" s="187">
        <v>6.23</v>
      </c>
      <c r="L385" s="186">
        <f>+J385+K385</f>
        <v>54.180000000000007</v>
      </c>
      <c r="M385" s="245">
        <v>51000200002</v>
      </c>
      <c r="N385" s="236"/>
      <c r="O385" s="152" t="s">
        <v>639</v>
      </c>
      <c r="P385" s="78">
        <v>51000200002</v>
      </c>
      <c r="Q385" s="142" t="s">
        <v>351</v>
      </c>
      <c r="R385" s="235">
        <f t="shared" si="19"/>
        <v>0</v>
      </c>
      <c r="U385" s="109"/>
    </row>
    <row r="386" spans="2:26" x14ac:dyDescent="0.2">
      <c r="B386" s="141">
        <v>43388</v>
      </c>
      <c r="C386" s="138" t="s">
        <v>625</v>
      </c>
      <c r="D386" s="138" t="s">
        <v>459</v>
      </c>
      <c r="E386" s="185" t="str">
        <f>+VLOOKUP(F386,[4]bd!A:B,2,0)</f>
        <v>BANCO CUSCATLAN DE EL SALVADOR S.A.</v>
      </c>
      <c r="F386" s="185" t="s">
        <v>90</v>
      </c>
      <c r="G386" s="185"/>
      <c r="H386" s="186"/>
      <c r="I386" s="186"/>
      <c r="J386" s="186">
        <v>47.95</v>
      </c>
      <c r="K386" s="187">
        <v>6.23</v>
      </c>
      <c r="L386" s="186">
        <f t="shared" ref="L386:L399" si="21">+J386+K386</f>
        <v>54.180000000000007</v>
      </c>
      <c r="M386" s="245">
        <v>51000200001</v>
      </c>
      <c r="N386" s="236"/>
      <c r="O386" s="152" t="s">
        <v>639</v>
      </c>
      <c r="P386" s="78">
        <v>51000200002</v>
      </c>
      <c r="Q386" s="142" t="s">
        <v>56</v>
      </c>
      <c r="R386" s="235">
        <f t="shared" si="19"/>
        <v>0</v>
      </c>
      <c r="U386" s="109"/>
      <c r="Z386" s="144"/>
    </row>
    <row r="387" spans="2:26" x14ac:dyDescent="0.2">
      <c r="B387" s="141">
        <v>43389</v>
      </c>
      <c r="C387" s="138" t="s">
        <v>626</v>
      </c>
      <c r="D387" s="138" t="s">
        <v>459</v>
      </c>
      <c r="E387" s="185" t="str">
        <f>+VLOOKUP(F387,[4]bd!A:B,2,0)</f>
        <v>BANCO CUSCATLAN DE EL SALVADOR S.A.</v>
      </c>
      <c r="F387" s="185" t="s">
        <v>90</v>
      </c>
      <c r="G387" s="185"/>
      <c r="H387" s="186"/>
      <c r="I387" s="186"/>
      <c r="J387" s="219">
        <v>83.87</v>
      </c>
      <c r="K387" s="187">
        <v>10.9</v>
      </c>
      <c r="L387" s="186">
        <f t="shared" si="21"/>
        <v>94.77000000000001</v>
      </c>
      <c r="M387" s="245">
        <v>51000200002</v>
      </c>
      <c r="N387" s="236"/>
      <c r="O387" s="152" t="s">
        <v>639</v>
      </c>
      <c r="P387" s="227">
        <v>51220200001</v>
      </c>
      <c r="Q387" s="217" t="s">
        <v>460</v>
      </c>
      <c r="R387" s="219">
        <f t="shared" si="19"/>
        <v>1072.26</v>
      </c>
      <c r="U387" s="109"/>
    </row>
    <row r="388" spans="2:26" x14ac:dyDescent="0.2">
      <c r="B388" s="141">
        <v>43389</v>
      </c>
      <c r="C388" s="138" t="s">
        <v>627</v>
      </c>
      <c r="D388" s="138" t="s">
        <v>459</v>
      </c>
      <c r="E388" s="185" t="str">
        <f>+VLOOKUP(F388,[4]bd!A:B,2,0)</f>
        <v>BANCO CUSCATLAN DE EL SALVADOR S.A.</v>
      </c>
      <c r="F388" s="185" t="s">
        <v>90</v>
      </c>
      <c r="G388" s="185"/>
      <c r="H388" s="186"/>
      <c r="I388" s="186"/>
      <c r="J388" s="186">
        <v>83.87</v>
      </c>
      <c r="K388" s="187">
        <v>10.9</v>
      </c>
      <c r="L388" s="186">
        <f t="shared" si="21"/>
        <v>94.77000000000001</v>
      </c>
      <c r="M388" s="245">
        <v>51000200001</v>
      </c>
      <c r="N388" s="236"/>
      <c r="O388" s="152" t="s">
        <v>639</v>
      </c>
      <c r="P388" s="78">
        <v>51220200001</v>
      </c>
      <c r="Q388" s="142" t="s">
        <v>351</v>
      </c>
      <c r="R388" s="235">
        <f t="shared" si="19"/>
        <v>0</v>
      </c>
    </row>
    <row r="389" spans="2:26" x14ac:dyDescent="0.2">
      <c r="B389" s="141">
        <v>43388</v>
      </c>
      <c r="C389" s="138" t="s">
        <v>628</v>
      </c>
      <c r="D389" s="138" t="s">
        <v>459</v>
      </c>
      <c r="E389" s="185" t="str">
        <f>+VLOOKUP(F389,[4]bd!A:B,2,0)</f>
        <v>BANCO CUSCATLAN DE EL SALVADOR S.A.</v>
      </c>
      <c r="F389" s="185" t="s">
        <v>90</v>
      </c>
      <c r="G389" s="185"/>
      <c r="H389" s="186"/>
      <c r="I389" s="186"/>
      <c r="J389" s="186">
        <v>1072.26</v>
      </c>
      <c r="K389" s="187">
        <v>139.38999999999999</v>
      </c>
      <c r="L389" s="186">
        <f t="shared" si="21"/>
        <v>1211.6500000000001</v>
      </c>
      <c r="M389" s="245">
        <v>51220200001</v>
      </c>
      <c r="N389" s="236"/>
      <c r="O389" s="152" t="s">
        <v>639</v>
      </c>
      <c r="P389" s="78">
        <v>51220200001</v>
      </c>
      <c r="Q389" s="142" t="s">
        <v>56</v>
      </c>
      <c r="R389" s="235">
        <f t="shared" si="19"/>
        <v>0</v>
      </c>
    </row>
    <row r="390" spans="2:26" x14ac:dyDescent="0.2">
      <c r="B390" s="141">
        <v>43388</v>
      </c>
      <c r="C390" s="138" t="s">
        <v>629</v>
      </c>
      <c r="D390" s="138" t="s">
        <v>459</v>
      </c>
      <c r="E390" s="142" t="str">
        <f>+VLOOKUP(F390,[4]bd!A:B,2,0)</f>
        <v>CITIBANK, N.A. SUCURSAL EL SALVADOR</v>
      </c>
      <c r="F390" s="142" t="s">
        <v>329</v>
      </c>
      <c r="G390" s="234"/>
      <c r="H390" s="235"/>
      <c r="I390" s="235"/>
      <c r="J390" s="235">
        <v>495.79</v>
      </c>
      <c r="K390" s="162">
        <v>64.45</v>
      </c>
      <c r="L390" s="235">
        <f t="shared" si="21"/>
        <v>560.24</v>
      </c>
      <c r="M390" s="236"/>
      <c r="N390" s="236"/>
      <c r="O390" s="152" t="s">
        <v>639</v>
      </c>
      <c r="P390" s="78">
        <v>52200000001</v>
      </c>
      <c r="Q390" s="142" t="s">
        <v>460</v>
      </c>
      <c r="R390" s="235">
        <f t="shared" si="19"/>
        <v>0</v>
      </c>
      <c r="W390" s="106" t="s">
        <v>478</v>
      </c>
      <c r="X390" s="144">
        <f>+X376+X379+X375+X381+X382+X377+X378</f>
        <v>-3316.3100000000013</v>
      </c>
    </row>
    <row r="391" spans="2:26" x14ac:dyDescent="0.2">
      <c r="B391" s="141">
        <v>43388</v>
      </c>
      <c r="C391" s="138" t="s">
        <v>630</v>
      </c>
      <c r="D391" s="138" t="s">
        <v>459</v>
      </c>
      <c r="E391" s="217" t="str">
        <f>+VLOOKUP(F391,[4]bd!A:B,2,0)</f>
        <v>INVERSIONES FINANCIERAS IMPERIA CUSCATLAN, SA</v>
      </c>
      <c r="F391" s="217" t="s">
        <v>497</v>
      </c>
      <c r="G391" s="218"/>
      <c r="H391" s="219"/>
      <c r="I391" s="219"/>
      <c r="J391" s="219">
        <v>346.02</v>
      </c>
      <c r="K391" s="246">
        <v>44.98</v>
      </c>
      <c r="L391" s="219">
        <f t="shared" si="21"/>
        <v>391</v>
      </c>
      <c r="M391" s="245">
        <v>51220200001</v>
      </c>
      <c r="N391" s="236"/>
      <c r="O391" s="152" t="s">
        <v>639</v>
      </c>
      <c r="P391" s="78">
        <v>52200000001</v>
      </c>
      <c r="Q391" s="142" t="s">
        <v>351</v>
      </c>
      <c r="R391" s="235">
        <f t="shared" si="19"/>
        <v>0</v>
      </c>
      <c r="W391" s="97" t="s">
        <v>480</v>
      </c>
      <c r="X391" s="144">
        <f>R396</f>
        <v>2818.8799999999997</v>
      </c>
    </row>
    <row r="392" spans="2:26" x14ac:dyDescent="0.2">
      <c r="B392" s="141">
        <v>43390</v>
      </c>
      <c r="C392" s="138" t="s">
        <v>631</v>
      </c>
      <c r="D392" s="138" t="s">
        <v>459</v>
      </c>
      <c r="E392" s="185" t="str">
        <f>+VLOOKUP(F392,[4]bd!A:B,2,0)</f>
        <v>BANCO CUSCATLAN DE EL SALVADOR S.A.</v>
      </c>
      <c r="F392" s="185" t="s">
        <v>90</v>
      </c>
      <c r="G392" s="188"/>
      <c r="H392" s="186"/>
      <c r="I392" s="186"/>
      <c r="J392" s="219">
        <v>82.19</v>
      </c>
      <c r="K392" s="187">
        <v>10.69</v>
      </c>
      <c r="L392" s="186">
        <f t="shared" si="21"/>
        <v>92.88</v>
      </c>
      <c r="M392" s="245">
        <v>51000200002</v>
      </c>
      <c r="N392" s="236"/>
      <c r="O392" s="152" t="s">
        <v>639</v>
      </c>
      <c r="P392" s="78">
        <v>52200000001</v>
      </c>
      <c r="Q392" s="142" t="s">
        <v>56</v>
      </c>
      <c r="R392" s="235">
        <f t="shared" si="19"/>
        <v>0</v>
      </c>
      <c r="W392" s="97" t="s">
        <v>486</v>
      </c>
      <c r="X392" s="167">
        <f>J390</f>
        <v>495.79</v>
      </c>
    </row>
    <row r="393" spans="2:26" x14ac:dyDescent="0.2">
      <c r="B393" s="141">
        <v>43390</v>
      </c>
      <c r="C393" s="138" t="s">
        <v>632</v>
      </c>
      <c r="D393" s="138" t="s">
        <v>459</v>
      </c>
      <c r="E393" s="185" t="str">
        <f>+VLOOKUP(F393,[4]bd!A:B,2,0)</f>
        <v>BANCO CUSCATLAN DE EL SALVADOR S.A.</v>
      </c>
      <c r="F393" s="185" t="s">
        <v>90</v>
      </c>
      <c r="G393" s="188"/>
      <c r="H393" s="186"/>
      <c r="I393" s="186"/>
      <c r="J393" s="186">
        <v>82.19</v>
      </c>
      <c r="K393" s="187">
        <v>10.69</v>
      </c>
      <c r="L393" s="186">
        <f t="shared" si="21"/>
        <v>92.88</v>
      </c>
      <c r="M393" s="245">
        <v>51000200001</v>
      </c>
      <c r="N393" s="236"/>
      <c r="O393" s="152" t="s">
        <v>639</v>
      </c>
      <c r="P393" s="78">
        <v>52200000001</v>
      </c>
      <c r="Q393" s="142" t="s">
        <v>460</v>
      </c>
      <c r="R393" s="235">
        <f t="shared" si="19"/>
        <v>0</v>
      </c>
      <c r="X393" s="158">
        <f>X390+X391+X392</f>
        <v>-1.6400000000016348</v>
      </c>
      <c r="Y393" s="97" t="s">
        <v>500</v>
      </c>
    </row>
    <row r="394" spans="2:26" x14ac:dyDescent="0.2">
      <c r="B394" s="141">
        <v>43391</v>
      </c>
      <c r="C394" s="138" t="s">
        <v>633</v>
      </c>
      <c r="D394" s="138" t="s">
        <v>459</v>
      </c>
      <c r="E394" s="185" t="str">
        <f>+VLOOKUP(F394,[4]bd!A:B,2,0)</f>
        <v>BANCO CUSCATLAN DE EL SALVADOR S.A.</v>
      </c>
      <c r="F394" s="185" t="s">
        <v>90</v>
      </c>
      <c r="G394" s="188"/>
      <c r="H394" s="186"/>
      <c r="I394" s="186"/>
      <c r="J394" s="219">
        <v>47.95</v>
      </c>
      <c r="K394" s="187">
        <v>6.23</v>
      </c>
      <c r="L394" s="186">
        <f t="shared" si="21"/>
        <v>54.180000000000007</v>
      </c>
      <c r="M394" s="245">
        <v>51000200002</v>
      </c>
      <c r="N394" s="236"/>
      <c r="O394" s="152" t="s">
        <v>639</v>
      </c>
      <c r="P394" s="227">
        <v>51220200001</v>
      </c>
      <c r="Q394" s="217" t="s">
        <v>496</v>
      </c>
      <c r="R394" s="219">
        <f t="shared" si="19"/>
        <v>346.02</v>
      </c>
    </row>
    <row r="395" spans="2:26" x14ac:dyDescent="0.2">
      <c r="B395" s="141">
        <v>43391</v>
      </c>
      <c r="C395" s="138" t="s">
        <v>634</v>
      </c>
      <c r="D395" s="138" t="s">
        <v>459</v>
      </c>
      <c r="E395" s="185" t="str">
        <f>+VLOOKUP(F395,[4]bd!A:B,2,0)</f>
        <v>BANCO CUSCATLAN DE EL SALVADOR S.A.</v>
      </c>
      <c r="F395" s="185" t="s">
        <v>90</v>
      </c>
      <c r="G395" s="188"/>
      <c r="H395" s="186"/>
      <c r="I395" s="186"/>
      <c r="J395" s="186">
        <v>47.95</v>
      </c>
      <c r="K395" s="187">
        <v>6.23</v>
      </c>
      <c r="L395" s="186">
        <f t="shared" si="21"/>
        <v>54.180000000000007</v>
      </c>
      <c r="M395" s="245">
        <v>51000200001</v>
      </c>
      <c r="N395" s="236"/>
      <c r="O395" s="152" t="s">
        <v>639</v>
      </c>
      <c r="P395" s="78">
        <v>53000100001</v>
      </c>
      <c r="Q395" s="142" t="s">
        <v>460</v>
      </c>
      <c r="R395" s="235">
        <f t="shared" si="19"/>
        <v>0</v>
      </c>
    </row>
    <row r="396" spans="2:26" ht="13.5" thickBot="1" x14ac:dyDescent="0.25">
      <c r="B396" s="141">
        <v>43402</v>
      </c>
      <c r="C396" s="138" t="s">
        <v>635</v>
      </c>
      <c r="D396" s="138" t="s">
        <v>459</v>
      </c>
      <c r="E396" s="185" t="str">
        <f>+VLOOKUP(F396,[4]bd!A:B,2,0)</f>
        <v>BANCO CUSCATLAN DE EL SALVADOR S.A.</v>
      </c>
      <c r="F396" s="185" t="s">
        <v>90</v>
      </c>
      <c r="G396" s="188"/>
      <c r="H396" s="186"/>
      <c r="I396" s="186"/>
      <c r="J396" s="219">
        <v>95.89</v>
      </c>
      <c r="K396" s="187">
        <v>12.47</v>
      </c>
      <c r="L396" s="186">
        <f t="shared" si="21"/>
        <v>108.36</v>
      </c>
      <c r="M396" s="245">
        <v>51000200002</v>
      </c>
      <c r="N396" s="236"/>
      <c r="O396" s="232"/>
      <c r="P396" s="232"/>
      <c r="R396" s="244">
        <f>SUM(R375:R395)</f>
        <v>2818.8799999999997</v>
      </c>
    </row>
    <row r="397" spans="2:26" ht="13.5" thickTop="1" x14ac:dyDescent="0.2">
      <c r="B397" s="141">
        <v>43402</v>
      </c>
      <c r="C397" s="138" t="s">
        <v>636</v>
      </c>
      <c r="D397" s="138" t="s">
        <v>459</v>
      </c>
      <c r="E397" s="185" t="str">
        <f>+VLOOKUP(F397,[4]bd!A:B,2,0)</f>
        <v>BANCO CUSCATLAN DE EL SALVADOR S.A.</v>
      </c>
      <c r="F397" s="185" t="s">
        <v>90</v>
      </c>
      <c r="G397" s="188"/>
      <c r="H397" s="186"/>
      <c r="I397" s="186"/>
      <c r="J397" s="186">
        <v>95.89</v>
      </c>
      <c r="K397" s="187">
        <v>12.47</v>
      </c>
      <c r="L397" s="186">
        <f t="shared" si="21"/>
        <v>108.36</v>
      </c>
      <c r="M397" s="245">
        <v>51000200001</v>
      </c>
      <c r="N397" s="236"/>
    </row>
    <row r="398" spans="2:26" x14ac:dyDescent="0.2">
      <c r="B398" s="141">
        <v>43403</v>
      </c>
      <c r="C398" s="138" t="s">
        <v>637</v>
      </c>
      <c r="D398" s="138" t="s">
        <v>459</v>
      </c>
      <c r="E398" s="185" t="str">
        <f>+VLOOKUP(F398,[4]bd!A:B,2,0)</f>
        <v>BANCO CUSCATLAN DE EL SALVADOR S.A.</v>
      </c>
      <c r="F398" s="185" t="s">
        <v>90</v>
      </c>
      <c r="G398" s="185"/>
      <c r="H398" s="186"/>
      <c r="I398" s="186"/>
      <c r="J398" s="219">
        <v>67.12</v>
      </c>
      <c r="K398" s="187">
        <v>8.73</v>
      </c>
      <c r="L398" s="186">
        <f t="shared" si="21"/>
        <v>75.850000000000009</v>
      </c>
      <c r="M398" s="245">
        <v>51000200002</v>
      </c>
      <c r="N398" s="236"/>
    </row>
    <row r="399" spans="2:26" x14ac:dyDescent="0.2">
      <c r="B399" s="141">
        <v>43403</v>
      </c>
      <c r="C399" s="138" t="s">
        <v>638</v>
      </c>
      <c r="D399" s="138" t="s">
        <v>459</v>
      </c>
      <c r="E399" s="185" t="str">
        <f>+VLOOKUP(F399,[4]bd!A:B,2,0)</f>
        <v>BANCO CUSCATLAN DE EL SALVADOR S.A.</v>
      </c>
      <c r="F399" s="185" t="s">
        <v>90</v>
      </c>
      <c r="G399" s="185"/>
      <c r="H399" s="186"/>
      <c r="I399" s="186"/>
      <c r="J399" s="186">
        <v>67.12</v>
      </c>
      <c r="K399" s="187">
        <v>8.73</v>
      </c>
      <c r="L399" s="186">
        <f t="shared" si="21"/>
        <v>75.850000000000009</v>
      </c>
      <c r="M399" s="245">
        <v>51000200001</v>
      </c>
      <c r="N399" s="236"/>
    </row>
    <row r="400" spans="2:26" x14ac:dyDescent="0.2">
      <c r="B400" s="141"/>
      <c r="C400" s="138" t="s">
        <v>581</v>
      </c>
      <c r="D400" s="138" t="s">
        <v>459</v>
      </c>
      <c r="E400" s="142"/>
      <c r="F400" s="142">
        <v>0</v>
      </c>
      <c r="G400" s="142"/>
      <c r="H400" s="235"/>
      <c r="I400" s="235"/>
      <c r="J400" s="235">
        <v>0</v>
      </c>
      <c r="K400" s="143">
        <v>0</v>
      </c>
      <c r="L400" s="235">
        <f>+J400+K400</f>
        <v>0</v>
      </c>
      <c r="M400" s="236"/>
      <c r="N400" s="236"/>
    </row>
    <row r="401" spans="2:14" x14ac:dyDescent="0.2">
      <c r="B401" s="141"/>
      <c r="C401" s="138"/>
      <c r="D401" s="138"/>
      <c r="E401" s="142" t="s">
        <v>537</v>
      </c>
      <c r="F401" s="114"/>
      <c r="G401" s="157"/>
      <c r="H401" s="157"/>
      <c r="I401" s="157"/>
      <c r="J401" s="157"/>
      <c r="K401" s="243">
        <v>-430.9</v>
      </c>
      <c r="L401" s="235">
        <f>+J401+K401</f>
        <v>-430.9</v>
      </c>
      <c r="M401" s="236"/>
      <c r="N401" s="236"/>
    </row>
    <row r="402" spans="2:14" x14ac:dyDescent="0.2">
      <c r="B402" s="141"/>
      <c r="C402" s="138"/>
      <c r="D402" s="138"/>
      <c r="E402" s="142"/>
      <c r="F402" s="114"/>
      <c r="G402" s="157"/>
      <c r="H402" s="157"/>
      <c r="I402" s="157"/>
      <c r="J402" s="157"/>
      <c r="K402" s="143"/>
      <c r="L402" s="235">
        <f>+J402+K402</f>
        <v>0</v>
      </c>
      <c r="M402" s="236"/>
      <c r="N402" s="236"/>
    </row>
    <row r="403" spans="2:14" x14ac:dyDescent="0.2">
      <c r="B403" s="163"/>
      <c r="C403" s="164"/>
      <c r="D403" s="164"/>
      <c r="E403" s="142"/>
      <c r="F403" s="163"/>
      <c r="G403" s="165"/>
      <c r="H403" s="165"/>
      <c r="I403" s="165"/>
      <c r="J403" s="165"/>
      <c r="K403" s="165"/>
      <c r="L403" s="165"/>
      <c r="M403" s="232"/>
      <c r="N403" s="232"/>
    </row>
    <row r="404" spans="2:14" x14ac:dyDescent="0.2">
      <c r="B404" s="114"/>
      <c r="C404" s="115"/>
      <c r="D404" s="115"/>
      <c r="E404" s="114"/>
      <c r="F404" s="114"/>
      <c r="G404" s="166">
        <f t="shared" ref="G404:L404" si="22">SUM(G376:G403)</f>
        <v>0</v>
      </c>
      <c r="H404" s="166">
        <f t="shared" si="22"/>
        <v>0</v>
      </c>
      <c r="I404" s="166">
        <f t="shared" si="22"/>
        <v>0</v>
      </c>
      <c r="J404" s="166">
        <f t="shared" si="22"/>
        <v>3314.6699999999992</v>
      </c>
      <c r="K404" s="166">
        <f t="shared" si="22"/>
        <v>0</v>
      </c>
      <c r="L404" s="166">
        <f t="shared" si="22"/>
        <v>3314.6699999999996</v>
      </c>
      <c r="M404" s="232"/>
      <c r="N404" s="232"/>
    </row>
    <row r="405" spans="2:14" x14ac:dyDescent="0.2">
      <c r="B405" s="114"/>
      <c r="C405" s="115"/>
      <c r="D405" s="115"/>
      <c r="E405" s="114"/>
      <c r="F405" s="114"/>
      <c r="G405" s="208"/>
      <c r="H405" s="208"/>
      <c r="I405" s="208"/>
      <c r="J405" s="208"/>
      <c r="K405" s="208"/>
      <c r="L405" s="208"/>
      <c r="M405" s="232"/>
      <c r="N405" s="232"/>
    </row>
    <row r="406" spans="2:14" x14ac:dyDescent="0.2">
      <c r="B406" s="114"/>
      <c r="C406" s="115"/>
      <c r="D406" s="115"/>
      <c r="E406" s="114"/>
      <c r="F406" s="114"/>
      <c r="G406" s="114"/>
      <c r="H406" s="114"/>
      <c r="I406" s="114"/>
      <c r="J406" s="114"/>
      <c r="K406" s="114"/>
      <c r="L406" s="114"/>
      <c r="M406" s="232"/>
      <c r="N406" s="232"/>
    </row>
    <row r="407" spans="2:14" x14ac:dyDescent="0.2">
      <c r="B407" s="114"/>
      <c r="C407" s="117" t="s">
        <v>587</v>
      </c>
      <c r="D407" s="115"/>
      <c r="E407" s="115"/>
      <c r="F407" s="114"/>
      <c r="G407" s="114"/>
      <c r="H407" s="114"/>
      <c r="I407" s="117" t="s">
        <v>588</v>
      </c>
      <c r="J407" s="114"/>
      <c r="K407" s="114"/>
      <c r="L407" s="114"/>
      <c r="M407" s="232"/>
      <c r="N407" s="232"/>
    </row>
    <row r="408" spans="2:14" x14ac:dyDescent="0.2">
      <c r="B408" s="114"/>
      <c r="C408" s="117"/>
      <c r="D408" s="115"/>
      <c r="E408" s="115"/>
      <c r="F408" s="114"/>
      <c r="G408" s="114"/>
      <c r="H408" s="114"/>
      <c r="I408" s="117"/>
      <c r="J408" s="114"/>
      <c r="K408" s="114"/>
      <c r="L408" s="114"/>
      <c r="M408" s="232"/>
      <c r="N408" s="232"/>
    </row>
    <row r="409" spans="2:14" x14ac:dyDescent="0.2">
      <c r="B409" s="114"/>
      <c r="C409" s="114" t="s">
        <v>140</v>
      </c>
      <c r="D409" s="115"/>
      <c r="E409" s="115"/>
      <c r="F409" s="114"/>
      <c r="G409" s="214">
        <v>0</v>
      </c>
      <c r="H409" s="114"/>
      <c r="I409" s="114" t="s">
        <v>140</v>
      </c>
      <c r="J409" s="114"/>
      <c r="K409" s="114"/>
      <c r="L409" s="214">
        <v>0</v>
      </c>
      <c r="M409" s="232"/>
      <c r="N409" s="232"/>
    </row>
    <row r="410" spans="2:14" x14ac:dyDescent="0.2">
      <c r="B410" s="114"/>
      <c r="C410" s="114"/>
      <c r="D410" s="115"/>
      <c r="E410" s="115"/>
      <c r="F410" s="114"/>
      <c r="G410" s="114"/>
      <c r="H410" s="114"/>
      <c r="I410" s="114"/>
      <c r="J410" s="114"/>
      <c r="K410" s="114"/>
      <c r="L410" s="114"/>
      <c r="M410" s="232"/>
      <c r="N410" s="232"/>
    </row>
    <row r="411" spans="2:14" x14ac:dyDescent="0.2">
      <c r="B411" s="114"/>
      <c r="C411" s="114" t="s">
        <v>589</v>
      </c>
      <c r="D411" s="115"/>
      <c r="E411" s="115"/>
      <c r="F411" s="114"/>
      <c r="G411" s="214">
        <v>0</v>
      </c>
      <c r="H411" s="114"/>
      <c r="I411" s="114" t="s">
        <v>589</v>
      </c>
      <c r="J411" s="114"/>
      <c r="K411" s="114"/>
      <c r="L411" s="214">
        <v>0</v>
      </c>
      <c r="M411" s="232"/>
      <c r="N411" s="232"/>
    </row>
    <row r="412" spans="2:14" x14ac:dyDescent="0.2">
      <c r="B412" s="114"/>
      <c r="C412" s="114"/>
      <c r="D412" s="115"/>
      <c r="E412" s="115"/>
      <c r="F412" s="114"/>
      <c r="G412" s="214"/>
      <c r="H412" s="114"/>
      <c r="I412" s="114"/>
      <c r="J412" s="114"/>
      <c r="K412" s="114"/>
      <c r="L412" s="214"/>
      <c r="M412" s="232"/>
      <c r="N412" s="232"/>
    </row>
    <row r="413" spans="2:14" x14ac:dyDescent="0.2">
      <c r="B413" s="114"/>
      <c r="C413" s="114" t="s">
        <v>590</v>
      </c>
      <c r="D413" s="115"/>
      <c r="E413" s="115"/>
      <c r="F413" s="114"/>
      <c r="G413" s="214"/>
      <c r="H413" s="114"/>
      <c r="I413" s="114" t="s">
        <v>590</v>
      </c>
      <c r="J413" s="114"/>
      <c r="K413" s="114"/>
      <c r="L413" s="214"/>
      <c r="M413" s="232"/>
      <c r="N413" s="232"/>
    </row>
    <row r="414" spans="2:14" x14ac:dyDescent="0.2">
      <c r="B414" s="114"/>
      <c r="C414" s="114" t="s">
        <v>141</v>
      </c>
      <c r="D414" s="115"/>
      <c r="E414" s="115"/>
      <c r="F414" s="114"/>
      <c r="G414" s="214">
        <f>+'[4]reportes consumidor final'!I394</f>
        <v>0</v>
      </c>
      <c r="H414" s="114"/>
      <c r="I414" s="114" t="s">
        <v>141</v>
      </c>
      <c r="J414" s="114"/>
      <c r="K414" s="114"/>
      <c r="L414" s="214">
        <f>+J404</f>
        <v>3314.6699999999992</v>
      </c>
      <c r="M414" s="232"/>
      <c r="N414" s="232"/>
    </row>
    <row r="415" spans="2:14" x14ac:dyDescent="0.2">
      <c r="B415" s="114"/>
      <c r="C415" s="114" t="s">
        <v>591</v>
      </c>
      <c r="D415" s="115"/>
      <c r="E415" s="115"/>
      <c r="F415" s="114"/>
      <c r="G415" s="215">
        <f>+G414*0.13</f>
        <v>0</v>
      </c>
      <c r="H415" s="114"/>
      <c r="I415" s="114" t="s">
        <v>591</v>
      </c>
      <c r="J415" s="114"/>
      <c r="K415" s="114"/>
      <c r="L415" s="215">
        <f>+K404</f>
        <v>0</v>
      </c>
      <c r="M415" s="232"/>
      <c r="N415" s="232"/>
    </row>
    <row r="416" spans="2:14" x14ac:dyDescent="0.2">
      <c r="B416" s="114"/>
      <c r="C416" s="114"/>
      <c r="D416" s="115"/>
      <c r="E416" s="115"/>
      <c r="F416" s="114"/>
      <c r="G416" s="214"/>
      <c r="H416" s="114"/>
      <c r="I416" s="114"/>
      <c r="J416" s="114"/>
      <c r="K416" s="114"/>
      <c r="L416" s="214"/>
      <c r="M416" s="232"/>
      <c r="N416" s="232"/>
    </row>
    <row r="417" spans="1:28" ht="13.5" thickBot="1" x14ac:dyDescent="0.25">
      <c r="B417" s="114"/>
      <c r="C417" s="114" t="s">
        <v>592</v>
      </c>
      <c r="D417" s="115"/>
      <c r="E417" s="115"/>
      <c r="F417" s="114"/>
      <c r="G417" s="216">
        <f>SUM(G409:G415)</f>
        <v>0</v>
      </c>
      <c r="H417" s="114"/>
      <c r="I417" s="114" t="s">
        <v>592</v>
      </c>
      <c r="J417" s="114"/>
      <c r="K417" s="114"/>
      <c r="L417" s="216">
        <f>SUM(L414:L416)</f>
        <v>3314.6699999999992</v>
      </c>
      <c r="M417" s="232"/>
      <c r="N417" s="232"/>
    </row>
    <row r="418" spans="1:28" ht="13.5" thickTop="1" x14ac:dyDescent="0.2"/>
    <row r="420" spans="1:28" ht="3.75" customHeight="1" x14ac:dyDescent="0.2">
      <c r="A420" s="247"/>
      <c r="B420" s="247"/>
      <c r="C420" s="248"/>
      <c r="D420" s="248"/>
      <c r="E420" s="247"/>
      <c r="F420" s="247"/>
      <c r="G420" s="247"/>
      <c r="H420" s="247"/>
      <c r="I420" s="247"/>
      <c r="J420" s="247"/>
      <c r="K420" s="247"/>
      <c r="L420" s="247"/>
      <c r="M420" s="249"/>
      <c r="N420" s="249"/>
      <c r="O420" s="249"/>
      <c r="P420" s="249"/>
      <c r="Q420" s="250"/>
      <c r="R420" s="250"/>
      <c r="S420" s="250"/>
      <c r="T420" s="250"/>
      <c r="U420" s="250"/>
      <c r="V420" s="250"/>
      <c r="W420" s="250"/>
      <c r="X420" s="250"/>
      <c r="Y420" s="250"/>
      <c r="Z420" s="250"/>
      <c r="AA420" s="250"/>
      <c r="AB420" s="250"/>
    </row>
    <row r="422" spans="1:28" x14ac:dyDescent="0.2">
      <c r="B422" s="231" t="s">
        <v>253</v>
      </c>
      <c r="C422" s="114"/>
      <c r="D422" s="114"/>
      <c r="E422" s="121"/>
      <c r="F422" s="230"/>
      <c r="G422" s="114"/>
      <c r="H422" s="114"/>
      <c r="I422" s="114"/>
      <c r="J422" s="114"/>
      <c r="K422" s="114"/>
      <c r="L422" s="114"/>
      <c r="M422" s="232"/>
      <c r="N422" s="232"/>
      <c r="Q422" s="96"/>
    </row>
    <row r="423" spans="1:28" x14ac:dyDescent="0.2">
      <c r="B423" s="231" t="s">
        <v>356</v>
      </c>
      <c r="C423" s="114"/>
      <c r="D423" s="114"/>
      <c r="E423" s="121"/>
      <c r="F423" s="122"/>
      <c r="G423" s="114"/>
      <c r="H423" s="114"/>
      <c r="I423" s="114"/>
      <c r="J423" s="114"/>
      <c r="K423" s="114"/>
      <c r="L423" s="114"/>
      <c r="M423" s="232"/>
      <c r="N423" s="232"/>
      <c r="Q423" s="96"/>
    </row>
    <row r="424" spans="1:28" x14ac:dyDescent="0.2">
      <c r="B424" s="229"/>
      <c r="C424" s="114"/>
      <c r="D424" s="114"/>
      <c r="E424" s="121"/>
      <c r="F424" s="122"/>
      <c r="G424" s="114"/>
      <c r="H424" s="114"/>
      <c r="I424" s="114"/>
      <c r="J424" s="114"/>
      <c r="K424" s="114"/>
      <c r="L424" s="114"/>
      <c r="M424" s="232"/>
      <c r="N424" s="232"/>
      <c r="Q424" s="96"/>
    </row>
    <row r="425" spans="1:28" ht="18" x14ac:dyDescent="0.25">
      <c r="B425" s="113" t="s">
        <v>458</v>
      </c>
      <c r="C425" s="114"/>
      <c r="D425" s="115"/>
      <c r="E425" s="116"/>
      <c r="F425" s="116" t="s">
        <v>677</v>
      </c>
      <c r="G425" s="118"/>
      <c r="H425" s="119" t="s">
        <v>41</v>
      </c>
      <c r="I425" s="119"/>
      <c r="J425" s="114"/>
      <c r="K425" s="114"/>
      <c r="L425" s="114"/>
      <c r="M425" s="232"/>
      <c r="N425" s="232"/>
      <c r="Q425" s="96"/>
    </row>
    <row r="426" spans="1:28" x14ac:dyDescent="0.2">
      <c r="B426" s="120" t="s">
        <v>42</v>
      </c>
      <c r="C426" s="114"/>
      <c r="D426" s="114"/>
      <c r="E426" s="121"/>
      <c r="F426" s="122"/>
      <c r="G426" s="114"/>
      <c r="H426" s="123"/>
      <c r="I426" s="123"/>
      <c r="J426" s="114"/>
      <c r="K426" s="114"/>
      <c r="L426" s="114"/>
      <c r="M426" s="232"/>
      <c r="N426" s="232"/>
      <c r="Q426" s="96"/>
    </row>
    <row r="427" spans="1:28" x14ac:dyDescent="0.2">
      <c r="B427" s="124"/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232"/>
      <c r="N427" s="232"/>
      <c r="Q427" s="96"/>
    </row>
    <row r="428" spans="1:28" x14ac:dyDescent="0.2">
      <c r="B428" s="124"/>
      <c r="C428" s="124"/>
      <c r="D428" s="124"/>
      <c r="E428" s="124"/>
      <c r="F428" s="124"/>
      <c r="G428" s="124"/>
      <c r="H428" s="117"/>
      <c r="I428" s="117"/>
      <c r="J428" s="117"/>
      <c r="K428" s="117"/>
      <c r="L428" s="124"/>
      <c r="M428" s="232"/>
      <c r="N428" s="232"/>
      <c r="Q428" s="96"/>
    </row>
    <row r="429" spans="1:28" x14ac:dyDescent="0.2">
      <c r="B429" s="125"/>
      <c r="C429" s="126" t="s">
        <v>255</v>
      </c>
      <c r="D429" s="127" t="s">
        <v>43</v>
      </c>
      <c r="E429" s="127"/>
      <c r="F429" s="127" t="s">
        <v>135</v>
      </c>
      <c r="G429" s="127"/>
      <c r="H429" s="128" t="s">
        <v>136</v>
      </c>
      <c r="I429" s="129"/>
      <c r="J429" s="129"/>
      <c r="K429" s="129"/>
      <c r="L429" s="146"/>
      <c r="M429" s="233"/>
      <c r="N429" s="233"/>
      <c r="O429" s="170" t="s">
        <v>480</v>
      </c>
      <c r="P429" s="170"/>
      <c r="Q429" s="170"/>
      <c r="R429" s="170"/>
      <c r="U429" s="106" t="s">
        <v>465</v>
      </c>
      <c r="Y429" s="97" t="s">
        <v>479</v>
      </c>
      <c r="Z429" s="97" t="s">
        <v>340</v>
      </c>
    </row>
    <row r="430" spans="1:28" x14ac:dyDescent="0.2">
      <c r="B430" s="130" t="s">
        <v>137</v>
      </c>
      <c r="C430" s="131" t="s">
        <v>138</v>
      </c>
      <c r="D430" s="131" t="s">
        <v>258</v>
      </c>
      <c r="E430" s="131" t="s">
        <v>139</v>
      </c>
      <c r="F430" s="131" t="s">
        <v>259</v>
      </c>
      <c r="G430" s="131" t="s">
        <v>140</v>
      </c>
      <c r="H430" s="132" t="s">
        <v>94</v>
      </c>
      <c r="I430" s="129"/>
      <c r="J430" s="132" t="s">
        <v>141</v>
      </c>
      <c r="K430" s="129"/>
      <c r="L430" s="147" t="s">
        <v>325</v>
      </c>
      <c r="M430" s="233"/>
      <c r="N430" s="233"/>
      <c r="O430" s="152" t="s">
        <v>677</v>
      </c>
      <c r="P430" s="78">
        <v>51000000001</v>
      </c>
      <c r="Q430" s="142" t="s">
        <v>460</v>
      </c>
      <c r="R430" s="235">
        <f>SUMIFS($J$433:$J$448,$E$433:$E$448,Q430,$M$433:$M$448,P430)</f>
        <v>0</v>
      </c>
      <c r="T430" s="97">
        <v>51000200001</v>
      </c>
      <c r="U430" s="97" t="s">
        <v>382</v>
      </c>
      <c r="X430" s="109">
        <v>-589.59</v>
      </c>
      <c r="Y430" s="109">
        <f>R433</f>
        <v>0</v>
      </c>
      <c r="Z430" s="144">
        <v>0</v>
      </c>
    </row>
    <row r="431" spans="1:28" x14ac:dyDescent="0.2">
      <c r="B431" s="133"/>
      <c r="C431" s="134"/>
      <c r="D431" s="134"/>
      <c r="E431" s="133"/>
      <c r="F431" s="133"/>
      <c r="G431" s="133"/>
      <c r="H431" s="135" t="s">
        <v>326</v>
      </c>
      <c r="I431" s="136" t="s">
        <v>327</v>
      </c>
      <c r="J431" s="148" t="s">
        <v>328</v>
      </c>
      <c r="K431" s="148" t="s">
        <v>89</v>
      </c>
      <c r="L431" s="149" t="s">
        <v>94</v>
      </c>
      <c r="M431" s="233"/>
      <c r="N431" s="233"/>
      <c r="O431" s="152" t="s">
        <v>677</v>
      </c>
      <c r="P431" s="78">
        <v>51000000002</v>
      </c>
      <c r="Q431" s="142" t="s">
        <v>460</v>
      </c>
      <c r="R431" s="235">
        <f t="shared" ref="R431:R450" si="23">SUMIFS($J$433:$J$448,$E$433:$E$448,Q431,$M$433:$M$448,P431)</f>
        <v>0</v>
      </c>
      <c r="T431" s="97">
        <v>51000200002</v>
      </c>
      <c r="U431" s="97" t="s">
        <v>383</v>
      </c>
      <c r="X431" s="109">
        <v>-589.59</v>
      </c>
      <c r="Y431" s="109">
        <f>R435</f>
        <v>0</v>
      </c>
      <c r="Z431" s="144">
        <v>0</v>
      </c>
    </row>
    <row r="432" spans="1:28" x14ac:dyDescent="0.2">
      <c r="B432" s="137"/>
      <c r="C432" s="138"/>
      <c r="D432" s="138"/>
      <c r="E432" s="139"/>
      <c r="F432" s="140"/>
      <c r="G432" s="234"/>
      <c r="H432" s="235"/>
      <c r="I432" s="235"/>
      <c r="J432" s="235"/>
      <c r="K432" s="235"/>
      <c r="L432" s="235"/>
      <c r="M432" s="233"/>
      <c r="N432" s="233"/>
      <c r="O432" s="152" t="s">
        <v>677</v>
      </c>
      <c r="P432" s="78">
        <v>51000100001</v>
      </c>
      <c r="Q432" s="142" t="s">
        <v>460</v>
      </c>
      <c r="R432" s="235">
        <f t="shared" si="23"/>
        <v>0</v>
      </c>
      <c r="T432" s="97">
        <v>51000100001</v>
      </c>
      <c r="U432" s="109" t="s">
        <v>12</v>
      </c>
      <c r="X432" s="109">
        <v>-135.36000000000001</v>
      </c>
    </row>
    <row r="433" spans="2:26" x14ac:dyDescent="0.2">
      <c r="B433" s="141">
        <v>43405</v>
      </c>
      <c r="C433" s="138" t="s">
        <v>661</v>
      </c>
      <c r="D433" s="138" t="s">
        <v>459</v>
      </c>
      <c r="E433" s="185" t="s">
        <v>460</v>
      </c>
      <c r="F433" s="185" t="s">
        <v>90</v>
      </c>
      <c r="G433" s="188"/>
      <c r="H433" s="186"/>
      <c r="I433" s="186"/>
      <c r="J433" s="186">
        <v>183.12</v>
      </c>
      <c r="K433" s="187">
        <v>23.81</v>
      </c>
      <c r="L433" s="186">
        <f t="shared" ref="L433:L440" si="24">+J433+K433</f>
        <v>206.93</v>
      </c>
      <c r="M433" s="245">
        <v>51000200002</v>
      </c>
      <c r="N433" s="233"/>
      <c r="O433" s="152" t="s">
        <v>677</v>
      </c>
      <c r="P433" s="78">
        <v>51000100001</v>
      </c>
      <c r="Q433" s="142" t="s">
        <v>496</v>
      </c>
      <c r="R433" s="235">
        <f t="shared" si="23"/>
        <v>0</v>
      </c>
      <c r="T433" s="97">
        <v>51000100002</v>
      </c>
      <c r="U433" s="109" t="s">
        <v>380</v>
      </c>
      <c r="X433" s="109">
        <v>0</v>
      </c>
    </row>
    <row r="434" spans="2:26" x14ac:dyDescent="0.2">
      <c r="B434" s="141">
        <v>43405</v>
      </c>
      <c r="C434" s="138" t="s">
        <v>662</v>
      </c>
      <c r="D434" s="138" t="s">
        <v>459</v>
      </c>
      <c r="E434" s="185" t="s">
        <v>460</v>
      </c>
      <c r="F434" s="185" t="s">
        <v>90</v>
      </c>
      <c r="G434" s="185"/>
      <c r="H434" s="186"/>
      <c r="I434" s="186"/>
      <c r="J434" s="186">
        <v>183.12</v>
      </c>
      <c r="K434" s="187">
        <v>23.81</v>
      </c>
      <c r="L434" s="186">
        <f t="shared" si="24"/>
        <v>206.93</v>
      </c>
      <c r="M434" s="245">
        <v>51000200001</v>
      </c>
      <c r="N434" s="233"/>
      <c r="O434" s="152" t="s">
        <v>677</v>
      </c>
      <c r="P434" s="78">
        <v>51000100002</v>
      </c>
      <c r="Q434" s="142" t="s">
        <v>460</v>
      </c>
      <c r="R434" s="235">
        <f t="shared" si="23"/>
        <v>0</v>
      </c>
      <c r="T434" s="97">
        <v>51220200001</v>
      </c>
      <c r="U434" s="97" t="s">
        <v>55</v>
      </c>
      <c r="X434" s="109">
        <v>-1437.28</v>
      </c>
      <c r="Y434" s="109">
        <f>R442+R449</f>
        <v>1414.3000000000002</v>
      </c>
      <c r="Z434" s="144">
        <f>X434+Y434</f>
        <v>-22.979999999999791</v>
      </c>
    </row>
    <row r="435" spans="2:26" x14ac:dyDescent="0.2">
      <c r="B435" s="141">
        <v>43405</v>
      </c>
      <c r="C435" s="138" t="s">
        <v>663</v>
      </c>
      <c r="D435" s="138" t="s">
        <v>459</v>
      </c>
      <c r="E435" s="238" t="s">
        <v>539</v>
      </c>
      <c r="F435" s="238" t="s">
        <v>329</v>
      </c>
      <c r="G435" s="316"/>
      <c r="H435" s="239"/>
      <c r="I435" s="239"/>
      <c r="J435" s="239">
        <v>83.3</v>
      </c>
      <c r="K435" s="143">
        <v>10.83</v>
      </c>
      <c r="L435" s="239">
        <f t="shared" si="24"/>
        <v>94.13</v>
      </c>
      <c r="M435" s="317"/>
      <c r="N435" s="233"/>
      <c r="O435" s="152" t="s">
        <v>677</v>
      </c>
      <c r="P435" s="78">
        <v>51000100002</v>
      </c>
      <c r="Q435" s="142" t="s">
        <v>496</v>
      </c>
      <c r="R435" s="235">
        <f t="shared" si="23"/>
        <v>0</v>
      </c>
      <c r="T435" s="97">
        <v>52200000001</v>
      </c>
      <c r="U435" s="97" t="s">
        <v>33</v>
      </c>
      <c r="X435" s="109">
        <v>-4.6500000000000004</v>
      </c>
      <c r="Y435" s="109">
        <f>R443+R450</f>
        <v>0</v>
      </c>
      <c r="Z435" s="144">
        <v>0</v>
      </c>
    </row>
    <row r="436" spans="2:26" x14ac:dyDescent="0.2">
      <c r="B436" s="141">
        <v>43405</v>
      </c>
      <c r="C436" s="138" t="s">
        <v>664</v>
      </c>
      <c r="D436" s="138" t="s">
        <v>459</v>
      </c>
      <c r="E436" s="238" t="s">
        <v>539</v>
      </c>
      <c r="F436" s="238" t="s">
        <v>329</v>
      </c>
      <c r="G436" s="316"/>
      <c r="H436" s="239"/>
      <c r="I436" s="239"/>
      <c r="J436" s="239">
        <v>52.06</v>
      </c>
      <c r="K436" s="143">
        <v>6.77</v>
      </c>
      <c r="L436" s="239">
        <f t="shared" si="24"/>
        <v>58.83</v>
      </c>
      <c r="M436" s="317"/>
      <c r="N436" s="233"/>
      <c r="O436" s="152" t="s">
        <v>677</v>
      </c>
      <c r="P436" s="227">
        <v>51000200001</v>
      </c>
      <c r="Q436" s="217" t="s">
        <v>460</v>
      </c>
      <c r="R436" s="235">
        <f t="shared" si="23"/>
        <v>589.59</v>
      </c>
      <c r="X436" s="198">
        <v>0</v>
      </c>
      <c r="Y436" s="109">
        <v>0</v>
      </c>
      <c r="Z436" s="144">
        <v>0</v>
      </c>
    </row>
    <row r="437" spans="2:26" x14ac:dyDescent="0.2">
      <c r="B437" s="141">
        <v>43409</v>
      </c>
      <c r="C437" s="138" t="s">
        <v>665</v>
      </c>
      <c r="D437" s="138" t="s">
        <v>459</v>
      </c>
      <c r="E437" s="185" t="s">
        <v>460</v>
      </c>
      <c r="F437" s="185" t="s">
        <v>90</v>
      </c>
      <c r="G437" s="185"/>
      <c r="H437" s="186"/>
      <c r="I437" s="186"/>
      <c r="J437" s="186">
        <v>95.89</v>
      </c>
      <c r="K437" s="187">
        <v>12.47</v>
      </c>
      <c r="L437" s="186">
        <f t="shared" si="24"/>
        <v>108.36</v>
      </c>
      <c r="M437" s="245">
        <v>51000200002</v>
      </c>
      <c r="N437" s="233"/>
      <c r="O437" s="152" t="s">
        <v>677</v>
      </c>
      <c r="P437" s="78">
        <v>51000200001</v>
      </c>
      <c r="Q437" s="142" t="s">
        <v>351</v>
      </c>
      <c r="R437" s="235">
        <f t="shared" si="23"/>
        <v>0</v>
      </c>
      <c r="X437" s="171">
        <v>0</v>
      </c>
      <c r="Y437" s="171">
        <f>R445+R452</f>
        <v>0</v>
      </c>
      <c r="Z437" s="167">
        <v>0</v>
      </c>
    </row>
    <row r="438" spans="2:26" x14ac:dyDescent="0.2">
      <c r="B438" s="141">
        <v>43409</v>
      </c>
      <c r="C438" s="138" t="s">
        <v>666</v>
      </c>
      <c r="D438" s="138" t="s">
        <v>459</v>
      </c>
      <c r="E438" s="185" t="s">
        <v>460</v>
      </c>
      <c r="F438" s="185" t="s">
        <v>90</v>
      </c>
      <c r="G438" s="185"/>
      <c r="H438" s="186"/>
      <c r="I438" s="186"/>
      <c r="J438" s="186">
        <v>95.89</v>
      </c>
      <c r="K438" s="187">
        <v>12.47</v>
      </c>
      <c r="L438" s="186">
        <f t="shared" si="24"/>
        <v>108.36</v>
      </c>
      <c r="M438" s="245">
        <v>51000200001</v>
      </c>
      <c r="N438" s="233"/>
      <c r="O438" s="152" t="s">
        <v>677</v>
      </c>
      <c r="P438" s="78">
        <v>51000200001</v>
      </c>
      <c r="Q438" s="142" t="s">
        <v>56</v>
      </c>
      <c r="R438" s="235">
        <f t="shared" si="23"/>
        <v>0</v>
      </c>
      <c r="X438" s="158">
        <f>SUM(X430:X434)</f>
        <v>-2751.8199999999997</v>
      </c>
      <c r="Y438" s="158">
        <f>SUM(Y430:Y437)</f>
        <v>1414.3000000000002</v>
      </c>
      <c r="Z438" s="158">
        <f>SUM(Z430:Z437)</f>
        <v>-22.979999999999791</v>
      </c>
    </row>
    <row r="439" spans="2:26" x14ac:dyDescent="0.2">
      <c r="B439" s="141">
        <v>43412</v>
      </c>
      <c r="C439" s="138" t="s">
        <v>667</v>
      </c>
      <c r="D439" s="138" t="s">
        <v>459</v>
      </c>
      <c r="E439" s="185" t="s">
        <v>460</v>
      </c>
      <c r="F439" s="185" t="s">
        <v>90</v>
      </c>
      <c r="G439" s="185"/>
      <c r="H439" s="186"/>
      <c r="I439" s="186"/>
      <c r="J439" s="186">
        <v>95.89</v>
      </c>
      <c r="K439" s="187">
        <v>12.47</v>
      </c>
      <c r="L439" s="186">
        <f t="shared" si="24"/>
        <v>108.36</v>
      </c>
      <c r="M439" s="245">
        <v>51000200002</v>
      </c>
      <c r="N439" s="233"/>
      <c r="O439" s="152" t="s">
        <v>677</v>
      </c>
      <c r="P439" s="227">
        <v>51000200002</v>
      </c>
      <c r="Q439" s="217" t="s">
        <v>460</v>
      </c>
      <c r="R439" s="235">
        <f t="shared" si="23"/>
        <v>589.59</v>
      </c>
      <c r="U439" s="109"/>
    </row>
    <row r="440" spans="2:26" x14ac:dyDescent="0.2">
      <c r="B440" s="141">
        <v>43412</v>
      </c>
      <c r="C440" s="138" t="s">
        <v>668</v>
      </c>
      <c r="D440" s="138" t="s">
        <v>459</v>
      </c>
      <c r="E440" s="185" t="s">
        <v>460</v>
      </c>
      <c r="F440" s="185" t="s">
        <v>90</v>
      </c>
      <c r="G440" s="185"/>
      <c r="H440" s="186"/>
      <c r="I440" s="186"/>
      <c r="J440" s="186">
        <v>95.89</v>
      </c>
      <c r="K440" s="187">
        <v>12.47</v>
      </c>
      <c r="L440" s="186">
        <f t="shared" si="24"/>
        <v>108.36</v>
      </c>
      <c r="M440" s="245">
        <v>51000200001</v>
      </c>
      <c r="N440" s="233"/>
      <c r="O440" s="152" t="s">
        <v>677</v>
      </c>
      <c r="P440" s="78">
        <v>51000200002</v>
      </c>
      <c r="Q440" s="142" t="s">
        <v>351</v>
      </c>
      <c r="R440" s="235">
        <f t="shared" si="23"/>
        <v>0</v>
      </c>
      <c r="U440" s="109"/>
    </row>
    <row r="441" spans="2:26" x14ac:dyDescent="0.2">
      <c r="B441" s="141">
        <v>43419</v>
      </c>
      <c r="C441" s="138" t="s">
        <v>669</v>
      </c>
      <c r="D441" s="138" t="s">
        <v>459</v>
      </c>
      <c r="E441" s="185" t="s">
        <v>460</v>
      </c>
      <c r="F441" s="185" t="s">
        <v>90</v>
      </c>
      <c r="G441" s="185"/>
      <c r="H441" s="186"/>
      <c r="I441" s="186"/>
      <c r="J441" s="186">
        <v>95.89</v>
      </c>
      <c r="K441" s="187">
        <v>12.47</v>
      </c>
      <c r="L441" s="186">
        <f>+J441+K441</f>
        <v>108.36</v>
      </c>
      <c r="M441" s="245">
        <v>51000200002</v>
      </c>
      <c r="N441" s="233"/>
      <c r="O441" s="152" t="s">
        <v>677</v>
      </c>
      <c r="P441" s="78">
        <v>51000200002</v>
      </c>
      <c r="Q441" s="142" t="s">
        <v>56</v>
      </c>
      <c r="R441" s="235">
        <f t="shared" si="23"/>
        <v>0</v>
      </c>
      <c r="U441" s="109"/>
      <c r="Z441" s="144"/>
    </row>
    <row r="442" spans="2:26" x14ac:dyDescent="0.2">
      <c r="B442" s="141">
        <v>43419</v>
      </c>
      <c r="C442" s="138" t="s">
        <v>670</v>
      </c>
      <c r="D442" s="138" t="s">
        <v>459</v>
      </c>
      <c r="E442" s="185" t="s">
        <v>460</v>
      </c>
      <c r="F442" s="185" t="s">
        <v>90</v>
      </c>
      <c r="G442" s="185"/>
      <c r="H442" s="186"/>
      <c r="I442" s="186"/>
      <c r="J442" s="186">
        <v>95.89</v>
      </c>
      <c r="K442" s="187">
        <v>12.47</v>
      </c>
      <c r="L442" s="186">
        <f t="shared" ref="L442:L451" si="25">+J442+K442</f>
        <v>108.36</v>
      </c>
      <c r="M442" s="245">
        <v>51000200001</v>
      </c>
      <c r="N442" s="233"/>
      <c r="O442" s="152" t="s">
        <v>677</v>
      </c>
      <c r="P442" s="227">
        <v>51220200001</v>
      </c>
      <c r="Q442" s="217" t="s">
        <v>460</v>
      </c>
      <c r="R442" s="235">
        <f t="shared" si="23"/>
        <v>1047.45</v>
      </c>
      <c r="U442" s="109"/>
    </row>
    <row r="443" spans="2:26" x14ac:dyDescent="0.2">
      <c r="B443" s="141">
        <v>43419</v>
      </c>
      <c r="C443" s="138" t="s">
        <v>671</v>
      </c>
      <c r="D443" s="138" t="s">
        <v>459</v>
      </c>
      <c r="E443" s="185" t="s">
        <v>460</v>
      </c>
      <c r="F443" s="185" t="s">
        <v>90</v>
      </c>
      <c r="G443" s="185"/>
      <c r="H443" s="186"/>
      <c r="I443" s="186"/>
      <c r="J443" s="186">
        <v>1047.45</v>
      </c>
      <c r="K443" s="187">
        <v>136.16999999999999</v>
      </c>
      <c r="L443" s="186">
        <f t="shared" si="25"/>
        <v>1183.6200000000001</v>
      </c>
      <c r="M443" s="245">
        <v>51220200001</v>
      </c>
      <c r="N443" s="233"/>
      <c r="O443" s="152" t="s">
        <v>677</v>
      </c>
      <c r="P443" s="78">
        <v>51220200001</v>
      </c>
      <c r="Q443" s="142" t="s">
        <v>351</v>
      </c>
      <c r="R443" s="235">
        <f t="shared" si="23"/>
        <v>0</v>
      </c>
    </row>
    <row r="444" spans="2:26" x14ac:dyDescent="0.2">
      <c r="B444" s="141">
        <v>43419</v>
      </c>
      <c r="C444" s="138" t="s">
        <v>672</v>
      </c>
      <c r="D444" s="138" t="s">
        <v>459</v>
      </c>
      <c r="E444" s="185" t="s">
        <v>496</v>
      </c>
      <c r="F444" s="185" t="s">
        <v>497</v>
      </c>
      <c r="G444" s="185"/>
      <c r="H444" s="186"/>
      <c r="I444" s="186"/>
      <c r="J444" s="186">
        <v>366.85</v>
      </c>
      <c r="K444" s="187">
        <v>47.69</v>
      </c>
      <c r="L444" s="186">
        <f t="shared" si="25"/>
        <v>414.54</v>
      </c>
      <c r="M444" s="245">
        <v>51220200001</v>
      </c>
      <c r="N444" s="233"/>
      <c r="O444" s="152" t="s">
        <v>677</v>
      </c>
      <c r="P444" s="78">
        <v>51220200001</v>
      </c>
      <c r="Q444" s="142" t="s">
        <v>56</v>
      </c>
      <c r="R444" s="235">
        <f t="shared" si="23"/>
        <v>0</v>
      </c>
    </row>
    <row r="445" spans="2:26" x14ac:dyDescent="0.2">
      <c r="B445" s="141">
        <v>43426</v>
      </c>
      <c r="C445" s="138" t="s">
        <v>673</v>
      </c>
      <c r="D445" s="138" t="s">
        <v>459</v>
      </c>
      <c r="E445" s="185" t="s">
        <v>460</v>
      </c>
      <c r="F445" s="185" t="s">
        <v>90</v>
      </c>
      <c r="G445" s="185"/>
      <c r="H445" s="186"/>
      <c r="I445" s="186"/>
      <c r="J445" s="186">
        <v>52.22</v>
      </c>
      <c r="K445" s="187">
        <v>6.79</v>
      </c>
      <c r="L445" s="186">
        <f t="shared" si="25"/>
        <v>59.01</v>
      </c>
      <c r="M445" s="245">
        <v>51000200002</v>
      </c>
      <c r="N445" s="233"/>
      <c r="O445" s="152" t="s">
        <v>677</v>
      </c>
      <c r="P445" s="78">
        <v>52200000001</v>
      </c>
      <c r="Q445" s="142" t="s">
        <v>460</v>
      </c>
      <c r="R445" s="235">
        <f t="shared" si="23"/>
        <v>0</v>
      </c>
      <c r="W445" s="106" t="s">
        <v>478</v>
      </c>
      <c r="X445" s="144">
        <f>+X431+X434+X430+X436+X437+X432+X433</f>
        <v>-2751.82</v>
      </c>
    </row>
    <row r="446" spans="2:26" x14ac:dyDescent="0.2">
      <c r="B446" s="141">
        <v>43426</v>
      </c>
      <c r="C446" s="138" t="s">
        <v>674</v>
      </c>
      <c r="D446" s="138" t="s">
        <v>459</v>
      </c>
      <c r="E446" s="185" t="s">
        <v>460</v>
      </c>
      <c r="F446" s="185" t="s">
        <v>90</v>
      </c>
      <c r="G446" s="188"/>
      <c r="H446" s="186"/>
      <c r="I446" s="186"/>
      <c r="J446" s="186">
        <v>52.22</v>
      </c>
      <c r="K446" s="187">
        <v>6.79</v>
      </c>
      <c r="L446" s="186">
        <f t="shared" si="25"/>
        <v>59.01</v>
      </c>
      <c r="M446" s="245">
        <v>51000200001</v>
      </c>
      <c r="N446" s="233"/>
      <c r="O446" s="152" t="s">
        <v>677</v>
      </c>
      <c r="P446" s="78">
        <v>52200000001</v>
      </c>
      <c r="Q446" s="142" t="s">
        <v>351</v>
      </c>
      <c r="R446" s="235">
        <f t="shared" si="23"/>
        <v>0</v>
      </c>
      <c r="W446" s="97" t="s">
        <v>480</v>
      </c>
      <c r="X446" s="144">
        <f>R451</f>
        <v>2593.48</v>
      </c>
    </row>
    <row r="447" spans="2:26" x14ac:dyDescent="0.2">
      <c r="B447" s="141">
        <v>43433</v>
      </c>
      <c r="C447" s="138" t="s">
        <v>675</v>
      </c>
      <c r="D447" s="138" t="s">
        <v>459</v>
      </c>
      <c r="E447" s="185" t="s">
        <v>460</v>
      </c>
      <c r="F447" s="185" t="s">
        <v>90</v>
      </c>
      <c r="G447" s="188"/>
      <c r="H447" s="186"/>
      <c r="I447" s="186"/>
      <c r="J447" s="186">
        <v>66.58</v>
      </c>
      <c r="K447" s="187">
        <v>8.65</v>
      </c>
      <c r="L447" s="186">
        <f t="shared" si="25"/>
        <v>75.23</v>
      </c>
      <c r="M447" s="245">
        <v>51000200002</v>
      </c>
      <c r="N447" s="233"/>
      <c r="O447" s="152" t="s">
        <v>677</v>
      </c>
      <c r="P447" s="78">
        <v>52200000001</v>
      </c>
      <c r="Q447" s="142" t="s">
        <v>56</v>
      </c>
      <c r="R447" s="235">
        <f t="shared" si="23"/>
        <v>0</v>
      </c>
      <c r="W447" s="97" t="s">
        <v>486</v>
      </c>
      <c r="X447" s="167">
        <f>+J435+J436</f>
        <v>135.36000000000001</v>
      </c>
    </row>
    <row r="448" spans="2:26" x14ac:dyDescent="0.2">
      <c r="B448" s="141">
        <v>43433</v>
      </c>
      <c r="C448" s="138" t="s">
        <v>676</v>
      </c>
      <c r="D448" s="138" t="s">
        <v>459</v>
      </c>
      <c r="E448" s="185" t="s">
        <v>460</v>
      </c>
      <c r="F448" s="185" t="s">
        <v>90</v>
      </c>
      <c r="G448" s="188"/>
      <c r="H448" s="186"/>
      <c r="I448" s="186"/>
      <c r="J448" s="186">
        <v>66.58</v>
      </c>
      <c r="K448" s="187">
        <v>8.65</v>
      </c>
      <c r="L448" s="186">
        <f t="shared" si="25"/>
        <v>75.23</v>
      </c>
      <c r="M448" s="245">
        <v>51000200001</v>
      </c>
      <c r="N448" s="233"/>
      <c r="O448" s="152" t="s">
        <v>677</v>
      </c>
      <c r="P448" s="78">
        <v>52200000001</v>
      </c>
      <c r="Q448" s="142" t="s">
        <v>460</v>
      </c>
      <c r="R448" s="235">
        <f t="shared" si="23"/>
        <v>0</v>
      </c>
      <c r="X448" s="158">
        <f>X445+X446+X447</f>
        <v>-22.980000000000132</v>
      </c>
      <c r="Y448" s="97" t="s">
        <v>500</v>
      </c>
    </row>
    <row r="449" spans="2:18" x14ac:dyDescent="0.2">
      <c r="B449" s="141"/>
      <c r="C449" s="138" t="s">
        <v>581</v>
      </c>
      <c r="D449" s="138" t="s">
        <v>459</v>
      </c>
      <c r="E449" s="142"/>
      <c r="F449" s="114">
        <v>0</v>
      </c>
      <c r="G449" s="157"/>
      <c r="H449" s="157"/>
      <c r="I449" s="157"/>
      <c r="J449" s="235">
        <v>0</v>
      </c>
      <c r="K449" s="143">
        <v>0</v>
      </c>
      <c r="L449" s="235">
        <f t="shared" si="25"/>
        <v>0</v>
      </c>
      <c r="M449" s="233"/>
      <c r="N449" s="233"/>
      <c r="O449" s="152" t="s">
        <v>677</v>
      </c>
      <c r="P449" s="227">
        <v>51220200001</v>
      </c>
      <c r="Q449" s="217" t="s">
        <v>496</v>
      </c>
      <c r="R449" s="235">
        <f t="shared" si="23"/>
        <v>366.85</v>
      </c>
    </row>
    <row r="450" spans="2:18" x14ac:dyDescent="0.2">
      <c r="B450" s="141"/>
      <c r="C450" s="138"/>
      <c r="D450" s="138"/>
      <c r="E450" s="142" t="s">
        <v>537</v>
      </c>
      <c r="F450" s="114"/>
      <c r="G450" s="157"/>
      <c r="H450" s="157"/>
      <c r="I450" s="157"/>
      <c r="J450" s="157"/>
      <c r="K450" s="243">
        <v>-354.77</v>
      </c>
      <c r="L450" s="235">
        <f t="shared" si="25"/>
        <v>-354.77</v>
      </c>
      <c r="M450" s="233"/>
      <c r="N450" s="233"/>
      <c r="O450" s="152" t="s">
        <v>677</v>
      </c>
      <c r="P450" s="78">
        <v>53000100001</v>
      </c>
      <c r="Q450" s="142" t="s">
        <v>460</v>
      </c>
      <c r="R450" s="235">
        <f t="shared" si="23"/>
        <v>0</v>
      </c>
    </row>
    <row r="451" spans="2:18" ht="13.5" thickBot="1" x14ac:dyDescent="0.25">
      <c r="B451" s="141"/>
      <c r="C451" s="138"/>
      <c r="D451" s="138"/>
      <c r="E451" s="142"/>
      <c r="F451" s="114"/>
      <c r="G451" s="157"/>
      <c r="H451" s="157"/>
      <c r="I451" s="157"/>
      <c r="J451" s="157"/>
      <c r="K451" s="143"/>
      <c r="L451" s="235">
        <f t="shared" si="25"/>
        <v>0</v>
      </c>
      <c r="M451" s="233"/>
      <c r="N451" s="233"/>
      <c r="O451" s="232"/>
      <c r="P451" s="232"/>
      <c r="R451" s="244">
        <f>SUM(R430:R450)</f>
        <v>2593.48</v>
      </c>
    </row>
    <row r="452" spans="2:18" ht="13.5" thickTop="1" x14ac:dyDescent="0.2">
      <c r="B452" s="141"/>
      <c r="C452" s="138"/>
      <c r="D452" s="138"/>
      <c r="E452" s="142"/>
      <c r="F452" s="114"/>
      <c r="G452" s="157"/>
      <c r="H452" s="157"/>
      <c r="I452" s="157"/>
      <c r="J452" s="157"/>
      <c r="K452" s="143"/>
      <c r="L452" s="235"/>
      <c r="M452" s="233"/>
      <c r="N452" s="233"/>
      <c r="O452" s="232"/>
      <c r="P452" s="232"/>
    </row>
    <row r="453" spans="2:18" x14ac:dyDescent="0.2">
      <c r="B453" s="141"/>
      <c r="C453" s="138"/>
      <c r="D453" s="138"/>
      <c r="E453" s="142"/>
      <c r="F453" s="114"/>
      <c r="G453" s="157"/>
      <c r="H453" s="157"/>
      <c r="I453" s="157"/>
      <c r="J453" s="157"/>
      <c r="K453" s="143"/>
      <c r="L453" s="235"/>
      <c r="M453" s="233"/>
      <c r="N453" s="233"/>
      <c r="O453" s="232"/>
      <c r="P453" s="232"/>
    </row>
    <row r="454" spans="2:18" x14ac:dyDescent="0.2">
      <c r="B454" s="114"/>
      <c r="C454" s="115"/>
      <c r="D454" s="115"/>
      <c r="E454" s="142"/>
      <c r="F454" s="114"/>
      <c r="G454" s="157"/>
      <c r="H454" s="157"/>
      <c r="I454" s="157"/>
      <c r="J454" s="157"/>
      <c r="K454" s="157"/>
      <c r="L454" s="157"/>
      <c r="M454" s="233"/>
      <c r="N454" s="233"/>
      <c r="O454" s="232"/>
      <c r="P454" s="232"/>
    </row>
    <row r="455" spans="2:18" x14ac:dyDescent="0.2">
      <c r="B455" s="163"/>
      <c r="C455" s="164"/>
      <c r="D455" s="164"/>
      <c r="E455" s="142"/>
      <c r="F455" s="163"/>
      <c r="G455" s="165"/>
      <c r="H455" s="165"/>
      <c r="I455" s="165"/>
      <c r="J455" s="165"/>
      <c r="K455" s="165"/>
      <c r="L455" s="165"/>
      <c r="M455" s="232"/>
      <c r="N455" s="232"/>
      <c r="Q455" s="96"/>
    </row>
    <row r="456" spans="2:18" x14ac:dyDescent="0.2">
      <c r="B456" s="114"/>
      <c r="C456" s="115"/>
      <c r="D456" s="115"/>
      <c r="E456" s="114"/>
      <c r="F456" s="114"/>
      <c r="G456" s="166">
        <f t="shared" ref="G456:L456" si="26">SUM(G432:G455)</f>
        <v>0</v>
      </c>
      <c r="H456" s="166">
        <f t="shared" si="26"/>
        <v>0</v>
      </c>
      <c r="I456" s="166">
        <f t="shared" si="26"/>
        <v>0</v>
      </c>
      <c r="J456" s="166">
        <f t="shared" si="26"/>
        <v>2728.8399999999997</v>
      </c>
      <c r="K456" s="166">
        <f t="shared" si="26"/>
        <v>9.9999999999909051E-3</v>
      </c>
      <c r="L456" s="166">
        <f t="shared" si="26"/>
        <v>2728.8500000000008</v>
      </c>
      <c r="M456" s="232"/>
      <c r="N456" s="232"/>
      <c r="Q456" s="96"/>
    </row>
    <row r="457" spans="2:18" x14ac:dyDescent="0.2">
      <c r="B457" s="114"/>
      <c r="C457" s="115"/>
      <c r="D457" s="115"/>
      <c r="E457" s="114"/>
      <c r="F457" s="114"/>
      <c r="G457" s="208"/>
      <c r="H457" s="208"/>
      <c r="I457" s="208"/>
      <c r="J457" s="208"/>
      <c r="K457" s="208"/>
      <c r="L457" s="208"/>
      <c r="M457" s="232"/>
      <c r="N457" s="232"/>
      <c r="Q457" s="96"/>
    </row>
    <row r="458" spans="2:18" x14ac:dyDescent="0.2">
      <c r="B458" s="114"/>
      <c r="C458" s="115"/>
      <c r="D458" s="115"/>
      <c r="E458" s="114"/>
      <c r="F458" s="114"/>
      <c r="G458" s="208"/>
      <c r="H458" s="208"/>
      <c r="I458" s="208"/>
      <c r="J458" s="208"/>
      <c r="K458" s="208"/>
      <c r="L458" s="208"/>
      <c r="M458" s="232"/>
      <c r="N458" s="232"/>
      <c r="Q458" s="96"/>
    </row>
    <row r="459" spans="2:18" x14ac:dyDescent="0.2">
      <c r="B459" s="114"/>
      <c r="C459" s="115"/>
      <c r="D459" s="115"/>
      <c r="E459" s="114"/>
      <c r="F459" s="114"/>
      <c r="G459" s="208"/>
      <c r="H459" s="208"/>
      <c r="I459" s="208"/>
      <c r="J459" s="208"/>
      <c r="K459" s="208"/>
      <c r="L459" s="208"/>
      <c r="M459" s="232"/>
      <c r="N459" s="232"/>
      <c r="Q459" s="96"/>
    </row>
    <row r="460" spans="2:18" x14ac:dyDescent="0.2">
      <c r="B460" s="114"/>
      <c r="C460" s="115"/>
      <c r="D460" s="115"/>
      <c r="E460" s="114"/>
      <c r="F460" s="114"/>
      <c r="G460" s="208"/>
      <c r="H460" s="208"/>
      <c r="I460" s="208"/>
      <c r="J460" s="208"/>
      <c r="K460" s="208"/>
      <c r="L460" s="208"/>
      <c r="M460" s="232"/>
      <c r="N460" s="232"/>
      <c r="Q460" s="96"/>
    </row>
    <row r="461" spans="2:18" x14ac:dyDescent="0.2">
      <c r="B461" s="114"/>
      <c r="C461" s="115"/>
      <c r="D461" s="115"/>
      <c r="E461" s="114"/>
      <c r="F461" s="114"/>
      <c r="G461" s="208"/>
      <c r="H461" s="208"/>
      <c r="I461" s="208"/>
      <c r="J461" s="208"/>
      <c r="K461" s="208"/>
      <c r="L461" s="208"/>
      <c r="M461" s="232"/>
      <c r="N461" s="232"/>
      <c r="Q461" s="96"/>
    </row>
    <row r="462" spans="2:18" x14ac:dyDescent="0.2">
      <c r="B462" s="114"/>
      <c r="C462" s="115"/>
      <c r="D462" s="115"/>
      <c r="E462" s="114"/>
      <c r="F462" s="114"/>
      <c r="G462" s="114"/>
      <c r="H462" s="114"/>
      <c r="I462" s="114"/>
      <c r="J462" s="114"/>
      <c r="K462" s="114"/>
      <c r="L462" s="114"/>
      <c r="M462" s="232"/>
      <c r="N462" s="232"/>
      <c r="Q462" s="96"/>
    </row>
    <row r="463" spans="2:18" x14ac:dyDescent="0.2">
      <c r="B463" s="114"/>
      <c r="C463" s="117" t="s">
        <v>587</v>
      </c>
      <c r="D463" s="115"/>
      <c r="E463" s="115"/>
      <c r="F463" s="114"/>
      <c r="G463" s="114"/>
      <c r="H463" s="114"/>
      <c r="I463" s="117" t="s">
        <v>588</v>
      </c>
      <c r="J463" s="114"/>
      <c r="K463" s="114"/>
      <c r="L463" s="114"/>
      <c r="M463" s="232"/>
      <c r="N463" s="232"/>
      <c r="Q463" s="96"/>
    </row>
    <row r="464" spans="2:18" x14ac:dyDescent="0.2">
      <c r="B464" s="114"/>
      <c r="C464" s="117"/>
      <c r="D464" s="115"/>
      <c r="E464" s="115"/>
      <c r="F464" s="114"/>
      <c r="G464" s="114"/>
      <c r="H464" s="114"/>
      <c r="I464" s="117"/>
      <c r="J464" s="114"/>
      <c r="K464" s="114"/>
      <c r="L464" s="114"/>
      <c r="M464" s="232"/>
      <c r="N464" s="232"/>
      <c r="Q464" s="96"/>
    </row>
    <row r="465" spans="1:28" x14ac:dyDescent="0.2">
      <c r="B465" s="114"/>
      <c r="C465" s="114" t="s">
        <v>140</v>
      </c>
      <c r="D465" s="115"/>
      <c r="E465" s="115"/>
      <c r="F465" s="114"/>
      <c r="G465" s="214">
        <v>0</v>
      </c>
      <c r="H465" s="114"/>
      <c r="I465" s="114" t="s">
        <v>140</v>
      </c>
      <c r="J465" s="114"/>
      <c r="K465" s="114"/>
      <c r="L465" s="214">
        <v>0</v>
      </c>
      <c r="M465" s="232"/>
      <c r="N465" s="232"/>
      <c r="Q465" s="96"/>
    </row>
    <row r="466" spans="1:28" x14ac:dyDescent="0.2">
      <c r="B466" s="114"/>
      <c r="C466" s="114"/>
      <c r="D466" s="115"/>
      <c r="E466" s="115"/>
      <c r="F466" s="114"/>
      <c r="G466" s="114"/>
      <c r="H466" s="114"/>
      <c r="I466" s="114"/>
      <c r="J466" s="114"/>
      <c r="K466" s="114"/>
      <c r="L466" s="114"/>
      <c r="M466" s="232"/>
      <c r="N466" s="232"/>
      <c r="Q466" s="96"/>
    </row>
    <row r="467" spans="1:28" x14ac:dyDescent="0.2">
      <c r="B467" s="114"/>
      <c r="C467" s="114" t="s">
        <v>589</v>
      </c>
      <c r="D467" s="115"/>
      <c r="E467" s="115"/>
      <c r="F467" s="114"/>
      <c r="G467" s="214">
        <v>0</v>
      </c>
      <c r="H467" s="114"/>
      <c r="I467" s="114" t="s">
        <v>589</v>
      </c>
      <c r="J467" s="114"/>
      <c r="K467" s="114"/>
      <c r="L467" s="214">
        <v>0</v>
      </c>
      <c r="M467" s="232"/>
      <c r="N467" s="232"/>
      <c r="Q467" s="96"/>
    </row>
    <row r="468" spans="1:28" x14ac:dyDescent="0.2">
      <c r="B468" s="114"/>
      <c r="C468" s="114"/>
      <c r="D468" s="115"/>
      <c r="E468" s="115"/>
      <c r="F468" s="114"/>
      <c r="G468" s="214"/>
      <c r="H468" s="114"/>
      <c r="I468" s="114"/>
      <c r="J468" s="114"/>
      <c r="K468" s="114"/>
      <c r="L468" s="214"/>
      <c r="M468" s="232"/>
      <c r="N468" s="232"/>
      <c r="Q468" s="96"/>
    </row>
    <row r="469" spans="1:28" x14ac:dyDescent="0.2">
      <c r="B469" s="114"/>
      <c r="C469" s="114"/>
      <c r="D469" s="115"/>
      <c r="E469" s="115"/>
      <c r="F469" s="114"/>
      <c r="G469" s="214"/>
      <c r="H469" s="114"/>
      <c r="I469" s="114"/>
      <c r="J469" s="114"/>
      <c r="K469" s="114"/>
      <c r="L469" s="214"/>
      <c r="M469" s="232"/>
      <c r="N469" s="232"/>
      <c r="Q469" s="96"/>
    </row>
    <row r="470" spans="1:28" x14ac:dyDescent="0.2">
      <c r="B470" s="114"/>
      <c r="C470" s="114" t="s">
        <v>590</v>
      </c>
      <c r="D470" s="115"/>
      <c r="E470" s="115"/>
      <c r="F470" s="114"/>
      <c r="G470" s="214"/>
      <c r="H470" s="114"/>
      <c r="I470" s="114" t="s">
        <v>590</v>
      </c>
      <c r="J470" s="114"/>
      <c r="K470" s="114"/>
      <c r="L470" s="214"/>
      <c r="M470" s="232"/>
      <c r="N470" s="232"/>
      <c r="Q470" s="96"/>
    </row>
    <row r="471" spans="1:28" x14ac:dyDescent="0.2">
      <c r="B471" s="114"/>
      <c r="C471" s="114" t="s">
        <v>141</v>
      </c>
      <c r="D471" s="115"/>
      <c r="E471" s="115"/>
      <c r="F471" s="114"/>
      <c r="G471" s="214">
        <f>+'[5]reportes consumidor final'!H457</f>
        <v>0</v>
      </c>
      <c r="H471" s="114"/>
      <c r="I471" s="114" t="s">
        <v>141</v>
      </c>
      <c r="J471" s="114"/>
      <c r="K471" s="114"/>
      <c r="L471" s="214">
        <f>+J456</f>
        <v>2728.8399999999997</v>
      </c>
      <c r="M471" s="232"/>
      <c r="N471" s="232"/>
      <c r="Q471" s="96"/>
    </row>
    <row r="472" spans="1:28" x14ac:dyDescent="0.2">
      <c r="B472" s="114"/>
      <c r="C472" s="114" t="s">
        <v>591</v>
      </c>
      <c r="D472" s="115"/>
      <c r="E472" s="115"/>
      <c r="F472" s="114"/>
      <c r="G472" s="215">
        <f>+G471*0.13</f>
        <v>0</v>
      </c>
      <c r="H472" s="114"/>
      <c r="I472" s="114" t="s">
        <v>591</v>
      </c>
      <c r="J472" s="114"/>
      <c r="K472" s="114"/>
      <c r="L472" s="215">
        <f>+K456</f>
        <v>9.9999999999909051E-3</v>
      </c>
      <c r="M472" s="232"/>
      <c r="N472" s="232"/>
      <c r="Q472" s="96"/>
    </row>
    <row r="473" spans="1:28" x14ac:dyDescent="0.2">
      <c r="B473" s="114"/>
      <c r="C473" s="114"/>
      <c r="D473" s="115"/>
      <c r="E473" s="115"/>
      <c r="F473" s="114"/>
      <c r="G473" s="214"/>
      <c r="H473" s="114"/>
      <c r="I473" s="114"/>
      <c r="J473" s="114"/>
      <c r="K473" s="114"/>
      <c r="L473" s="214"/>
      <c r="M473" s="232"/>
      <c r="N473" s="232"/>
      <c r="Q473" s="96"/>
    </row>
    <row r="474" spans="1:28" ht="13.5" thickBot="1" x14ac:dyDescent="0.25">
      <c r="B474" s="114"/>
      <c r="C474" s="114" t="s">
        <v>592</v>
      </c>
      <c r="D474" s="115"/>
      <c r="E474" s="115"/>
      <c r="F474" s="114"/>
      <c r="G474" s="216">
        <f>SUM(G465:G472)</f>
        <v>0</v>
      </c>
      <c r="H474" s="114"/>
      <c r="I474" s="114" t="s">
        <v>592</v>
      </c>
      <c r="J474" s="114"/>
      <c r="K474" s="114"/>
      <c r="L474" s="216">
        <f>SUM(L471:L473)</f>
        <v>2728.8499999999995</v>
      </c>
      <c r="M474" s="232"/>
      <c r="N474" s="232"/>
      <c r="Q474" s="96"/>
    </row>
    <row r="475" spans="1:28" ht="13.5" thickTop="1" x14ac:dyDescent="0.2">
      <c r="C475" s="95"/>
      <c r="E475" s="105"/>
      <c r="M475" s="95"/>
      <c r="Q475" s="96"/>
    </row>
    <row r="476" spans="1:28" x14ac:dyDescent="0.2">
      <c r="C476" s="95"/>
      <c r="E476" s="105"/>
      <c r="M476" s="95"/>
      <c r="Q476" s="96"/>
    </row>
    <row r="477" spans="1:28" ht="3.75" customHeight="1" x14ac:dyDescent="0.2">
      <c r="A477" s="247"/>
      <c r="B477" s="247"/>
      <c r="C477" s="248"/>
      <c r="D477" s="248"/>
      <c r="E477" s="247"/>
      <c r="F477" s="247"/>
      <c r="G477" s="247"/>
      <c r="H477" s="247"/>
      <c r="I477" s="247"/>
      <c r="J477" s="247"/>
      <c r="K477" s="247"/>
      <c r="L477" s="247"/>
      <c r="M477" s="249"/>
      <c r="N477" s="249"/>
      <c r="O477" s="249"/>
      <c r="P477" s="249"/>
      <c r="Q477" s="250"/>
      <c r="R477" s="250"/>
      <c r="S477" s="250"/>
      <c r="T477" s="250"/>
      <c r="U477" s="250"/>
      <c r="V477" s="250"/>
      <c r="W477" s="250"/>
      <c r="X477" s="250"/>
      <c r="Y477" s="250"/>
      <c r="Z477" s="250"/>
      <c r="AA477" s="250"/>
      <c r="AB477" s="250"/>
    </row>
    <row r="481" spans="2:26" x14ac:dyDescent="0.2">
      <c r="B481" s="225" t="s">
        <v>355</v>
      </c>
      <c r="C481" s="114"/>
      <c r="D481" s="114"/>
      <c r="E481" s="121"/>
      <c r="F481" s="122"/>
      <c r="G481" s="114"/>
      <c r="H481" s="114"/>
      <c r="I481" s="114"/>
      <c r="J481" s="114"/>
      <c r="K481" s="114"/>
      <c r="L481" s="114"/>
      <c r="M481" s="232"/>
      <c r="N481" s="232"/>
    </row>
    <row r="482" spans="2:26" x14ac:dyDescent="0.2">
      <c r="B482" s="226" t="s">
        <v>252</v>
      </c>
      <c r="C482" s="114"/>
      <c r="D482" s="114"/>
      <c r="E482" s="226"/>
      <c r="F482" s="122"/>
      <c r="G482" s="114"/>
      <c r="H482" s="114"/>
      <c r="I482" s="114"/>
      <c r="J482" s="114"/>
      <c r="K482" s="114"/>
      <c r="L482" s="114"/>
      <c r="M482" s="232"/>
      <c r="N482" s="232"/>
    </row>
    <row r="483" spans="2:26" x14ac:dyDescent="0.2">
      <c r="B483" s="231" t="s">
        <v>253</v>
      </c>
      <c r="C483" s="114"/>
      <c r="D483" s="114"/>
      <c r="E483" s="121"/>
      <c r="F483" s="230"/>
      <c r="G483" s="114"/>
      <c r="H483" s="114"/>
      <c r="I483" s="114"/>
      <c r="J483" s="114"/>
      <c r="K483" s="114"/>
      <c r="L483" s="114"/>
      <c r="M483" s="232"/>
      <c r="N483" s="232"/>
    </row>
    <row r="484" spans="2:26" x14ac:dyDescent="0.2">
      <c r="B484" s="231" t="s">
        <v>356</v>
      </c>
      <c r="C484" s="114"/>
      <c r="D484" s="114"/>
      <c r="E484" s="121"/>
      <c r="F484" s="122"/>
      <c r="G484" s="114"/>
      <c r="H484" s="114"/>
      <c r="I484" s="114"/>
      <c r="J484" s="114"/>
      <c r="K484" s="114"/>
      <c r="L484" s="114"/>
      <c r="M484" s="232"/>
      <c r="N484" s="232"/>
    </row>
    <row r="485" spans="2:26" x14ac:dyDescent="0.2">
      <c r="B485" s="229"/>
      <c r="C485" s="114"/>
      <c r="D485" s="114"/>
      <c r="E485" s="121"/>
      <c r="F485" s="122"/>
      <c r="G485" s="114"/>
      <c r="H485" s="114"/>
      <c r="I485" s="114"/>
      <c r="J485" s="114"/>
      <c r="K485" s="114"/>
      <c r="L485" s="114"/>
      <c r="M485" s="232"/>
      <c r="N485" s="232"/>
    </row>
    <row r="486" spans="2:26" ht="18" x14ac:dyDescent="0.25">
      <c r="B486" s="113" t="s">
        <v>458</v>
      </c>
      <c r="C486" s="114"/>
      <c r="D486" s="115"/>
      <c r="E486" s="116" t="s">
        <v>681</v>
      </c>
      <c r="F486" s="117" t="s">
        <v>179</v>
      </c>
      <c r="G486" s="118">
        <v>2017</v>
      </c>
      <c r="H486" s="119" t="s">
        <v>41</v>
      </c>
      <c r="I486" s="119"/>
      <c r="J486" s="114"/>
      <c r="K486" s="114"/>
      <c r="L486" s="114"/>
      <c r="M486" s="232"/>
      <c r="N486" s="232"/>
    </row>
    <row r="487" spans="2:26" x14ac:dyDescent="0.2">
      <c r="B487" s="120" t="s">
        <v>42</v>
      </c>
      <c r="C487" s="114"/>
      <c r="D487" s="114"/>
      <c r="E487" s="121"/>
      <c r="F487" s="122"/>
      <c r="G487" s="114"/>
      <c r="H487" s="123"/>
      <c r="I487" s="123"/>
      <c r="J487" s="114"/>
      <c r="K487" s="114"/>
      <c r="L487" s="114"/>
      <c r="M487" s="232"/>
      <c r="N487" s="232"/>
    </row>
    <row r="488" spans="2:26" x14ac:dyDescent="0.2">
      <c r="B488" s="124"/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232"/>
      <c r="N488" s="232"/>
    </row>
    <row r="489" spans="2:26" x14ac:dyDescent="0.2">
      <c r="B489" s="124"/>
      <c r="C489" s="124"/>
      <c r="D489" s="124"/>
      <c r="E489" s="124"/>
      <c r="F489" s="124"/>
      <c r="G489" s="124"/>
      <c r="H489" s="117"/>
      <c r="I489" s="117"/>
      <c r="J489" s="117"/>
      <c r="K489" s="117"/>
      <c r="L489" s="124"/>
      <c r="M489" s="232"/>
      <c r="N489" s="232"/>
    </row>
    <row r="490" spans="2:26" x14ac:dyDescent="0.2">
      <c r="B490" s="125"/>
      <c r="C490" s="126" t="s">
        <v>255</v>
      </c>
      <c r="D490" s="127" t="s">
        <v>43</v>
      </c>
      <c r="E490" s="127"/>
      <c r="F490" s="127" t="s">
        <v>135</v>
      </c>
      <c r="G490" s="127"/>
      <c r="H490" s="128" t="s">
        <v>136</v>
      </c>
      <c r="I490" s="129"/>
      <c r="J490" s="129"/>
      <c r="K490" s="129"/>
      <c r="L490" s="146"/>
      <c r="M490" s="233"/>
      <c r="N490" s="233"/>
      <c r="O490" s="170" t="s">
        <v>480</v>
      </c>
      <c r="P490" s="170"/>
      <c r="Q490" s="170"/>
      <c r="R490" s="170"/>
      <c r="U490" s="106" t="s">
        <v>465</v>
      </c>
      <c r="Y490" s="97" t="s">
        <v>479</v>
      </c>
      <c r="Z490" s="97" t="s">
        <v>340</v>
      </c>
    </row>
    <row r="491" spans="2:26" x14ac:dyDescent="0.2">
      <c r="B491" s="130" t="s">
        <v>137</v>
      </c>
      <c r="C491" s="131" t="s">
        <v>138</v>
      </c>
      <c r="D491" s="131" t="s">
        <v>258</v>
      </c>
      <c r="E491" s="131" t="s">
        <v>139</v>
      </c>
      <c r="F491" s="131" t="s">
        <v>259</v>
      </c>
      <c r="G491" s="131" t="s">
        <v>140</v>
      </c>
      <c r="H491" s="132" t="s">
        <v>94</v>
      </c>
      <c r="I491" s="129"/>
      <c r="J491" s="132" t="s">
        <v>141</v>
      </c>
      <c r="K491" s="129"/>
      <c r="L491" s="147" t="s">
        <v>325</v>
      </c>
      <c r="M491" s="233"/>
      <c r="N491" s="233"/>
      <c r="O491" s="152" t="s">
        <v>681</v>
      </c>
      <c r="P491" s="78">
        <v>51000000001</v>
      </c>
      <c r="Q491" s="142" t="s">
        <v>460</v>
      </c>
      <c r="R491" s="235">
        <f>SUMIFS($J$494:$J$508,$E$494:$E$508,Q491,$M$494:$M$508,P491)</f>
        <v>0</v>
      </c>
      <c r="T491" s="97">
        <v>51000200001</v>
      </c>
      <c r="U491" s="97" t="s">
        <v>382</v>
      </c>
      <c r="X491" s="109">
        <v>-431.15999999999985</v>
      </c>
      <c r="Y491" s="109">
        <f>R494</f>
        <v>0</v>
      </c>
      <c r="Z491" s="144">
        <v>0</v>
      </c>
    </row>
    <row r="492" spans="2:26" x14ac:dyDescent="0.2">
      <c r="B492" s="133"/>
      <c r="C492" s="134"/>
      <c r="D492" s="134"/>
      <c r="E492" s="133"/>
      <c r="F492" s="133"/>
      <c r="G492" s="133"/>
      <c r="H492" s="135" t="s">
        <v>326</v>
      </c>
      <c r="I492" s="136" t="s">
        <v>327</v>
      </c>
      <c r="J492" s="148" t="s">
        <v>328</v>
      </c>
      <c r="K492" s="148" t="s">
        <v>89</v>
      </c>
      <c r="L492" s="149" t="s">
        <v>94</v>
      </c>
      <c r="M492" s="233"/>
      <c r="N492" s="233"/>
      <c r="O492" s="152" t="s">
        <v>681</v>
      </c>
      <c r="P492" s="78">
        <v>51000000002</v>
      </c>
      <c r="Q492" s="142" t="s">
        <v>460</v>
      </c>
      <c r="R492" s="235">
        <f t="shared" ref="R492:R511" si="27">SUMIFS($J$494:$J$508,$E$494:$E$508,Q492,$M$494:$M$508,P492)</f>
        <v>0</v>
      </c>
      <c r="T492" s="97">
        <v>51000200002</v>
      </c>
      <c r="U492" s="97" t="s">
        <v>383</v>
      </c>
      <c r="X492" s="109">
        <v>-431.15999999999985</v>
      </c>
      <c r="Y492" s="109">
        <f>R496</f>
        <v>0</v>
      </c>
      <c r="Z492" s="144">
        <v>0</v>
      </c>
    </row>
    <row r="493" spans="2:26" x14ac:dyDescent="0.2">
      <c r="B493" s="137"/>
      <c r="C493" s="138"/>
      <c r="D493" s="138"/>
      <c r="E493" s="139"/>
      <c r="F493" s="140"/>
      <c r="G493" s="234"/>
      <c r="H493" s="235"/>
      <c r="I493" s="235"/>
      <c r="J493" s="235"/>
      <c r="K493" s="235"/>
      <c r="L493" s="235"/>
      <c r="M493" s="236"/>
      <c r="N493" s="236"/>
      <c r="O493" s="152" t="s">
        <v>681</v>
      </c>
      <c r="P493" s="78">
        <v>51000100001</v>
      </c>
      <c r="Q493" s="142" t="s">
        <v>460</v>
      </c>
      <c r="R493" s="235">
        <f t="shared" si="27"/>
        <v>0</v>
      </c>
      <c r="T493" s="97">
        <v>51000100001</v>
      </c>
      <c r="U493" s="109" t="s">
        <v>12</v>
      </c>
      <c r="X493" s="109">
        <v>-1753.7200000000012</v>
      </c>
    </row>
    <row r="494" spans="2:26" x14ac:dyDescent="0.2">
      <c r="B494" s="321" t="s">
        <v>686</v>
      </c>
      <c r="C494" s="138" t="s">
        <v>687</v>
      </c>
      <c r="D494" s="138" t="s">
        <v>459</v>
      </c>
      <c r="E494" s="142" t="str">
        <f>+VLOOKUP(F494,[6]bd!A:B,2,0)</f>
        <v>CITIBANK, N.A. SUCURSAL EL SALVADOR</v>
      </c>
      <c r="F494" s="142" t="s">
        <v>329</v>
      </c>
      <c r="G494" s="234"/>
      <c r="H494" s="235"/>
      <c r="I494" s="235"/>
      <c r="J494" s="219">
        <v>1753.72</v>
      </c>
      <c r="K494" s="143">
        <v>227.98</v>
      </c>
      <c r="L494" s="235">
        <f t="shared" ref="L494:L501" si="28">+J494+K494</f>
        <v>1981.7</v>
      </c>
      <c r="M494" s="236"/>
      <c r="N494" s="236"/>
      <c r="O494" s="152" t="s">
        <v>681</v>
      </c>
      <c r="P494" s="78">
        <v>51000100001</v>
      </c>
      <c r="Q494" s="142" t="s">
        <v>496</v>
      </c>
      <c r="R494" s="235">
        <f t="shared" si="27"/>
        <v>0</v>
      </c>
      <c r="T494" s="97">
        <v>51000100002</v>
      </c>
      <c r="U494" s="109" t="s">
        <v>380</v>
      </c>
      <c r="X494" s="109">
        <v>-1096.0699999999997</v>
      </c>
    </row>
    <row r="495" spans="2:26" x14ac:dyDescent="0.2">
      <c r="B495" s="141">
        <v>43441</v>
      </c>
      <c r="C495" s="138" t="s">
        <v>688</v>
      </c>
      <c r="D495" s="138" t="s">
        <v>459</v>
      </c>
      <c r="E495" s="142" t="str">
        <f>+VLOOKUP(F495,[6]bd!A:B,2,0)</f>
        <v>CITIBANK, N.A. SUCURSAL EL SALVADOR</v>
      </c>
      <c r="F495" s="142" t="s">
        <v>329</v>
      </c>
      <c r="G495" s="142"/>
      <c r="H495" s="235"/>
      <c r="I495" s="235"/>
      <c r="J495" s="219">
        <v>1096.07</v>
      </c>
      <c r="K495" s="143">
        <v>142.49</v>
      </c>
      <c r="L495" s="235">
        <f t="shared" si="28"/>
        <v>1238.56</v>
      </c>
      <c r="M495" s="236"/>
      <c r="N495" s="236"/>
      <c r="O495" s="152" t="s">
        <v>681</v>
      </c>
      <c r="P495" s="78">
        <v>51000100002</v>
      </c>
      <c r="Q495" s="142" t="s">
        <v>460</v>
      </c>
      <c r="R495" s="235">
        <f t="shared" si="27"/>
        <v>0</v>
      </c>
      <c r="T495" s="97">
        <v>51220200001</v>
      </c>
      <c r="U495" s="97" t="s">
        <v>55</v>
      </c>
      <c r="X495" s="109">
        <v>-1553.75</v>
      </c>
      <c r="Y495" s="109">
        <f>R503+R510</f>
        <v>1487.28</v>
      </c>
      <c r="Z495" s="144">
        <f>X495+Y495</f>
        <v>-66.470000000000027</v>
      </c>
    </row>
    <row r="496" spans="2:26" x14ac:dyDescent="0.2">
      <c r="B496" s="141">
        <v>43444</v>
      </c>
      <c r="C496" s="138" t="s">
        <v>689</v>
      </c>
      <c r="D496" s="138" t="s">
        <v>459</v>
      </c>
      <c r="E496" s="185" t="str">
        <f>+VLOOKUP(F496,[6]bd!A:B,2,0)</f>
        <v>BANCO CUSCATLAN DE EL SALVADOR S.A.</v>
      </c>
      <c r="F496" s="185" t="s">
        <v>90</v>
      </c>
      <c r="G496" s="188"/>
      <c r="H496" s="186"/>
      <c r="I496" s="186"/>
      <c r="J496" s="186">
        <v>109.59</v>
      </c>
      <c r="K496" s="187">
        <v>14.25</v>
      </c>
      <c r="L496" s="186">
        <f t="shared" si="28"/>
        <v>123.84</v>
      </c>
      <c r="M496" s="245">
        <v>51000200002</v>
      </c>
      <c r="N496" s="236"/>
      <c r="O496" s="152" t="s">
        <v>681</v>
      </c>
      <c r="P496" s="78">
        <v>51000100002</v>
      </c>
      <c r="Q496" s="142" t="s">
        <v>496</v>
      </c>
      <c r="R496" s="235">
        <f t="shared" si="27"/>
        <v>0</v>
      </c>
      <c r="T496" s="322">
        <v>52200000001</v>
      </c>
      <c r="U496" s="322" t="s">
        <v>33</v>
      </c>
      <c r="V496" s="322"/>
      <c r="W496" s="322"/>
      <c r="X496" s="323">
        <v>-1334.5699999999997</v>
      </c>
      <c r="Y496" s="109">
        <f>R504+R511</f>
        <v>0</v>
      </c>
      <c r="Z496" s="144">
        <v>0</v>
      </c>
    </row>
    <row r="497" spans="2:26" x14ac:dyDescent="0.2">
      <c r="B497" s="141">
        <v>43444</v>
      </c>
      <c r="C497" s="138" t="s">
        <v>690</v>
      </c>
      <c r="D497" s="138" t="s">
        <v>459</v>
      </c>
      <c r="E497" s="185" t="str">
        <f>+VLOOKUP(F497,[6]bd!A:B,2,0)</f>
        <v>BANCO CUSCATLAN DE EL SALVADOR S.A.</v>
      </c>
      <c r="F497" s="185" t="s">
        <v>90</v>
      </c>
      <c r="G497" s="188"/>
      <c r="H497" s="186"/>
      <c r="I497" s="186"/>
      <c r="J497" s="186">
        <v>109.59</v>
      </c>
      <c r="K497" s="187">
        <v>14.25</v>
      </c>
      <c r="L497" s="186">
        <f t="shared" si="28"/>
        <v>123.84</v>
      </c>
      <c r="M497" s="245">
        <v>51000200001</v>
      </c>
      <c r="N497" s="236"/>
      <c r="O497" s="152" t="s">
        <v>681</v>
      </c>
      <c r="P497" s="227">
        <v>51000200001</v>
      </c>
      <c r="Q497" s="217" t="s">
        <v>460</v>
      </c>
      <c r="R497" s="235">
        <f t="shared" si="27"/>
        <v>397.26</v>
      </c>
      <c r="X497" s="198">
        <v>0</v>
      </c>
      <c r="Y497" s="109">
        <v>0</v>
      </c>
      <c r="Z497" s="144">
        <v>0</v>
      </c>
    </row>
    <row r="498" spans="2:26" x14ac:dyDescent="0.2">
      <c r="B498" s="141">
        <v>43445</v>
      </c>
      <c r="C498" s="138" t="s">
        <v>691</v>
      </c>
      <c r="D498" s="138" t="s">
        <v>459</v>
      </c>
      <c r="E498" s="185" t="str">
        <f>+VLOOKUP(F498,[6]bd!A:B,2,0)</f>
        <v>BANCO CUSCATLAN DE EL SALVADOR S.A.</v>
      </c>
      <c r="F498" s="185" t="s">
        <v>90</v>
      </c>
      <c r="G498" s="185"/>
      <c r="H498" s="186"/>
      <c r="I498" s="186"/>
      <c r="J498" s="186">
        <v>95.89</v>
      </c>
      <c r="K498" s="187">
        <v>12.47</v>
      </c>
      <c r="L498" s="186">
        <f t="shared" si="28"/>
        <v>108.36</v>
      </c>
      <c r="M498" s="245">
        <v>51000200002</v>
      </c>
      <c r="N498" s="236"/>
      <c r="O498" s="152" t="s">
        <v>681</v>
      </c>
      <c r="P498" s="78">
        <v>51000200001</v>
      </c>
      <c r="Q498" s="142" t="s">
        <v>351</v>
      </c>
      <c r="R498" s="235">
        <f t="shared" si="27"/>
        <v>0</v>
      </c>
      <c r="X498" s="171">
        <v>0</v>
      </c>
      <c r="Y498" s="171">
        <f>R506+R513</f>
        <v>0</v>
      </c>
      <c r="Z498" s="167">
        <v>0</v>
      </c>
    </row>
    <row r="499" spans="2:26" x14ac:dyDescent="0.2">
      <c r="B499" s="141">
        <v>43445</v>
      </c>
      <c r="C499" s="138" t="s">
        <v>692</v>
      </c>
      <c r="D499" s="138" t="s">
        <v>459</v>
      </c>
      <c r="E499" s="185" t="str">
        <f>+VLOOKUP(F499,[6]bd!A:B,2,0)</f>
        <v>BANCO CUSCATLAN DE EL SALVADOR S.A.</v>
      </c>
      <c r="F499" s="185" t="s">
        <v>90</v>
      </c>
      <c r="G499" s="185"/>
      <c r="H499" s="186"/>
      <c r="I499" s="186"/>
      <c r="J499" s="186">
        <v>95.89</v>
      </c>
      <c r="K499" s="187">
        <v>12.47</v>
      </c>
      <c r="L499" s="186">
        <f t="shared" si="28"/>
        <v>108.36</v>
      </c>
      <c r="M499" s="245">
        <v>51000200001</v>
      </c>
      <c r="N499" s="236"/>
      <c r="O499" s="152" t="s">
        <v>681</v>
      </c>
      <c r="P499" s="78">
        <v>51000200001</v>
      </c>
      <c r="Q499" s="142" t="s">
        <v>56</v>
      </c>
      <c r="R499" s="235">
        <f t="shared" si="27"/>
        <v>0</v>
      </c>
      <c r="X499" s="158">
        <f>SUM(X491:X495)</f>
        <v>-5265.8600000000006</v>
      </c>
      <c r="Y499" s="158">
        <f>SUM(Y491:Y498)</f>
        <v>1487.28</v>
      </c>
      <c r="Z499" s="158">
        <f>SUM(Z491:Z498)</f>
        <v>-66.470000000000027</v>
      </c>
    </row>
    <row r="500" spans="2:26" x14ac:dyDescent="0.2">
      <c r="B500" s="141">
        <v>43447</v>
      </c>
      <c r="C500" s="138" t="s">
        <v>693</v>
      </c>
      <c r="D500" s="138" t="s">
        <v>459</v>
      </c>
      <c r="E500" s="185" t="str">
        <f>+VLOOKUP(F500,[6]bd!A:B,2,0)</f>
        <v>BANCO CUSCATLAN DE EL SALVADOR S.A.</v>
      </c>
      <c r="F500" s="185" t="s">
        <v>90</v>
      </c>
      <c r="G500" s="185"/>
      <c r="H500" s="186"/>
      <c r="I500" s="186"/>
      <c r="J500" s="186">
        <v>95.89</v>
      </c>
      <c r="K500" s="187">
        <v>12.47</v>
      </c>
      <c r="L500" s="186">
        <f t="shared" si="28"/>
        <v>108.36</v>
      </c>
      <c r="M500" s="245">
        <v>51000200002</v>
      </c>
      <c r="N500" s="236"/>
      <c r="O500" s="152" t="s">
        <v>681</v>
      </c>
      <c r="P500" s="227">
        <v>51000200002</v>
      </c>
      <c r="Q500" s="217" t="s">
        <v>460</v>
      </c>
      <c r="R500" s="235">
        <f t="shared" si="27"/>
        <v>397.26</v>
      </c>
      <c r="U500" s="109"/>
    </row>
    <row r="501" spans="2:26" x14ac:dyDescent="0.2">
      <c r="B501" s="141">
        <v>43447</v>
      </c>
      <c r="C501" s="138" t="s">
        <v>694</v>
      </c>
      <c r="D501" s="138" t="s">
        <v>459</v>
      </c>
      <c r="E501" s="185" t="str">
        <f>+VLOOKUP(F501,[6]bd!A:B,2,0)</f>
        <v>BANCO CUSCATLAN DE EL SALVADOR S.A.</v>
      </c>
      <c r="F501" s="185" t="s">
        <v>90</v>
      </c>
      <c r="G501" s="185"/>
      <c r="H501" s="186"/>
      <c r="I501" s="186"/>
      <c r="J501" s="186">
        <v>95.89</v>
      </c>
      <c r="K501" s="187">
        <v>12.47</v>
      </c>
      <c r="L501" s="186">
        <f t="shared" si="28"/>
        <v>108.36</v>
      </c>
      <c r="M501" s="245">
        <v>51000200001</v>
      </c>
      <c r="N501" s="236"/>
      <c r="O501" s="152" t="s">
        <v>681</v>
      </c>
      <c r="P501" s="78">
        <v>51000200002</v>
      </c>
      <c r="Q501" s="142" t="s">
        <v>351</v>
      </c>
      <c r="R501" s="235">
        <f t="shared" si="27"/>
        <v>0</v>
      </c>
      <c r="U501" s="109"/>
    </row>
    <row r="502" spans="2:26" x14ac:dyDescent="0.2">
      <c r="B502" s="141">
        <v>43448</v>
      </c>
      <c r="C502" s="138" t="s">
        <v>695</v>
      </c>
      <c r="D502" s="138" t="s">
        <v>459</v>
      </c>
      <c r="E502" s="185" t="str">
        <f>+VLOOKUP(F502,[6]bd!A:B,2,0)</f>
        <v>BANCO CUSCATLAN DE EL SALVADOR S.A.</v>
      </c>
      <c r="F502" s="185" t="s">
        <v>90</v>
      </c>
      <c r="G502" s="185"/>
      <c r="H502" s="186"/>
      <c r="I502" s="186"/>
      <c r="J502" s="186">
        <v>95.89</v>
      </c>
      <c r="K502" s="187">
        <v>12.47</v>
      </c>
      <c r="L502" s="186">
        <f>+J502+K502</f>
        <v>108.36</v>
      </c>
      <c r="M502" s="245">
        <v>51000200002</v>
      </c>
      <c r="N502" s="236"/>
      <c r="O502" s="152" t="s">
        <v>681</v>
      </c>
      <c r="P502" s="78">
        <v>51000200002</v>
      </c>
      <c r="Q502" s="142" t="s">
        <v>56</v>
      </c>
      <c r="R502" s="235">
        <f t="shared" si="27"/>
        <v>0</v>
      </c>
      <c r="U502" s="109"/>
      <c r="Z502" s="144"/>
    </row>
    <row r="503" spans="2:26" x14ac:dyDescent="0.2">
      <c r="B503" s="141">
        <v>43448</v>
      </c>
      <c r="C503" s="138" t="s">
        <v>696</v>
      </c>
      <c r="D503" s="138" t="s">
        <v>459</v>
      </c>
      <c r="E503" s="185" t="str">
        <f>+VLOOKUP(F503,[6]bd!A:B,2,0)</f>
        <v>BANCO CUSCATLAN DE EL SALVADOR S.A.</v>
      </c>
      <c r="F503" s="185" t="s">
        <v>90</v>
      </c>
      <c r="G503" s="185"/>
      <c r="H503" s="186"/>
      <c r="I503" s="186"/>
      <c r="J503" s="186">
        <v>95.89</v>
      </c>
      <c r="K503" s="187">
        <v>12.47</v>
      </c>
      <c r="L503" s="186">
        <f t="shared" ref="L503:L519" si="29">+J503+K503</f>
        <v>108.36</v>
      </c>
      <c r="M503" s="245">
        <v>51000200001</v>
      </c>
      <c r="N503" s="236"/>
      <c r="O503" s="152" t="s">
        <v>681</v>
      </c>
      <c r="P503" s="227">
        <v>51220200001</v>
      </c>
      <c r="Q503" s="217" t="s">
        <v>460</v>
      </c>
      <c r="R503" s="235">
        <f t="shared" si="27"/>
        <v>1141.26</v>
      </c>
      <c r="U503" s="109"/>
    </row>
    <row r="504" spans="2:26" x14ac:dyDescent="0.2">
      <c r="B504" s="141">
        <v>43451</v>
      </c>
      <c r="C504" s="138" t="s">
        <v>697</v>
      </c>
      <c r="D504" s="138" t="s">
        <v>459</v>
      </c>
      <c r="E504" s="142" t="str">
        <f>+VLOOKUP(F504,[6]bd!A:B,2,0)</f>
        <v>CITIBANK, N.A. SUCURSAL EL SALVADOR</v>
      </c>
      <c r="F504" s="142" t="s">
        <v>329</v>
      </c>
      <c r="G504" s="142"/>
      <c r="H504" s="235"/>
      <c r="I504" s="235"/>
      <c r="J504" s="219">
        <v>64.88</v>
      </c>
      <c r="K504" s="162">
        <v>8.43</v>
      </c>
      <c r="L504" s="235">
        <f t="shared" si="29"/>
        <v>73.31</v>
      </c>
      <c r="M504" s="236"/>
      <c r="N504" s="236"/>
      <c r="O504" s="152" t="s">
        <v>681</v>
      </c>
      <c r="P504" s="78">
        <v>51220200001</v>
      </c>
      <c r="Q504" s="142" t="s">
        <v>351</v>
      </c>
      <c r="R504" s="235">
        <f t="shared" si="27"/>
        <v>0</v>
      </c>
    </row>
    <row r="505" spans="2:26" x14ac:dyDescent="0.2">
      <c r="B505" s="141">
        <v>43451</v>
      </c>
      <c r="C505" s="138" t="s">
        <v>698</v>
      </c>
      <c r="D505" s="138" t="s">
        <v>459</v>
      </c>
      <c r="E505" s="185" t="str">
        <f>+VLOOKUP(F505,[6]bd!A:B,2,0)</f>
        <v>BANCO CUSCATLAN DE EL SALVADOR S.A.</v>
      </c>
      <c r="F505" s="185" t="s">
        <v>90</v>
      </c>
      <c r="G505" s="185"/>
      <c r="H505" s="186"/>
      <c r="I505" s="186"/>
      <c r="J505" s="186">
        <v>1141.26</v>
      </c>
      <c r="K505" s="187">
        <v>148.36000000000001</v>
      </c>
      <c r="L505" s="186">
        <f t="shared" si="29"/>
        <v>1289.6199999999999</v>
      </c>
      <c r="M505" s="245">
        <v>51220200001</v>
      </c>
      <c r="N505" s="236"/>
      <c r="O505" s="152" t="s">
        <v>681</v>
      </c>
      <c r="P505" s="78">
        <v>51220200001</v>
      </c>
      <c r="Q505" s="142" t="s">
        <v>56</v>
      </c>
      <c r="R505" s="235">
        <f t="shared" si="27"/>
        <v>0</v>
      </c>
    </row>
    <row r="506" spans="2:26" x14ac:dyDescent="0.2">
      <c r="B506" s="141">
        <v>43451</v>
      </c>
      <c r="C506" s="138" t="s">
        <v>699</v>
      </c>
      <c r="D506" s="138" t="s">
        <v>459</v>
      </c>
      <c r="E506" s="185" t="str">
        <f>+VLOOKUP(F506,[6]bd!A:B,2,0)</f>
        <v>INVERSIONES FINANCIERAS IMPERIA CUSCATLAN, SA</v>
      </c>
      <c r="F506" s="185" t="s">
        <v>497</v>
      </c>
      <c r="G506" s="185"/>
      <c r="H506" s="186"/>
      <c r="I506" s="186"/>
      <c r="J506" s="186">
        <v>346.02</v>
      </c>
      <c r="K506" s="187">
        <v>44.98</v>
      </c>
      <c r="L506" s="186">
        <f t="shared" si="29"/>
        <v>391</v>
      </c>
      <c r="M506" s="245">
        <v>51220200001</v>
      </c>
      <c r="N506" s="236"/>
      <c r="O506" s="152" t="s">
        <v>681</v>
      </c>
      <c r="P506" s="78">
        <v>52200000001</v>
      </c>
      <c r="Q506" s="142" t="s">
        <v>460</v>
      </c>
      <c r="R506" s="235">
        <f t="shared" si="27"/>
        <v>0</v>
      </c>
      <c r="W506" s="106" t="s">
        <v>478</v>
      </c>
      <c r="X506" s="144">
        <f>+X492+X495+X491+X497+X498+X493+X494</f>
        <v>-5265.8600000000006</v>
      </c>
    </row>
    <row r="507" spans="2:26" x14ac:dyDescent="0.2">
      <c r="B507" s="141">
        <v>43455</v>
      </c>
      <c r="C507" s="138" t="s">
        <v>700</v>
      </c>
      <c r="D507" s="138" t="s">
        <v>459</v>
      </c>
      <c r="E507" s="142" t="str">
        <f>+VLOOKUP(F507,[6]bd!A:B,2,0)</f>
        <v>CITIBANK, N.A. SUCURSAL EL SALVADOR</v>
      </c>
      <c r="F507" s="111" t="s">
        <v>329</v>
      </c>
      <c r="G507" s="234"/>
      <c r="H507" s="235"/>
      <c r="I507" s="235"/>
      <c r="J507" s="219">
        <v>33.9</v>
      </c>
      <c r="K507" s="162">
        <v>4.41</v>
      </c>
      <c r="L507" s="235">
        <f t="shared" ref="L507:L513" si="30">+J507+K507</f>
        <v>38.31</v>
      </c>
      <c r="M507" s="236"/>
      <c r="N507" s="236"/>
      <c r="O507" s="152" t="s">
        <v>681</v>
      </c>
      <c r="P507" s="78">
        <v>52200000001</v>
      </c>
      <c r="Q507" s="142" t="s">
        <v>351</v>
      </c>
      <c r="R507" s="235">
        <f t="shared" si="27"/>
        <v>0</v>
      </c>
      <c r="W507" s="97" t="s">
        <v>480</v>
      </c>
      <c r="X507" s="144">
        <f>R512</f>
        <v>2281.8000000000002</v>
      </c>
    </row>
    <row r="508" spans="2:26" x14ac:dyDescent="0.2">
      <c r="B508" s="141">
        <v>43455</v>
      </c>
      <c r="C508" s="138" t="s">
        <v>701</v>
      </c>
      <c r="D508" s="138" t="s">
        <v>459</v>
      </c>
      <c r="E508" s="142" t="str">
        <f>+VLOOKUP(F508,[6]bd!A:B,2,0)</f>
        <v>CITIBANK, N.A. SUCURSAL EL SALVADOR</v>
      </c>
      <c r="F508" s="111" t="s">
        <v>329</v>
      </c>
      <c r="G508" s="234"/>
      <c r="H508" s="235"/>
      <c r="I508" s="235"/>
      <c r="J508" s="219">
        <v>33.9</v>
      </c>
      <c r="K508" s="162">
        <v>4.41</v>
      </c>
      <c r="L508" s="235">
        <f t="shared" si="30"/>
        <v>38.31</v>
      </c>
      <c r="M508" s="236"/>
      <c r="N508" s="236"/>
      <c r="O508" s="152" t="s">
        <v>681</v>
      </c>
      <c r="P508" s="78">
        <v>52200000001</v>
      </c>
      <c r="Q508" s="142" t="s">
        <v>56</v>
      </c>
      <c r="R508" s="235">
        <f t="shared" si="27"/>
        <v>0</v>
      </c>
      <c r="W508" s="97" t="s">
        <v>486</v>
      </c>
      <c r="X508" s="167">
        <f>+J494+J495+J504+J507+J508</f>
        <v>2982.4700000000003</v>
      </c>
    </row>
    <row r="509" spans="2:26" x14ac:dyDescent="0.2">
      <c r="B509" s="141"/>
      <c r="C509" s="138"/>
      <c r="D509" s="138"/>
      <c r="E509" s="142"/>
      <c r="F509" s="142"/>
      <c r="G509" s="234"/>
      <c r="H509" s="235"/>
      <c r="I509" s="235"/>
      <c r="J509" s="235"/>
      <c r="K509" s="143"/>
      <c r="L509" s="235">
        <f t="shared" si="30"/>
        <v>0</v>
      </c>
      <c r="M509" s="236"/>
      <c r="N509" s="236"/>
      <c r="O509" s="152" t="s">
        <v>681</v>
      </c>
      <c r="P509" s="78">
        <v>52200000001</v>
      </c>
      <c r="Q509" s="142" t="s">
        <v>460</v>
      </c>
      <c r="R509" s="235">
        <f t="shared" si="27"/>
        <v>0</v>
      </c>
      <c r="X509" s="324">
        <f>X506+X507+X508</f>
        <v>-1.5900000000001455</v>
      </c>
      <c r="Y509" s="97" t="s">
        <v>500</v>
      </c>
    </row>
    <row r="510" spans="2:26" x14ac:dyDescent="0.2">
      <c r="B510" s="141"/>
      <c r="C510" s="138"/>
      <c r="D510" s="138"/>
      <c r="E510" s="142"/>
      <c r="F510" s="142"/>
      <c r="G510" s="234"/>
      <c r="H510" s="235"/>
      <c r="I510" s="235"/>
      <c r="J510" s="235"/>
      <c r="K510" s="143"/>
      <c r="L510" s="235">
        <f t="shared" si="30"/>
        <v>0</v>
      </c>
      <c r="M510" s="236"/>
      <c r="N510" s="236"/>
      <c r="O510" s="152" t="s">
        <v>681</v>
      </c>
      <c r="P510" s="227">
        <v>51220200001</v>
      </c>
      <c r="Q510" s="217" t="s">
        <v>496</v>
      </c>
      <c r="R510" s="235">
        <f t="shared" si="27"/>
        <v>346.02</v>
      </c>
      <c r="X510" s="97">
        <v>1.59</v>
      </c>
    </row>
    <row r="511" spans="2:26" x14ac:dyDescent="0.2">
      <c r="B511" s="141"/>
      <c r="C511" s="138"/>
      <c r="D511" s="138"/>
      <c r="E511" s="142"/>
      <c r="F511" s="142"/>
      <c r="G511" s="234"/>
      <c r="H511" s="235"/>
      <c r="I511" s="235"/>
      <c r="J511" s="235"/>
      <c r="K511" s="143"/>
      <c r="L511" s="235">
        <f t="shared" si="30"/>
        <v>0</v>
      </c>
      <c r="M511" s="236"/>
      <c r="N511" s="236"/>
      <c r="O511" s="152" t="s">
        <v>681</v>
      </c>
      <c r="P511" s="78">
        <v>53000100001</v>
      </c>
      <c r="Q511" s="142" t="s">
        <v>460</v>
      </c>
      <c r="R511" s="235">
        <f t="shared" si="27"/>
        <v>0</v>
      </c>
    </row>
    <row r="512" spans="2:26" ht="13.5" thickBot="1" x14ac:dyDescent="0.25">
      <c r="B512" s="141"/>
      <c r="C512" s="138"/>
      <c r="D512" s="138"/>
      <c r="E512" s="142"/>
      <c r="F512" s="142"/>
      <c r="G512" s="234"/>
      <c r="H512" s="235"/>
      <c r="I512" s="235"/>
      <c r="J512" s="235"/>
      <c r="K512" s="143"/>
      <c r="L512" s="235">
        <f t="shared" si="30"/>
        <v>0</v>
      </c>
      <c r="M512" s="236"/>
      <c r="N512" s="236"/>
      <c r="O512" s="232"/>
      <c r="P512" s="232"/>
      <c r="R512" s="244">
        <f>SUM(R491:R511)</f>
        <v>2281.8000000000002</v>
      </c>
    </row>
    <row r="513" spans="2:14" ht="13.5" thickTop="1" x14ac:dyDescent="0.2">
      <c r="B513" s="141"/>
      <c r="C513" s="138"/>
      <c r="D513" s="138"/>
      <c r="E513" s="142"/>
      <c r="F513" s="142"/>
      <c r="G513" s="234"/>
      <c r="H513" s="235"/>
      <c r="I513" s="235"/>
      <c r="J513" s="235"/>
      <c r="K513" s="143"/>
      <c r="L513" s="235">
        <f t="shared" si="30"/>
        <v>0</v>
      </c>
      <c r="M513" s="236"/>
      <c r="N513" s="236"/>
    </row>
    <row r="514" spans="2:14" x14ac:dyDescent="0.2">
      <c r="B514" s="141"/>
      <c r="C514" s="138"/>
      <c r="D514" s="138"/>
      <c r="E514" s="142"/>
      <c r="F514" s="142"/>
      <c r="G514" s="234"/>
      <c r="H514" s="235"/>
      <c r="I514" s="235"/>
      <c r="J514" s="235"/>
      <c r="K514" s="143"/>
      <c r="L514" s="235">
        <f t="shared" si="29"/>
        <v>0</v>
      </c>
      <c r="M514" s="236"/>
      <c r="N514" s="236"/>
    </row>
    <row r="515" spans="2:14" x14ac:dyDescent="0.2">
      <c r="B515" s="141"/>
      <c r="C515" s="138"/>
      <c r="D515" s="138"/>
      <c r="E515" s="142"/>
      <c r="F515" s="142"/>
      <c r="G515" s="142"/>
      <c r="H515" s="235"/>
      <c r="I515" s="235"/>
      <c r="J515" s="235"/>
      <c r="K515" s="143"/>
      <c r="L515" s="235">
        <f t="shared" si="29"/>
        <v>0</v>
      </c>
      <c r="M515" s="236"/>
      <c r="N515" s="236"/>
    </row>
    <row r="516" spans="2:14" x14ac:dyDescent="0.2">
      <c r="B516" s="141"/>
      <c r="C516" s="138"/>
      <c r="D516" s="138"/>
      <c r="E516" s="142"/>
      <c r="F516" s="142"/>
      <c r="G516" s="142"/>
      <c r="H516" s="235"/>
      <c r="I516" s="235"/>
      <c r="J516" s="235"/>
      <c r="K516" s="143"/>
      <c r="L516" s="235">
        <f t="shared" si="29"/>
        <v>0</v>
      </c>
      <c r="M516" s="236"/>
      <c r="N516" s="236"/>
    </row>
    <row r="517" spans="2:14" x14ac:dyDescent="0.2">
      <c r="B517" s="141"/>
      <c r="C517" s="138" t="s">
        <v>581</v>
      </c>
      <c r="D517" s="138"/>
      <c r="E517" s="142"/>
      <c r="F517" s="114">
        <v>0</v>
      </c>
      <c r="G517" s="157"/>
      <c r="H517" s="157"/>
      <c r="I517" s="157"/>
      <c r="J517" s="235">
        <v>0</v>
      </c>
      <c r="K517" s="143">
        <v>0</v>
      </c>
      <c r="L517" s="235">
        <f t="shared" si="29"/>
        <v>0</v>
      </c>
      <c r="M517" s="236"/>
      <c r="N517" s="236"/>
    </row>
    <row r="518" spans="2:14" x14ac:dyDescent="0.2">
      <c r="B518" s="141"/>
      <c r="C518" s="138"/>
      <c r="D518" s="138"/>
      <c r="E518" s="142" t="s">
        <v>537</v>
      </c>
      <c r="F518" s="114"/>
      <c r="G518" s="157"/>
      <c r="H518" s="157"/>
      <c r="I518" s="157"/>
      <c r="J518" s="157"/>
      <c r="K518" s="325">
        <v>-684.38</v>
      </c>
      <c r="L518" s="235">
        <f t="shared" si="29"/>
        <v>-684.38</v>
      </c>
      <c r="M518" s="236"/>
      <c r="N518" s="236"/>
    </row>
    <row r="519" spans="2:14" x14ac:dyDescent="0.2">
      <c r="B519" s="141"/>
      <c r="C519" s="138"/>
      <c r="D519" s="138"/>
      <c r="E519" s="142"/>
      <c r="F519" s="114"/>
      <c r="G519" s="157"/>
      <c r="H519" s="157"/>
      <c r="I519" s="157"/>
      <c r="J519" s="157"/>
      <c r="K519" s="143"/>
      <c r="L519" s="235">
        <f t="shared" si="29"/>
        <v>0</v>
      </c>
      <c r="M519" s="236"/>
      <c r="N519" s="236"/>
    </row>
    <row r="520" spans="2:14" x14ac:dyDescent="0.2">
      <c r="B520" s="141"/>
      <c r="C520" s="138"/>
      <c r="D520" s="138"/>
      <c r="E520" s="142"/>
      <c r="F520" s="114"/>
      <c r="G520" s="157"/>
      <c r="H520" s="157"/>
      <c r="I520" s="157"/>
      <c r="J520" s="157"/>
      <c r="K520" s="143"/>
      <c r="L520" s="235"/>
      <c r="M520" s="236"/>
      <c r="N520" s="236"/>
    </row>
    <row r="521" spans="2:14" x14ac:dyDescent="0.2">
      <c r="B521" s="141"/>
      <c r="C521" s="138"/>
      <c r="D521" s="138"/>
      <c r="E521" s="142"/>
      <c r="F521" s="114"/>
      <c r="G521" s="157"/>
      <c r="H521" s="157"/>
      <c r="I521" s="157"/>
      <c r="J521" s="157"/>
      <c r="K521" s="143"/>
      <c r="L521" s="235"/>
      <c r="M521" s="236"/>
      <c r="N521" s="236"/>
    </row>
    <row r="522" spans="2:14" x14ac:dyDescent="0.2">
      <c r="B522" s="114"/>
      <c r="C522" s="115"/>
      <c r="D522" s="115"/>
      <c r="E522" s="142"/>
      <c r="F522" s="114"/>
      <c r="G522" s="157"/>
      <c r="H522" s="157"/>
      <c r="I522" s="157"/>
      <c r="J522" s="157"/>
      <c r="K522" s="157"/>
      <c r="L522" s="157"/>
      <c r="M522" s="237"/>
      <c r="N522" s="237"/>
    </row>
    <row r="523" spans="2:14" x14ac:dyDescent="0.2">
      <c r="B523" s="163"/>
      <c r="C523" s="164"/>
      <c r="D523" s="164"/>
      <c r="E523" s="142"/>
      <c r="F523" s="163"/>
      <c r="G523" s="165"/>
      <c r="H523" s="165"/>
      <c r="I523" s="165"/>
      <c r="J523" s="165"/>
      <c r="K523" s="165"/>
      <c r="L523" s="165"/>
      <c r="M523" s="232"/>
      <c r="N523" s="232"/>
    </row>
    <row r="524" spans="2:14" x14ac:dyDescent="0.2">
      <c r="B524" s="114"/>
      <c r="C524" s="115"/>
      <c r="D524" s="115"/>
      <c r="E524" s="114"/>
      <c r="F524" s="114"/>
      <c r="G524" s="166">
        <f t="shared" ref="G524:L524" si="31">SUM(G493:G523)</f>
        <v>0</v>
      </c>
      <c r="H524" s="166">
        <f t="shared" si="31"/>
        <v>0</v>
      </c>
      <c r="I524" s="166">
        <f t="shared" si="31"/>
        <v>0</v>
      </c>
      <c r="J524" s="166">
        <f t="shared" si="31"/>
        <v>5264.2699999999986</v>
      </c>
      <c r="K524" s="166">
        <f t="shared" si="31"/>
        <v>0</v>
      </c>
      <c r="L524" s="166">
        <f t="shared" si="31"/>
        <v>5264.2700000000023</v>
      </c>
      <c r="M524" s="232"/>
      <c r="N524" s="232"/>
    </row>
    <row r="525" spans="2:14" x14ac:dyDescent="0.2">
      <c r="B525" s="114"/>
      <c r="C525" s="115"/>
      <c r="D525" s="115"/>
      <c r="E525" s="114"/>
      <c r="F525" s="114"/>
      <c r="G525" s="208"/>
      <c r="H525" s="208"/>
      <c r="I525" s="208"/>
      <c r="J525" s="208"/>
      <c r="K525" s="208"/>
      <c r="L525" s="208"/>
      <c r="M525" s="232"/>
      <c r="N525" s="232"/>
    </row>
    <row r="526" spans="2:14" x14ac:dyDescent="0.2">
      <c r="B526" s="114"/>
      <c r="C526" s="115"/>
      <c r="D526" s="115"/>
      <c r="E526" s="114"/>
      <c r="F526" s="114"/>
      <c r="G526" s="208"/>
      <c r="H526" s="208"/>
      <c r="I526" s="208"/>
      <c r="J526" s="208"/>
      <c r="K526" s="208"/>
      <c r="L526" s="208"/>
      <c r="M526" s="232"/>
      <c r="N526" s="232"/>
    </row>
    <row r="527" spans="2:14" x14ac:dyDescent="0.2">
      <c r="B527" s="114"/>
      <c r="C527" s="115"/>
      <c r="D527" s="115"/>
      <c r="E527" s="114"/>
      <c r="F527" s="114"/>
      <c r="G527" s="208"/>
      <c r="H527" s="208"/>
      <c r="I527" s="208"/>
      <c r="J527" s="208"/>
      <c r="K527" s="208"/>
      <c r="L527" s="208"/>
      <c r="M527" s="232"/>
      <c r="N527" s="232"/>
    </row>
    <row r="528" spans="2:14" x14ac:dyDescent="0.2">
      <c r="B528" s="114"/>
      <c r="C528" s="115"/>
      <c r="D528" s="115"/>
      <c r="E528" s="114"/>
      <c r="F528" s="114"/>
      <c r="G528" s="208"/>
      <c r="H528" s="208"/>
      <c r="I528" s="208"/>
      <c r="J528" s="208"/>
      <c r="K528" s="208"/>
      <c r="L528" s="208"/>
      <c r="M528" s="232"/>
      <c r="N528" s="232"/>
    </row>
    <row r="529" spans="2:14" x14ac:dyDescent="0.2">
      <c r="B529" s="114"/>
      <c r="C529" s="115"/>
      <c r="D529" s="115"/>
      <c r="E529" s="114"/>
      <c r="F529" s="114"/>
      <c r="G529" s="208"/>
      <c r="H529" s="208"/>
      <c r="I529" s="208"/>
      <c r="J529" s="208"/>
      <c r="K529" s="208"/>
      <c r="L529" s="208"/>
      <c r="M529" s="232"/>
      <c r="N529" s="232"/>
    </row>
    <row r="530" spans="2:14" x14ac:dyDescent="0.2">
      <c r="B530" s="114"/>
      <c r="C530" s="115"/>
      <c r="D530" s="115"/>
      <c r="E530" s="114"/>
      <c r="F530" s="114"/>
      <c r="G530" s="114"/>
      <c r="H530" s="114"/>
      <c r="I530" s="114"/>
      <c r="J530" s="114"/>
      <c r="K530" s="114"/>
      <c r="L530" s="114"/>
      <c r="M530" s="232"/>
      <c r="N530" s="232"/>
    </row>
    <row r="531" spans="2:14" x14ac:dyDescent="0.2">
      <c r="B531" s="114"/>
      <c r="C531" s="117" t="s">
        <v>587</v>
      </c>
      <c r="D531" s="115"/>
      <c r="E531" s="115"/>
      <c r="F531" s="114"/>
      <c r="G531" s="114"/>
      <c r="H531" s="114"/>
      <c r="I531" s="117" t="s">
        <v>588</v>
      </c>
      <c r="J531" s="114"/>
      <c r="K531" s="114"/>
      <c r="L531" s="114"/>
      <c r="M531" s="232"/>
      <c r="N531" s="232"/>
    </row>
    <row r="532" spans="2:14" x14ac:dyDescent="0.2">
      <c r="B532" s="114"/>
      <c r="C532" s="117"/>
      <c r="D532" s="115"/>
      <c r="E532" s="115"/>
      <c r="F532" s="114"/>
      <c r="G532" s="114"/>
      <c r="H532" s="114"/>
      <c r="I532" s="117"/>
      <c r="J532" s="114"/>
      <c r="K532" s="114"/>
      <c r="L532" s="114"/>
      <c r="M532" s="232"/>
      <c r="N532" s="232"/>
    </row>
    <row r="533" spans="2:14" x14ac:dyDescent="0.2">
      <c r="B533" s="114"/>
      <c r="C533" s="114" t="s">
        <v>140</v>
      </c>
      <c r="D533" s="115"/>
      <c r="E533" s="115"/>
      <c r="F533" s="114"/>
      <c r="G533" s="214">
        <v>0</v>
      </c>
      <c r="H533" s="114"/>
      <c r="I533" s="114" t="s">
        <v>140</v>
      </c>
      <c r="J533" s="114"/>
      <c r="K533" s="114"/>
      <c r="L533" s="214">
        <v>0</v>
      </c>
      <c r="M533" s="232"/>
      <c r="N533" s="232"/>
    </row>
    <row r="534" spans="2:14" x14ac:dyDescent="0.2">
      <c r="B534" s="114"/>
      <c r="C534" s="114"/>
      <c r="D534" s="115"/>
      <c r="E534" s="115"/>
      <c r="F534" s="114"/>
      <c r="G534" s="114"/>
      <c r="H534" s="114"/>
      <c r="I534" s="114"/>
      <c r="J534" s="114"/>
      <c r="K534" s="114"/>
      <c r="L534" s="114"/>
      <c r="M534" s="232"/>
      <c r="N534" s="232"/>
    </row>
    <row r="535" spans="2:14" x14ac:dyDescent="0.2">
      <c r="B535" s="114"/>
      <c r="C535" s="114" t="s">
        <v>589</v>
      </c>
      <c r="D535" s="115"/>
      <c r="E535" s="115"/>
      <c r="F535" s="114"/>
      <c r="G535" s="214">
        <v>0</v>
      </c>
      <c r="H535" s="114"/>
      <c r="I535" s="114" t="s">
        <v>589</v>
      </c>
      <c r="J535" s="114"/>
      <c r="K535" s="114"/>
      <c r="L535" s="214">
        <v>0</v>
      </c>
      <c r="M535" s="232"/>
      <c r="N535" s="232"/>
    </row>
    <row r="536" spans="2:14" x14ac:dyDescent="0.2">
      <c r="B536" s="114"/>
      <c r="C536" s="114"/>
      <c r="D536" s="115"/>
      <c r="E536" s="115"/>
      <c r="F536" s="114"/>
      <c r="G536" s="214"/>
      <c r="H536" s="114"/>
      <c r="I536" s="114"/>
      <c r="J536" s="114"/>
      <c r="K536" s="114"/>
      <c r="L536" s="214"/>
      <c r="M536" s="232"/>
      <c r="N536" s="232"/>
    </row>
    <row r="537" spans="2:14" x14ac:dyDescent="0.2">
      <c r="B537" s="114"/>
      <c r="C537" s="114"/>
      <c r="D537" s="115"/>
      <c r="E537" s="115"/>
      <c r="F537" s="114"/>
      <c r="G537" s="214"/>
      <c r="H537" s="114"/>
      <c r="I537" s="114"/>
      <c r="J537" s="114"/>
      <c r="K537" s="114"/>
      <c r="L537" s="214"/>
      <c r="M537" s="232"/>
      <c r="N537" s="232"/>
    </row>
    <row r="538" spans="2:14" x14ac:dyDescent="0.2">
      <c r="B538" s="114"/>
      <c r="C538" s="114" t="s">
        <v>590</v>
      </c>
      <c r="D538" s="115"/>
      <c r="E538" s="115"/>
      <c r="F538" s="114"/>
      <c r="G538" s="214"/>
      <c r="H538" s="114"/>
      <c r="I538" s="114" t="s">
        <v>590</v>
      </c>
      <c r="J538" s="114"/>
      <c r="K538" s="114"/>
      <c r="L538" s="214"/>
      <c r="M538" s="232"/>
      <c r="N538" s="232"/>
    </row>
    <row r="539" spans="2:14" x14ac:dyDescent="0.2">
      <c r="B539" s="114"/>
      <c r="C539" s="114" t="s">
        <v>141</v>
      </c>
      <c r="D539" s="115"/>
      <c r="E539" s="115"/>
      <c r="F539" s="114"/>
      <c r="G539" s="214">
        <f>+'[6]reportes consumidor final'!I518</f>
        <v>0</v>
      </c>
      <c r="H539" s="114"/>
      <c r="I539" s="114" t="s">
        <v>141</v>
      </c>
      <c r="J539" s="114"/>
      <c r="K539" s="114"/>
      <c r="L539" s="214">
        <f>+J524</f>
        <v>5264.2699999999986</v>
      </c>
      <c r="M539" s="232"/>
      <c r="N539" s="232"/>
    </row>
    <row r="540" spans="2:14" x14ac:dyDescent="0.2">
      <c r="B540" s="114"/>
      <c r="C540" s="114" t="s">
        <v>591</v>
      </c>
      <c r="D540" s="115"/>
      <c r="E540" s="115"/>
      <c r="F540" s="114"/>
      <c r="G540" s="215">
        <f>+G539*0.13</f>
        <v>0</v>
      </c>
      <c r="H540" s="114"/>
      <c r="I540" s="114" t="s">
        <v>591</v>
      </c>
      <c r="J540" s="114"/>
      <c r="K540" s="114"/>
      <c r="L540" s="215">
        <f>+K524</f>
        <v>0</v>
      </c>
      <c r="M540" s="232"/>
      <c r="N540" s="232"/>
    </row>
    <row r="541" spans="2:14" x14ac:dyDescent="0.2">
      <c r="B541" s="114"/>
      <c r="C541" s="114"/>
      <c r="D541" s="115"/>
      <c r="E541" s="115"/>
      <c r="F541" s="114"/>
      <c r="G541" s="214"/>
      <c r="H541" s="114"/>
      <c r="I541" s="114"/>
      <c r="J541" s="114"/>
      <c r="K541" s="114"/>
      <c r="L541" s="214"/>
      <c r="M541" s="232"/>
      <c r="N541" s="232"/>
    </row>
    <row r="542" spans="2:14" ht="13.5" thickBot="1" x14ac:dyDescent="0.25">
      <c r="B542" s="114"/>
      <c r="C542" s="114" t="s">
        <v>592</v>
      </c>
      <c r="D542" s="115"/>
      <c r="E542" s="115"/>
      <c r="F542" s="114"/>
      <c r="G542" s="216">
        <f>SUM(G533:G540)</f>
        <v>0</v>
      </c>
      <c r="H542" s="114"/>
      <c r="I542" s="114" t="s">
        <v>592</v>
      </c>
      <c r="J542" s="114"/>
      <c r="K542" s="114"/>
      <c r="L542" s="216">
        <f>SUM(L539:L541)</f>
        <v>5264.2699999999986</v>
      </c>
      <c r="M542" s="232"/>
      <c r="N542" s="232"/>
    </row>
    <row r="543" spans="2:14" ht="13.5" thickTop="1" x14ac:dyDescent="0.2">
      <c r="B543" s="114"/>
      <c r="C543" s="114"/>
      <c r="D543" s="115"/>
      <c r="E543" s="115"/>
      <c r="F543" s="114"/>
      <c r="G543" s="114"/>
      <c r="H543" s="114"/>
      <c r="I543" s="114"/>
      <c r="J543" s="114"/>
      <c r="K543" s="114"/>
      <c r="L543" s="114"/>
      <c r="M543" s="232"/>
      <c r="N543" s="232"/>
    </row>
    <row r="545" spans="1:28" ht="13.5" customHeight="1" x14ac:dyDescent="0.2"/>
    <row r="546" spans="1:28" ht="3.75" customHeight="1" x14ac:dyDescent="0.2">
      <c r="A546" s="247"/>
      <c r="B546" s="247"/>
      <c r="C546" s="248"/>
      <c r="D546" s="248"/>
      <c r="E546" s="247"/>
      <c r="F546" s="247"/>
      <c r="G546" s="247"/>
      <c r="H546" s="247"/>
      <c r="I546" s="247"/>
      <c r="J546" s="247"/>
      <c r="K546" s="247"/>
      <c r="L546" s="247"/>
      <c r="M546" s="249"/>
      <c r="N546" s="249"/>
      <c r="O546" s="249"/>
      <c r="P546" s="249"/>
      <c r="Q546" s="250"/>
      <c r="R546" s="250"/>
      <c r="S546" s="250"/>
      <c r="T546" s="250"/>
      <c r="U546" s="250"/>
      <c r="V546" s="250"/>
      <c r="W546" s="250"/>
      <c r="X546" s="250"/>
      <c r="Y546" s="250"/>
      <c r="Z546" s="250"/>
      <c r="AA546" s="250"/>
      <c r="AB546" s="250"/>
    </row>
    <row r="551" spans="1:28" x14ac:dyDescent="0.2">
      <c r="B551" s="225" t="s">
        <v>355</v>
      </c>
      <c r="C551" s="114"/>
      <c r="D551" s="114"/>
      <c r="E551" s="121"/>
      <c r="F551" s="122"/>
      <c r="G551" s="114"/>
      <c r="H551" s="114"/>
      <c r="I551" s="114"/>
      <c r="J551" s="114"/>
      <c r="K551" s="114"/>
      <c r="L551" s="114"/>
      <c r="M551" s="232"/>
      <c r="N551" s="232"/>
    </row>
    <row r="552" spans="1:28" x14ac:dyDescent="0.2">
      <c r="B552" s="226" t="s">
        <v>252</v>
      </c>
      <c r="C552" s="114"/>
      <c r="D552" s="114"/>
      <c r="E552" s="226"/>
      <c r="F552" s="122"/>
      <c r="G552" s="114"/>
      <c r="H552" s="114"/>
      <c r="I552" s="114"/>
      <c r="J552" s="114"/>
      <c r="K552" s="114"/>
      <c r="L552" s="114"/>
      <c r="M552" s="232"/>
      <c r="N552" s="232"/>
    </row>
    <row r="553" spans="1:28" x14ac:dyDescent="0.2">
      <c r="B553" s="231" t="s">
        <v>253</v>
      </c>
      <c r="C553" s="114"/>
      <c r="D553" s="114"/>
      <c r="E553" s="121"/>
      <c r="F553" s="230"/>
      <c r="G553" s="114"/>
      <c r="H553" s="114"/>
      <c r="I553" s="114"/>
      <c r="J553" s="114"/>
      <c r="K553" s="114"/>
      <c r="L553" s="114"/>
      <c r="M553" s="232"/>
      <c r="N553" s="232"/>
    </row>
    <row r="554" spans="1:28" x14ac:dyDescent="0.2">
      <c r="B554" s="231" t="s">
        <v>356</v>
      </c>
      <c r="C554" s="114"/>
      <c r="D554" s="114"/>
      <c r="E554" s="121"/>
      <c r="F554" s="122"/>
      <c r="G554" s="114"/>
      <c r="H554" s="114"/>
      <c r="I554" s="114"/>
      <c r="J554" s="114"/>
      <c r="K554" s="114"/>
      <c r="L554" s="114"/>
      <c r="M554" s="232"/>
      <c r="N554" s="232"/>
    </row>
    <row r="555" spans="1:28" x14ac:dyDescent="0.2">
      <c r="B555" s="229"/>
      <c r="C555" s="114"/>
      <c r="D555" s="114"/>
      <c r="E555" s="121"/>
      <c r="F555" s="122"/>
      <c r="G555" s="114"/>
      <c r="H555" s="114"/>
      <c r="I555" s="114"/>
      <c r="J555" s="114"/>
      <c r="K555" s="114"/>
      <c r="L555" s="114"/>
      <c r="M555" s="232"/>
      <c r="N555" s="232"/>
    </row>
    <row r="556" spans="1:28" ht="18" x14ac:dyDescent="0.25">
      <c r="B556" s="113" t="s">
        <v>458</v>
      </c>
      <c r="C556" s="114"/>
      <c r="D556" s="115"/>
      <c r="E556" s="116" t="s">
        <v>735</v>
      </c>
      <c r="F556" s="117" t="s">
        <v>179</v>
      </c>
      <c r="G556" s="118">
        <v>2017</v>
      </c>
      <c r="H556" s="119" t="s">
        <v>41</v>
      </c>
      <c r="I556" s="119"/>
      <c r="J556" s="114"/>
      <c r="K556" s="114"/>
      <c r="L556" s="114"/>
      <c r="M556" s="232"/>
      <c r="N556" s="232"/>
    </row>
    <row r="557" spans="1:28" x14ac:dyDescent="0.2">
      <c r="B557" s="120" t="s">
        <v>42</v>
      </c>
      <c r="C557" s="114"/>
      <c r="D557" s="114"/>
      <c r="E557" s="121"/>
      <c r="F557" s="122"/>
      <c r="G557" s="114"/>
      <c r="H557" s="123"/>
      <c r="I557" s="123"/>
      <c r="J557" s="114"/>
      <c r="K557" s="114"/>
      <c r="L557" s="114"/>
      <c r="M557" s="232"/>
      <c r="N557" s="232"/>
    </row>
    <row r="558" spans="1:28" x14ac:dyDescent="0.2"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232"/>
      <c r="N558" s="232"/>
    </row>
    <row r="559" spans="1:28" x14ac:dyDescent="0.2">
      <c r="B559" s="124"/>
      <c r="C559" s="124"/>
      <c r="D559" s="124"/>
      <c r="E559" s="124"/>
      <c r="F559" s="124"/>
      <c r="G559" s="124"/>
      <c r="H559" s="117"/>
      <c r="I559" s="117"/>
      <c r="J559" s="117"/>
      <c r="K559" s="117"/>
      <c r="L559" s="124"/>
      <c r="M559" s="232"/>
      <c r="N559" s="232"/>
    </row>
    <row r="560" spans="1:28" x14ac:dyDescent="0.2">
      <c r="B560" s="125"/>
      <c r="C560" s="126" t="s">
        <v>255</v>
      </c>
      <c r="D560" s="127" t="s">
        <v>43</v>
      </c>
      <c r="E560" s="127"/>
      <c r="F560" s="127" t="s">
        <v>135</v>
      </c>
      <c r="G560" s="127"/>
      <c r="H560" s="128" t="s">
        <v>136</v>
      </c>
      <c r="I560" s="129"/>
      <c r="J560" s="129"/>
      <c r="K560" s="129"/>
      <c r="L560" s="146"/>
      <c r="M560" s="233"/>
      <c r="N560" s="233"/>
    </row>
    <row r="561" spans="2:26" x14ac:dyDescent="0.2">
      <c r="B561" s="130" t="s">
        <v>137</v>
      </c>
      <c r="C561" s="131" t="s">
        <v>138</v>
      </c>
      <c r="D561" s="131" t="s">
        <v>258</v>
      </c>
      <c r="E561" s="131" t="s">
        <v>139</v>
      </c>
      <c r="F561" s="131" t="s">
        <v>259</v>
      </c>
      <c r="G561" s="131" t="s">
        <v>140</v>
      </c>
      <c r="H561" s="132" t="s">
        <v>94</v>
      </c>
      <c r="I561" s="129"/>
      <c r="J561" s="132" t="s">
        <v>141</v>
      </c>
      <c r="K561" s="129"/>
      <c r="L561" s="147" t="s">
        <v>325</v>
      </c>
      <c r="M561" s="233"/>
      <c r="N561" s="233"/>
      <c r="O561" s="170" t="s">
        <v>480</v>
      </c>
      <c r="P561" s="170"/>
      <c r="Q561" s="170"/>
      <c r="R561" s="170"/>
      <c r="U561" s="106" t="s">
        <v>465</v>
      </c>
      <c r="Y561" s="97" t="s">
        <v>479</v>
      </c>
      <c r="Z561" s="97" t="s">
        <v>340</v>
      </c>
    </row>
    <row r="562" spans="2:26" x14ac:dyDescent="0.2">
      <c r="B562" s="133"/>
      <c r="C562" s="134"/>
      <c r="D562" s="134"/>
      <c r="E562" s="133"/>
      <c r="F562" s="133"/>
      <c r="G562" s="133"/>
      <c r="H562" s="135" t="s">
        <v>326</v>
      </c>
      <c r="I562" s="136" t="s">
        <v>327</v>
      </c>
      <c r="J562" s="148" t="s">
        <v>328</v>
      </c>
      <c r="K562" s="148" t="s">
        <v>89</v>
      </c>
      <c r="L562" s="149" t="s">
        <v>94</v>
      </c>
      <c r="M562" s="233"/>
      <c r="N562" s="233"/>
      <c r="O562" s="152" t="s">
        <v>147</v>
      </c>
      <c r="P562" s="78">
        <v>51000000001</v>
      </c>
      <c r="Q562" s="142" t="s">
        <v>460</v>
      </c>
      <c r="R562" s="235">
        <f>SUMIFS($J$564:$J$590,$E$564:$E$590,Q562,$M$564:$M$590,P562)</f>
        <v>0</v>
      </c>
      <c r="T562" s="97">
        <v>51000200001</v>
      </c>
      <c r="U562" s="97" t="s">
        <v>382</v>
      </c>
      <c r="X562" s="109">
        <v>-1593.49</v>
      </c>
      <c r="Y562" s="109">
        <f>R565</f>
        <v>0</v>
      </c>
      <c r="Z562" s="144">
        <v>0</v>
      </c>
    </row>
    <row r="563" spans="2:26" x14ac:dyDescent="0.2">
      <c r="B563" s="137"/>
      <c r="C563" s="138"/>
      <c r="D563" s="138"/>
      <c r="E563" s="139"/>
      <c r="F563" s="140"/>
      <c r="G563" s="234"/>
      <c r="H563" s="235"/>
      <c r="I563" s="235"/>
      <c r="J563" s="235"/>
      <c r="K563" s="235"/>
      <c r="L563" s="235"/>
      <c r="M563" s="236"/>
      <c r="N563" s="236"/>
      <c r="O563" s="152" t="s">
        <v>147</v>
      </c>
      <c r="P563" s="78">
        <v>51000000002</v>
      </c>
      <c r="Q563" s="142" t="s">
        <v>460</v>
      </c>
      <c r="R563" s="235">
        <f t="shared" ref="R563:R581" si="32">SUMIFS($J$564:$J$590,$E$564:$E$590,Q563,$M$564:$M$590,P563)</f>
        <v>0</v>
      </c>
      <c r="T563" s="97">
        <v>51000200002</v>
      </c>
      <c r="U563" s="97" t="s">
        <v>383</v>
      </c>
      <c r="X563" s="109">
        <v>-1593.49</v>
      </c>
      <c r="Y563" s="109">
        <f>R567</f>
        <v>0</v>
      </c>
      <c r="Z563" s="144">
        <v>0</v>
      </c>
    </row>
    <row r="564" spans="2:26" x14ac:dyDescent="0.2">
      <c r="B564" s="333">
        <v>43474</v>
      </c>
      <c r="C564" s="138" t="s">
        <v>706</v>
      </c>
      <c r="D564" s="138" t="s">
        <v>459</v>
      </c>
      <c r="E564" s="185" t="s">
        <v>460</v>
      </c>
      <c r="F564" s="185" t="s">
        <v>90</v>
      </c>
      <c r="G564" s="188"/>
      <c r="H564" s="186"/>
      <c r="I564" s="186"/>
      <c r="J564" s="186">
        <v>239.73</v>
      </c>
      <c r="K564" s="143">
        <v>31.16</v>
      </c>
      <c r="L564" s="235">
        <f t="shared" ref="L564:L571" si="33">+J564+K564</f>
        <v>270.89</v>
      </c>
      <c r="M564" s="245">
        <v>51000200002</v>
      </c>
      <c r="N564" s="236"/>
      <c r="O564" s="152" t="s">
        <v>147</v>
      </c>
      <c r="P564" s="78">
        <v>51000100001</v>
      </c>
      <c r="Q564" s="142" t="s">
        <v>460</v>
      </c>
      <c r="R564" s="235">
        <f t="shared" si="32"/>
        <v>0</v>
      </c>
      <c r="T564" s="97">
        <v>51000100001</v>
      </c>
      <c r="U564" s="109" t="s">
        <v>12</v>
      </c>
      <c r="X564" s="109"/>
    </row>
    <row r="565" spans="2:26" x14ac:dyDescent="0.2">
      <c r="B565" s="333">
        <v>43474</v>
      </c>
      <c r="C565" s="138" t="s">
        <v>707</v>
      </c>
      <c r="D565" s="138" t="s">
        <v>459</v>
      </c>
      <c r="E565" s="185" t="s">
        <v>460</v>
      </c>
      <c r="F565" s="185" t="s">
        <v>90</v>
      </c>
      <c r="G565" s="185"/>
      <c r="H565" s="186"/>
      <c r="I565" s="186"/>
      <c r="J565" s="186">
        <v>239.73</v>
      </c>
      <c r="K565" s="143">
        <v>31.16</v>
      </c>
      <c r="L565" s="235">
        <f t="shared" si="33"/>
        <v>270.89</v>
      </c>
      <c r="M565" s="245">
        <v>51000200001</v>
      </c>
      <c r="N565" s="236"/>
      <c r="O565" s="152" t="s">
        <v>147</v>
      </c>
      <c r="P565" s="78">
        <v>51000100001</v>
      </c>
      <c r="Q565" s="142" t="s">
        <v>496</v>
      </c>
      <c r="R565" s="235">
        <f t="shared" si="32"/>
        <v>0</v>
      </c>
      <c r="T565" s="97">
        <v>51000100002</v>
      </c>
      <c r="U565" s="109" t="s">
        <v>380</v>
      </c>
      <c r="X565" s="109"/>
    </row>
    <row r="566" spans="2:26" x14ac:dyDescent="0.2">
      <c r="B566" s="141">
        <v>43476</v>
      </c>
      <c r="C566" s="138" t="s">
        <v>708</v>
      </c>
      <c r="D566" s="138" t="s">
        <v>459</v>
      </c>
      <c r="E566" s="185" t="s">
        <v>460</v>
      </c>
      <c r="F566" s="185" t="s">
        <v>90</v>
      </c>
      <c r="G566" s="188"/>
      <c r="H566" s="186"/>
      <c r="I566" s="186"/>
      <c r="J566" s="186">
        <v>95.89</v>
      </c>
      <c r="K566" s="143">
        <v>12.47</v>
      </c>
      <c r="L566" s="235">
        <f t="shared" si="33"/>
        <v>108.36</v>
      </c>
      <c r="M566" s="245">
        <v>51000200002</v>
      </c>
      <c r="N566" s="236"/>
      <c r="O566" s="152" t="s">
        <v>147</v>
      </c>
      <c r="P566" s="78">
        <v>51000100002</v>
      </c>
      <c r="Q566" s="142" t="s">
        <v>460</v>
      </c>
      <c r="R566" s="235">
        <f t="shared" si="32"/>
        <v>0</v>
      </c>
      <c r="T566" s="97">
        <v>51220200001</v>
      </c>
      <c r="U566" s="97" t="s">
        <v>55</v>
      </c>
      <c r="X566" s="109">
        <v>-1585.92</v>
      </c>
      <c r="Y566" s="109">
        <f>R574+R581</f>
        <v>1368.47</v>
      </c>
      <c r="Z566" s="144">
        <f>X566+Y566</f>
        <v>-217.45000000000005</v>
      </c>
    </row>
    <row r="567" spans="2:26" x14ac:dyDescent="0.2">
      <c r="B567" s="141">
        <v>43476</v>
      </c>
      <c r="C567" s="138" t="s">
        <v>709</v>
      </c>
      <c r="D567" s="138" t="s">
        <v>459</v>
      </c>
      <c r="E567" s="185" t="s">
        <v>460</v>
      </c>
      <c r="F567" s="185" t="s">
        <v>90</v>
      </c>
      <c r="G567" s="188"/>
      <c r="H567" s="186"/>
      <c r="I567" s="186"/>
      <c r="J567" s="186">
        <v>95.89</v>
      </c>
      <c r="K567" s="143">
        <v>12.47</v>
      </c>
      <c r="L567" s="235">
        <f t="shared" si="33"/>
        <v>108.36</v>
      </c>
      <c r="M567" s="245">
        <v>51000200001</v>
      </c>
      <c r="N567" s="236"/>
      <c r="O567" s="152" t="s">
        <v>147</v>
      </c>
      <c r="P567" s="78">
        <v>51000100002</v>
      </c>
      <c r="Q567" s="142" t="s">
        <v>496</v>
      </c>
      <c r="R567" s="235">
        <f t="shared" si="32"/>
        <v>0</v>
      </c>
      <c r="T567" s="322">
        <v>52200000001</v>
      </c>
      <c r="U567" s="322" t="s">
        <v>33</v>
      </c>
      <c r="V567" s="322"/>
      <c r="W567" s="322"/>
      <c r="X567" s="323"/>
      <c r="Y567" s="109">
        <v>0</v>
      </c>
      <c r="Z567" s="144">
        <v>0</v>
      </c>
    </row>
    <row r="568" spans="2:26" x14ac:dyDescent="0.2">
      <c r="B568" s="141">
        <v>43480</v>
      </c>
      <c r="C568" s="138" t="s">
        <v>710</v>
      </c>
      <c r="D568" s="138" t="s">
        <v>459</v>
      </c>
      <c r="E568" s="185" t="s">
        <v>460</v>
      </c>
      <c r="F568" s="185" t="s">
        <v>90</v>
      </c>
      <c r="G568" s="185"/>
      <c r="H568" s="186"/>
      <c r="I568" s="186"/>
      <c r="J568" s="186">
        <v>91.35</v>
      </c>
      <c r="K568" s="143">
        <v>11.88</v>
      </c>
      <c r="L568" s="235">
        <f t="shared" si="33"/>
        <v>103.22999999999999</v>
      </c>
      <c r="M568" s="245">
        <v>51000200002</v>
      </c>
      <c r="N568" s="236"/>
      <c r="O568" s="152" t="s">
        <v>147</v>
      </c>
      <c r="P568" s="227">
        <v>51000200001</v>
      </c>
      <c r="Q568" s="217" t="s">
        <v>460</v>
      </c>
      <c r="R568" s="235">
        <f t="shared" si="32"/>
        <v>1593.4899999999998</v>
      </c>
      <c r="X568" s="198">
        <v>0</v>
      </c>
      <c r="Y568" s="109">
        <v>0</v>
      </c>
      <c r="Z568" s="144">
        <v>0</v>
      </c>
    </row>
    <row r="569" spans="2:26" x14ac:dyDescent="0.2">
      <c r="B569" s="141">
        <v>43480</v>
      </c>
      <c r="C569" s="138" t="s">
        <v>711</v>
      </c>
      <c r="D569" s="138" t="s">
        <v>459</v>
      </c>
      <c r="E569" s="185" t="s">
        <v>460</v>
      </c>
      <c r="F569" s="185" t="s">
        <v>90</v>
      </c>
      <c r="G569" s="185"/>
      <c r="H569" s="186"/>
      <c r="I569" s="186"/>
      <c r="J569" s="186">
        <v>91.35</v>
      </c>
      <c r="K569" s="143">
        <v>11.88</v>
      </c>
      <c r="L569" s="235">
        <f t="shared" si="33"/>
        <v>103.22999999999999</v>
      </c>
      <c r="M569" s="245">
        <v>51000200001</v>
      </c>
      <c r="N569" s="236"/>
      <c r="O569" s="152" t="s">
        <v>147</v>
      </c>
      <c r="P569" s="78">
        <v>51000200001</v>
      </c>
      <c r="Q569" s="142" t="s">
        <v>351</v>
      </c>
      <c r="R569" s="235">
        <f t="shared" si="32"/>
        <v>0</v>
      </c>
      <c r="X569" s="171">
        <v>0</v>
      </c>
      <c r="Y569" s="171">
        <f>R577+R584</f>
        <v>0</v>
      </c>
      <c r="Z569" s="167">
        <v>0</v>
      </c>
    </row>
    <row r="570" spans="2:26" x14ac:dyDescent="0.2">
      <c r="B570" s="141">
        <v>43481</v>
      </c>
      <c r="C570" s="138" t="s">
        <v>712</v>
      </c>
      <c r="D570" s="138" t="s">
        <v>459</v>
      </c>
      <c r="E570" s="185" t="s">
        <v>460</v>
      </c>
      <c r="F570" s="185" t="s">
        <v>90</v>
      </c>
      <c r="G570" s="185"/>
      <c r="H570" s="186"/>
      <c r="I570" s="186"/>
      <c r="J570" s="186">
        <v>95.89</v>
      </c>
      <c r="K570" s="143">
        <v>12.47</v>
      </c>
      <c r="L570" s="235">
        <f t="shared" si="33"/>
        <v>108.36</v>
      </c>
      <c r="M570" s="245">
        <v>51000200002</v>
      </c>
      <c r="N570" s="236"/>
      <c r="O570" s="152" t="s">
        <v>147</v>
      </c>
      <c r="P570" s="78">
        <v>51000200001</v>
      </c>
      <c r="Q570" s="142" t="s">
        <v>56</v>
      </c>
      <c r="R570" s="235">
        <f t="shared" si="32"/>
        <v>0</v>
      </c>
      <c r="X570" s="158">
        <f>SUM(X562:X566)</f>
        <v>-4772.8999999999996</v>
      </c>
      <c r="Y570" s="158">
        <f>SUM(Y562:Y569)</f>
        <v>1368.47</v>
      </c>
      <c r="Z570" s="158">
        <f>SUM(Z562:Z569)</f>
        <v>-217.45000000000005</v>
      </c>
    </row>
    <row r="571" spans="2:26" x14ac:dyDescent="0.2">
      <c r="B571" s="141">
        <v>43481</v>
      </c>
      <c r="C571" s="138" t="s">
        <v>713</v>
      </c>
      <c r="D571" s="138" t="s">
        <v>459</v>
      </c>
      <c r="E571" s="185" t="s">
        <v>460</v>
      </c>
      <c r="F571" s="185" t="s">
        <v>90</v>
      </c>
      <c r="G571" s="185"/>
      <c r="H571" s="186"/>
      <c r="I571" s="186"/>
      <c r="J571" s="186">
        <v>95.89</v>
      </c>
      <c r="K571" s="143">
        <v>12.47</v>
      </c>
      <c r="L571" s="235">
        <f t="shared" si="33"/>
        <v>108.36</v>
      </c>
      <c r="M571" s="245">
        <v>51000200001</v>
      </c>
      <c r="N571" s="236"/>
      <c r="O571" s="152" t="s">
        <v>147</v>
      </c>
      <c r="P571" s="227">
        <v>51000200002</v>
      </c>
      <c r="Q571" s="217" t="s">
        <v>460</v>
      </c>
      <c r="R571" s="235">
        <f t="shared" si="32"/>
        <v>1593.4899999999998</v>
      </c>
      <c r="U571" s="109"/>
    </row>
    <row r="572" spans="2:26" x14ac:dyDescent="0.2">
      <c r="B572" s="141">
        <v>43481</v>
      </c>
      <c r="C572" s="138" t="s">
        <v>714</v>
      </c>
      <c r="D572" s="138" t="s">
        <v>459</v>
      </c>
      <c r="E572" s="142" t="s">
        <v>496</v>
      </c>
      <c r="F572" s="142" t="s">
        <v>497</v>
      </c>
      <c r="G572" s="142"/>
      <c r="H572" s="235"/>
      <c r="I572" s="235"/>
      <c r="J572" s="235">
        <v>346.02</v>
      </c>
      <c r="K572" s="143">
        <v>44.98</v>
      </c>
      <c r="L572" s="235">
        <f>+J572+K572</f>
        <v>391</v>
      </c>
      <c r="M572" s="245">
        <v>51220200001</v>
      </c>
      <c r="N572" s="236"/>
      <c r="O572" s="152" t="s">
        <v>147</v>
      </c>
      <c r="P572" s="78">
        <v>51000200002</v>
      </c>
      <c r="Q572" s="142" t="s">
        <v>351</v>
      </c>
      <c r="R572" s="235">
        <f t="shared" si="32"/>
        <v>0</v>
      </c>
      <c r="U572" s="109"/>
    </row>
    <row r="573" spans="2:26" x14ac:dyDescent="0.2">
      <c r="B573" s="141">
        <v>43481</v>
      </c>
      <c r="C573" s="138" t="s">
        <v>715</v>
      </c>
      <c r="D573" s="138" t="s">
        <v>459</v>
      </c>
      <c r="E573" s="185" t="s">
        <v>460</v>
      </c>
      <c r="F573" s="185" t="s">
        <v>90</v>
      </c>
      <c r="G573" s="185"/>
      <c r="H573" s="186"/>
      <c r="I573" s="186"/>
      <c r="J573" s="186">
        <v>1022.45</v>
      </c>
      <c r="K573" s="143">
        <v>132.91999999999999</v>
      </c>
      <c r="L573" s="235">
        <f t="shared" ref="L573:L590" si="34">+J573+K573</f>
        <v>1155.3700000000001</v>
      </c>
      <c r="M573" s="245">
        <v>51220200001</v>
      </c>
      <c r="N573" s="236"/>
      <c r="O573" s="152" t="s">
        <v>147</v>
      </c>
      <c r="P573" s="78">
        <v>51000200002</v>
      </c>
      <c r="Q573" s="142" t="s">
        <v>56</v>
      </c>
      <c r="R573" s="235">
        <f t="shared" si="32"/>
        <v>0</v>
      </c>
      <c r="U573" s="109"/>
      <c r="Z573" s="144"/>
    </row>
    <row r="574" spans="2:26" x14ac:dyDescent="0.2">
      <c r="B574" s="141">
        <v>43481</v>
      </c>
      <c r="C574" s="138" t="s">
        <v>716</v>
      </c>
      <c r="D574" s="138" t="s">
        <v>459</v>
      </c>
      <c r="E574" s="217" t="s">
        <v>539</v>
      </c>
      <c r="F574" s="217" t="s">
        <v>329</v>
      </c>
      <c r="G574" s="217"/>
      <c r="H574" s="219"/>
      <c r="I574" s="219"/>
      <c r="J574" s="219">
        <v>195.46</v>
      </c>
      <c r="K574" s="162">
        <v>25.41</v>
      </c>
      <c r="L574" s="235">
        <f t="shared" si="34"/>
        <v>220.87</v>
      </c>
      <c r="M574" s="236"/>
      <c r="N574" s="236"/>
      <c r="O574" s="152" t="s">
        <v>147</v>
      </c>
      <c r="P574" s="227">
        <v>51220200001</v>
      </c>
      <c r="Q574" s="217" t="s">
        <v>460</v>
      </c>
      <c r="R574" s="235">
        <f t="shared" si="32"/>
        <v>1022.45</v>
      </c>
      <c r="U574" s="109"/>
    </row>
    <row r="575" spans="2:26" x14ac:dyDescent="0.2">
      <c r="B575" s="141">
        <v>43482</v>
      </c>
      <c r="C575" s="138" t="s">
        <v>717</v>
      </c>
      <c r="D575" s="138" t="s">
        <v>459</v>
      </c>
      <c r="E575" s="185" t="s">
        <v>460</v>
      </c>
      <c r="F575" s="185" t="s">
        <v>90</v>
      </c>
      <c r="G575" s="185"/>
      <c r="H575" s="186"/>
      <c r="I575" s="186"/>
      <c r="J575" s="186">
        <v>95.89</v>
      </c>
      <c r="K575" s="162">
        <v>12.47</v>
      </c>
      <c r="L575" s="235">
        <f t="shared" si="34"/>
        <v>108.36</v>
      </c>
      <c r="M575" s="245">
        <v>51000200002</v>
      </c>
      <c r="N575" s="236"/>
      <c r="O575" s="152" t="s">
        <v>147</v>
      </c>
      <c r="P575" s="78">
        <v>51220200001</v>
      </c>
      <c r="Q575" s="142" t="s">
        <v>351</v>
      </c>
      <c r="R575" s="235">
        <f t="shared" si="32"/>
        <v>0</v>
      </c>
    </row>
    <row r="576" spans="2:26" x14ac:dyDescent="0.2">
      <c r="B576" s="141">
        <v>43482</v>
      </c>
      <c r="C576" s="138" t="s">
        <v>718</v>
      </c>
      <c r="D576" s="138" t="s">
        <v>459</v>
      </c>
      <c r="E576" s="185" t="s">
        <v>460</v>
      </c>
      <c r="F576" s="185" t="s">
        <v>90</v>
      </c>
      <c r="G576" s="185"/>
      <c r="H576" s="186"/>
      <c r="I576" s="186"/>
      <c r="J576" s="186">
        <v>95.89</v>
      </c>
      <c r="K576" s="162">
        <v>12.47</v>
      </c>
      <c r="L576" s="235">
        <f t="shared" si="34"/>
        <v>108.36</v>
      </c>
      <c r="M576" s="245">
        <v>51000200001</v>
      </c>
      <c r="N576" s="236"/>
      <c r="O576" s="152" t="s">
        <v>147</v>
      </c>
      <c r="P576" s="78">
        <v>51220200001</v>
      </c>
      <c r="Q576" s="142" t="s">
        <v>56</v>
      </c>
      <c r="R576" s="235">
        <f t="shared" si="32"/>
        <v>0</v>
      </c>
    </row>
    <row r="577" spans="2:25" x14ac:dyDescent="0.2">
      <c r="B577" s="141">
        <v>43483</v>
      </c>
      <c r="C577" s="138" t="s">
        <v>719</v>
      </c>
      <c r="D577" s="138" t="s">
        <v>459</v>
      </c>
      <c r="E577" s="185" t="s">
        <v>460</v>
      </c>
      <c r="F577" s="112" t="s">
        <v>90</v>
      </c>
      <c r="G577" s="188"/>
      <c r="H577" s="186"/>
      <c r="I577" s="186"/>
      <c r="J577" s="186">
        <v>96.37</v>
      </c>
      <c r="K577" s="162">
        <v>12.53</v>
      </c>
      <c r="L577" s="235">
        <f t="shared" ref="L577:L583" si="35">+J577+K577</f>
        <v>108.9</v>
      </c>
      <c r="M577" s="245">
        <v>51000200002</v>
      </c>
      <c r="N577" s="236"/>
      <c r="O577" s="152" t="s">
        <v>147</v>
      </c>
      <c r="P577" s="78">
        <v>52200000001</v>
      </c>
      <c r="Q577" s="142" t="s">
        <v>460</v>
      </c>
      <c r="R577" s="235">
        <f t="shared" si="32"/>
        <v>0</v>
      </c>
      <c r="W577" s="106" t="s">
        <v>478</v>
      </c>
      <c r="X577" s="144">
        <f>+X563+X566+X562+X568+X569+X564+X565</f>
        <v>-4772.8999999999996</v>
      </c>
    </row>
    <row r="578" spans="2:25" x14ac:dyDescent="0.2">
      <c r="B578" s="141">
        <v>43483</v>
      </c>
      <c r="C578" s="138" t="s">
        <v>720</v>
      </c>
      <c r="D578" s="138" t="s">
        <v>459</v>
      </c>
      <c r="E578" s="185" t="s">
        <v>460</v>
      </c>
      <c r="F578" s="112" t="s">
        <v>90</v>
      </c>
      <c r="G578" s="188"/>
      <c r="H578" s="186"/>
      <c r="I578" s="186"/>
      <c r="J578" s="186">
        <v>96.37</v>
      </c>
      <c r="K578" s="162">
        <v>12.53</v>
      </c>
      <c r="L578" s="235">
        <f t="shared" si="35"/>
        <v>108.9</v>
      </c>
      <c r="M578" s="245">
        <v>51000200001</v>
      </c>
      <c r="N578" s="236"/>
      <c r="O578" s="152" t="s">
        <v>147</v>
      </c>
      <c r="P578" s="78">
        <v>52200000001</v>
      </c>
      <c r="Q578" s="142" t="s">
        <v>351</v>
      </c>
      <c r="R578" s="235">
        <f t="shared" si="32"/>
        <v>0</v>
      </c>
      <c r="W578" s="97" t="s">
        <v>480</v>
      </c>
      <c r="X578" s="144">
        <f>+R582</f>
        <v>4555.4499999999989</v>
      </c>
    </row>
    <row r="579" spans="2:25" x14ac:dyDescent="0.2">
      <c r="B579" s="141">
        <v>43487</v>
      </c>
      <c r="C579" s="138" t="s">
        <v>721</v>
      </c>
      <c r="D579" s="138" t="s">
        <v>459</v>
      </c>
      <c r="E579" s="185" t="s">
        <v>460</v>
      </c>
      <c r="F579" s="185" t="s">
        <v>90</v>
      </c>
      <c r="G579" s="188"/>
      <c r="H579" s="186"/>
      <c r="I579" s="186"/>
      <c r="J579" s="186">
        <v>143.84</v>
      </c>
      <c r="K579" s="143">
        <v>18.7</v>
      </c>
      <c r="L579" s="235">
        <f t="shared" si="35"/>
        <v>162.54</v>
      </c>
      <c r="M579" s="245">
        <v>51000200002</v>
      </c>
      <c r="N579" s="236"/>
      <c r="O579" s="152" t="s">
        <v>147</v>
      </c>
      <c r="P579" s="78">
        <v>52200000001</v>
      </c>
      <c r="Q579" s="142" t="s">
        <v>56</v>
      </c>
      <c r="R579" s="235">
        <f t="shared" si="32"/>
        <v>0</v>
      </c>
      <c r="W579" s="97" t="s">
        <v>486</v>
      </c>
      <c r="X579" s="167">
        <f>J574</f>
        <v>195.46</v>
      </c>
    </row>
    <row r="580" spans="2:25" x14ac:dyDescent="0.2">
      <c r="B580" s="141">
        <v>43487</v>
      </c>
      <c r="C580" s="138" t="s">
        <v>722</v>
      </c>
      <c r="D580" s="138" t="s">
        <v>459</v>
      </c>
      <c r="E580" s="185" t="s">
        <v>460</v>
      </c>
      <c r="F580" s="185" t="s">
        <v>90</v>
      </c>
      <c r="G580" s="188"/>
      <c r="H580" s="186"/>
      <c r="I580" s="186"/>
      <c r="J580" s="186">
        <v>143.84</v>
      </c>
      <c r="K580" s="143">
        <v>18.7</v>
      </c>
      <c r="L580" s="235">
        <f t="shared" si="35"/>
        <v>162.54</v>
      </c>
      <c r="M580" s="245">
        <v>51000200001</v>
      </c>
      <c r="N580" s="236"/>
      <c r="O580" s="152" t="s">
        <v>147</v>
      </c>
      <c r="P580" s="78">
        <v>52200000001</v>
      </c>
      <c r="Q580" s="142" t="s">
        <v>460</v>
      </c>
      <c r="R580" s="235">
        <f t="shared" si="32"/>
        <v>0</v>
      </c>
      <c r="X580" s="324">
        <f>X577+X578+X579</f>
        <v>-21.99000000000072</v>
      </c>
      <c r="Y580" s="97" t="s">
        <v>500</v>
      </c>
    </row>
    <row r="581" spans="2:25" x14ac:dyDescent="0.2">
      <c r="B581" s="141" t="s">
        <v>723</v>
      </c>
      <c r="C581" s="138" t="s">
        <v>724</v>
      </c>
      <c r="D581" s="138" t="s">
        <v>459</v>
      </c>
      <c r="E581" s="185" t="s">
        <v>460</v>
      </c>
      <c r="F581" s="185" t="s">
        <v>90</v>
      </c>
      <c r="G581" s="188"/>
      <c r="H581" s="186"/>
      <c r="I581" s="186"/>
      <c r="J581" s="186">
        <v>231.1</v>
      </c>
      <c r="K581" s="143">
        <v>30.04</v>
      </c>
      <c r="L581" s="235">
        <f t="shared" si="35"/>
        <v>261.14</v>
      </c>
      <c r="M581" s="245">
        <v>51000200002</v>
      </c>
      <c r="N581" s="236"/>
      <c r="O581" s="152" t="s">
        <v>147</v>
      </c>
      <c r="P581" s="227">
        <v>51220200001</v>
      </c>
      <c r="Q581" s="217" t="s">
        <v>496</v>
      </c>
      <c r="R581" s="235">
        <f t="shared" si="32"/>
        <v>346.02</v>
      </c>
    </row>
    <row r="582" spans="2:25" ht="13.5" thickBot="1" x14ac:dyDescent="0.25">
      <c r="B582" s="141" t="s">
        <v>723</v>
      </c>
      <c r="C582" s="138" t="s">
        <v>725</v>
      </c>
      <c r="D582" s="138" t="s">
        <v>459</v>
      </c>
      <c r="E582" s="185" t="s">
        <v>460</v>
      </c>
      <c r="F582" s="185" t="s">
        <v>90</v>
      </c>
      <c r="G582" s="188"/>
      <c r="H582" s="186"/>
      <c r="I582" s="186"/>
      <c r="J582" s="186">
        <v>231.1</v>
      </c>
      <c r="K582" s="143">
        <v>30.04</v>
      </c>
      <c r="L582" s="235">
        <f t="shared" si="35"/>
        <v>261.14</v>
      </c>
      <c r="M582" s="245">
        <v>51000200001</v>
      </c>
      <c r="N582" s="236"/>
      <c r="R582" s="244">
        <f>SUM(R562:R581)</f>
        <v>4555.4499999999989</v>
      </c>
    </row>
    <row r="583" spans="2:25" ht="13.5" thickTop="1" x14ac:dyDescent="0.2">
      <c r="B583" s="141">
        <v>43489</v>
      </c>
      <c r="C583" s="138" t="s">
        <v>726</v>
      </c>
      <c r="D583" s="138" t="s">
        <v>459</v>
      </c>
      <c r="E583" s="185" t="s">
        <v>460</v>
      </c>
      <c r="F583" s="185" t="s">
        <v>90</v>
      </c>
      <c r="G583" s="188"/>
      <c r="H583" s="186"/>
      <c r="I583" s="186"/>
      <c r="J583" s="186">
        <v>191.78</v>
      </c>
      <c r="K583" s="143">
        <v>24.93</v>
      </c>
      <c r="L583" s="235">
        <f t="shared" si="35"/>
        <v>216.71</v>
      </c>
      <c r="M583" s="245">
        <v>51000200002</v>
      </c>
      <c r="N583" s="236"/>
    </row>
    <row r="584" spans="2:25" x14ac:dyDescent="0.2">
      <c r="B584" s="141">
        <v>43489</v>
      </c>
      <c r="C584" s="138" t="s">
        <v>727</v>
      </c>
      <c r="D584" s="138" t="s">
        <v>459</v>
      </c>
      <c r="E584" s="185" t="s">
        <v>460</v>
      </c>
      <c r="F584" s="185" t="s">
        <v>90</v>
      </c>
      <c r="G584" s="188"/>
      <c r="H584" s="186"/>
      <c r="I584" s="186"/>
      <c r="J584" s="186">
        <v>191.78</v>
      </c>
      <c r="K584" s="143">
        <v>24.93</v>
      </c>
      <c r="L584" s="235">
        <f t="shared" si="34"/>
        <v>216.71</v>
      </c>
      <c r="M584" s="245">
        <v>51000200001</v>
      </c>
      <c r="N584" s="236"/>
    </row>
    <row r="585" spans="2:25" x14ac:dyDescent="0.2">
      <c r="B585" s="141">
        <v>43494</v>
      </c>
      <c r="C585" s="138" t="s">
        <v>728</v>
      </c>
      <c r="D585" s="138" t="s">
        <v>459</v>
      </c>
      <c r="E585" s="185" t="s">
        <v>460</v>
      </c>
      <c r="F585" s="185" t="s">
        <v>90</v>
      </c>
      <c r="G585" s="185"/>
      <c r="H585" s="186"/>
      <c r="I585" s="186"/>
      <c r="J585" s="186">
        <v>143.84</v>
      </c>
      <c r="K585" s="143">
        <v>18.7</v>
      </c>
      <c r="L585" s="235">
        <f t="shared" si="34"/>
        <v>162.54</v>
      </c>
      <c r="M585" s="245">
        <v>51000200002</v>
      </c>
      <c r="N585" s="236"/>
    </row>
    <row r="586" spans="2:25" x14ac:dyDescent="0.2">
      <c r="B586" s="141">
        <v>43494</v>
      </c>
      <c r="C586" s="138" t="s">
        <v>729</v>
      </c>
      <c r="D586" s="138" t="s">
        <v>459</v>
      </c>
      <c r="E586" s="185" t="s">
        <v>460</v>
      </c>
      <c r="F586" s="185" t="s">
        <v>90</v>
      </c>
      <c r="G586" s="185"/>
      <c r="H586" s="186"/>
      <c r="I586" s="186"/>
      <c r="J586" s="186">
        <v>143.84</v>
      </c>
      <c r="K586" s="143">
        <v>18.7</v>
      </c>
      <c r="L586" s="235">
        <f t="shared" si="34"/>
        <v>162.54</v>
      </c>
      <c r="M586" s="245">
        <v>51000200001</v>
      </c>
      <c r="N586" s="236"/>
      <c r="R586" s="338"/>
    </row>
    <row r="587" spans="2:25" x14ac:dyDescent="0.2">
      <c r="B587" s="141" t="s">
        <v>730</v>
      </c>
      <c r="C587" s="138" t="s">
        <v>731</v>
      </c>
      <c r="D587" s="138" t="s">
        <v>459</v>
      </c>
      <c r="E587" s="185" t="s">
        <v>460</v>
      </c>
      <c r="F587" s="185" t="s">
        <v>90</v>
      </c>
      <c r="G587" s="185"/>
      <c r="H587" s="186"/>
      <c r="I587" s="186"/>
      <c r="J587" s="186">
        <v>143.84</v>
      </c>
      <c r="K587" s="143">
        <v>18.7</v>
      </c>
      <c r="L587" s="235">
        <f t="shared" si="34"/>
        <v>162.54</v>
      </c>
      <c r="M587" s="245">
        <v>51000200002</v>
      </c>
      <c r="N587" s="236"/>
    </row>
    <row r="588" spans="2:25" x14ac:dyDescent="0.2">
      <c r="B588" s="141">
        <v>43495</v>
      </c>
      <c r="C588" s="138" t="s">
        <v>732</v>
      </c>
      <c r="D588" s="138" t="s">
        <v>459</v>
      </c>
      <c r="E588" s="185" t="s">
        <v>460</v>
      </c>
      <c r="F588" s="185" t="s">
        <v>90</v>
      </c>
      <c r="G588" s="185"/>
      <c r="H588" s="186"/>
      <c r="I588" s="186"/>
      <c r="J588" s="186">
        <v>143.84</v>
      </c>
      <c r="K588" s="143">
        <v>18.7</v>
      </c>
      <c r="L588" s="235">
        <f t="shared" si="34"/>
        <v>162.54</v>
      </c>
      <c r="M588" s="245">
        <v>51000200001</v>
      </c>
      <c r="N588" s="236"/>
    </row>
    <row r="589" spans="2:25" x14ac:dyDescent="0.2">
      <c r="B589" s="141">
        <v>43490</v>
      </c>
      <c r="C589" s="138" t="s">
        <v>733</v>
      </c>
      <c r="D589" s="138" t="s">
        <v>459</v>
      </c>
      <c r="E589" s="185" t="s">
        <v>460</v>
      </c>
      <c r="F589" s="185" t="s">
        <v>90</v>
      </c>
      <c r="G589" s="185"/>
      <c r="H589" s="186"/>
      <c r="I589" s="186"/>
      <c r="J589" s="186">
        <v>23.97</v>
      </c>
      <c r="K589" s="143">
        <v>3.12</v>
      </c>
      <c r="L589" s="235">
        <f t="shared" si="34"/>
        <v>27.09</v>
      </c>
      <c r="M589" s="245">
        <v>51000200002</v>
      </c>
      <c r="N589" s="236"/>
    </row>
    <row r="590" spans="2:25" x14ac:dyDescent="0.2">
      <c r="B590" s="141">
        <v>43490</v>
      </c>
      <c r="C590" s="138" t="s">
        <v>734</v>
      </c>
      <c r="D590" s="138" t="s">
        <v>459</v>
      </c>
      <c r="E590" s="185" t="s">
        <v>460</v>
      </c>
      <c r="F590" s="185" t="s">
        <v>90</v>
      </c>
      <c r="G590" s="185"/>
      <c r="H590" s="186"/>
      <c r="I590" s="186"/>
      <c r="J590" s="186">
        <v>23.97</v>
      </c>
      <c r="K590" s="143">
        <v>3.12</v>
      </c>
      <c r="L590" s="235">
        <f t="shared" si="34"/>
        <v>27.09</v>
      </c>
      <c r="M590" s="245">
        <v>51000200001</v>
      </c>
      <c r="N590" s="236"/>
    </row>
    <row r="591" spans="2:25" x14ac:dyDescent="0.2">
      <c r="B591" s="141"/>
      <c r="C591" s="138"/>
      <c r="D591" s="138"/>
      <c r="E591" s="142"/>
      <c r="F591" s="142"/>
      <c r="G591" s="142"/>
      <c r="H591" s="235"/>
      <c r="I591" s="235"/>
      <c r="J591" s="235"/>
      <c r="K591" s="143"/>
      <c r="L591" s="235"/>
      <c r="M591" s="236"/>
      <c r="N591" s="236"/>
    </row>
    <row r="592" spans="2:25" x14ac:dyDescent="0.2">
      <c r="B592" s="141"/>
      <c r="C592" s="138"/>
      <c r="D592" s="138"/>
      <c r="E592" s="142"/>
      <c r="F592" s="142"/>
      <c r="G592" s="142"/>
      <c r="H592" s="235"/>
      <c r="I592" s="235"/>
      <c r="J592" s="235"/>
      <c r="K592" s="143"/>
      <c r="L592" s="235"/>
      <c r="M592" s="236"/>
      <c r="N592" s="236"/>
      <c r="R592" s="338"/>
    </row>
    <row r="593" spans="2:14" x14ac:dyDescent="0.2">
      <c r="B593" s="141"/>
      <c r="C593" s="138"/>
      <c r="D593" s="138"/>
      <c r="E593" s="142"/>
      <c r="F593" s="142"/>
      <c r="G593" s="142"/>
      <c r="H593" s="235"/>
      <c r="I593" s="235"/>
      <c r="J593" s="235"/>
      <c r="K593" s="143"/>
      <c r="L593" s="235"/>
      <c r="M593" s="236"/>
      <c r="N593" s="236"/>
    </row>
    <row r="594" spans="2:14" x14ac:dyDescent="0.2">
      <c r="B594" s="141"/>
      <c r="C594" s="138"/>
      <c r="D594" s="138"/>
      <c r="E594" s="142" t="s">
        <v>537</v>
      </c>
      <c r="F594" s="114"/>
      <c r="G594" s="157"/>
      <c r="H594" s="157"/>
      <c r="I594" s="157"/>
      <c r="J594" s="157"/>
      <c r="K594" s="325">
        <v>-617.65</v>
      </c>
      <c r="L594" s="235">
        <f>+J594+K594</f>
        <v>-617.65</v>
      </c>
      <c r="M594" s="236"/>
      <c r="N594" s="236"/>
    </row>
    <row r="595" spans="2:14" x14ac:dyDescent="0.2">
      <c r="B595" s="141"/>
      <c r="C595" s="138"/>
      <c r="D595" s="138"/>
      <c r="E595" s="142"/>
      <c r="F595" s="114"/>
      <c r="G595" s="157"/>
      <c r="H595" s="157"/>
      <c r="I595" s="157"/>
      <c r="J595" s="157"/>
      <c r="K595" s="143"/>
      <c r="L595" s="235">
        <f>+J595+K595</f>
        <v>0</v>
      </c>
      <c r="M595" s="236"/>
      <c r="N595" s="236"/>
    </row>
    <row r="596" spans="2:14" x14ac:dyDescent="0.2">
      <c r="B596" s="141"/>
      <c r="C596" s="138"/>
      <c r="D596" s="138"/>
      <c r="E596" s="142"/>
      <c r="F596" s="114"/>
      <c r="G596" s="157"/>
      <c r="H596" s="157"/>
      <c r="I596" s="157"/>
      <c r="J596" s="157"/>
      <c r="K596" s="143"/>
      <c r="L596" s="235"/>
      <c r="M596" s="236"/>
      <c r="N596" s="236"/>
    </row>
    <row r="597" spans="2:14" x14ac:dyDescent="0.2">
      <c r="B597" s="141"/>
      <c r="C597" s="138"/>
      <c r="D597" s="138"/>
      <c r="E597" s="142"/>
      <c r="F597" s="114"/>
      <c r="G597" s="157"/>
      <c r="H597" s="157"/>
      <c r="I597" s="157"/>
      <c r="J597" s="157"/>
      <c r="K597" s="143"/>
      <c r="L597" s="235"/>
      <c r="M597" s="236"/>
      <c r="N597" s="236"/>
    </row>
    <row r="598" spans="2:14" x14ac:dyDescent="0.2">
      <c r="B598" s="114"/>
      <c r="C598" s="115"/>
      <c r="D598" s="115"/>
      <c r="E598" s="142"/>
      <c r="F598" s="114"/>
      <c r="G598" s="157"/>
      <c r="H598" s="157"/>
      <c r="I598" s="157"/>
      <c r="J598" s="157"/>
      <c r="K598" s="157"/>
      <c r="L598" s="157"/>
      <c r="M598" s="237"/>
      <c r="N598" s="237"/>
    </row>
    <row r="599" spans="2:14" x14ac:dyDescent="0.2">
      <c r="B599" s="163"/>
      <c r="C599" s="164"/>
      <c r="D599" s="164"/>
      <c r="E599" s="142"/>
      <c r="F599" s="163"/>
      <c r="G599" s="165"/>
      <c r="H599" s="165"/>
      <c r="I599" s="165"/>
      <c r="J599" s="165"/>
      <c r="K599" s="165"/>
      <c r="L599" s="165"/>
      <c r="M599" s="232"/>
      <c r="N599" s="232"/>
    </row>
    <row r="600" spans="2:14" x14ac:dyDescent="0.2">
      <c r="B600" s="114"/>
      <c r="C600" s="115"/>
      <c r="D600" s="115"/>
      <c r="E600" s="114"/>
      <c r="F600" s="114"/>
      <c r="G600" s="166">
        <f t="shared" ref="G600:L600" si="36">SUM(G563:G599)</f>
        <v>0</v>
      </c>
      <c r="H600" s="166">
        <f t="shared" si="36"/>
        <v>0</v>
      </c>
      <c r="I600" s="166">
        <f t="shared" si="36"/>
        <v>0</v>
      </c>
      <c r="J600" s="166">
        <f t="shared" si="36"/>
        <v>4750.9100000000008</v>
      </c>
      <c r="K600" s="166">
        <f t="shared" si="36"/>
        <v>0</v>
      </c>
      <c r="L600" s="166">
        <f t="shared" si="36"/>
        <v>4750.9100000000008</v>
      </c>
      <c r="M600" s="232"/>
      <c r="N600" s="232"/>
    </row>
    <row r="601" spans="2:14" x14ac:dyDescent="0.2">
      <c r="B601" s="114"/>
      <c r="C601" s="115"/>
      <c r="D601" s="115"/>
      <c r="E601" s="114"/>
      <c r="F601" s="114"/>
      <c r="G601" s="208"/>
      <c r="H601" s="208"/>
      <c r="I601" s="208"/>
      <c r="J601" s="208"/>
      <c r="K601" s="208"/>
      <c r="L601" s="208"/>
      <c r="M601" s="232"/>
      <c r="N601" s="232"/>
    </row>
    <row r="602" spans="2:14" x14ac:dyDescent="0.2">
      <c r="B602" s="114"/>
      <c r="C602" s="115"/>
      <c r="D602" s="115"/>
      <c r="E602" s="114"/>
      <c r="F602" s="114"/>
      <c r="G602" s="208"/>
      <c r="H602" s="208"/>
      <c r="I602" s="208"/>
      <c r="J602" s="208"/>
      <c r="K602" s="208"/>
      <c r="L602" s="208"/>
      <c r="M602" s="232"/>
      <c r="N602" s="232"/>
    </row>
    <row r="603" spans="2:14" x14ac:dyDescent="0.2">
      <c r="B603" s="114"/>
      <c r="C603" s="115"/>
      <c r="D603" s="115"/>
      <c r="E603" s="114"/>
      <c r="F603" s="114"/>
      <c r="G603" s="208"/>
      <c r="H603" s="208"/>
      <c r="I603" s="208"/>
      <c r="J603" s="208"/>
      <c r="K603" s="208"/>
      <c r="L603" s="208"/>
      <c r="M603" s="232"/>
      <c r="N603" s="232"/>
    </row>
    <row r="604" spans="2:14" x14ac:dyDescent="0.2">
      <c r="B604" s="114"/>
      <c r="C604" s="115"/>
      <c r="D604" s="115"/>
      <c r="E604" s="114"/>
      <c r="F604" s="114"/>
      <c r="G604" s="208"/>
      <c r="H604" s="208"/>
      <c r="I604" s="208"/>
      <c r="J604" s="208"/>
      <c r="K604" s="208"/>
      <c r="L604" s="208"/>
      <c r="M604" s="232"/>
      <c r="N604" s="232"/>
    </row>
    <row r="605" spans="2:14" x14ac:dyDescent="0.2">
      <c r="B605" s="114"/>
      <c r="C605" s="115"/>
      <c r="D605" s="115"/>
      <c r="E605" s="114"/>
      <c r="F605" s="114"/>
      <c r="G605" s="208"/>
      <c r="H605" s="208"/>
      <c r="I605" s="208"/>
      <c r="J605" s="208"/>
      <c r="K605" s="208"/>
      <c r="L605" s="208"/>
      <c r="M605" s="232"/>
      <c r="N605" s="232"/>
    </row>
    <row r="606" spans="2:14" x14ac:dyDescent="0.2">
      <c r="B606" s="114"/>
      <c r="C606" s="115"/>
      <c r="D606" s="115"/>
      <c r="E606" s="114"/>
      <c r="F606" s="114"/>
      <c r="G606" s="114"/>
      <c r="H606" s="114"/>
      <c r="I606" s="114"/>
      <c r="J606" s="114"/>
      <c r="K606" s="114"/>
      <c r="L606" s="114"/>
      <c r="M606" s="232"/>
      <c r="N606" s="232"/>
    </row>
    <row r="607" spans="2:14" x14ac:dyDescent="0.2">
      <c r="B607" s="114"/>
      <c r="C607" s="117" t="s">
        <v>587</v>
      </c>
      <c r="D607" s="115"/>
      <c r="E607" s="115"/>
      <c r="F607" s="114"/>
      <c r="G607" s="114"/>
      <c r="H607" s="114"/>
      <c r="I607" s="117" t="s">
        <v>588</v>
      </c>
      <c r="J607" s="114"/>
      <c r="K607" s="114"/>
      <c r="L607" s="114"/>
      <c r="M607" s="232"/>
      <c r="N607" s="232"/>
    </row>
    <row r="608" spans="2:14" x14ac:dyDescent="0.2">
      <c r="B608" s="114"/>
      <c r="C608" s="117"/>
      <c r="D608" s="115"/>
      <c r="E608" s="115"/>
      <c r="F608" s="114"/>
      <c r="G608" s="114"/>
      <c r="H608" s="114"/>
      <c r="I608" s="117"/>
      <c r="J608" s="114"/>
      <c r="K608" s="114"/>
      <c r="L608" s="114"/>
      <c r="M608" s="232"/>
      <c r="N608" s="232"/>
    </row>
    <row r="609" spans="1:28" x14ac:dyDescent="0.2">
      <c r="B609" s="114"/>
      <c r="C609" s="114" t="s">
        <v>140</v>
      </c>
      <c r="D609" s="115"/>
      <c r="E609" s="115"/>
      <c r="F609" s="114"/>
      <c r="G609" s="214">
        <v>0</v>
      </c>
      <c r="H609" s="114"/>
      <c r="I609" s="114" t="s">
        <v>140</v>
      </c>
      <c r="J609" s="114"/>
      <c r="K609" s="114"/>
      <c r="L609" s="214">
        <v>0</v>
      </c>
      <c r="M609" s="232"/>
      <c r="N609" s="232"/>
    </row>
    <row r="610" spans="1:28" x14ac:dyDescent="0.2">
      <c r="B610" s="114"/>
      <c r="C610" s="114"/>
      <c r="D610" s="115"/>
      <c r="E610" s="115"/>
      <c r="F610" s="114"/>
      <c r="G610" s="114"/>
      <c r="H610" s="114"/>
      <c r="I610" s="114"/>
      <c r="J610" s="114"/>
      <c r="K610" s="114"/>
      <c r="L610" s="114"/>
      <c r="M610" s="232"/>
      <c r="N610" s="232"/>
    </row>
    <row r="611" spans="1:28" x14ac:dyDescent="0.2">
      <c r="B611" s="114"/>
      <c r="C611" s="114" t="s">
        <v>589</v>
      </c>
      <c r="D611" s="115"/>
      <c r="E611" s="115"/>
      <c r="F611" s="114"/>
      <c r="G611" s="214">
        <v>0</v>
      </c>
      <c r="H611" s="114"/>
      <c r="I611" s="114" t="s">
        <v>589</v>
      </c>
      <c r="J611" s="114"/>
      <c r="K611" s="114"/>
      <c r="L611" s="214">
        <v>0</v>
      </c>
      <c r="M611" s="232"/>
      <c r="N611" s="232"/>
    </row>
    <row r="612" spans="1:28" x14ac:dyDescent="0.2">
      <c r="B612" s="114"/>
      <c r="C612" s="114"/>
      <c r="D612" s="115"/>
      <c r="E612" s="115"/>
      <c r="F612" s="114"/>
      <c r="G612" s="214"/>
      <c r="H612" s="114"/>
      <c r="I612" s="114"/>
      <c r="J612" s="114"/>
      <c r="K612" s="114"/>
      <c r="L612" s="214"/>
      <c r="M612" s="232"/>
      <c r="N612" s="232"/>
    </row>
    <row r="613" spans="1:28" x14ac:dyDescent="0.2">
      <c r="B613" s="114"/>
      <c r="C613" s="114"/>
      <c r="D613" s="115"/>
      <c r="E613" s="115"/>
      <c r="F613" s="114"/>
      <c r="G613" s="214"/>
      <c r="H613" s="114"/>
      <c r="I613" s="114"/>
      <c r="J613" s="114"/>
      <c r="K613" s="114"/>
      <c r="L613" s="214"/>
      <c r="M613" s="232"/>
      <c r="N613" s="232"/>
    </row>
    <row r="614" spans="1:28" x14ac:dyDescent="0.2">
      <c r="B614" s="114"/>
      <c r="C614" s="114" t="s">
        <v>590</v>
      </c>
      <c r="D614" s="115"/>
      <c r="E614" s="115"/>
      <c r="F614" s="114"/>
      <c r="G614" s="214"/>
      <c r="H614" s="114"/>
      <c r="I614" s="114" t="s">
        <v>590</v>
      </c>
      <c r="J614" s="114"/>
      <c r="K614" s="114"/>
      <c r="L614" s="214"/>
      <c r="M614" s="232"/>
      <c r="N614" s="232"/>
    </row>
    <row r="615" spans="1:28" x14ac:dyDescent="0.2">
      <c r="B615" s="114"/>
      <c r="C615" s="114" t="s">
        <v>141</v>
      </c>
      <c r="D615" s="115"/>
      <c r="E615" s="115"/>
      <c r="F615" s="114"/>
      <c r="G615" s="214">
        <f>+'[7]reportes consumidor final'!J588</f>
        <v>0</v>
      </c>
      <c r="H615" s="114"/>
      <c r="I615" s="114" t="s">
        <v>141</v>
      </c>
      <c r="J615" s="114"/>
      <c r="K615" s="114"/>
      <c r="L615" s="214">
        <f>+J600</f>
        <v>4750.9100000000008</v>
      </c>
      <c r="M615" s="232"/>
      <c r="N615" s="232"/>
    </row>
    <row r="616" spans="1:28" x14ac:dyDescent="0.2">
      <c r="B616" s="114"/>
      <c r="C616" s="114" t="s">
        <v>591</v>
      </c>
      <c r="D616" s="115"/>
      <c r="E616" s="115"/>
      <c r="F616" s="114"/>
      <c r="G616" s="215">
        <f>+G615*0.13</f>
        <v>0</v>
      </c>
      <c r="H616" s="114"/>
      <c r="I616" s="114" t="s">
        <v>591</v>
      </c>
      <c r="J616" s="114"/>
      <c r="K616" s="114"/>
      <c r="L616" s="215">
        <f>+K600</f>
        <v>0</v>
      </c>
      <c r="M616" s="232"/>
      <c r="N616" s="232"/>
    </row>
    <row r="617" spans="1:28" x14ac:dyDescent="0.2">
      <c r="B617" s="114"/>
      <c r="C617" s="114"/>
      <c r="D617" s="115"/>
      <c r="E617" s="115"/>
      <c r="F617" s="114"/>
      <c r="G617" s="214"/>
      <c r="H617" s="114"/>
      <c r="I617" s="114"/>
      <c r="J617" s="114"/>
      <c r="K617" s="114"/>
      <c r="L617" s="214"/>
      <c r="M617" s="232"/>
      <c r="N617" s="232"/>
    </row>
    <row r="618" spans="1:28" ht="13.5" thickBot="1" x14ac:dyDescent="0.25">
      <c r="B618" s="114"/>
      <c r="C618" s="114" t="s">
        <v>592</v>
      </c>
      <c r="D618" s="115"/>
      <c r="E618" s="115"/>
      <c r="F618" s="114"/>
      <c r="G618" s="216">
        <f>SUM(G609:G616)</f>
        <v>0</v>
      </c>
      <c r="H618" s="114"/>
      <c r="I618" s="114" t="s">
        <v>592</v>
      </c>
      <c r="J618" s="114"/>
      <c r="K618" s="114"/>
      <c r="L618" s="216">
        <f>SUM(L615:L617)</f>
        <v>4750.9100000000008</v>
      </c>
      <c r="M618" s="232"/>
      <c r="N618" s="232"/>
    </row>
    <row r="619" spans="1:28" ht="13.5" thickTop="1" x14ac:dyDescent="0.2"/>
    <row r="621" spans="1:28" ht="3.75" customHeight="1" x14ac:dyDescent="0.2">
      <c r="A621" s="247"/>
      <c r="B621" s="247"/>
      <c r="C621" s="248"/>
      <c r="D621" s="248"/>
      <c r="E621" s="247"/>
      <c r="F621" s="247"/>
      <c r="G621" s="247"/>
      <c r="H621" s="247"/>
      <c r="I621" s="247"/>
      <c r="J621" s="247"/>
      <c r="K621" s="247"/>
      <c r="L621" s="247"/>
      <c r="M621" s="249"/>
      <c r="N621" s="249"/>
      <c r="O621" s="249"/>
      <c r="P621" s="249"/>
      <c r="Q621" s="250"/>
      <c r="R621" s="250"/>
      <c r="S621" s="250"/>
      <c r="T621" s="250"/>
      <c r="U621" s="250"/>
      <c r="V621" s="250"/>
      <c r="W621" s="250"/>
      <c r="X621" s="250"/>
      <c r="Y621" s="250"/>
      <c r="Z621" s="250"/>
      <c r="AA621" s="250"/>
      <c r="AB621" s="250"/>
    </row>
    <row r="623" spans="1:28" s="207" customFormat="1" x14ac:dyDescent="0.2">
      <c r="A623" s="114"/>
      <c r="B623" s="225" t="s">
        <v>355</v>
      </c>
      <c r="C623" s="114"/>
      <c r="D623" s="114"/>
      <c r="E623" s="121"/>
      <c r="F623" s="122"/>
      <c r="G623" s="114"/>
      <c r="H623" s="114"/>
      <c r="I623" s="114"/>
      <c r="J623" s="114"/>
      <c r="K623" s="114"/>
      <c r="L623" s="114"/>
      <c r="M623" s="232"/>
      <c r="N623" s="232"/>
    </row>
    <row r="624" spans="1:28" s="207" customFormat="1" x14ac:dyDescent="0.2">
      <c r="A624" s="114"/>
      <c r="B624" s="226" t="s">
        <v>252</v>
      </c>
      <c r="C624" s="114"/>
      <c r="D624" s="114"/>
      <c r="E624" s="226"/>
      <c r="F624" s="122"/>
      <c r="G624" s="114"/>
      <c r="H624" s="114"/>
      <c r="I624" s="114"/>
      <c r="J624" s="114"/>
      <c r="K624" s="114"/>
      <c r="L624" s="114"/>
      <c r="M624" s="232"/>
      <c r="N624" s="232"/>
    </row>
    <row r="625" spans="1:26" s="207" customFormat="1" x14ac:dyDescent="0.2">
      <c r="A625" s="114"/>
      <c r="B625" s="231" t="s">
        <v>253</v>
      </c>
      <c r="C625" s="114"/>
      <c r="D625" s="114"/>
      <c r="E625" s="121"/>
      <c r="F625" s="230"/>
      <c r="G625" s="114"/>
      <c r="H625" s="114"/>
      <c r="I625" s="114"/>
      <c r="J625" s="114"/>
      <c r="K625" s="114"/>
      <c r="L625" s="114"/>
      <c r="M625" s="232"/>
      <c r="N625" s="232"/>
    </row>
    <row r="626" spans="1:26" s="207" customFormat="1" x14ac:dyDescent="0.2">
      <c r="A626" s="114"/>
      <c r="B626" s="231" t="s">
        <v>356</v>
      </c>
      <c r="C626" s="114"/>
      <c r="D626" s="114"/>
      <c r="E626" s="121"/>
      <c r="F626" s="122"/>
      <c r="G626" s="114"/>
      <c r="H626" s="114"/>
      <c r="I626" s="114"/>
      <c r="J626" s="114"/>
      <c r="K626" s="114"/>
      <c r="L626" s="114"/>
      <c r="M626" s="232"/>
      <c r="N626" s="232"/>
    </row>
    <row r="627" spans="1:26" s="207" customFormat="1" x14ac:dyDescent="0.2">
      <c r="A627" s="114"/>
      <c r="B627" s="229"/>
      <c r="C627" s="114"/>
      <c r="D627" s="114"/>
      <c r="E627" s="121"/>
      <c r="F627" s="122"/>
      <c r="G627" s="114"/>
      <c r="H627" s="114"/>
      <c r="I627" s="114"/>
      <c r="J627" s="114"/>
      <c r="K627" s="114"/>
      <c r="L627" s="114"/>
      <c r="M627" s="232"/>
      <c r="N627" s="232"/>
    </row>
    <row r="628" spans="1:26" s="207" customFormat="1" ht="18" x14ac:dyDescent="0.25">
      <c r="A628" s="114"/>
      <c r="B628" s="113" t="s">
        <v>458</v>
      </c>
      <c r="C628" s="114"/>
      <c r="D628" s="115"/>
      <c r="E628" s="116" t="s">
        <v>761</v>
      </c>
      <c r="F628" s="117" t="s">
        <v>179</v>
      </c>
      <c r="G628" s="118">
        <v>2017</v>
      </c>
      <c r="H628" s="119" t="s">
        <v>41</v>
      </c>
      <c r="I628" s="119"/>
      <c r="J628" s="114"/>
      <c r="K628" s="114"/>
      <c r="L628" s="114"/>
      <c r="M628" s="232"/>
      <c r="N628" s="232"/>
    </row>
    <row r="629" spans="1:26" s="207" customFormat="1" x14ac:dyDescent="0.2">
      <c r="A629" s="114"/>
      <c r="B629" s="120" t="s">
        <v>42</v>
      </c>
      <c r="C629" s="114"/>
      <c r="D629" s="114"/>
      <c r="E629" s="121"/>
      <c r="F629" s="122"/>
      <c r="G629" s="114"/>
      <c r="H629" s="123"/>
      <c r="I629" s="123"/>
      <c r="J629" s="114"/>
      <c r="K629" s="114"/>
      <c r="L629" s="114"/>
      <c r="M629" s="232"/>
      <c r="N629" s="232"/>
    </row>
    <row r="631" spans="1:26" x14ac:dyDescent="0.2">
      <c r="B631" s="125"/>
      <c r="C631" s="126" t="s">
        <v>255</v>
      </c>
      <c r="D631" s="127" t="s">
        <v>43</v>
      </c>
      <c r="E631" s="127"/>
      <c r="F631" s="127" t="s">
        <v>135</v>
      </c>
      <c r="G631" s="127"/>
      <c r="H631" s="128" t="s">
        <v>136</v>
      </c>
      <c r="I631" s="129"/>
      <c r="J631" s="129"/>
      <c r="K631" s="129"/>
      <c r="L631" s="146"/>
      <c r="M631" s="233"/>
      <c r="N631" s="233"/>
      <c r="O631" s="170" t="s">
        <v>480</v>
      </c>
      <c r="P631" s="170"/>
      <c r="Q631" s="170"/>
      <c r="R631" s="170"/>
      <c r="U631" s="106" t="s">
        <v>465</v>
      </c>
      <c r="Y631" s="97" t="s">
        <v>479</v>
      </c>
      <c r="Z631" s="97" t="s">
        <v>340</v>
      </c>
    </row>
    <row r="632" spans="1:26" x14ac:dyDescent="0.2">
      <c r="B632" s="130" t="s">
        <v>137</v>
      </c>
      <c r="C632" s="131" t="s">
        <v>138</v>
      </c>
      <c r="D632" s="131" t="s">
        <v>258</v>
      </c>
      <c r="E632" s="131" t="s">
        <v>139</v>
      </c>
      <c r="F632" s="131" t="s">
        <v>259</v>
      </c>
      <c r="G632" s="131" t="s">
        <v>140</v>
      </c>
      <c r="H632" s="132" t="s">
        <v>94</v>
      </c>
      <c r="I632" s="129"/>
      <c r="J632" s="132" t="s">
        <v>141</v>
      </c>
      <c r="K632" s="129"/>
      <c r="L632" s="147" t="s">
        <v>325</v>
      </c>
      <c r="M632" s="233"/>
      <c r="N632" s="233"/>
      <c r="O632" s="152" t="s">
        <v>148</v>
      </c>
      <c r="P632" s="78">
        <v>51000000001</v>
      </c>
      <c r="Q632" s="142" t="s">
        <v>460</v>
      </c>
      <c r="R632" s="235">
        <f>SUMIFS($J$635:$J$659,$E$635:$E$659,Q632,$M$635:$M$659,P632)</f>
        <v>0</v>
      </c>
      <c r="T632" s="97">
        <v>51000200001</v>
      </c>
      <c r="U632" s="97" t="s">
        <v>382</v>
      </c>
      <c r="X632" s="109">
        <v>-1326.64</v>
      </c>
      <c r="Y632" s="109">
        <f>R635</f>
        <v>0</v>
      </c>
      <c r="Z632" s="144">
        <v>0</v>
      </c>
    </row>
    <row r="633" spans="1:26" x14ac:dyDescent="0.2">
      <c r="B633" s="133"/>
      <c r="C633" s="134"/>
      <c r="D633" s="134"/>
      <c r="E633" s="133"/>
      <c r="F633" s="133"/>
      <c r="G633" s="133"/>
      <c r="H633" s="135" t="s">
        <v>326</v>
      </c>
      <c r="I633" s="136" t="s">
        <v>327</v>
      </c>
      <c r="J633" s="148" t="s">
        <v>328</v>
      </c>
      <c r="K633" s="148" t="s">
        <v>89</v>
      </c>
      <c r="L633" s="149" t="s">
        <v>94</v>
      </c>
      <c r="M633" s="233"/>
      <c r="N633" s="233"/>
      <c r="O633" s="152" t="s">
        <v>148</v>
      </c>
      <c r="P633" s="78">
        <v>51000000002</v>
      </c>
      <c r="Q633" s="142" t="s">
        <v>460</v>
      </c>
      <c r="R633" s="235">
        <f t="shared" ref="R633:R650" si="37">SUMIFS($J$635:$J$659,$E$635:$E$659,Q633,$M$635:$M$659,P633)</f>
        <v>0</v>
      </c>
      <c r="T633" s="97">
        <v>51000200002</v>
      </c>
      <c r="U633" s="97" t="s">
        <v>383</v>
      </c>
      <c r="X633" s="109">
        <v>-1326.64</v>
      </c>
      <c r="Y633" s="109">
        <f>R637</f>
        <v>0</v>
      </c>
      <c r="Z633" s="144">
        <v>0</v>
      </c>
    </row>
    <row r="634" spans="1:26" x14ac:dyDescent="0.2">
      <c r="B634" s="137"/>
      <c r="C634" s="138"/>
      <c r="D634" s="138"/>
      <c r="E634" s="139"/>
      <c r="F634" s="140"/>
      <c r="G634" s="234"/>
      <c r="H634" s="235"/>
      <c r="I634" s="235"/>
      <c r="J634" s="235"/>
      <c r="K634" s="235"/>
      <c r="L634" s="235"/>
      <c r="M634" s="236"/>
      <c r="N634" s="236"/>
      <c r="O634" s="152" t="s">
        <v>148</v>
      </c>
      <c r="P634" s="78">
        <v>51000100001</v>
      </c>
      <c r="Q634" s="142" t="s">
        <v>460</v>
      </c>
      <c r="R634" s="235">
        <f t="shared" si="37"/>
        <v>0</v>
      </c>
      <c r="T634" s="97">
        <v>51000100001</v>
      </c>
      <c r="U634" s="109" t="s">
        <v>12</v>
      </c>
      <c r="X634" s="109"/>
    </row>
    <row r="635" spans="1:26" x14ac:dyDescent="0.2">
      <c r="B635" s="333">
        <v>43504</v>
      </c>
      <c r="C635" s="138" t="s">
        <v>736</v>
      </c>
      <c r="D635" s="138" t="s">
        <v>459</v>
      </c>
      <c r="E635" s="142" t="str">
        <f>+VLOOKUP(F635,[8]bd!A:B,2,0)</f>
        <v>BANCO CUSCATLAN DE EL SALVADOR S.A.</v>
      </c>
      <c r="F635" s="142" t="s">
        <v>90</v>
      </c>
      <c r="G635" s="234"/>
      <c r="H635" s="235"/>
      <c r="I635" s="235"/>
      <c r="J635" s="235">
        <v>95.89</v>
      </c>
      <c r="K635" s="143">
        <v>12.47</v>
      </c>
      <c r="L635" s="235">
        <f t="shared" ref="L635:L642" si="38">+J635+K635</f>
        <v>108.36</v>
      </c>
      <c r="M635" s="245">
        <v>51000200002</v>
      </c>
      <c r="N635" s="236"/>
      <c r="O635" s="152" t="s">
        <v>148</v>
      </c>
      <c r="P635" s="78">
        <v>51000100001</v>
      </c>
      <c r="Q635" s="142" t="s">
        <v>496</v>
      </c>
      <c r="R635" s="235">
        <f t="shared" si="37"/>
        <v>0</v>
      </c>
      <c r="T635" s="97">
        <v>51000100002</v>
      </c>
      <c r="U635" s="109" t="s">
        <v>380</v>
      </c>
      <c r="X635" s="109"/>
    </row>
    <row r="636" spans="1:26" x14ac:dyDescent="0.2">
      <c r="B636" s="333">
        <v>43504</v>
      </c>
      <c r="C636" s="138" t="s">
        <v>737</v>
      </c>
      <c r="D636" s="138" t="s">
        <v>459</v>
      </c>
      <c r="E636" s="142" t="str">
        <f>+VLOOKUP(F636,[8]bd!A:B,2,0)</f>
        <v>BANCO CUSCATLAN DE EL SALVADOR S.A.</v>
      </c>
      <c r="F636" s="142" t="s">
        <v>90</v>
      </c>
      <c r="G636" s="142"/>
      <c r="H636" s="235"/>
      <c r="I636" s="235"/>
      <c r="J636" s="235">
        <v>95.89</v>
      </c>
      <c r="K636" s="143">
        <v>12.47</v>
      </c>
      <c r="L636" s="235">
        <f t="shared" si="38"/>
        <v>108.36</v>
      </c>
      <c r="M636" s="245">
        <v>51000200001</v>
      </c>
      <c r="N636" s="236"/>
      <c r="O636" s="152" t="s">
        <v>148</v>
      </c>
      <c r="P636" s="78">
        <v>51000100002</v>
      </c>
      <c r="Q636" s="142" t="s">
        <v>460</v>
      </c>
      <c r="R636" s="235">
        <f t="shared" si="37"/>
        <v>0</v>
      </c>
      <c r="T636" s="97">
        <v>51220200001</v>
      </c>
      <c r="U636" s="97" t="s">
        <v>55</v>
      </c>
      <c r="X636" s="109">
        <v>-2331.5700000000002</v>
      </c>
      <c r="Y636" s="109">
        <f>R644+R651</f>
        <v>2090.7399999999998</v>
      </c>
      <c r="Z636" s="144">
        <f>X636+Y636</f>
        <v>-240.83000000000038</v>
      </c>
    </row>
    <row r="637" spans="1:26" x14ac:dyDescent="0.2">
      <c r="B637" s="141">
        <v>43508</v>
      </c>
      <c r="C637" s="138" t="s">
        <v>738</v>
      </c>
      <c r="D637" s="138" t="s">
        <v>459</v>
      </c>
      <c r="E637" s="142" t="str">
        <f>+VLOOKUP(F637,[8]bd!A:B,2,0)</f>
        <v>BANCO CUSCATLAN DE EL SALVADOR S.A.</v>
      </c>
      <c r="F637" s="142" t="s">
        <v>90</v>
      </c>
      <c r="G637" s="234"/>
      <c r="H637" s="235"/>
      <c r="I637" s="235"/>
      <c r="J637" s="235">
        <v>100.44</v>
      </c>
      <c r="K637" s="143">
        <v>13.06</v>
      </c>
      <c r="L637" s="235">
        <f t="shared" si="38"/>
        <v>113.5</v>
      </c>
      <c r="M637" s="245">
        <v>51000200002</v>
      </c>
      <c r="N637" s="236"/>
      <c r="O637" s="152" t="s">
        <v>148</v>
      </c>
      <c r="P637" s="78">
        <v>51000100002</v>
      </c>
      <c r="Q637" s="142" t="s">
        <v>496</v>
      </c>
      <c r="R637" s="235">
        <f t="shared" si="37"/>
        <v>0</v>
      </c>
      <c r="T637" s="322">
        <v>52200000001</v>
      </c>
      <c r="U637" s="322" t="s">
        <v>33</v>
      </c>
      <c r="V637" s="322"/>
      <c r="W637" s="322"/>
      <c r="X637" s="323"/>
      <c r="Y637" s="109">
        <v>0</v>
      </c>
      <c r="Z637" s="144">
        <v>0</v>
      </c>
    </row>
    <row r="638" spans="1:26" x14ac:dyDescent="0.2">
      <c r="B638" s="141">
        <v>43508</v>
      </c>
      <c r="C638" s="138" t="s">
        <v>739</v>
      </c>
      <c r="D638" s="138" t="s">
        <v>459</v>
      </c>
      <c r="E638" s="142" t="str">
        <f>+VLOOKUP(F638,[8]bd!A:B,2,0)</f>
        <v>BANCO CUSCATLAN DE EL SALVADOR S.A.</v>
      </c>
      <c r="F638" s="142" t="s">
        <v>90</v>
      </c>
      <c r="G638" s="234"/>
      <c r="H638" s="235"/>
      <c r="I638" s="235"/>
      <c r="J638" s="235">
        <v>100.44</v>
      </c>
      <c r="K638" s="143">
        <v>13.06</v>
      </c>
      <c r="L638" s="235">
        <f t="shared" si="38"/>
        <v>113.5</v>
      </c>
      <c r="M638" s="245">
        <v>51000200001</v>
      </c>
      <c r="N638" s="236"/>
      <c r="O638" s="152" t="s">
        <v>148</v>
      </c>
      <c r="P638" s="227">
        <v>51000200001</v>
      </c>
      <c r="Q638" s="217" t="s">
        <v>460</v>
      </c>
      <c r="R638" s="235">
        <f t="shared" si="37"/>
        <v>1285.5400000000002</v>
      </c>
      <c r="T638" s="97">
        <v>51000000001</v>
      </c>
      <c r="U638" s="97" t="s">
        <v>132</v>
      </c>
      <c r="X638" s="109"/>
    </row>
    <row r="639" spans="1:26" x14ac:dyDescent="0.2">
      <c r="B639" s="141">
        <v>43509</v>
      </c>
      <c r="C639" s="138" t="s">
        <v>740</v>
      </c>
      <c r="D639" s="138" t="s">
        <v>459</v>
      </c>
      <c r="E639" s="142" t="str">
        <f>+VLOOKUP(F639,[8]bd!A:B,2,0)</f>
        <v>BANCO CUSCATLAN DE EL SALVADOR S.A.</v>
      </c>
      <c r="F639" s="142" t="s">
        <v>90</v>
      </c>
      <c r="G639" s="142"/>
      <c r="H639" s="235"/>
      <c r="I639" s="235"/>
      <c r="J639" s="235">
        <v>332.55</v>
      </c>
      <c r="K639" s="143">
        <v>43.23</v>
      </c>
      <c r="L639" s="235">
        <f t="shared" si="38"/>
        <v>375.78000000000003</v>
      </c>
      <c r="M639" s="245">
        <v>51000200002</v>
      </c>
      <c r="N639" s="236"/>
      <c r="O639" s="152" t="s">
        <v>148</v>
      </c>
      <c r="P639" s="78">
        <v>51000200001</v>
      </c>
      <c r="Q639" s="142" t="s">
        <v>351</v>
      </c>
      <c r="R639" s="235">
        <f t="shared" si="37"/>
        <v>0</v>
      </c>
      <c r="T639" s="97">
        <v>51000000002</v>
      </c>
      <c r="U639" s="97" t="s">
        <v>10</v>
      </c>
      <c r="X639" s="109"/>
    </row>
    <row r="640" spans="1:26" x14ac:dyDescent="0.2">
      <c r="B640" s="141">
        <v>43509</v>
      </c>
      <c r="C640" s="138" t="s">
        <v>741</v>
      </c>
      <c r="D640" s="138" t="s">
        <v>459</v>
      </c>
      <c r="E640" s="142" t="str">
        <f>+VLOOKUP(F640,[8]bd!A:B,2,0)</f>
        <v>BANCO CUSCATLAN DE EL SALVADOR S.A.</v>
      </c>
      <c r="F640" s="142" t="s">
        <v>90</v>
      </c>
      <c r="G640" s="142"/>
      <c r="H640" s="235"/>
      <c r="I640" s="235"/>
      <c r="J640" s="235">
        <v>332.55</v>
      </c>
      <c r="K640" s="143">
        <v>43.23</v>
      </c>
      <c r="L640" s="235">
        <f t="shared" si="38"/>
        <v>375.78000000000003</v>
      </c>
      <c r="M640" s="245">
        <v>51000200001</v>
      </c>
      <c r="N640" s="236"/>
      <c r="O640" s="152" t="s">
        <v>148</v>
      </c>
      <c r="P640" s="78">
        <v>51000200001</v>
      </c>
      <c r="Q640" s="142" t="s">
        <v>56</v>
      </c>
      <c r="R640" s="235">
        <f t="shared" si="37"/>
        <v>0</v>
      </c>
      <c r="X640" s="198">
        <v>0</v>
      </c>
      <c r="Y640" s="109">
        <v>0</v>
      </c>
      <c r="Z640" s="144">
        <v>0</v>
      </c>
    </row>
    <row r="641" spans="2:26" x14ac:dyDescent="0.2">
      <c r="B641" s="141">
        <v>43511</v>
      </c>
      <c r="C641" s="138" t="s">
        <v>742</v>
      </c>
      <c r="D641" s="138" t="s">
        <v>459</v>
      </c>
      <c r="E641" s="142" t="str">
        <f>+VLOOKUP(F641,[8]bd!A:B,2,0)</f>
        <v>BANCO CUSCATLAN DE EL SALVADOR S.A.</v>
      </c>
      <c r="F641" s="142" t="s">
        <v>90</v>
      </c>
      <c r="G641" s="142"/>
      <c r="H641" s="235"/>
      <c r="I641" s="235"/>
      <c r="J641" s="235">
        <v>61.39</v>
      </c>
      <c r="K641" s="143">
        <v>7.98</v>
      </c>
      <c r="L641" s="235">
        <f t="shared" si="38"/>
        <v>69.37</v>
      </c>
      <c r="M641" s="245">
        <v>51000200002</v>
      </c>
      <c r="N641" s="236"/>
      <c r="O641" s="152" t="s">
        <v>148</v>
      </c>
      <c r="P641" s="227">
        <v>51000200002</v>
      </c>
      <c r="Q641" s="217" t="s">
        <v>460</v>
      </c>
      <c r="R641" s="235">
        <f t="shared" si="37"/>
        <v>1285.5400000000002</v>
      </c>
      <c r="X641" s="171">
        <v>0</v>
      </c>
      <c r="Y641" s="171">
        <f>R647+R654</f>
        <v>0</v>
      </c>
      <c r="Z641" s="167">
        <v>0</v>
      </c>
    </row>
    <row r="642" spans="2:26" x14ac:dyDescent="0.2">
      <c r="B642" s="141">
        <v>43511</v>
      </c>
      <c r="C642" s="138" t="s">
        <v>743</v>
      </c>
      <c r="D642" s="138" t="s">
        <v>459</v>
      </c>
      <c r="E642" s="142" t="str">
        <f>+VLOOKUP(F642,[8]bd!A:B,2,0)</f>
        <v>BANCO CUSCATLAN DE EL SALVADOR S.A.</v>
      </c>
      <c r="F642" s="142" t="s">
        <v>90</v>
      </c>
      <c r="G642" s="142"/>
      <c r="H642" s="235"/>
      <c r="I642" s="235"/>
      <c r="J642" s="235">
        <v>61.39</v>
      </c>
      <c r="K642" s="143">
        <v>7.98</v>
      </c>
      <c r="L642" s="235">
        <f t="shared" si="38"/>
        <v>69.37</v>
      </c>
      <c r="M642" s="245">
        <v>51000200001</v>
      </c>
      <c r="N642" s="236"/>
      <c r="O642" s="152" t="s">
        <v>148</v>
      </c>
      <c r="P642" s="78">
        <v>51000200002</v>
      </c>
      <c r="Q642" s="142" t="s">
        <v>351</v>
      </c>
      <c r="R642" s="235">
        <f t="shared" si="37"/>
        <v>0</v>
      </c>
      <c r="X642" s="158">
        <f>SUM(X632:X639)</f>
        <v>-4984.8500000000004</v>
      </c>
      <c r="Y642" s="158">
        <f>SUM(Y632:Y641)</f>
        <v>2090.7399999999998</v>
      </c>
      <c r="Z642" s="158">
        <f>SUM(Z632:Z641)</f>
        <v>-240.83000000000038</v>
      </c>
    </row>
    <row r="643" spans="2:26" x14ac:dyDescent="0.2">
      <c r="B643" s="141">
        <v>43511</v>
      </c>
      <c r="C643" s="138" t="s">
        <v>744</v>
      </c>
      <c r="D643" s="138" t="s">
        <v>459</v>
      </c>
      <c r="E643" s="142" t="str">
        <f>+VLOOKUP(F643,[8]bd!A:B,2,0)</f>
        <v>INVERSIONES FINANCIERAS IMPERIA CUSCATLAN, SA</v>
      </c>
      <c r="F643" s="142" t="s">
        <v>497</v>
      </c>
      <c r="G643" s="142"/>
      <c r="H643" s="235"/>
      <c r="I643" s="235"/>
      <c r="J643" s="235">
        <v>446.02</v>
      </c>
      <c r="K643" s="143">
        <v>57.98</v>
      </c>
      <c r="L643" s="235">
        <f>+J643+K643</f>
        <v>504</v>
      </c>
      <c r="M643" s="337">
        <v>51220200001</v>
      </c>
      <c r="N643" s="236"/>
      <c r="O643" s="152" t="s">
        <v>148</v>
      </c>
      <c r="P643" s="78">
        <v>51000200002</v>
      </c>
      <c r="Q643" s="142" t="s">
        <v>56</v>
      </c>
      <c r="R643" s="235">
        <f t="shared" si="37"/>
        <v>0</v>
      </c>
      <c r="U643" s="109"/>
      <c r="Z643" s="144"/>
    </row>
    <row r="644" spans="2:26" x14ac:dyDescent="0.2">
      <c r="B644" s="141">
        <v>43511</v>
      </c>
      <c r="C644" s="138" t="s">
        <v>745</v>
      </c>
      <c r="D644" s="138" t="s">
        <v>459</v>
      </c>
      <c r="E644" s="142" t="str">
        <f>+VLOOKUP(F644,[8]bd!A:B,2,0)</f>
        <v>BANCO CUSCATLAN DE EL SALVADOR S.A.</v>
      </c>
      <c r="F644" s="142" t="s">
        <v>90</v>
      </c>
      <c r="G644" s="142"/>
      <c r="H644" s="235"/>
      <c r="I644" s="235"/>
      <c r="J644" s="235">
        <v>1644.72</v>
      </c>
      <c r="K644" s="143">
        <v>213.81</v>
      </c>
      <c r="L644" s="235">
        <f t="shared" ref="L644:L659" si="39">+J644+K644</f>
        <v>1858.53</v>
      </c>
      <c r="M644" s="337">
        <v>51220200001</v>
      </c>
      <c r="N644" s="236"/>
      <c r="O644" s="152" t="s">
        <v>148</v>
      </c>
      <c r="P644" s="227">
        <v>51220200001</v>
      </c>
      <c r="Q644" s="217" t="s">
        <v>460</v>
      </c>
      <c r="R644" s="235">
        <f t="shared" si="37"/>
        <v>1644.72</v>
      </c>
      <c r="U644" s="109"/>
    </row>
    <row r="645" spans="2:26" x14ac:dyDescent="0.2">
      <c r="B645" s="141">
        <v>43511</v>
      </c>
      <c r="C645" s="138" t="s">
        <v>746</v>
      </c>
      <c r="D645" s="138" t="s">
        <v>459</v>
      </c>
      <c r="E645" s="217" t="str">
        <f>+VLOOKUP(F645,[8]bd!A:B,2,0)</f>
        <v>CITIBANK, N.A. SUCURSAL EL SALVADOR</v>
      </c>
      <c r="F645" s="217" t="s">
        <v>329</v>
      </c>
      <c r="G645" s="217"/>
      <c r="H645" s="219"/>
      <c r="I645" s="219"/>
      <c r="J645" s="219">
        <v>239.17</v>
      </c>
      <c r="K645" s="246">
        <v>31.09</v>
      </c>
      <c r="L645" s="219">
        <f t="shared" si="39"/>
        <v>270.26</v>
      </c>
      <c r="M645" s="336"/>
      <c r="N645" s="236"/>
      <c r="O645" s="152" t="s">
        <v>148</v>
      </c>
      <c r="P645" s="78">
        <v>51220200001</v>
      </c>
      <c r="Q645" s="142" t="s">
        <v>351</v>
      </c>
      <c r="R645" s="235">
        <f t="shared" si="37"/>
        <v>0</v>
      </c>
    </row>
    <row r="646" spans="2:26" x14ac:dyDescent="0.2">
      <c r="B646" s="141">
        <v>43514</v>
      </c>
      <c r="C646" s="138" t="s">
        <v>747</v>
      </c>
      <c r="D646" s="138" t="s">
        <v>459</v>
      </c>
      <c r="E646" s="142" t="str">
        <f>+VLOOKUP(F646,[8]bd!A:B,2,0)</f>
        <v>BANCO CUSCATLAN DE EL SALVADOR S.A.</v>
      </c>
      <c r="F646" s="142" t="s">
        <v>90</v>
      </c>
      <c r="G646" s="142"/>
      <c r="H646" s="235"/>
      <c r="I646" s="235"/>
      <c r="J646" s="235">
        <v>41.1</v>
      </c>
      <c r="K646" s="162">
        <v>5.34</v>
      </c>
      <c r="L646" s="235">
        <f t="shared" si="39"/>
        <v>46.44</v>
      </c>
      <c r="M646" s="245">
        <v>51000200002</v>
      </c>
      <c r="N646" s="236"/>
      <c r="O646" s="152" t="s">
        <v>148</v>
      </c>
      <c r="P646" s="78">
        <v>51220200001</v>
      </c>
      <c r="Q646" s="142" t="s">
        <v>56</v>
      </c>
      <c r="R646" s="235">
        <f t="shared" si="37"/>
        <v>0</v>
      </c>
    </row>
    <row r="647" spans="2:26" x14ac:dyDescent="0.2">
      <c r="B647" s="141">
        <v>43514</v>
      </c>
      <c r="C647" s="138" t="s">
        <v>748</v>
      </c>
      <c r="D647" s="138" t="s">
        <v>459</v>
      </c>
      <c r="E647" s="142" t="str">
        <f>+VLOOKUP(F647,[8]bd!A:B,2,0)</f>
        <v>BANCO CUSCATLAN DE EL SALVADOR S.A.</v>
      </c>
      <c r="F647" s="142" t="s">
        <v>90</v>
      </c>
      <c r="G647" s="142"/>
      <c r="H647" s="235"/>
      <c r="I647" s="235"/>
      <c r="J647" s="235">
        <v>41.1</v>
      </c>
      <c r="K647" s="162">
        <v>5.34</v>
      </c>
      <c r="L647" s="235">
        <f t="shared" si="39"/>
        <v>46.44</v>
      </c>
      <c r="M647" s="245">
        <v>51000200001</v>
      </c>
      <c r="N647" s="236"/>
      <c r="O647" s="152" t="s">
        <v>148</v>
      </c>
      <c r="P647" s="78">
        <v>52200000001</v>
      </c>
      <c r="Q647" s="142" t="s">
        <v>460</v>
      </c>
      <c r="R647" s="235">
        <f t="shared" si="37"/>
        <v>0</v>
      </c>
      <c r="W647" s="106" t="s">
        <v>478</v>
      </c>
      <c r="X647" s="144">
        <f>+X633+X636+X632+X640+X641+X634+X635+X638+X639</f>
        <v>-4984.8500000000004</v>
      </c>
    </row>
    <row r="648" spans="2:26" x14ac:dyDescent="0.2">
      <c r="B648" s="141">
        <v>43514</v>
      </c>
      <c r="C648" s="138" t="s">
        <v>749</v>
      </c>
      <c r="D648" s="138" t="s">
        <v>459</v>
      </c>
      <c r="E648" s="217" t="str">
        <f>+VLOOKUP(F648,[8]bd!A:B,2,0)</f>
        <v>CITIBANK, N.A. SUCURSAL EL SALVADOR</v>
      </c>
      <c r="F648" s="217" t="s">
        <v>329</v>
      </c>
      <c r="G648" s="217"/>
      <c r="H648" s="219"/>
      <c r="I648" s="219"/>
      <c r="J648" s="219">
        <v>41.1</v>
      </c>
      <c r="K648" s="246">
        <v>5.34</v>
      </c>
      <c r="L648" s="219">
        <f t="shared" si="39"/>
        <v>46.44</v>
      </c>
      <c r="M648" s="224">
        <v>51000200002</v>
      </c>
      <c r="N648" s="236"/>
      <c r="O648" s="152" t="s">
        <v>148</v>
      </c>
      <c r="P648" s="78">
        <v>52200000001</v>
      </c>
      <c r="Q648" s="142" t="s">
        <v>351</v>
      </c>
      <c r="R648" s="235">
        <f t="shared" si="37"/>
        <v>0</v>
      </c>
      <c r="W648" s="97" t="s">
        <v>480</v>
      </c>
      <c r="X648" s="144">
        <f>+R652</f>
        <v>4661.82</v>
      </c>
    </row>
    <row r="649" spans="2:26" x14ac:dyDescent="0.2">
      <c r="B649" s="141">
        <v>43514</v>
      </c>
      <c r="C649" s="138" t="s">
        <v>750</v>
      </c>
      <c r="D649" s="138" t="s">
        <v>459</v>
      </c>
      <c r="E649" s="217" t="str">
        <f>+VLOOKUP(F649,[8]bd!A:B,2,0)</f>
        <v>CITIBANK, N.A. SUCURSAL EL SALVADOR</v>
      </c>
      <c r="F649" s="217" t="s">
        <v>329</v>
      </c>
      <c r="G649" s="217"/>
      <c r="H649" s="219"/>
      <c r="I649" s="219"/>
      <c r="J649" s="219">
        <v>41.1</v>
      </c>
      <c r="K649" s="246">
        <v>5.34</v>
      </c>
      <c r="L649" s="219">
        <f t="shared" si="39"/>
        <v>46.44</v>
      </c>
      <c r="M649" s="224">
        <v>51000200001</v>
      </c>
      <c r="N649" s="236"/>
      <c r="O649" s="152" t="s">
        <v>148</v>
      </c>
      <c r="P649" s="78">
        <v>52200000001</v>
      </c>
      <c r="Q649" s="142" t="s">
        <v>56</v>
      </c>
      <c r="R649" s="235">
        <f t="shared" si="37"/>
        <v>0</v>
      </c>
      <c r="W649" s="97" t="s">
        <v>486</v>
      </c>
      <c r="X649" s="167">
        <f>+J645+J648+J649</f>
        <v>321.37</v>
      </c>
    </row>
    <row r="650" spans="2:26" x14ac:dyDescent="0.2">
      <c r="B650" s="141">
        <v>43515</v>
      </c>
      <c r="C650" s="138" t="s">
        <v>751</v>
      </c>
      <c r="D650" s="138" t="s">
        <v>459</v>
      </c>
      <c r="E650" s="142" t="str">
        <f>+VLOOKUP(F650,[8]bd!A:B,2,0)</f>
        <v>BANCO CUSCATLAN DE EL SALVADOR S.A.</v>
      </c>
      <c r="F650" s="111" t="s">
        <v>90</v>
      </c>
      <c r="G650" s="234"/>
      <c r="H650" s="235"/>
      <c r="I650" s="235"/>
      <c r="J650" s="235">
        <v>261.64</v>
      </c>
      <c r="K650" s="162">
        <v>34.01</v>
      </c>
      <c r="L650" s="235">
        <f t="shared" ref="L650:L656" si="40">+J650+K650</f>
        <v>295.64999999999998</v>
      </c>
      <c r="M650" s="245">
        <v>51000200002</v>
      </c>
      <c r="N650" s="236"/>
      <c r="O650" s="152" t="s">
        <v>148</v>
      </c>
      <c r="P650" s="78">
        <v>52200000001</v>
      </c>
      <c r="Q650" s="142" t="s">
        <v>460</v>
      </c>
      <c r="R650" s="235">
        <f t="shared" si="37"/>
        <v>0</v>
      </c>
      <c r="X650" s="324">
        <f>X647+X648+X649</f>
        <v>-1.6600000000006503</v>
      </c>
      <c r="Y650" s="97" t="s">
        <v>500</v>
      </c>
    </row>
    <row r="651" spans="2:26" x14ac:dyDescent="0.2">
      <c r="B651" s="141">
        <v>43515</v>
      </c>
      <c r="C651" s="138" t="s">
        <v>752</v>
      </c>
      <c r="D651" s="138" t="s">
        <v>459</v>
      </c>
      <c r="E651" s="142" t="str">
        <f>+VLOOKUP(F651,[8]bd!A:B,2,0)</f>
        <v>BANCO CUSCATLAN DE EL SALVADOR S.A.</v>
      </c>
      <c r="F651" s="111" t="s">
        <v>90</v>
      </c>
      <c r="G651" s="234"/>
      <c r="H651" s="235"/>
      <c r="I651" s="235"/>
      <c r="J651" s="235">
        <v>261.64</v>
      </c>
      <c r="K651" s="162">
        <v>34.01</v>
      </c>
      <c r="L651" s="235">
        <f t="shared" si="40"/>
        <v>295.64999999999998</v>
      </c>
      <c r="M651" s="245">
        <v>51000200001</v>
      </c>
      <c r="N651" s="236"/>
      <c r="O651" s="152" t="s">
        <v>148</v>
      </c>
      <c r="P651" s="227">
        <v>51220200001</v>
      </c>
      <c r="Q651" s="217" t="s">
        <v>496</v>
      </c>
      <c r="R651" s="235">
        <f>SUMIFS($J$635:$J$659,$E$635:$E$659,Q651,$M$635:$M$659,P651)</f>
        <v>446.02</v>
      </c>
    </row>
    <row r="652" spans="2:26" ht="13.5" thickBot="1" x14ac:dyDescent="0.25">
      <c r="B652" s="141">
        <v>43516</v>
      </c>
      <c r="C652" s="138" t="s">
        <v>753</v>
      </c>
      <c r="D652" s="138" t="s">
        <v>459</v>
      </c>
      <c r="E652" s="142" t="str">
        <f>+VLOOKUP(F652,[8]bd!A:B,2,0)</f>
        <v>BANCO CUSCATLAN DE EL SALVADOR S.A.</v>
      </c>
      <c r="F652" s="142" t="s">
        <v>90</v>
      </c>
      <c r="G652" s="234"/>
      <c r="H652" s="235"/>
      <c r="I652" s="235"/>
      <c r="J652" s="235">
        <v>139.04</v>
      </c>
      <c r="K652" s="143">
        <v>18.079999999999998</v>
      </c>
      <c r="L652" s="235">
        <f t="shared" si="40"/>
        <v>157.12</v>
      </c>
      <c r="M652" s="245">
        <v>51000200002</v>
      </c>
      <c r="N652" s="236"/>
      <c r="O652" s="232"/>
      <c r="P652" s="232"/>
      <c r="R652" s="244">
        <f>SUM(R632:R651)</f>
        <v>4661.82</v>
      </c>
    </row>
    <row r="653" spans="2:26" ht="13.5" thickTop="1" x14ac:dyDescent="0.2">
      <c r="B653" s="141">
        <v>43516</v>
      </c>
      <c r="C653" s="138" t="s">
        <v>754</v>
      </c>
      <c r="D653" s="138" t="s">
        <v>459</v>
      </c>
      <c r="E653" s="142" t="str">
        <f>+VLOOKUP(F653,[8]bd!A:B,2,0)</f>
        <v>BANCO CUSCATLAN DE EL SALVADOR S.A.</v>
      </c>
      <c r="F653" s="142" t="s">
        <v>90</v>
      </c>
      <c r="G653" s="234"/>
      <c r="H653" s="235"/>
      <c r="I653" s="235"/>
      <c r="J653" s="235">
        <v>139.04</v>
      </c>
      <c r="K653" s="143">
        <v>18.079999999999998</v>
      </c>
      <c r="L653" s="235">
        <f t="shared" si="40"/>
        <v>157.12</v>
      </c>
      <c r="M653" s="245">
        <v>51000200001</v>
      </c>
      <c r="N653" s="236"/>
    </row>
    <row r="654" spans="2:26" x14ac:dyDescent="0.2">
      <c r="B654" s="141">
        <v>43517</v>
      </c>
      <c r="C654" s="138" t="s">
        <v>755</v>
      </c>
      <c r="D654" s="138" t="s">
        <v>459</v>
      </c>
      <c r="E654" s="142" t="str">
        <f>+VLOOKUP(F654,[8]bd!A:B,2,0)</f>
        <v>BANCO CUSCATLAN DE EL SALVADOR S.A.</v>
      </c>
      <c r="F654" s="142" t="s">
        <v>90</v>
      </c>
      <c r="G654" s="234"/>
      <c r="H654" s="235"/>
      <c r="I654" s="235"/>
      <c r="J654" s="235">
        <v>95.89</v>
      </c>
      <c r="K654" s="143">
        <v>12.47</v>
      </c>
      <c r="L654" s="235">
        <f t="shared" si="40"/>
        <v>108.36</v>
      </c>
      <c r="M654" s="245">
        <v>51000200002</v>
      </c>
      <c r="N654" s="236"/>
    </row>
    <row r="655" spans="2:26" x14ac:dyDescent="0.2">
      <c r="B655" s="141">
        <v>43517</v>
      </c>
      <c r="C655" s="138" t="s">
        <v>756</v>
      </c>
      <c r="D655" s="138" t="s">
        <v>459</v>
      </c>
      <c r="E655" s="142" t="str">
        <f>+VLOOKUP(F655,[8]bd!A:B,2,0)</f>
        <v>BANCO CUSCATLAN DE EL SALVADOR S.A.</v>
      </c>
      <c r="F655" s="142" t="s">
        <v>90</v>
      </c>
      <c r="G655" s="234"/>
      <c r="H655" s="235"/>
      <c r="I655" s="235"/>
      <c r="J655" s="235">
        <v>95.89</v>
      </c>
      <c r="K655" s="143">
        <v>12.47</v>
      </c>
      <c r="L655" s="235">
        <f t="shared" si="40"/>
        <v>108.36</v>
      </c>
      <c r="M655" s="245">
        <v>51000200001</v>
      </c>
      <c r="N655" s="236"/>
    </row>
    <row r="656" spans="2:26" x14ac:dyDescent="0.2">
      <c r="B656" s="141">
        <v>43518</v>
      </c>
      <c r="C656" s="138" t="s">
        <v>757</v>
      </c>
      <c r="D656" s="138" t="s">
        <v>459</v>
      </c>
      <c r="E656" s="142" t="str">
        <f>+VLOOKUP(F656,[8]bd!A:B,2,0)</f>
        <v>BANCO CUSCATLAN DE EL SALVADOR S.A.</v>
      </c>
      <c r="F656" s="142" t="s">
        <v>90</v>
      </c>
      <c r="G656" s="234"/>
      <c r="H656" s="235"/>
      <c r="I656" s="235"/>
      <c r="J656" s="235">
        <v>40.130000000000003</v>
      </c>
      <c r="K656" s="143">
        <v>5.22</v>
      </c>
      <c r="L656" s="235">
        <f t="shared" si="40"/>
        <v>45.35</v>
      </c>
      <c r="M656" s="245">
        <v>51000200002</v>
      </c>
      <c r="N656" s="236"/>
      <c r="R656" s="144"/>
    </row>
    <row r="657" spans="2:18" x14ac:dyDescent="0.2">
      <c r="B657" s="141">
        <v>43518</v>
      </c>
      <c r="C657" s="138" t="s">
        <v>758</v>
      </c>
      <c r="D657" s="138" t="s">
        <v>459</v>
      </c>
      <c r="E657" s="142" t="str">
        <f>+VLOOKUP(F657,[8]bd!A:B,2,0)</f>
        <v>BANCO CUSCATLAN DE EL SALVADOR S.A.</v>
      </c>
      <c r="F657" s="142" t="s">
        <v>90</v>
      </c>
      <c r="G657" s="234"/>
      <c r="H657" s="235"/>
      <c r="I657" s="235"/>
      <c r="J657" s="235">
        <v>40.130000000000003</v>
      </c>
      <c r="K657" s="143">
        <v>5.22</v>
      </c>
      <c r="L657" s="235">
        <f t="shared" si="39"/>
        <v>45.35</v>
      </c>
      <c r="M657" s="245">
        <v>51000200001</v>
      </c>
      <c r="N657" s="236"/>
    </row>
    <row r="658" spans="2:18" x14ac:dyDescent="0.2">
      <c r="B658" s="141">
        <v>43524</v>
      </c>
      <c r="C658" s="138" t="s">
        <v>759</v>
      </c>
      <c r="D658" s="138" t="s">
        <v>459</v>
      </c>
      <c r="E658" s="142" t="str">
        <f>+VLOOKUP(F658,[8]bd!A:B,2,0)</f>
        <v>BANCO CUSCATLAN DE EL SALVADOR S.A.</v>
      </c>
      <c r="F658" s="142" t="s">
        <v>90</v>
      </c>
      <c r="G658" s="142"/>
      <c r="H658" s="235"/>
      <c r="I658" s="235"/>
      <c r="J658" s="235">
        <v>117.47</v>
      </c>
      <c r="K658" s="143">
        <v>15.27</v>
      </c>
      <c r="L658" s="235">
        <f t="shared" si="39"/>
        <v>132.74</v>
      </c>
      <c r="M658" s="245">
        <v>51000200002</v>
      </c>
      <c r="N658" s="236"/>
      <c r="R658" s="338"/>
    </row>
    <row r="659" spans="2:18" x14ac:dyDescent="0.2">
      <c r="B659" s="141">
        <v>43524</v>
      </c>
      <c r="C659" s="138" t="s">
        <v>760</v>
      </c>
      <c r="D659" s="138" t="s">
        <v>459</v>
      </c>
      <c r="E659" s="142" t="str">
        <f>+VLOOKUP(F659,[8]bd!A:B,2,0)</f>
        <v>BANCO CUSCATLAN DE EL SALVADOR S.A.</v>
      </c>
      <c r="F659" s="142" t="s">
        <v>90</v>
      </c>
      <c r="G659" s="142"/>
      <c r="H659" s="235"/>
      <c r="I659" s="235"/>
      <c r="J659" s="235">
        <v>117.47</v>
      </c>
      <c r="K659" s="143">
        <v>15.27</v>
      </c>
      <c r="L659" s="235">
        <f t="shared" si="39"/>
        <v>132.74</v>
      </c>
      <c r="M659" s="245">
        <v>51000200001</v>
      </c>
      <c r="N659" s="236"/>
    </row>
    <row r="661" spans="2:18" x14ac:dyDescent="0.2">
      <c r="B661" s="141"/>
      <c r="C661" s="138"/>
      <c r="D661" s="138"/>
      <c r="E661" s="142"/>
      <c r="F661" s="142"/>
      <c r="G661" s="142"/>
      <c r="H661" s="235"/>
      <c r="I661" s="235"/>
      <c r="J661" s="235"/>
      <c r="K661" s="143"/>
      <c r="L661" s="235"/>
      <c r="M661" s="236"/>
      <c r="N661" s="236"/>
    </row>
    <row r="662" spans="2:18" x14ac:dyDescent="0.2">
      <c r="B662" s="141"/>
      <c r="C662" s="138"/>
      <c r="D662" s="138"/>
      <c r="E662" s="142"/>
      <c r="F662" s="142"/>
      <c r="G662" s="142"/>
      <c r="H662" s="235"/>
      <c r="I662" s="235"/>
      <c r="J662" s="235"/>
      <c r="K662" s="143"/>
      <c r="L662" s="235"/>
      <c r="M662" s="236"/>
      <c r="N662" s="236"/>
    </row>
    <row r="663" spans="2:18" x14ac:dyDescent="0.2">
      <c r="B663" s="141"/>
      <c r="C663" s="138"/>
      <c r="D663" s="138"/>
      <c r="E663" s="142" t="s">
        <v>537</v>
      </c>
      <c r="F663" s="114"/>
      <c r="G663" s="157"/>
      <c r="H663" s="157"/>
      <c r="I663" s="157"/>
      <c r="J663" s="243"/>
      <c r="K663" s="235">
        <v>-590.65</v>
      </c>
      <c r="L663" s="236">
        <v>-590.65</v>
      </c>
      <c r="M663" s="236">
        <v>0</v>
      </c>
      <c r="N663" s="96">
        <v>-590.65</v>
      </c>
    </row>
    <row r="664" spans="2:18" x14ac:dyDescent="0.2">
      <c r="B664" s="141"/>
      <c r="C664" s="138"/>
      <c r="D664" s="138"/>
      <c r="E664" s="142"/>
      <c r="F664" s="114"/>
      <c r="G664" s="157"/>
      <c r="H664" s="157"/>
      <c r="I664" s="157"/>
      <c r="J664" s="143"/>
      <c r="K664" s="235"/>
      <c r="L664" s="236">
        <v>0</v>
      </c>
      <c r="M664" s="236">
        <v>0</v>
      </c>
      <c r="N664" s="96">
        <v>0</v>
      </c>
    </row>
    <row r="665" spans="2:18" x14ac:dyDescent="0.2">
      <c r="B665" s="141"/>
      <c r="C665" s="138"/>
      <c r="D665" s="138"/>
      <c r="E665" s="142"/>
      <c r="F665" s="114"/>
      <c r="G665" s="157"/>
      <c r="H665" s="157"/>
      <c r="I665" s="157"/>
      <c r="J665" s="157"/>
      <c r="K665" s="143"/>
      <c r="L665" s="235"/>
      <c r="M665" s="236"/>
      <c r="N665" s="236"/>
    </row>
    <row r="666" spans="2:18" x14ac:dyDescent="0.2">
      <c r="B666" s="141"/>
      <c r="C666" s="138"/>
      <c r="D666" s="138"/>
      <c r="E666" s="142"/>
      <c r="F666" s="114"/>
      <c r="G666" s="157"/>
      <c r="H666" s="157"/>
      <c r="I666" s="157"/>
      <c r="J666" s="157"/>
      <c r="K666" s="143"/>
      <c r="L666" s="235"/>
      <c r="M666" s="236"/>
      <c r="N666" s="236"/>
    </row>
    <row r="667" spans="2:18" x14ac:dyDescent="0.2">
      <c r="B667" s="114"/>
      <c r="C667" s="115"/>
      <c r="D667" s="115"/>
      <c r="E667" s="142"/>
      <c r="F667" s="114"/>
      <c r="G667" s="157"/>
      <c r="H667" s="157"/>
      <c r="I667" s="157"/>
      <c r="J667" s="157"/>
      <c r="K667" s="157"/>
      <c r="L667" s="157"/>
      <c r="M667" s="237"/>
      <c r="N667" s="237"/>
    </row>
    <row r="668" spans="2:18" x14ac:dyDescent="0.2">
      <c r="B668" s="163"/>
      <c r="C668" s="164"/>
      <c r="D668" s="164"/>
      <c r="E668" s="142"/>
      <c r="F668" s="163"/>
      <c r="G668" s="165"/>
      <c r="H668" s="165"/>
      <c r="I668" s="165"/>
      <c r="J668" s="165"/>
      <c r="K668" s="165"/>
      <c r="L668" s="165"/>
      <c r="M668" s="232"/>
      <c r="N668" s="232"/>
    </row>
    <row r="669" spans="2:18" x14ac:dyDescent="0.2">
      <c r="B669" s="114"/>
      <c r="C669" s="115"/>
      <c r="D669" s="115"/>
      <c r="E669" s="114"/>
      <c r="F669" s="114"/>
      <c r="G669" s="166">
        <f>SUM(G630:G668)</f>
        <v>0</v>
      </c>
      <c r="H669" s="166">
        <f>SUM(H630:H668)</f>
        <v>0</v>
      </c>
      <c r="I669" s="166">
        <f>SUM(I630:I668)</f>
        <v>0</v>
      </c>
      <c r="J669" s="166">
        <f>SUM(J635:J668)</f>
        <v>4983.1900000000014</v>
      </c>
      <c r="K669" s="166">
        <f>SUM(K635:K668)</f>
        <v>57.170000000000073</v>
      </c>
      <c r="L669" s="166">
        <f>SUM(L635:L668)</f>
        <v>5040.3599999999988</v>
      </c>
      <c r="M669" s="232"/>
      <c r="N669" s="232"/>
    </row>
    <row r="670" spans="2:18" x14ac:dyDescent="0.2">
      <c r="B670" s="114"/>
      <c r="C670" s="115"/>
      <c r="D670" s="115"/>
      <c r="E670" s="114"/>
      <c r="F670" s="114"/>
      <c r="G670" s="208"/>
      <c r="H670" s="208"/>
      <c r="I670" s="208"/>
      <c r="J670" s="208"/>
      <c r="K670" s="208"/>
      <c r="L670" s="208"/>
      <c r="M670" s="232"/>
      <c r="N670" s="232"/>
    </row>
    <row r="671" spans="2:18" x14ac:dyDescent="0.2">
      <c r="B671" s="114"/>
      <c r="C671" s="115"/>
      <c r="D671" s="115"/>
      <c r="E671" s="114"/>
      <c r="F671" s="114"/>
      <c r="G671" s="208"/>
      <c r="H671" s="208"/>
      <c r="I671" s="208"/>
      <c r="J671" s="208"/>
      <c r="K671" s="208"/>
      <c r="L671" s="208"/>
      <c r="M671" s="232"/>
      <c r="N671" s="232"/>
    </row>
    <row r="672" spans="2:18" x14ac:dyDescent="0.2">
      <c r="B672" s="114"/>
      <c r="C672" s="115"/>
      <c r="D672" s="115"/>
      <c r="E672" s="114"/>
      <c r="F672" s="114"/>
      <c r="G672" s="208"/>
      <c r="H672" s="208"/>
      <c r="I672" s="208"/>
      <c r="J672" s="208"/>
      <c r="K672" s="208"/>
      <c r="L672" s="208"/>
      <c r="M672" s="232"/>
      <c r="N672" s="232"/>
    </row>
    <row r="673" spans="1:28" x14ac:dyDescent="0.2">
      <c r="B673" s="114"/>
      <c r="C673" s="115"/>
      <c r="D673" s="115"/>
      <c r="E673" s="114"/>
      <c r="F673" s="114"/>
      <c r="G673" s="208"/>
      <c r="H673" s="208"/>
      <c r="I673" s="208"/>
      <c r="J673" s="208"/>
      <c r="K673" s="208"/>
      <c r="L673" s="208"/>
      <c r="M673" s="232"/>
      <c r="N673" s="232"/>
    </row>
    <row r="674" spans="1:28" ht="3.75" customHeight="1" x14ac:dyDescent="0.2">
      <c r="A674" s="247"/>
      <c r="B674" s="247"/>
      <c r="C674" s="248"/>
      <c r="D674" s="248"/>
      <c r="E674" s="247"/>
      <c r="F674" s="247"/>
      <c r="G674" s="247"/>
      <c r="H674" s="247"/>
      <c r="I674" s="247"/>
      <c r="J674" s="247"/>
      <c r="K674" s="247"/>
      <c r="L674" s="247"/>
      <c r="M674" s="249"/>
      <c r="N674" s="249"/>
      <c r="O674" s="249"/>
      <c r="P674" s="249"/>
      <c r="Q674" s="250"/>
      <c r="R674" s="250"/>
      <c r="S674" s="250"/>
      <c r="T674" s="250"/>
      <c r="U674" s="250"/>
      <c r="V674" s="250"/>
      <c r="W674" s="250"/>
      <c r="X674" s="250"/>
      <c r="Y674" s="250"/>
      <c r="Z674" s="250"/>
      <c r="AA674" s="250"/>
      <c r="AB674" s="250"/>
    </row>
    <row r="675" spans="1:28" x14ac:dyDescent="0.2">
      <c r="B675" s="114"/>
      <c r="C675" s="115"/>
      <c r="D675" s="115"/>
      <c r="E675" s="114"/>
      <c r="F675" s="114"/>
      <c r="G675" s="114"/>
      <c r="H675" s="114"/>
      <c r="I675" s="114"/>
      <c r="J675" s="114"/>
      <c r="K675" s="114"/>
      <c r="L675" s="114"/>
      <c r="M675" s="232"/>
      <c r="N675" s="232"/>
    </row>
    <row r="676" spans="1:28" x14ac:dyDescent="0.2">
      <c r="B676" s="114"/>
      <c r="C676" s="117"/>
      <c r="D676" s="115"/>
      <c r="E676" s="115"/>
      <c r="F676" s="114"/>
      <c r="G676" s="114"/>
      <c r="H676" s="114"/>
      <c r="I676" s="117"/>
      <c r="J676" s="114"/>
      <c r="K676" s="114"/>
      <c r="L676" s="114"/>
      <c r="M676" s="232"/>
      <c r="N676" s="232"/>
    </row>
    <row r="677" spans="1:28" ht="16.5" x14ac:dyDescent="0.25">
      <c r="B677" s="114"/>
      <c r="C677" s="117"/>
      <c r="D677" s="115"/>
      <c r="E677" s="116" t="s">
        <v>804</v>
      </c>
      <c r="F677" s="114"/>
      <c r="G677" s="114"/>
      <c r="H677" s="114"/>
      <c r="I677" s="117"/>
      <c r="J677" s="114"/>
      <c r="K677" s="114"/>
      <c r="L677" s="114"/>
      <c r="M677" s="232"/>
      <c r="N677" s="232"/>
    </row>
    <row r="678" spans="1:28" x14ac:dyDescent="0.2">
      <c r="B678" s="114"/>
      <c r="C678" s="114"/>
      <c r="D678" s="115"/>
      <c r="E678" s="115"/>
      <c r="F678" s="114"/>
      <c r="G678" s="214"/>
      <c r="H678" s="114"/>
      <c r="I678" s="114"/>
      <c r="J678" s="114"/>
      <c r="K678" s="114"/>
      <c r="L678" s="214"/>
      <c r="M678" s="232"/>
      <c r="N678" s="232"/>
    </row>
    <row r="679" spans="1:28" x14ac:dyDescent="0.2">
      <c r="B679" s="125"/>
      <c r="C679" s="126" t="s">
        <v>255</v>
      </c>
      <c r="D679" s="127" t="s">
        <v>43</v>
      </c>
      <c r="E679" s="127"/>
      <c r="F679" s="127" t="s">
        <v>135</v>
      </c>
      <c r="G679" s="127"/>
      <c r="H679" s="128" t="s">
        <v>136</v>
      </c>
      <c r="I679" s="129"/>
      <c r="J679" s="129"/>
      <c r="K679" s="129"/>
      <c r="L679" s="146"/>
      <c r="M679" s="232"/>
      <c r="N679" s="232"/>
      <c r="O679" s="170" t="s">
        <v>480</v>
      </c>
      <c r="P679" s="170"/>
      <c r="Q679" s="170"/>
      <c r="R679" s="170"/>
      <c r="U679" s="106" t="s">
        <v>465</v>
      </c>
      <c r="Y679" s="97" t="s">
        <v>479</v>
      </c>
      <c r="Z679" s="97" t="s">
        <v>340</v>
      </c>
    </row>
    <row r="680" spans="1:28" x14ac:dyDescent="0.2">
      <c r="B680" s="130" t="s">
        <v>137</v>
      </c>
      <c r="C680" s="131" t="s">
        <v>138</v>
      </c>
      <c r="D680" s="131" t="s">
        <v>258</v>
      </c>
      <c r="E680" s="131" t="s">
        <v>139</v>
      </c>
      <c r="F680" s="131" t="s">
        <v>259</v>
      </c>
      <c r="G680" s="131" t="s">
        <v>140</v>
      </c>
      <c r="H680" s="132" t="s">
        <v>94</v>
      </c>
      <c r="I680" s="129"/>
      <c r="J680" s="132" t="s">
        <v>141</v>
      </c>
      <c r="K680" s="129"/>
      <c r="L680" s="147" t="s">
        <v>325</v>
      </c>
      <c r="M680" s="232"/>
      <c r="N680" s="232"/>
      <c r="O680" s="152" t="s">
        <v>149</v>
      </c>
      <c r="P680" s="78">
        <v>51000000001</v>
      </c>
      <c r="Q680" s="142" t="s">
        <v>460</v>
      </c>
      <c r="R680" s="235">
        <f>SUMIFS($J$683:$J$717,$E$683:$E$717,Q680,$M$683:$M$717,P680)</f>
        <v>0</v>
      </c>
      <c r="T680" s="97">
        <v>51000200001</v>
      </c>
      <c r="U680" s="97" t="s">
        <v>382</v>
      </c>
      <c r="X680" s="109">
        <v>-2004.4700000000003</v>
      </c>
      <c r="Y680" s="109">
        <f>R683</f>
        <v>0</v>
      </c>
      <c r="Z680" s="144">
        <v>0</v>
      </c>
    </row>
    <row r="681" spans="1:28" x14ac:dyDescent="0.2">
      <c r="B681" s="133"/>
      <c r="C681" s="134"/>
      <c r="D681" s="134"/>
      <c r="E681" s="133"/>
      <c r="F681" s="133"/>
      <c r="G681" s="133"/>
      <c r="H681" s="135" t="s">
        <v>326</v>
      </c>
      <c r="I681" s="136" t="s">
        <v>327</v>
      </c>
      <c r="J681" s="148" t="s">
        <v>328</v>
      </c>
      <c r="K681" s="148" t="s">
        <v>89</v>
      </c>
      <c r="L681" s="149" t="s">
        <v>94</v>
      </c>
      <c r="M681" s="232"/>
      <c r="N681" s="232"/>
      <c r="O681" s="152" t="s">
        <v>149</v>
      </c>
      <c r="P681" s="78">
        <v>51000000002</v>
      </c>
      <c r="Q681" s="142" t="s">
        <v>460</v>
      </c>
      <c r="R681" s="235">
        <f t="shared" ref="R681:R699" si="41">SUMIFS($J$683:$J$717,$E$683:$E$717,Q681,$M$683:$M$717,P681)</f>
        <v>0</v>
      </c>
      <c r="T681" s="97">
        <v>51000200002</v>
      </c>
      <c r="U681" s="97" t="s">
        <v>383</v>
      </c>
      <c r="X681" s="109">
        <v>-2004.4700000000003</v>
      </c>
      <c r="Y681" s="109">
        <f>R685</f>
        <v>0</v>
      </c>
      <c r="Z681" s="144">
        <v>0</v>
      </c>
    </row>
    <row r="682" spans="1:28" x14ac:dyDescent="0.2">
      <c r="B682" s="137"/>
      <c r="C682" s="138"/>
      <c r="D682" s="138"/>
      <c r="E682" s="139"/>
      <c r="F682" s="140"/>
      <c r="G682" s="234"/>
      <c r="H682" s="235"/>
      <c r="I682" s="235"/>
      <c r="J682" s="235"/>
      <c r="K682" s="235"/>
      <c r="L682" s="235"/>
      <c r="M682" s="232"/>
      <c r="N682" s="232"/>
      <c r="O682" s="152" t="s">
        <v>149</v>
      </c>
      <c r="P682" s="78">
        <v>51000100001</v>
      </c>
      <c r="Q682" s="142" t="s">
        <v>460</v>
      </c>
      <c r="R682" s="235">
        <f t="shared" si="41"/>
        <v>0</v>
      </c>
      <c r="T682" s="97">
        <v>51000100001</v>
      </c>
      <c r="U682" s="109" t="s">
        <v>12</v>
      </c>
      <c r="X682" s="109">
        <v>-1315.42</v>
      </c>
    </row>
    <row r="683" spans="1:28" x14ac:dyDescent="0.2">
      <c r="B683" s="340" t="s">
        <v>764</v>
      </c>
      <c r="C683" s="138" t="s">
        <v>51</v>
      </c>
      <c r="D683" s="138" t="s">
        <v>459</v>
      </c>
      <c r="E683" s="142" t="str">
        <f>+VLOOKUP(F683,[9]bd!A:B,2,0)</f>
        <v>BANCO CUSCATLAN DE EL SALVADOR S.A.</v>
      </c>
      <c r="F683" s="142" t="s">
        <v>90</v>
      </c>
      <c r="G683" s="234"/>
      <c r="H683" s="235"/>
      <c r="I683" s="235"/>
      <c r="J683" s="235">
        <v>106.33</v>
      </c>
      <c r="K683" s="143">
        <v>13.82</v>
      </c>
      <c r="L683" s="235">
        <f t="shared" ref="L683:L717" si="42">+J683+K683</f>
        <v>120.15</v>
      </c>
      <c r="M683" s="245">
        <v>51000200002</v>
      </c>
      <c r="N683" s="232"/>
      <c r="O683" s="152" t="s">
        <v>149</v>
      </c>
      <c r="P683" s="78">
        <v>51000100001</v>
      </c>
      <c r="Q683" s="142" t="s">
        <v>496</v>
      </c>
      <c r="R683" s="235">
        <f t="shared" si="41"/>
        <v>0</v>
      </c>
      <c r="T683" s="97">
        <v>51000100002</v>
      </c>
      <c r="U683" s="109" t="s">
        <v>380</v>
      </c>
      <c r="X683" s="109">
        <v>-822.13</v>
      </c>
    </row>
    <row r="684" spans="1:28" x14ac:dyDescent="0.2">
      <c r="B684" s="340" t="s">
        <v>764</v>
      </c>
      <c r="C684" s="138" t="s">
        <v>767</v>
      </c>
      <c r="D684" s="138" t="s">
        <v>459</v>
      </c>
      <c r="E684" s="142" t="str">
        <f>+VLOOKUP(F684,[9]bd!A:B,2,0)</f>
        <v>BANCO CUSCATLAN DE EL SALVADOR S.A.</v>
      </c>
      <c r="F684" s="142" t="s">
        <v>90</v>
      </c>
      <c r="G684" s="142"/>
      <c r="H684" s="235"/>
      <c r="I684" s="235"/>
      <c r="J684" s="235">
        <v>106.33</v>
      </c>
      <c r="K684" s="143">
        <v>13.82</v>
      </c>
      <c r="L684" s="235">
        <f t="shared" si="42"/>
        <v>120.15</v>
      </c>
      <c r="M684" s="245">
        <v>51000200001</v>
      </c>
      <c r="N684" s="232"/>
      <c r="O684" s="152" t="s">
        <v>149</v>
      </c>
      <c r="P684" s="78">
        <v>51000100002</v>
      </c>
      <c r="Q684" s="142" t="s">
        <v>460</v>
      </c>
      <c r="R684" s="235">
        <f t="shared" si="41"/>
        <v>0</v>
      </c>
      <c r="T684" s="97">
        <v>51220200001</v>
      </c>
      <c r="U684" s="97" t="s">
        <v>55</v>
      </c>
      <c r="X684" s="109">
        <v>-2550.8100000000004</v>
      </c>
      <c r="Y684" s="109">
        <f>R692+R699</f>
        <v>2461.02</v>
      </c>
      <c r="Z684" s="144">
        <f>X684+Y684</f>
        <v>-89.790000000000418</v>
      </c>
    </row>
    <row r="685" spans="1:28" x14ac:dyDescent="0.2">
      <c r="B685" s="340" t="s">
        <v>768</v>
      </c>
      <c r="C685" s="138" t="s">
        <v>769</v>
      </c>
      <c r="D685" s="138" t="s">
        <v>459</v>
      </c>
      <c r="E685" s="142" t="str">
        <f>+VLOOKUP(F685,[9]bd!A:B,2,0)</f>
        <v>BANCO CUSCATLAN DE EL SALVADOR S.A.</v>
      </c>
      <c r="F685" s="142" t="s">
        <v>90</v>
      </c>
      <c r="G685" s="234"/>
      <c r="H685" s="235"/>
      <c r="I685" s="235"/>
      <c r="J685" s="235">
        <v>186.34</v>
      </c>
      <c r="K685" s="143">
        <v>24.22</v>
      </c>
      <c r="L685" s="235">
        <f t="shared" si="42"/>
        <v>210.56</v>
      </c>
      <c r="M685" s="245">
        <v>51000200002</v>
      </c>
      <c r="N685" s="232"/>
      <c r="O685" s="152" t="s">
        <v>149</v>
      </c>
      <c r="P685" s="78">
        <v>51000100002</v>
      </c>
      <c r="Q685" s="142" t="s">
        <v>496</v>
      </c>
      <c r="R685" s="235">
        <f t="shared" si="41"/>
        <v>0</v>
      </c>
      <c r="T685" s="322">
        <v>52200000001</v>
      </c>
      <c r="U685" s="322" t="s">
        <v>33</v>
      </c>
      <c r="V685" s="322"/>
      <c r="W685" s="322"/>
      <c r="X685" s="323"/>
      <c r="Y685" s="109">
        <v>0</v>
      </c>
      <c r="Z685" s="144">
        <v>0</v>
      </c>
    </row>
    <row r="686" spans="1:28" x14ac:dyDescent="0.2">
      <c r="B686" s="340" t="s">
        <v>768</v>
      </c>
      <c r="C686" s="138" t="s">
        <v>770</v>
      </c>
      <c r="D686" s="138" t="s">
        <v>459</v>
      </c>
      <c r="E686" s="142" t="str">
        <f>+VLOOKUP(F686,[9]bd!A:B,2,0)</f>
        <v>BANCO CUSCATLAN DE EL SALVADOR S.A.</v>
      </c>
      <c r="F686" s="142" t="s">
        <v>90</v>
      </c>
      <c r="G686" s="234"/>
      <c r="H686" s="235"/>
      <c r="I686" s="235"/>
      <c r="J686" s="235">
        <v>186.34</v>
      </c>
      <c r="K686" s="143">
        <v>24.22</v>
      </c>
      <c r="L686" s="235">
        <f t="shared" si="42"/>
        <v>210.56</v>
      </c>
      <c r="M686" s="245">
        <v>51000200001</v>
      </c>
      <c r="N686" s="232"/>
      <c r="O686" s="152" t="s">
        <v>149</v>
      </c>
      <c r="P686" s="227">
        <v>51000200001</v>
      </c>
      <c r="Q686" s="217" t="s">
        <v>460</v>
      </c>
      <c r="R686" s="235">
        <f t="shared" si="41"/>
        <v>20754.470000000005</v>
      </c>
      <c r="T686" s="97">
        <v>51000000001</v>
      </c>
      <c r="U686" s="97" t="s">
        <v>132</v>
      </c>
      <c r="X686" s="109">
        <v>-18750</v>
      </c>
    </row>
    <row r="687" spans="1:28" x14ac:dyDescent="0.2">
      <c r="B687" s="340" t="s">
        <v>765</v>
      </c>
      <c r="C687" s="138" t="s">
        <v>771</v>
      </c>
      <c r="D687" s="138" t="s">
        <v>459</v>
      </c>
      <c r="E687" s="142" t="str">
        <f>+VLOOKUP(F687,[9]bd!A:B,2,0)</f>
        <v>BANCO CUSCATLAN DE EL SALVADOR S.A.</v>
      </c>
      <c r="F687" s="142" t="s">
        <v>90</v>
      </c>
      <c r="G687" s="142"/>
      <c r="H687" s="235"/>
      <c r="I687" s="235"/>
      <c r="J687" s="235">
        <v>148.38999999999999</v>
      </c>
      <c r="K687" s="143">
        <v>19.29</v>
      </c>
      <c r="L687" s="235">
        <f t="shared" si="42"/>
        <v>167.67999999999998</v>
      </c>
      <c r="M687" s="245">
        <v>51000200002</v>
      </c>
      <c r="N687" s="232"/>
      <c r="O687" s="152" t="s">
        <v>149</v>
      </c>
      <c r="P687" s="78">
        <v>51000200001</v>
      </c>
      <c r="Q687" s="142" t="s">
        <v>351</v>
      </c>
      <c r="R687" s="235">
        <f t="shared" si="41"/>
        <v>0</v>
      </c>
      <c r="T687" s="97">
        <v>51000000002</v>
      </c>
      <c r="U687" s="97" t="s">
        <v>10</v>
      </c>
      <c r="X687" s="109">
        <v>-18750</v>
      </c>
    </row>
    <row r="688" spans="1:28" x14ac:dyDescent="0.2">
      <c r="B688" s="340" t="s">
        <v>765</v>
      </c>
      <c r="C688" s="138" t="s">
        <v>772</v>
      </c>
      <c r="D688" s="138" t="s">
        <v>459</v>
      </c>
      <c r="E688" s="142" t="str">
        <f>+VLOOKUP(F688,[9]bd!A:B,2,0)</f>
        <v>BANCO CUSCATLAN DE EL SALVADOR S.A.</v>
      </c>
      <c r="F688" s="142" t="s">
        <v>90</v>
      </c>
      <c r="G688" s="142"/>
      <c r="H688" s="235"/>
      <c r="I688" s="235"/>
      <c r="J688" s="235">
        <v>148.38999999999999</v>
      </c>
      <c r="K688" s="143">
        <v>19.29</v>
      </c>
      <c r="L688" s="235">
        <f t="shared" si="42"/>
        <v>167.67999999999998</v>
      </c>
      <c r="M688" s="245">
        <v>51000200001</v>
      </c>
      <c r="N688" s="232"/>
      <c r="O688" s="152" t="s">
        <v>149</v>
      </c>
      <c r="P688" s="78">
        <v>51000200001</v>
      </c>
      <c r="Q688" s="142" t="s">
        <v>56</v>
      </c>
      <c r="R688" s="235">
        <f t="shared" si="41"/>
        <v>0</v>
      </c>
      <c r="X688" s="198">
        <v>0</v>
      </c>
      <c r="Y688" s="109">
        <v>0</v>
      </c>
      <c r="Z688" s="144">
        <v>0</v>
      </c>
    </row>
    <row r="689" spans="2:26" x14ac:dyDescent="0.2">
      <c r="B689" s="340" t="s">
        <v>773</v>
      </c>
      <c r="C689" s="138" t="s">
        <v>774</v>
      </c>
      <c r="D689" s="138" t="s">
        <v>459</v>
      </c>
      <c r="E689" s="142" t="str">
        <f>+VLOOKUP(F689,[9]bd!A:B,2,0)</f>
        <v>BANCO CUSCATLAN DE EL SALVADOR S.A.</v>
      </c>
      <c r="F689" s="142" t="s">
        <v>90</v>
      </c>
      <c r="G689" s="142"/>
      <c r="H689" s="235"/>
      <c r="I689" s="235"/>
      <c r="J689" s="235">
        <v>166.27</v>
      </c>
      <c r="K689" s="143">
        <v>21.62</v>
      </c>
      <c r="L689" s="235">
        <f t="shared" si="42"/>
        <v>187.89000000000001</v>
      </c>
      <c r="M689" s="245">
        <v>51000200002</v>
      </c>
      <c r="O689" s="152" t="s">
        <v>149</v>
      </c>
      <c r="P689" s="227">
        <v>51000200002</v>
      </c>
      <c r="Q689" s="217" t="s">
        <v>460</v>
      </c>
      <c r="R689" s="235">
        <f t="shared" si="41"/>
        <v>20754.470000000005</v>
      </c>
      <c r="X689" s="171">
        <v>0</v>
      </c>
      <c r="Y689" s="171">
        <f>R695+R702</f>
        <v>0</v>
      </c>
      <c r="Z689" s="167">
        <v>0</v>
      </c>
    </row>
    <row r="690" spans="2:26" x14ac:dyDescent="0.2">
      <c r="B690" s="340" t="s">
        <v>773</v>
      </c>
      <c r="C690" s="138" t="s">
        <v>775</v>
      </c>
      <c r="D690" s="138" t="s">
        <v>459</v>
      </c>
      <c r="E690" s="142" t="str">
        <f>+VLOOKUP(F690,[9]bd!A:B,2,0)</f>
        <v>BANCO CUSCATLAN DE EL SALVADOR S.A.</v>
      </c>
      <c r="F690" s="142" t="s">
        <v>90</v>
      </c>
      <c r="G690" s="142"/>
      <c r="H690" s="235"/>
      <c r="I690" s="235"/>
      <c r="J690" s="235">
        <v>166.27</v>
      </c>
      <c r="K690" s="143">
        <v>21.62</v>
      </c>
      <c r="L690" s="235">
        <f t="shared" si="42"/>
        <v>187.89000000000001</v>
      </c>
      <c r="M690" s="245">
        <v>51000200001</v>
      </c>
      <c r="O690" s="152" t="s">
        <v>149</v>
      </c>
      <c r="P690" s="78">
        <v>51000200002</v>
      </c>
      <c r="Q690" s="142" t="s">
        <v>351</v>
      </c>
      <c r="R690" s="235">
        <f t="shared" si="41"/>
        <v>0</v>
      </c>
      <c r="X690" s="158">
        <f>SUM(X680:X687)</f>
        <v>-46197.3</v>
      </c>
      <c r="Y690" s="158">
        <f>SUM(Y680:Y689)</f>
        <v>2461.02</v>
      </c>
      <c r="Z690" s="158">
        <f>SUM(Z680:Z689)</f>
        <v>-89.790000000000418</v>
      </c>
    </row>
    <row r="691" spans="2:26" x14ac:dyDescent="0.2">
      <c r="B691" s="141">
        <v>43531</v>
      </c>
      <c r="C691" s="138" t="s">
        <v>776</v>
      </c>
      <c r="D691" s="138" t="s">
        <v>459</v>
      </c>
      <c r="E691" s="142" t="str">
        <f>+VLOOKUP(F691,[9]bd!A:B,2,0)</f>
        <v>BANCO CUSCATLAN DE EL SALVADOR S.A.</v>
      </c>
      <c r="F691" s="142" t="s">
        <v>90</v>
      </c>
      <c r="G691" s="142"/>
      <c r="H691" s="235"/>
      <c r="I691" s="235"/>
      <c r="J691" s="235">
        <v>190.88</v>
      </c>
      <c r="K691" s="143">
        <v>24.81</v>
      </c>
      <c r="L691" s="235">
        <f t="shared" si="42"/>
        <v>215.69</v>
      </c>
      <c r="M691" s="245">
        <v>51000200002</v>
      </c>
      <c r="O691" s="152" t="s">
        <v>149</v>
      </c>
      <c r="P691" s="78">
        <v>51000200002</v>
      </c>
      <c r="Q691" s="142" t="s">
        <v>56</v>
      </c>
      <c r="R691" s="235">
        <f t="shared" si="41"/>
        <v>0</v>
      </c>
      <c r="U691" s="109"/>
      <c r="Z691" s="144"/>
    </row>
    <row r="692" spans="2:26" x14ac:dyDescent="0.2">
      <c r="B692" s="141">
        <v>43531</v>
      </c>
      <c r="C692" s="138" t="s">
        <v>777</v>
      </c>
      <c r="D692" s="138" t="s">
        <v>459</v>
      </c>
      <c r="E692" s="142" t="str">
        <f>+VLOOKUP(F692,[9]bd!A:B,2,0)</f>
        <v>BANCO CUSCATLAN DE EL SALVADOR S.A.</v>
      </c>
      <c r="F692" s="142" t="s">
        <v>90</v>
      </c>
      <c r="G692" s="142"/>
      <c r="H692" s="235"/>
      <c r="I692" s="235"/>
      <c r="J692" s="235">
        <v>190.88</v>
      </c>
      <c r="K692" s="143">
        <v>24.81</v>
      </c>
      <c r="L692" s="235">
        <f t="shared" si="42"/>
        <v>215.69</v>
      </c>
      <c r="M692" s="245">
        <v>51000200001</v>
      </c>
      <c r="O692" s="152" t="s">
        <v>149</v>
      </c>
      <c r="P692" s="227">
        <v>51220200001</v>
      </c>
      <c r="Q692" s="217" t="s">
        <v>460</v>
      </c>
      <c r="R692" s="235">
        <f t="shared" si="41"/>
        <v>2115</v>
      </c>
      <c r="U692" s="109"/>
    </row>
    <row r="693" spans="2:26" x14ac:dyDescent="0.2">
      <c r="B693" s="141">
        <v>43536</v>
      </c>
      <c r="C693" s="138" t="s">
        <v>778</v>
      </c>
      <c r="D693" s="138" t="s">
        <v>459</v>
      </c>
      <c r="E693" s="217" t="str">
        <f>+VLOOKUP(F693,[9]bd!A:B,2,0)</f>
        <v>CITIBANK, N.A. SUCURSAL EL SALVADOR</v>
      </c>
      <c r="F693" s="217" t="s">
        <v>329</v>
      </c>
      <c r="G693" s="217"/>
      <c r="H693" s="219"/>
      <c r="I693" s="219"/>
      <c r="J693" s="219">
        <v>1315.42</v>
      </c>
      <c r="K693" s="246">
        <v>171</v>
      </c>
      <c r="L693" s="219">
        <f t="shared" si="42"/>
        <v>1486.42</v>
      </c>
      <c r="M693" s="336"/>
      <c r="O693" s="152" t="s">
        <v>149</v>
      </c>
      <c r="P693" s="78">
        <v>51220200001</v>
      </c>
      <c r="Q693" s="142" t="s">
        <v>351</v>
      </c>
      <c r="R693" s="235">
        <f t="shared" si="41"/>
        <v>0</v>
      </c>
    </row>
    <row r="694" spans="2:26" x14ac:dyDescent="0.2">
      <c r="B694" s="141">
        <v>43536</v>
      </c>
      <c r="C694" s="138" t="s">
        <v>779</v>
      </c>
      <c r="D694" s="138" t="s">
        <v>459</v>
      </c>
      <c r="E694" s="217" t="str">
        <f>+VLOOKUP(F694,[9]bd!A:B,2,0)</f>
        <v>CITIBANK, N.A. SUCURSAL EL SALVADOR</v>
      </c>
      <c r="F694" s="217" t="s">
        <v>329</v>
      </c>
      <c r="G694" s="217"/>
      <c r="H694" s="219"/>
      <c r="I694" s="219"/>
      <c r="J694" s="219">
        <v>822.13</v>
      </c>
      <c r="K694" s="246">
        <v>106.88</v>
      </c>
      <c r="L694" s="219">
        <f t="shared" si="42"/>
        <v>929.01</v>
      </c>
      <c r="M694" s="336"/>
      <c r="O694" s="152" t="s">
        <v>149</v>
      </c>
      <c r="P694" s="78">
        <v>51220200001</v>
      </c>
      <c r="Q694" s="142" t="s">
        <v>56</v>
      </c>
      <c r="R694" s="235">
        <f t="shared" si="41"/>
        <v>0</v>
      </c>
    </row>
    <row r="695" spans="2:26" x14ac:dyDescent="0.2">
      <c r="B695" s="141">
        <v>43537</v>
      </c>
      <c r="C695" s="138" t="s">
        <v>780</v>
      </c>
      <c r="D695" s="138" t="s">
        <v>459</v>
      </c>
      <c r="E695" s="142" t="str">
        <f>+VLOOKUP(F695,[9]bd!A:B,2,0)</f>
        <v>BANCO CUSCATLAN DE EL SALVADOR S.A.</v>
      </c>
      <c r="F695" s="142" t="s">
        <v>90</v>
      </c>
      <c r="G695" s="142"/>
      <c r="H695" s="235"/>
      <c r="I695" s="235"/>
      <c r="J695" s="235">
        <v>118.33</v>
      </c>
      <c r="K695" s="162">
        <v>15.38</v>
      </c>
      <c r="L695" s="235">
        <f t="shared" si="42"/>
        <v>133.71</v>
      </c>
      <c r="M695" s="245">
        <v>51000200002</v>
      </c>
      <c r="O695" s="152" t="s">
        <v>149</v>
      </c>
      <c r="P695" s="78">
        <v>52200000001</v>
      </c>
      <c r="Q695" s="142" t="s">
        <v>460</v>
      </c>
      <c r="R695" s="235">
        <f t="shared" si="41"/>
        <v>0</v>
      </c>
      <c r="W695" s="106" t="s">
        <v>478</v>
      </c>
      <c r="X695" s="144">
        <f>+X681+X684+X680+X688+X689+X682+X683+X686+X687</f>
        <v>-46197.3</v>
      </c>
    </row>
    <row r="696" spans="2:26" x14ac:dyDescent="0.2">
      <c r="B696" s="141">
        <v>43537</v>
      </c>
      <c r="C696" s="138" t="s">
        <v>781</v>
      </c>
      <c r="D696" s="138" t="s">
        <v>459</v>
      </c>
      <c r="E696" s="142" t="str">
        <f>+VLOOKUP(F696,[9]bd!A:B,2,0)</f>
        <v>BANCO CUSCATLAN DE EL SALVADOR S.A.</v>
      </c>
      <c r="F696" s="142" t="s">
        <v>90</v>
      </c>
      <c r="G696" s="142"/>
      <c r="H696" s="235"/>
      <c r="I696" s="235"/>
      <c r="J696" s="235">
        <v>118.33</v>
      </c>
      <c r="K696" s="162">
        <v>15.38</v>
      </c>
      <c r="L696" s="235">
        <f t="shared" si="42"/>
        <v>133.71</v>
      </c>
      <c r="M696" s="245">
        <v>51000200001</v>
      </c>
      <c r="O696" s="152" t="s">
        <v>149</v>
      </c>
      <c r="P696" s="78">
        <v>52200000001</v>
      </c>
      <c r="Q696" s="142" t="s">
        <v>351</v>
      </c>
      <c r="R696" s="235">
        <f t="shared" si="41"/>
        <v>0</v>
      </c>
      <c r="W696" s="97" t="s">
        <v>480</v>
      </c>
      <c r="X696" s="144">
        <f>+R700</f>
        <v>43969.960000000006</v>
      </c>
    </row>
    <row r="697" spans="2:26" x14ac:dyDescent="0.2">
      <c r="B697" s="141">
        <v>43538</v>
      </c>
      <c r="C697" s="138" t="s">
        <v>782</v>
      </c>
      <c r="D697" s="138" t="s">
        <v>459</v>
      </c>
      <c r="E697" s="142" t="str">
        <f>+VLOOKUP(F697,[9]bd!A:B,2,0)</f>
        <v>BANCO CUSCATLAN DE EL SALVADOR S.A.</v>
      </c>
      <c r="F697" s="142" t="s">
        <v>90</v>
      </c>
      <c r="G697" s="142"/>
      <c r="H697" s="235"/>
      <c r="I697" s="235"/>
      <c r="J697" s="235">
        <v>117.47</v>
      </c>
      <c r="K697" s="162">
        <v>15.27</v>
      </c>
      <c r="L697" s="235">
        <f t="shared" si="42"/>
        <v>132.74</v>
      </c>
      <c r="M697" s="245">
        <v>51000200002</v>
      </c>
      <c r="O697" s="152" t="s">
        <v>149</v>
      </c>
      <c r="P697" s="78">
        <v>52200000001</v>
      </c>
      <c r="Q697" s="142" t="s">
        <v>56</v>
      </c>
      <c r="R697" s="235">
        <f t="shared" si="41"/>
        <v>0</v>
      </c>
      <c r="W697" s="97" t="s">
        <v>486</v>
      </c>
      <c r="X697" s="167">
        <f>+J693+J694+J707</f>
        <v>2225.6400000000003</v>
      </c>
    </row>
    <row r="698" spans="2:26" x14ac:dyDescent="0.2">
      <c r="B698" s="141">
        <v>43538</v>
      </c>
      <c r="C698" s="138" t="s">
        <v>783</v>
      </c>
      <c r="D698" s="138" t="s">
        <v>459</v>
      </c>
      <c r="E698" s="142" t="str">
        <f>+VLOOKUP(F698,[9]bd!A:B,2,0)</f>
        <v>BANCO CUSCATLAN DE EL SALVADOR S.A.</v>
      </c>
      <c r="F698" s="111" t="s">
        <v>90</v>
      </c>
      <c r="G698" s="234"/>
      <c r="H698" s="235"/>
      <c r="I698" s="235"/>
      <c r="J698" s="235">
        <v>117.47</v>
      </c>
      <c r="K698" s="162">
        <v>15.27</v>
      </c>
      <c r="L698" s="235">
        <f t="shared" si="42"/>
        <v>132.74</v>
      </c>
      <c r="M698" s="245">
        <v>51000200001</v>
      </c>
      <c r="O698" s="152" t="s">
        <v>149</v>
      </c>
      <c r="P698" s="78">
        <v>52200000001</v>
      </c>
      <c r="Q698" s="142" t="s">
        <v>460</v>
      </c>
      <c r="R698" s="235">
        <f t="shared" si="41"/>
        <v>0</v>
      </c>
      <c r="X698" s="324">
        <f>X695+X696+X697</f>
        <v>-1.6999999999961801</v>
      </c>
      <c r="Y698" s="97" t="s">
        <v>500</v>
      </c>
    </row>
    <row r="699" spans="2:26" x14ac:dyDescent="0.2">
      <c r="B699" s="141">
        <v>43542</v>
      </c>
      <c r="C699" s="138" t="s">
        <v>784</v>
      </c>
      <c r="D699" s="138" t="s">
        <v>459</v>
      </c>
      <c r="E699" s="142" t="str">
        <f>+VLOOKUP(F699,[9]bd!A:B,2,0)</f>
        <v>BANCO CUSCATLAN DE EL SALVADOR S.A.</v>
      </c>
      <c r="F699" s="111" t="s">
        <v>90</v>
      </c>
      <c r="G699" s="234"/>
      <c r="H699" s="235"/>
      <c r="I699" s="235"/>
      <c r="J699" s="235">
        <v>102.73</v>
      </c>
      <c r="K699" s="162">
        <v>13.35</v>
      </c>
      <c r="L699" s="235">
        <f t="shared" si="42"/>
        <v>116.08</v>
      </c>
      <c r="M699" s="245">
        <v>51000200002</v>
      </c>
      <c r="O699" s="152" t="s">
        <v>149</v>
      </c>
      <c r="P699" s="227">
        <v>51220200001</v>
      </c>
      <c r="Q699" s="217" t="s">
        <v>496</v>
      </c>
      <c r="R699" s="235">
        <f t="shared" si="41"/>
        <v>346.02</v>
      </c>
    </row>
    <row r="700" spans="2:26" ht="13.5" thickBot="1" x14ac:dyDescent="0.25">
      <c r="B700" s="141">
        <v>43542</v>
      </c>
      <c r="C700" s="138" t="s">
        <v>785</v>
      </c>
      <c r="D700" s="138" t="s">
        <v>459</v>
      </c>
      <c r="E700" s="142" t="str">
        <f>+VLOOKUP(F700,[9]bd!A:B,2,0)</f>
        <v>BANCO CUSCATLAN DE EL SALVADOR S.A.</v>
      </c>
      <c r="F700" s="142" t="s">
        <v>90</v>
      </c>
      <c r="G700" s="234"/>
      <c r="H700" s="235"/>
      <c r="I700" s="235"/>
      <c r="J700" s="235">
        <v>102.73</v>
      </c>
      <c r="K700" s="143">
        <v>13.35</v>
      </c>
      <c r="L700" s="235">
        <f t="shared" si="42"/>
        <v>116.08</v>
      </c>
      <c r="M700" s="245">
        <v>51000200001</v>
      </c>
      <c r="O700" s="232"/>
      <c r="P700" s="232"/>
      <c r="R700" s="244">
        <f>SUM(R680:R699)</f>
        <v>43969.960000000006</v>
      </c>
    </row>
    <row r="701" spans="2:26" ht="13.5" thickTop="1" x14ac:dyDescent="0.2">
      <c r="B701" s="141">
        <v>43544</v>
      </c>
      <c r="C701" s="138" t="s">
        <v>786</v>
      </c>
      <c r="D701" s="138" t="s">
        <v>459</v>
      </c>
      <c r="E701" s="142" t="str">
        <f>+VLOOKUP(F701,[9]bd!A:B,2,0)</f>
        <v>BANCO CUSCATLAN DE EL SALVADOR S.A.</v>
      </c>
      <c r="F701" s="142" t="s">
        <v>90</v>
      </c>
      <c r="G701" s="234"/>
      <c r="H701" s="235"/>
      <c r="I701" s="235"/>
      <c r="J701" s="235">
        <v>47.95</v>
      </c>
      <c r="K701" s="143">
        <v>6.23</v>
      </c>
      <c r="L701" s="235">
        <f t="shared" si="42"/>
        <v>54.180000000000007</v>
      </c>
      <c r="M701" s="245">
        <v>51000200002</v>
      </c>
    </row>
    <row r="702" spans="2:26" x14ac:dyDescent="0.2">
      <c r="B702" s="141">
        <v>43544</v>
      </c>
      <c r="C702" s="138" t="s">
        <v>787</v>
      </c>
      <c r="D702" s="138" t="s">
        <v>459</v>
      </c>
      <c r="E702" s="142" t="str">
        <f>+VLOOKUP(F702,[9]bd!A:B,2,0)</f>
        <v>BANCO CUSCATLAN DE EL SALVADOR S.A.</v>
      </c>
      <c r="F702" s="142" t="s">
        <v>90</v>
      </c>
      <c r="G702" s="234"/>
      <c r="H702" s="235"/>
      <c r="I702" s="235"/>
      <c r="J702" s="235">
        <v>47.95</v>
      </c>
      <c r="K702" s="143">
        <v>6.23</v>
      </c>
      <c r="L702" s="235">
        <f t="shared" si="42"/>
        <v>54.180000000000007</v>
      </c>
      <c r="M702" s="245">
        <v>51000200001</v>
      </c>
    </row>
    <row r="703" spans="2:26" x14ac:dyDescent="0.2">
      <c r="B703" s="141">
        <v>43545</v>
      </c>
      <c r="C703" s="138" t="s">
        <v>788</v>
      </c>
      <c r="D703" s="138" t="s">
        <v>459</v>
      </c>
      <c r="E703" s="142" t="str">
        <f>+VLOOKUP(F703,[9]bd!A:B,2,0)</f>
        <v>BANCO CUSCATLAN DE EL SALVADOR S.A.</v>
      </c>
      <c r="F703" s="142" t="s">
        <v>90</v>
      </c>
      <c r="G703" s="234"/>
      <c r="H703" s="235"/>
      <c r="I703" s="235"/>
      <c r="J703" s="235">
        <v>196.22</v>
      </c>
      <c r="K703" s="143">
        <v>25.51</v>
      </c>
      <c r="L703" s="235">
        <f t="shared" si="42"/>
        <v>221.73</v>
      </c>
      <c r="M703" s="245">
        <v>51000200002</v>
      </c>
    </row>
    <row r="704" spans="2:26" x14ac:dyDescent="0.2">
      <c r="B704" s="141">
        <v>43545</v>
      </c>
      <c r="C704" s="138" t="s">
        <v>789</v>
      </c>
      <c r="D704" s="138" t="s">
        <v>459</v>
      </c>
      <c r="E704" s="142" t="str">
        <f>+VLOOKUP(F704,[9]bd!A:B,2,0)</f>
        <v>BANCO CUSCATLAN DE EL SALVADOR S.A.</v>
      </c>
      <c r="F704" s="142" t="s">
        <v>90</v>
      </c>
      <c r="G704" s="234"/>
      <c r="H704" s="235"/>
      <c r="I704" s="235"/>
      <c r="J704" s="235">
        <v>196.22</v>
      </c>
      <c r="K704" s="143">
        <v>25.51</v>
      </c>
      <c r="L704" s="235">
        <f t="shared" si="42"/>
        <v>221.73</v>
      </c>
      <c r="M704" s="245">
        <v>51000200001</v>
      </c>
    </row>
    <row r="705" spans="2:13" x14ac:dyDescent="0.2">
      <c r="B705" s="141">
        <v>43545</v>
      </c>
      <c r="C705" s="138" t="s">
        <v>790</v>
      </c>
      <c r="D705" s="138" t="s">
        <v>459</v>
      </c>
      <c r="E705" s="142" t="str">
        <f>+VLOOKUP(F705,[9]bd!A:B,2,0)</f>
        <v>BANCO CUSCATLAN DE EL SALVADOR S.A.</v>
      </c>
      <c r="F705" s="142" t="s">
        <v>90</v>
      </c>
      <c r="G705" s="234"/>
      <c r="H705" s="235"/>
      <c r="I705" s="235"/>
      <c r="J705" s="235">
        <v>2115</v>
      </c>
      <c r="K705" s="143">
        <v>274.95</v>
      </c>
      <c r="L705" s="235">
        <f t="shared" si="42"/>
        <v>2389.9499999999998</v>
      </c>
      <c r="M705" s="341">
        <v>51220200001</v>
      </c>
    </row>
    <row r="706" spans="2:13" x14ac:dyDescent="0.2">
      <c r="B706" s="141">
        <v>43545</v>
      </c>
      <c r="C706" s="138" t="s">
        <v>791</v>
      </c>
      <c r="D706" s="138" t="s">
        <v>459</v>
      </c>
      <c r="E706" s="142" t="str">
        <f>+VLOOKUP(F706,[9]bd!A:B,2,0)</f>
        <v>INVERSIONES FINANCIERAS IMPERIA CUSCATLAN, SA</v>
      </c>
      <c r="F706" s="142" t="s">
        <v>497</v>
      </c>
      <c r="G706" s="142"/>
      <c r="H706" s="235"/>
      <c r="I706" s="235"/>
      <c r="J706" s="235">
        <v>346.02</v>
      </c>
      <c r="K706" s="143">
        <v>44.98</v>
      </c>
      <c r="L706" s="235">
        <f t="shared" si="42"/>
        <v>391</v>
      </c>
      <c r="M706" s="341">
        <v>51220200001</v>
      </c>
    </row>
    <row r="707" spans="2:13" x14ac:dyDescent="0.2">
      <c r="B707" s="141">
        <v>43536</v>
      </c>
      <c r="C707" s="138" t="s">
        <v>792</v>
      </c>
      <c r="D707" s="138" t="s">
        <v>459</v>
      </c>
      <c r="E707" s="217" t="str">
        <f>+VLOOKUP(F707,[9]bd!A:B,2,0)</f>
        <v>CITIBANK, N.A. SUCURSAL EL SALVADOR</v>
      </c>
      <c r="F707" s="217" t="s">
        <v>329</v>
      </c>
      <c r="G707" s="217"/>
      <c r="H707" s="219"/>
      <c r="I707" s="219"/>
      <c r="J707" s="219">
        <v>88.09</v>
      </c>
      <c r="K707" s="246">
        <v>11.45</v>
      </c>
      <c r="L707" s="219">
        <f t="shared" si="42"/>
        <v>99.54</v>
      </c>
    </row>
    <row r="708" spans="2:13" x14ac:dyDescent="0.2">
      <c r="B708" s="141" t="s">
        <v>766</v>
      </c>
      <c r="C708" s="138" t="s">
        <v>793</v>
      </c>
      <c r="D708" s="138" t="s">
        <v>459</v>
      </c>
      <c r="E708" s="142" t="str">
        <f>+VLOOKUP(F708,[9]bd!A:B,2,0)</f>
        <v>BANCO CUSCATLAN DE EL SALVADOR S.A.</v>
      </c>
      <c r="F708" s="142" t="s">
        <v>90</v>
      </c>
      <c r="G708" s="142"/>
      <c r="H708" s="235"/>
      <c r="I708" s="235"/>
      <c r="J708" s="235">
        <v>78.08</v>
      </c>
      <c r="K708" s="143">
        <v>10.15</v>
      </c>
      <c r="L708" s="235">
        <f t="shared" si="42"/>
        <v>88.23</v>
      </c>
      <c r="M708" s="245">
        <v>51000200002</v>
      </c>
    </row>
    <row r="709" spans="2:13" x14ac:dyDescent="0.2">
      <c r="B709" s="141" t="s">
        <v>766</v>
      </c>
      <c r="C709" s="138" t="s">
        <v>794</v>
      </c>
      <c r="D709" s="138" t="s">
        <v>459</v>
      </c>
      <c r="E709" s="142" t="str">
        <f>+VLOOKUP(F709,[9]bd!A:B,2,0)</f>
        <v>BANCO CUSCATLAN DE EL SALVADOR S.A.</v>
      </c>
      <c r="F709" s="142" t="s">
        <v>90</v>
      </c>
      <c r="G709" s="142"/>
      <c r="H709" s="235"/>
      <c r="I709" s="235"/>
      <c r="J709" s="235">
        <v>78.08</v>
      </c>
      <c r="K709" s="143">
        <v>10.15</v>
      </c>
      <c r="L709" s="235">
        <f t="shared" si="42"/>
        <v>88.23</v>
      </c>
      <c r="M709" s="245">
        <v>51000200001</v>
      </c>
    </row>
    <row r="710" spans="2:13" x14ac:dyDescent="0.2">
      <c r="B710" s="141" t="s">
        <v>766</v>
      </c>
      <c r="C710" s="138" t="s">
        <v>795</v>
      </c>
      <c r="D710" s="138" t="s">
        <v>459</v>
      </c>
      <c r="E710" s="142" t="str">
        <f>+VLOOKUP(F710,[9]bd!A:B,2,0)</f>
        <v>BANCO CUSCATLAN DE EL SALVADOR S.A.</v>
      </c>
      <c r="F710" s="142" t="s">
        <v>90</v>
      </c>
      <c r="G710" s="142"/>
      <c r="H710" s="235"/>
      <c r="I710" s="235"/>
      <c r="J710" s="235">
        <v>18750</v>
      </c>
      <c r="K710" s="143">
        <v>2437.5</v>
      </c>
      <c r="L710" s="235">
        <f t="shared" si="42"/>
        <v>21187.5</v>
      </c>
      <c r="M710" s="245">
        <v>51000200002</v>
      </c>
    </row>
    <row r="711" spans="2:13" x14ac:dyDescent="0.2">
      <c r="B711" s="141" t="s">
        <v>766</v>
      </c>
      <c r="C711" s="138" t="s">
        <v>796</v>
      </c>
      <c r="D711" s="138" t="s">
        <v>459</v>
      </c>
      <c r="E711" s="142" t="str">
        <f>+VLOOKUP(F711,[9]bd!A:B,2,0)</f>
        <v>BANCO CUSCATLAN DE EL SALVADOR S.A.</v>
      </c>
      <c r="F711" s="142" t="s">
        <v>90</v>
      </c>
      <c r="G711" s="142"/>
      <c r="H711" s="235"/>
      <c r="I711" s="235"/>
      <c r="J711" s="235">
        <v>18750</v>
      </c>
      <c r="K711" s="143">
        <v>2437.5</v>
      </c>
      <c r="L711" s="235">
        <f t="shared" si="42"/>
        <v>21187.5</v>
      </c>
      <c r="M711" s="245">
        <v>51000200001</v>
      </c>
    </row>
    <row r="712" spans="2:13" x14ac:dyDescent="0.2">
      <c r="B712" s="141">
        <v>43550</v>
      </c>
      <c r="C712" s="138" t="s">
        <v>797</v>
      </c>
      <c r="D712" s="138" t="s">
        <v>459</v>
      </c>
      <c r="E712" s="142" t="str">
        <f>+VLOOKUP(F712,[9]bd!A:B,2,0)</f>
        <v>BANCO CUSCATLAN DE EL SALVADOR S.A.</v>
      </c>
      <c r="F712" s="142" t="s">
        <v>90</v>
      </c>
      <c r="G712" s="142"/>
      <c r="H712" s="235"/>
      <c r="I712" s="235"/>
      <c r="J712" s="235">
        <v>138.88</v>
      </c>
      <c r="K712" s="143">
        <v>18.05</v>
      </c>
      <c r="L712" s="235">
        <f t="shared" si="42"/>
        <v>156.93</v>
      </c>
      <c r="M712" s="245">
        <v>51000200002</v>
      </c>
    </row>
    <row r="713" spans="2:13" x14ac:dyDescent="0.2">
      <c r="B713" s="141">
        <v>43550</v>
      </c>
      <c r="C713" s="138" t="s">
        <v>798</v>
      </c>
      <c r="D713" s="138" t="s">
        <v>459</v>
      </c>
      <c r="E713" s="142" t="str">
        <f>+VLOOKUP(F713,[9]bd!A:B,2,0)</f>
        <v>BANCO CUSCATLAN DE EL SALVADOR S.A.</v>
      </c>
      <c r="F713" s="142" t="s">
        <v>90</v>
      </c>
      <c r="G713" s="142"/>
      <c r="H713" s="235"/>
      <c r="I713" s="235"/>
      <c r="J713" s="235">
        <v>138.88</v>
      </c>
      <c r="K713" s="143">
        <v>18.05</v>
      </c>
      <c r="L713" s="235">
        <f t="shared" si="42"/>
        <v>156.93</v>
      </c>
      <c r="M713" s="245">
        <v>51000200001</v>
      </c>
    </row>
    <row r="714" spans="2:13" x14ac:dyDescent="0.2">
      <c r="B714" s="141">
        <v>43551</v>
      </c>
      <c r="C714" s="138" t="s">
        <v>799</v>
      </c>
      <c r="D714" s="138" t="s">
        <v>459</v>
      </c>
      <c r="E714" s="142" t="str">
        <f>+VLOOKUP(F714,[9]bd!A:B,2,0)</f>
        <v>BANCO CUSCATLAN DE EL SALVADOR S.A.</v>
      </c>
      <c r="F714" s="142" t="s">
        <v>90</v>
      </c>
      <c r="G714" s="142"/>
      <c r="H714" s="235"/>
      <c r="I714" s="235"/>
      <c r="J714" s="235">
        <v>232.54</v>
      </c>
      <c r="K714" s="143">
        <v>30.23</v>
      </c>
      <c r="L714" s="235">
        <f t="shared" si="42"/>
        <v>262.77</v>
      </c>
      <c r="M714" s="245">
        <v>51000200002</v>
      </c>
    </row>
    <row r="715" spans="2:13" x14ac:dyDescent="0.2">
      <c r="B715" s="141">
        <v>43551</v>
      </c>
      <c r="C715" s="138" t="s">
        <v>800</v>
      </c>
      <c r="D715" s="138" t="s">
        <v>459</v>
      </c>
      <c r="E715" s="142" t="str">
        <f>+VLOOKUP(F715,[9]bd!A:B,2,0)</f>
        <v>BANCO CUSCATLAN DE EL SALVADOR S.A.</v>
      </c>
      <c r="F715" s="142" t="s">
        <v>90</v>
      </c>
      <c r="G715" s="142"/>
      <c r="H715" s="235"/>
      <c r="I715" s="235"/>
      <c r="J715" s="235">
        <v>232.54</v>
      </c>
      <c r="K715" s="143">
        <v>30.23</v>
      </c>
      <c r="L715" s="235">
        <f t="shared" si="42"/>
        <v>262.77</v>
      </c>
      <c r="M715" s="245">
        <v>51000200001</v>
      </c>
    </row>
    <row r="716" spans="2:13" x14ac:dyDescent="0.2">
      <c r="B716" s="141">
        <v>43552</v>
      </c>
      <c r="C716" s="138" t="s">
        <v>801</v>
      </c>
      <c r="D716" s="138" t="s">
        <v>459</v>
      </c>
      <c r="E716" s="142" t="str">
        <f>+VLOOKUP(F716,[9]bd!A:B,2,0)</f>
        <v>BANCO CUSCATLAN DE EL SALVADOR S.A.</v>
      </c>
      <c r="F716" s="142" t="s">
        <v>90</v>
      </c>
      <c r="G716" s="142"/>
      <c r="H716" s="235"/>
      <c r="I716" s="235"/>
      <c r="J716" s="235">
        <v>174.06</v>
      </c>
      <c r="K716" s="143">
        <v>22.63</v>
      </c>
      <c r="L716" s="235">
        <f t="shared" si="42"/>
        <v>196.69</v>
      </c>
      <c r="M716" s="245">
        <v>51000200002</v>
      </c>
    </row>
    <row r="717" spans="2:13" x14ac:dyDescent="0.2">
      <c r="B717" s="141">
        <v>43552</v>
      </c>
      <c r="C717" s="138" t="s">
        <v>802</v>
      </c>
      <c r="D717" s="138" t="s">
        <v>459</v>
      </c>
      <c r="E717" s="142" t="str">
        <f>+VLOOKUP(F717,[9]bd!A:B,2,0)</f>
        <v>BANCO CUSCATLAN DE EL SALVADOR S.A.</v>
      </c>
      <c r="F717" s="142" t="s">
        <v>90</v>
      </c>
      <c r="G717" s="142"/>
      <c r="H717" s="235"/>
      <c r="I717" s="235"/>
      <c r="J717" s="235">
        <v>174.06</v>
      </c>
      <c r="K717" s="143">
        <v>22.63</v>
      </c>
      <c r="L717" s="235">
        <f t="shared" si="42"/>
        <v>196.69</v>
      </c>
      <c r="M717" s="245">
        <v>51000200001</v>
      </c>
    </row>
    <row r="718" spans="2:13" x14ac:dyDescent="0.2">
      <c r="B718" s="141"/>
      <c r="C718" s="138"/>
      <c r="D718" s="138"/>
      <c r="E718" s="142"/>
      <c r="F718" s="142"/>
      <c r="G718" s="142"/>
      <c r="H718" s="235"/>
      <c r="I718" s="235"/>
      <c r="J718" s="235"/>
      <c r="K718" s="143"/>
      <c r="L718" s="235"/>
    </row>
    <row r="719" spans="2:13" x14ac:dyDescent="0.2">
      <c r="B719" s="141"/>
      <c r="C719" s="138" t="s">
        <v>50</v>
      </c>
      <c r="D719" s="138"/>
      <c r="E719" s="142" t="s">
        <v>537</v>
      </c>
      <c r="F719" s="114"/>
      <c r="G719" s="157"/>
      <c r="H719" s="157"/>
      <c r="I719" s="157"/>
      <c r="J719" s="157"/>
      <c r="K719" s="243">
        <v>-2853.85</v>
      </c>
      <c r="L719" s="235">
        <f>+J719+K719</f>
        <v>-2853.85</v>
      </c>
    </row>
    <row r="720" spans="2:13" x14ac:dyDescent="0.2">
      <c r="B720" s="141"/>
      <c r="C720" s="138"/>
      <c r="D720" s="138"/>
      <c r="E720" s="142"/>
      <c r="F720" s="114"/>
      <c r="G720" s="157"/>
      <c r="H720" s="157"/>
      <c r="I720" s="157"/>
      <c r="J720" s="157"/>
      <c r="K720" s="143"/>
      <c r="L720" s="235">
        <f>+J720+K720</f>
        <v>0</v>
      </c>
    </row>
    <row r="721" spans="2:12" x14ac:dyDescent="0.2">
      <c r="B721" s="141"/>
      <c r="C721" s="138"/>
      <c r="D721" s="138"/>
      <c r="E721" s="142"/>
      <c r="F721" s="114"/>
      <c r="G721" s="157"/>
      <c r="H721" s="157"/>
      <c r="I721" s="157"/>
      <c r="J721" s="157"/>
      <c r="K721" s="143"/>
      <c r="L721" s="235"/>
    </row>
    <row r="722" spans="2:12" x14ac:dyDescent="0.2">
      <c r="B722" s="141"/>
      <c r="C722" s="138"/>
      <c r="D722" s="138"/>
      <c r="E722" s="142"/>
      <c r="F722" s="114"/>
      <c r="G722" s="157"/>
      <c r="H722" s="157"/>
      <c r="I722" s="157"/>
      <c r="J722" s="157"/>
      <c r="K722" s="143"/>
      <c r="L722" s="235"/>
    </row>
    <row r="723" spans="2:12" x14ac:dyDescent="0.2">
      <c r="B723" s="114"/>
      <c r="C723" s="115"/>
      <c r="D723" s="115"/>
      <c r="E723" s="142"/>
      <c r="F723" s="114"/>
      <c r="G723" s="157"/>
      <c r="H723" s="157"/>
      <c r="I723" s="157"/>
      <c r="J723" s="157"/>
      <c r="K723" s="157"/>
      <c r="L723" s="157"/>
    </row>
    <row r="724" spans="2:12" x14ac:dyDescent="0.2">
      <c r="B724" s="163"/>
      <c r="C724" s="164"/>
      <c r="D724" s="164"/>
      <c r="E724" s="142"/>
      <c r="F724" s="163"/>
      <c r="G724" s="165"/>
      <c r="H724" s="165"/>
      <c r="I724" s="165"/>
      <c r="J724" s="165"/>
      <c r="K724" s="165"/>
      <c r="L724" s="165"/>
    </row>
    <row r="725" spans="2:12" x14ac:dyDescent="0.2">
      <c r="B725" s="114"/>
      <c r="C725" s="115"/>
      <c r="D725" s="115"/>
      <c r="E725" s="114"/>
      <c r="F725" s="114"/>
      <c r="G725" s="166">
        <f t="shared" ref="G725:L725" si="43">SUM(G682:G724)</f>
        <v>0</v>
      </c>
      <c r="H725" s="166">
        <f t="shared" si="43"/>
        <v>0</v>
      </c>
      <c r="I725" s="166">
        <f t="shared" si="43"/>
        <v>0</v>
      </c>
      <c r="J725" s="166">
        <f t="shared" si="43"/>
        <v>46195.599999999991</v>
      </c>
      <c r="K725" s="166">
        <f t="shared" si="43"/>
        <v>3151.5299999999993</v>
      </c>
      <c r="L725" s="166">
        <f t="shared" si="43"/>
        <v>49347.13</v>
      </c>
    </row>
    <row r="726" spans="2:12" x14ac:dyDescent="0.2">
      <c r="B726" s="114"/>
      <c r="C726" s="115"/>
      <c r="D726" s="115"/>
      <c r="E726" s="114"/>
      <c r="F726" s="114"/>
      <c r="G726" s="208"/>
      <c r="H726" s="208"/>
      <c r="I726" s="208"/>
      <c r="J726" s="208"/>
      <c r="K726" s="208"/>
      <c r="L726" s="208"/>
    </row>
    <row r="727" spans="2:12" x14ac:dyDescent="0.2">
      <c r="B727" s="114"/>
      <c r="C727" s="115"/>
      <c r="D727" s="115"/>
      <c r="E727" s="114"/>
      <c r="F727" s="114"/>
      <c r="G727" s="208"/>
      <c r="H727" s="208"/>
      <c r="I727" s="208"/>
      <c r="J727" s="208"/>
      <c r="K727" s="208"/>
      <c r="L727" s="208"/>
    </row>
    <row r="728" spans="2:12" x14ac:dyDescent="0.2">
      <c r="B728" s="114"/>
      <c r="C728" s="115"/>
      <c r="D728" s="115"/>
      <c r="E728" s="114"/>
      <c r="F728" s="114"/>
      <c r="G728" s="208"/>
      <c r="H728" s="208"/>
      <c r="I728" s="208"/>
      <c r="J728" s="208"/>
      <c r="K728" s="208"/>
      <c r="L728" s="208"/>
    </row>
    <row r="729" spans="2:12" x14ac:dyDescent="0.2">
      <c r="B729" s="114"/>
      <c r="C729" s="115"/>
      <c r="D729" s="115"/>
      <c r="E729" s="114"/>
      <c r="F729" s="114"/>
      <c r="G729" s="208"/>
      <c r="H729" s="208"/>
      <c r="I729" s="208"/>
      <c r="J729" s="208"/>
      <c r="K729" s="208"/>
      <c r="L729" s="208"/>
    </row>
    <row r="730" spans="2:12" x14ac:dyDescent="0.2">
      <c r="B730" s="114"/>
      <c r="C730" s="115"/>
      <c r="D730" s="115"/>
      <c r="E730" s="114"/>
      <c r="F730" s="114"/>
      <c r="G730" s="208"/>
      <c r="H730" s="208"/>
      <c r="I730" s="208"/>
      <c r="J730" s="208"/>
      <c r="K730" s="208"/>
      <c r="L730" s="208"/>
    </row>
    <row r="731" spans="2:12" x14ac:dyDescent="0.2">
      <c r="B731" s="114"/>
      <c r="C731" s="115"/>
      <c r="D731" s="115"/>
      <c r="E731" s="114"/>
      <c r="F731" s="114"/>
      <c r="G731" s="114"/>
      <c r="H731" s="114"/>
      <c r="I731" s="114"/>
      <c r="J731" s="114"/>
      <c r="K731" s="114"/>
      <c r="L731" s="114"/>
    </row>
    <row r="732" spans="2:12" x14ac:dyDescent="0.2">
      <c r="B732" s="114"/>
      <c r="C732" s="117" t="s">
        <v>587</v>
      </c>
      <c r="D732" s="115"/>
      <c r="E732" s="115"/>
      <c r="F732" s="114"/>
      <c r="G732" s="114"/>
      <c r="H732" s="114"/>
      <c r="I732" s="117" t="s">
        <v>588</v>
      </c>
      <c r="J732" s="114"/>
      <c r="K732" s="114"/>
      <c r="L732" s="114"/>
    </row>
    <row r="733" spans="2:12" x14ac:dyDescent="0.2">
      <c r="B733" s="114"/>
      <c r="C733" s="117"/>
      <c r="D733" s="115"/>
      <c r="E733" s="115"/>
      <c r="F733" s="114"/>
      <c r="G733" s="114"/>
      <c r="H733" s="114"/>
      <c r="I733" s="117"/>
      <c r="J733" s="114"/>
      <c r="K733" s="114"/>
      <c r="L733" s="114"/>
    </row>
    <row r="734" spans="2:12" x14ac:dyDescent="0.2">
      <c r="B734" s="114"/>
      <c r="C734" s="114" t="s">
        <v>140</v>
      </c>
      <c r="D734" s="115"/>
      <c r="E734" s="115"/>
      <c r="F734" s="114"/>
      <c r="G734" s="214">
        <v>0</v>
      </c>
      <c r="H734" s="114"/>
      <c r="I734" s="114" t="s">
        <v>140</v>
      </c>
      <c r="J734" s="114"/>
      <c r="K734" s="114"/>
      <c r="L734" s="214">
        <v>0</v>
      </c>
    </row>
    <row r="735" spans="2:12" x14ac:dyDescent="0.2">
      <c r="B735" s="114"/>
      <c r="C735" s="114"/>
      <c r="D735" s="115"/>
      <c r="E735" s="115"/>
      <c r="F735" s="114"/>
      <c r="G735" s="114"/>
      <c r="H735" s="114"/>
      <c r="I735" s="114"/>
      <c r="J735" s="114"/>
      <c r="K735" s="114"/>
      <c r="L735" s="114"/>
    </row>
    <row r="736" spans="2:12" x14ac:dyDescent="0.2">
      <c r="B736" s="114"/>
      <c r="C736" s="114" t="s">
        <v>589</v>
      </c>
      <c r="D736" s="115"/>
      <c r="E736" s="115"/>
      <c r="F736" s="114"/>
      <c r="G736" s="214">
        <v>0</v>
      </c>
      <c r="H736" s="114"/>
      <c r="I736" s="114" t="s">
        <v>589</v>
      </c>
      <c r="J736" s="114"/>
      <c r="K736" s="114"/>
      <c r="L736" s="214">
        <v>0</v>
      </c>
    </row>
    <row r="737" spans="1:28" x14ac:dyDescent="0.2">
      <c r="B737" s="114"/>
      <c r="C737" s="114"/>
      <c r="D737" s="115"/>
      <c r="E737" s="115"/>
      <c r="F737" s="114"/>
      <c r="G737" s="214"/>
      <c r="H737" s="114"/>
      <c r="I737" s="114"/>
      <c r="J737" s="114"/>
      <c r="K737" s="114"/>
      <c r="L737" s="214"/>
    </row>
    <row r="738" spans="1:28" x14ac:dyDescent="0.2">
      <c r="B738" s="114"/>
      <c r="C738" s="114"/>
      <c r="D738" s="115"/>
      <c r="E738" s="115"/>
      <c r="F738" s="114"/>
      <c r="G738" s="214"/>
      <c r="H738" s="114"/>
      <c r="I738" s="114"/>
      <c r="J738" s="114"/>
      <c r="K738" s="114"/>
      <c r="L738" s="214"/>
    </row>
    <row r="739" spans="1:28" x14ac:dyDescent="0.2">
      <c r="B739" s="114"/>
      <c r="C739" s="114" t="s">
        <v>590</v>
      </c>
      <c r="D739" s="115"/>
      <c r="E739" s="115"/>
      <c r="F739" s="114"/>
      <c r="G739" s="214"/>
      <c r="H739" s="114"/>
      <c r="I739" s="114" t="s">
        <v>590</v>
      </c>
      <c r="J739" s="114"/>
      <c r="K739" s="114"/>
      <c r="L739" s="214"/>
    </row>
    <row r="740" spans="1:28" x14ac:dyDescent="0.2">
      <c r="B740" s="114"/>
      <c r="C740" s="114" t="s">
        <v>141</v>
      </c>
      <c r="D740" s="115"/>
      <c r="E740" s="115"/>
      <c r="F740" s="114"/>
      <c r="G740" s="214">
        <f>+'[9]reportes consumidor final'!I707</f>
        <v>0</v>
      </c>
      <c r="H740" s="114"/>
      <c r="I740" s="114" t="s">
        <v>141</v>
      </c>
      <c r="J740" s="114"/>
      <c r="K740" s="114"/>
      <c r="L740" s="214">
        <f>+J725</f>
        <v>46195.599999999991</v>
      </c>
    </row>
    <row r="741" spans="1:28" x14ac:dyDescent="0.2">
      <c r="B741" s="114"/>
      <c r="C741" s="114" t="s">
        <v>591</v>
      </c>
      <c r="D741" s="115"/>
      <c r="E741" s="115"/>
      <c r="F741" s="114"/>
      <c r="G741" s="215">
        <f>+G740*0.13</f>
        <v>0</v>
      </c>
      <c r="H741" s="114"/>
      <c r="I741" s="114" t="s">
        <v>591</v>
      </c>
      <c r="J741" s="114"/>
      <c r="K741" s="114"/>
      <c r="L741" s="215">
        <f>+K725</f>
        <v>3151.5299999999993</v>
      </c>
    </row>
    <row r="742" spans="1:28" x14ac:dyDescent="0.2">
      <c r="B742" s="114"/>
      <c r="C742" s="114"/>
      <c r="D742" s="115"/>
      <c r="E742" s="115"/>
      <c r="F742" s="114"/>
      <c r="G742" s="214"/>
      <c r="H742" s="114"/>
      <c r="I742" s="114"/>
      <c r="J742" s="114"/>
      <c r="K742" s="114"/>
      <c r="L742" s="214"/>
    </row>
    <row r="743" spans="1:28" ht="13.5" thickBot="1" x14ac:dyDescent="0.25">
      <c r="B743" s="114"/>
      <c r="C743" s="114" t="s">
        <v>592</v>
      </c>
      <c r="D743" s="115"/>
      <c r="E743" s="115"/>
      <c r="F743" s="114"/>
      <c r="G743" s="216">
        <f>SUM(G734:G741)</f>
        <v>0</v>
      </c>
      <c r="H743" s="114"/>
      <c r="I743" s="114" t="s">
        <v>592</v>
      </c>
      <c r="J743" s="114"/>
      <c r="K743" s="114"/>
      <c r="L743" s="216">
        <f>SUM(L740:L742)</f>
        <v>49347.12999999999</v>
      </c>
    </row>
    <row r="744" spans="1:28" ht="13.5" thickTop="1" x14ac:dyDescent="0.2"/>
    <row r="746" spans="1:28" ht="3.75" customHeight="1" x14ac:dyDescent="0.2">
      <c r="A746" s="247"/>
      <c r="B746" s="247"/>
      <c r="C746" s="248"/>
      <c r="D746" s="248"/>
      <c r="E746" s="247"/>
      <c r="F746" s="247"/>
      <c r="G746" s="247"/>
      <c r="H746" s="247"/>
      <c r="I746" s="247"/>
      <c r="J746" s="247"/>
      <c r="K746" s="247"/>
      <c r="L746" s="247"/>
      <c r="M746" s="249"/>
      <c r="N746" s="249"/>
      <c r="O746" s="249"/>
      <c r="P746" s="249"/>
      <c r="Q746" s="250"/>
      <c r="R746" s="250"/>
      <c r="S746" s="250"/>
      <c r="T746" s="250"/>
      <c r="U746" s="250"/>
      <c r="V746" s="250"/>
      <c r="W746" s="250"/>
      <c r="X746" s="250"/>
      <c r="Y746" s="250"/>
      <c r="Z746" s="250"/>
      <c r="AA746" s="250"/>
      <c r="AB746" s="250"/>
    </row>
    <row r="749" spans="1:28" ht="16.5" x14ac:dyDescent="0.25">
      <c r="C749" s="113" t="s">
        <v>458</v>
      </c>
      <c r="D749" s="114"/>
      <c r="E749" s="115"/>
      <c r="F749" s="116" t="s">
        <v>805</v>
      </c>
      <c r="M749" s="232"/>
      <c r="N749" s="232"/>
      <c r="O749" s="232"/>
      <c r="P749" s="232"/>
    </row>
    <row r="750" spans="1:28" x14ac:dyDescent="0.2">
      <c r="C750" s="120" t="s">
        <v>42</v>
      </c>
      <c r="D750" s="114"/>
      <c r="E750" s="114"/>
      <c r="F750" s="121"/>
      <c r="M750" s="232"/>
      <c r="N750" s="232"/>
      <c r="O750" s="232"/>
      <c r="P750" s="232"/>
    </row>
    <row r="751" spans="1:28" x14ac:dyDescent="0.2">
      <c r="M751" s="232"/>
      <c r="N751" s="232"/>
      <c r="O751" s="232"/>
      <c r="P751" s="232"/>
    </row>
    <row r="752" spans="1:28" x14ac:dyDescent="0.2">
      <c r="M752" s="232"/>
      <c r="N752" s="232"/>
      <c r="O752" s="232"/>
      <c r="P752" s="232"/>
    </row>
    <row r="753" spans="2:26" x14ac:dyDescent="0.2">
      <c r="B753" s="124"/>
      <c r="C753" s="124"/>
      <c r="D753" s="124"/>
      <c r="E753" s="124"/>
      <c r="F753" s="124"/>
      <c r="G753" s="124"/>
      <c r="H753" s="117"/>
      <c r="I753" s="117"/>
      <c r="J753" s="117"/>
      <c r="K753" s="117"/>
      <c r="L753" s="124"/>
      <c r="M753" s="232"/>
      <c r="N753" s="232"/>
      <c r="O753" s="232"/>
      <c r="P753" s="232"/>
    </row>
    <row r="754" spans="2:26" x14ac:dyDescent="0.2">
      <c r="B754" s="125"/>
      <c r="C754" s="126" t="s">
        <v>255</v>
      </c>
      <c r="D754" s="127" t="s">
        <v>43</v>
      </c>
      <c r="E754" s="127"/>
      <c r="F754" s="127" t="s">
        <v>135</v>
      </c>
      <c r="G754" s="127"/>
      <c r="H754" s="128" t="s">
        <v>136</v>
      </c>
      <c r="I754" s="129"/>
      <c r="J754" s="129"/>
      <c r="K754" s="129"/>
      <c r="L754" s="146"/>
      <c r="M754" s="233"/>
      <c r="N754" s="233"/>
      <c r="O754" s="170" t="s">
        <v>480</v>
      </c>
      <c r="P754" s="170"/>
      <c r="Q754" s="170"/>
      <c r="R754" s="170"/>
      <c r="U754" s="106" t="s">
        <v>465</v>
      </c>
      <c r="Y754" s="97" t="s">
        <v>479</v>
      </c>
      <c r="Z754" s="97" t="s">
        <v>340</v>
      </c>
    </row>
    <row r="755" spans="2:26" x14ac:dyDescent="0.2">
      <c r="B755" s="130" t="s">
        <v>137</v>
      </c>
      <c r="C755" s="131" t="s">
        <v>138</v>
      </c>
      <c r="D755" s="131" t="s">
        <v>258</v>
      </c>
      <c r="E755" s="131" t="s">
        <v>139</v>
      </c>
      <c r="F755" s="131" t="s">
        <v>259</v>
      </c>
      <c r="G755" s="131" t="s">
        <v>140</v>
      </c>
      <c r="H755" s="132" t="s">
        <v>94</v>
      </c>
      <c r="I755" s="129"/>
      <c r="J755" s="132" t="s">
        <v>141</v>
      </c>
      <c r="K755" s="129"/>
      <c r="L755" s="147" t="s">
        <v>325</v>
      </c>
      <c r="M755" s="233"/>
      <c r="N755" s="233"/>
      <c r="O755" s="152" t="s">
        <v>150</v>
      </c>
      <c r="P755" s="78">
        <v>51000000001</v>
      </c>
      <c r="Q755" s="142" t="s">
        <v>460</v>
      </c>
      <c r="R755" s="235">
        <f>SUMIFS($J$759:$J$793,$E$759:$E$793,Q755,$M$759:$M$793,P755)</f>
        <v>0</v>
      </c>
      <c r="T755" s="97">
        <v>51000200001</v>
      </c>
      <c r="U755" s="97" t="s">
        <v>382</v>
      </c>
      <c r="X755" s="109">
        <v>-699.26</v>
      </c>
      <c r="Y755" s="109">
        <f>R758</f>
        <v>0</v>
      </c>
      <c r="Z755" s="144">
        <v>0</v>
      </c>
    </row>
    <row r="756" spans="2:26" x14ac:dyDescent="0.2">
      <c r="B756" s="133"/>
      <c r="C756" s="134"/>
      <c r="D756" s="134"/>
      <c r="E756" s="133"/>
      <c r="F756" s="133"/>
      <c r="G756" s="133"/>
      <c r="H756" s="135" t="s">
        <v>326</v>
      </c>
      <c r="I756" s="136" t="s">
        <v>327</v>
      </c>
      <c r="J756" s="148" t="s">
        <v>328</v>
      </c>
      <c r="K756" s="148" t="s">
        <v>89</v>
      </c>
      <c r="L756" s="149" t="s">
        <v>94</v>
      </c>
      <c r="M756" s="233"/>
      <c r="N756" s="233"/>
      <c r="O756" s="152" t="s">
        <v>150</v>
      </c>
      <c r="P756" s="78">
        <v>51000000002</v>
      </c>
      <c r="Q756" s="142" t="s">
        <v>460</v>
      </c>
      <c r="R756" s="235">
        <f t="shared" ref="R756:R774" si="44">SUMIFS($J$759:$J$793,$E$759:$E$793,Q756,$M$759:$M$793,P756)</f>
        <v>0</v>
      </c>
      <c r="T756" s="97">
        <v>51000200002</v>
      </c>
      <c r="U756" s="97" t="s">
        <v>383</v>
      </c>
      <c r="X756" s="109">
        <v>-699.26</v>
      </c>
      <c r="Y756" s="109">
        <f>R760</f>
        <v>0</v>
      </c>
      <c r="Z756" s="144">
        <v>0</v>
      </c>
    </row>
    <row r="757" spans="2:26" x14ac:dyDescent="0.2">
      <c r="B757" s="137"/>
      <c r="C757" s="138"/>
      <c r="D757" s="138"/>
      <c r="E757" s="139"/>
      <c r="F757" s="140"/>
      <c r="G757" s="234"/>
      <c r="H757" s="235"/>
      <c r="I757" s="235"/>
      <c r="J757" s="235"/>
      <c r="K757" s="235"/>
      <c r="L757" s="235"/>
      <c r="M757" s="236"/>
      <c r="N757" s="236"/>
      <c r="O757" s="152" t="s">
        <v>150</v>
      </c>
      <c r="P757" s="78">
        <v>51000100001</v>
      </c>
      <c r="Q757" s="142" t="s">
        <v>460</v>
      </c>
      <c r="R757" s="235">
        <f t="shared" si="44"/>
        <v>0</v>
      </c>
      <c r="T757" s="97">
        <v>51000100001</v>
      </c>
      <c r="U757" s="109" t="s">
        <v>12</v>
      </c>
      <c r="X757" s="109">
        <v>-44.26</v>
      </c>
    </row>
    <row r="758" spans="2:26" x14ac:dyDescent="0.2">
      <c r="B758" s="342">
        <v>43557</v>
      </c>
      <c r="C758" s="138" t="s">
        <v>806</v>
      </c>
      <c r="D758" s="138" t="s">
        <v>459</v>
      </c>
      <c r="E758" s="142" t="s">
        <v>482</v>
      </c>
      <c r="F758" s="142"/>
      <c r="G758" s="234"/>
      <c r="H758" s="235"/>
      <c r="I758" s="235"/>
      <c r="J758" s="235">
        <v>0</v>
      </c>
      <c r="K758" s="143">
        <v>0</v>
      </c>
      <c r="L758" s="235">
        <f t="shared" ref="L758:L783" si="45">+J758+K758</f>
        <v>0</v>
      </c>
      <c r="M758" s="236"/>
      <c r="N758" s="236"/>
      <c r="O758" s="152" t="s">
        <v>150</v>
      </c>
      <c r="P758" s="78">
        <v>51000100001</v>
      </c>
      <c r="Q758" s="142" t="s">
        <v>496</v>
      </c>
      <c r="R758" s="235">
        <f t="shared" si="44"/>
        <v>0</v>
      </c>
      <c r="T758" s="97">
        <v>51000100002</v>
      </c>
      <c r="U758" s="109" t="s">
        <v>380</v>
      </c>
      <c r="X758" s="109">
        <v>-27.65</v>
      </c>
    </row>
    <row r="759" spans="2:26" x14ac:dyDescent="0.2">
      <c r="B759" s="342">
        <v>43557</v>
      </c>
      <c r="C759" s="138" t="s">
        <v>807</v>
      </c>
      <c r="D759" s="138" t="s">
        <v>459</v>
      </c>
      <c r="E759" s="142" t="s">
        <v>482</v>
      </c>
      <c r="F759" s="142"/>
      <c r="G759" s="142"/>
      <c r="H759" s="235"/>
      <c r="I759" s="235"/>
      <c r="J759" s="235">
        <v>0</v>
      </c>
      <c r="K759" s="143">
        <v>0</v>
      </c>
      <c r="L759" s="235">
        <f t="shared" si="45"/>
        <v>0</v>
      </c>
      <c r="M759" s="236"/>
      <c r="N759" s="236"/>
      <c r="O759" s="152" t="s">
        <v>150</v>
      </c>
      <c r="P759" s="78">
        <v>51000100002</v>
      </c>
      <c r="Q759" s="142" t="s">
        <v>460</v>
      </c>
      <c r="R759" s="235">
        <f t="shared" si="44"/>
        <v>0</v>
      </c>
      <c r="T759" s="97">
        <v>51220200001</v>
      </c>
      <c r="U759" s="97" t="s">
        <v>55</v>
      </c>
      <c r="X759" s="109">
        <v>-3229.53</v>
      </c>
      <c r="Y759" s="109">
        <f>R767+R774</f>
        <v>3001.16</v>
      </c>
      <c r="Z759" s="144">
        <f>X759+Y759</f>
        <v>-228.37000000000035</v>
      </c>
    </row>
    <row r="760" spans="2:26" x14ac:dyDescent="0.2">
      <c r="B760" s="342">
        <v>43556</v>
      </c>
      <c r="C760" s="138" t="s">
        <v>808</v>
      </c>
      <c r="D760" s="138" t="s">
        <v>459</v>
      </c>
      <c r="E760" s="142" t="str">
        <f>+VLOOKUP(F760,[10]bd!A:B,2,0)</f>
        <v>BANCO CUSCATLAN DE EL SALVADOR S.A.</v>
      </c>
      <c r="F760" s="142" t="s">
        <v>90</v>
      </c>
      <c r="G760" s="234"/>
      <c r="H760" s="235"/>
      <c r="I760" s="235"/>
      <c r="J760" s="235">
        <v>112.27</v>
      </c>
      <c r="K760" s="143">
        <v>14.59</v>
      </c>
      <c r="L760" s="235">
        <f t="shared" si="45"/>
        <v>126.86</v>
      </c>
      <c r="M760" s="245">
        <v>51000200002</v>
      </c>
      <c r="N760" s="236"/>
      <c r="O760" s="152" t="s">
        <v>150</v>
      </c>
      <c r="P760" s="78">
        <v>51000100002</v>
      </c>
      <c r="Q760" s="142" t="s">
        <v>496</v>
      </c>
      <c r="R760" s="235">
        <f t="shared" si="44"/>
        <v>0</v>
      </c>
      <c r="T760" s="322">
        <v>52200000001</v>
      </c>
      <c r="U760" s="322" t="s">
        <v>33</v>
      </c>
      <c r="V760" s="322"/>
      <c r="W760" s="322"/>
      <c r="X760" s="323"/>
      <c r="Y760" s="109">
        <v>0</v>
      </c>
      <c r="Z760" s="144">
        <v>0</v>
      </c>
    </row>
    <row r="761" spans="2:26" x14ac:dyDescent="0.2">
      <c r="B761" s="342">
        <v>43556</v>
      </c>
      <c r="C761" s="138" t="s">
        <v>809</v>
      </c>
      <c r="D761" s="138" t="s">
        <v>459</v>
      </c>
      <c r="E761" s="142" t="str">
        <f>+VLOOKUP(F761,[10]bd!A:B,2,0)</f>
        <v>BANCO CUSCATLAN DE EL SALVADOR S.A.</v>
      </c>
      <c r="F761" s="142" t="s">
        <v>90</v>
      </c>
      <c r="G761" s="234"/>
      <c r="H761" s="235"/>
      <c r="I761" s="235"/>
      <c r="J761" s="235">
        <v>112.27</v>
      </c>
      <c r="K761" s="143">
        <v>14.59</v>
      </c>
      <c r="L761" s="235">
        <f t="shared" si="45"/>
        <v>126.86</v>
      </c>
      <c r="M761" s="245">
        <v>51000200001</v>
      </c>
      <c r="N761" s="236"/>
      <c r="O761" s="152" t="s">
        <v>150</v>
      </c>
      <c r="P761" s="227">
        <v>51000200001</v>
      </c>
      <c r="Q761" s="217" t="s">
        <v>460</v>
      </c>
      <c r="R761" s="235">
        <f t="shared" si="44"/>
        <v>699.26</v>
      </c>
      <c r="T761" s="97">
        <v>51000000001</v>
      </c>
      <c r="U761" s="97" t="s">
        <v>132</v>
      </c>
      <c r="X761" s="109"/>
    </row>
    <row r="762" spans="2:26" x14ac:dyDescent="0.2">
      <c r="B762" s="342">
        <v>43557</v>
      </c>
      <c r="C762" s="138" t="s">
        <v>810</v>
      </c>
      <c r="D762" s="138" t="s">
        <v>459</v>
      </c>
      <c r="E762" s="142" t="str">
        <f>+VLOOKUP(F762,[10]bd!A:B,2,0)</f>
        <v>BANCO CUSCATLAN DE EL SALVADOR S.A.</v>
      </c>
      <c r="F762" s="142" t="s">
        <v>90</v>
      </c>
      <c r="G762" s="142"/>
      <c r="H762" s="235"/>
      <c r="I762" s="235"/>
      <c r="J762" s="235">
        <v>47.95</v>
      </c>
      <c r="K762" s="143">
        <v>6.23</v>
      </c>
      <c r="L762" s="235">
        <f t="shared" si="45"/>
        <v>54.180000000000007</v>
      </c>
      <c r="M762" s="245">
        <v>51000200002</v>
      </c>
      <c r="N762" s="236"/>
      <c r="O762" s="152" t="s">
        <v>150</v>
      </c>
      <c r="P762" s="78">
        <v>51000200001</v>
      </c>
      <c r="Q762" s="142" t="s">
        <v>351</v>
      </c>
      <c r="R762" s="235">
        <f t="shared" si="44"/>
        <v>0</v>
      </c>
      <c r="T762" s="97">
        <v>51000000002</v>
      </c>
      <c r="U762" s="97" t="s">
        <v>10</v>
      </c>
      <c r="X762" s="109"/>
    </row>
    <row r="763" spans="2:26" x14ac:dyDescent="0.2">
      <c r="B763" s="342">
        <v>43557</v>
      </c>
      <c r="C763" s="138" t="s">
        <v>811</v>
      </c>
      <c r="D763" s="138" t="s">
        <v>459</v>
      </c>
      <c r="E763" s="142" t="str">
        <f>+VLOOKUP(F763,[10]bd!A:B,2,0)</f>
        <v>BANCO CUSCATLAN DE EL SALVADOR S.A.</v>
      </c>
      <c r="F763" s="142" t="s">
        <v>90</v>
      </c>
      <c r="G763" s="142"/>
      <c r="H763" s="235"/>
      <c r="I763" s="235"/>
      <c r="J763" s="235">
        <v>47.95</v>
      </c>
      <c r="K763" s="143">
        <v>6.23</v>
      </c>
      <c r="L763" s="235">
        <f t="shared" si="45"/>
        <v>54.180000000000007</v>
      </c>
      <c r="M763" s="245">
        <v>51000200001</v>
      </c>
      <c r="N763" s="236"/>
      <c r="O763" s="152" t="s">
        <v>150</v>
      </c>
      <c r="P763" s="78">
        <v>51000200001</v>
      </c>
      <c r="Q763" s="142" t="s">
        <v>56</v>
      </c>
      <c r="R763" s="235">
        <f t="shared" si="44"/>
        <v>0</v>
      </c>
      <c r="X763" s="198">
        <v>0</v>
      </c>
      <c r="Y763" s="109">
        <v>0</v>
      </c>
      <c r="Z763" s="144">
        <v>0</v>
      </c>
    </row>
    <row r="764" spans="2:26" x14ac:dyDescent="0.2">
      <c r="B764" s="342">
        <v>43558</v>
      </c>
      <c r="C764" s="138" t="s">
        <v>812</v>
      </c>
      <c r="D764" s="138" t="s">
        <v>459</v>
      </c>
      <c r="E764" s="142" t="str">
        <f>+VLOOKUP(F764,[10]bd!A:B,2,0)</f>
        <v>BANCO CUSCATLAN DE EL SALVADOR S.A.</v>
      </c>
      <c r="F764" s="142" t="s">
        <v>90</v>
      </c>
      <c r="G764" s="142"/>
      <c r="H764" s="235"/>
      <c r="I764" s="235"/>
      <c r="J764" s="235">
        <v>164.39</v>
      </c>
      <c r="K764" s="143">
        <v>21.37</v>
      </c>
      <c r="L764" s="235">
        <f t="shared" si="45"/>
        <v>185.76</v>
      </c>
      <c r="M764" s="245">
        <v>51000200002</v>
      </c>
      <c r="N764" s="236"/>
      <c r="O764" s="152" t="s">
        <v>150</v>
      </c>
      <c r="P764" s="227">
        <v>51000200002</v>
      </c>
      <c r="Q764" s="217" t="s">
        <v>460</v>
      </c>
      <c r="R764" s="235">
        <f t="shared" si="44"/>
        <v>699.26</v>
      </c>
      <c r="X764" s="171">
        <v>0</v>
      </c>
      <c r="Y764" s="171">
        <f>R770+R777</f>
        <v>0</v>
      </c>
      <c r="Z764" s="167">
        <v>0</v>
      </c>
    </row>
    <row r="765" spans="2:26" x14ac:dyDescent="0.2">
      <c r="B765" s="342">
        <v>43558</v>
      </c>
      <c r="C765" s="138" t="s">
        <v>813</v>
      </c>
      <c r="D765" s="138" t="s">
        <v>459</v>
      </c>
      <c r="E765" s="142" t="str">
        <f>+VLOOKUP(F765,[10]bd!A:B,2,0)</f>
        <v>BANCO CUSCATLAN DE EL SALVADOR S.A.</v>
      </c>
      <c r="F765" s="142" t="s">
        <v>90</v>
      </c>
      <c r="G765" s="142"/>
      <c r="H765" s="235"/>
      <c r="I765" s="235"/>
      <c r="J765" s="235">
        <v>164.39</v>
      </c>
      <c r="K765" s="143">
        <v>21.37</v>
      </c>
      <c r="L765" s="235">
        <f t="shared" si="45"/>
        <v>185.76</v>
      </c>
      <c r="M765" s="245">
        <v>51000200001</v>
      </c>
      <c r="N765" s="236"/>
      <c r="O765" s="152" t="s">
        <v>150</v>
      </c>
      <c r="P765" s="78">
        <v>51000200002</v>
      </c>
      <c r="Q765" s="142" t="s">
        <v>351</v>
      </c>
      <c r="R765" s="235">
        <f t="shared" si="44"/>
        <v>0</v>
      </c>
      <c r="X765" s="158">
        <f>SUM(X755:X762)</f>
        <v>-4699.96</v>
      </c>
      <c r="Y765" s="158">
        <f>SUM(Y755:Y764)</f>
        <v>3001.16</v>
      </c>
      <c r="Z765" s="158">
        <f>SUM(Z755:Z764)</f>
        <v>-228.37000000000035</v>
      </c>
    </row>
    <row r="766" spans="2:26" x14ac:dyDescent="0.2">
      <c r="B766" s="342">
        <v>43559</v>
      </c>
      <c r="C766" s="138" t="s">
        <v>814</v>
      </c>
      <c r="D766" s="138" t="s">
        <v>459</v>
      </c>
      <c r="E766" s="217" t="str">
        <f>+VLOOKUP(F766,[10]bd!A:B,2,0)</f>
        <v>CITIBANK, N.A. SUCURSAL EL SALVADOR</v>
      </c>
      <c r="F766" s="217" t="s">
        <v>329</v>
      </c>
      <c r="G766" s="217"/>
      <c r="H766" s="219"/>
      <c r="I766" s="219"/>
      <c r="J766" s="219">
        <v>44.26</v>
      </c>
      <c r="K766" s="246">
        <v>5.75</v>
      </c>
      <c r="L766" s="219">
        <f t="shared" si="45"/>
        <v>50.01</v>
      </c>
      <c r="M766" s="336"/>
      <c r="N766" s="236"/>
      <c r="O766" s="152" t="s">
        <v>150</v>
      </c>
      <c r="P766" s="78">
        <v>51000200002</v>
      </c>
      <c r="Q766" s="142" t="s">
        <v>56</v>
      </c>
      <c r="R766" s="235">
        <f t="shared" si="44"/>
        <v>0</v>
      </c>
      <c r="U766" s="109"/>
      <c r="Z766" s="144"/>
    </row>
    <row r="767" spans="2:26" x14ac:dyDescent="0.2">
      <c r="B767" s="342">
        <v>43559</v>
      </c>
      <c r="C767" s="138" t="s">
        <v>815</v>
      </c>
      <c r="D767" s="138" t="s">
        <v>459</v>
      </c>
      <c r="E767" s="217" t="str">
        <f>+VLOOKUP(F767,[10]bd!A:B,2,0)</f>
        <v>CITIBANK, N.A. SUCURSAL EL SALVADOR</v>
      </c>
      <c r="F767" s="217" t="s">
        <v>329</v>
      </c>
      <c r="G767" s="217"/>
      <c r="H767" s="219"/>
      <c r="I767" s="219"/>
      <c r="J767" s="219">
        <v>27.65</v>
      </c>
      <c r="K767" s="246">
        <v>3.6</v>
      </c>
      <c r="L767" s="219">
        <f t="shared" si="45"/>
        <v>31.25</v>
      </c>
      <c r="M767" s="336"/>
      <c r="N767" s="236"/>
      <c r="O767" s="152" t="s">
        <v>150</v>
      </c>
      <c r="P767" s="227">
        <v>51220200001</v>
      </c>
      <c r="Q767" s="217" t="s">
        <v>460</v>
      </c>
      <c r="R767" s="235">
        <f t="shared" si="44"/>
        <v>2655.14</v>
      </c>
      <c r="U767" s="109"/>
    </row>
    <row r="768" spans="2:26" x14ac:dyDescent="0.2">
      <c r="B768" s="342">
        <v>43556</v>
      </c>
      <c r="C768" s="138" t="s">
        <v>816</v>
      </c>
      <c r="D768" s="138" t="s">
        <v>459</v>
      </c>
      <c r="E768" s="142" t="s">
        <v>482</v>
      </c>
      <c r="F768" s="142"/>
      <c r="G768" s="142"/>
      <c r="H768" s="235"/>
      <c r="I768" s="235"/>
      <c r="J768" s="235">
        <v>0</v>
      </c>
      <c r="K768" s="143">
        <v>0</v>
      </c>
      <c r="L768" s="235">
        <f t="shared" si="45"/>
        <v>0</v>
      </c>
      <c r="M768" s="236"/>
      <c r="N768" s="236"/>
      <c r="O768" s="152" t="s">
        <v>150</v>
      </c>
      <c r="P768" s="78">
        <v>51220200001</v>
      </c>
      <c r="Q768" s="142" t="s">
        <v>351</v>
      </c>
      <c r="R768" s="235">
        <f t="shared" si="44"/>
        <v>0</v>
      </c>
    </row>
    <row r="769" spans="2:25" x14ac:dyDescent="0.2">
      <c r="B769" s="342">
        <v>43556</v>
      </c>
      <c r="C769" s="138" t="s">
        <v>817</v>
      </c>
      <c r="D769" s="138" t="s">
        <v>459</v>
      </c>
      <c r="E769" s="142" t="s">
        <v>482</v>
      </c>
      <c r="F769" s="142"/>
      <c r="G769" s="142"/>
      <c r="H769" s="235"/>
      <c r="I769" s="235"/>
      <c r="J769" s="235">
        <v>0</v>
      </c>
      <c r="K769" s="143">
        <v>0</v>
      </c>
      <c r="L769" s="235">
        <f t="shared" si="45"/>
        <v>0</v>
      </c>
      <c r="M769" s="236"/>
      <c r="N769" s="236"/>
      <c r="O769" s="152" t="s">
        <v>150</v>
      </c>
      <c r="P769" s="78">
        <v>51220200001</v>
      </c>
      <c r="Q769" s="142" t="s">
        <v>56</v>
      </c>
      <c r="R769" s="235">
        <f t="shared" si="44"/>
        <v>0</v>
      </c>
    </row>
    <row r="770" spans="2:25" x14ac:dyDescent="0.2">
      <c r="B770" s="141">
        <v>43565</v>
      </c>
      <c r="C770" s="138" t="s">
        <v>818</v>
      </c>
      <c r="D770" s="138" t="s">
        <v>459</v>
      </c>
      <c r="E770" s="142" t="str">
        <f>+VLOOKUP(F770,[10]bd!A:B,2,0)</f>
        <v>BANCO CUSCATLAN DE EL SALVADOR S.A.</v>
      </c>
      <c r="F770" s="142" t="s">
        <v>90</v>
      </c>
      <c r="G770" s="142"/>
      <c r="H770" s="235"/>
      <c r="I770" s="235"/>
      <c r="J770" s="235">
        <v>95.89</v>
      </c>
      <c r="K770" s="162">
        <v>12.47</v>
      </c>
      <c r="L770" s="235">
        <f t="shared" si="45"/>
        <v>108.36</v>
      </c>
      <c r="M770" s="245">
        <v>51000200002</v>
      </c>
      <c r="N770" s="236"/>
      <c r="O770" s="152" t="s">
        <v>150</v>
      </c>
      <c r="P770" s="78">
        <v>52200000001</v>
      </c>
      <c r="Q770" s="142" t="s">
        <v>460</v>
      </c>
      <c r="R770" s="235">
        <f t="shared" si="44"/>
        <v>0</v>
      </c>
      <c r="W770" s="106" t="s">
        <v>478</v>
      </c>
      <c r="X770" s="144">
        <f>+X756+X759+X755+X763+X764+X757+X758+X761+X762</f>
        <v>-4699.96</v>
      </c>
    </row>
    <row r="771" spans="2:25" x14ac:dyDescent="0.2">
      <c r="B771" s="141">
        <v>43565</v>
      </c>
      <c r="C771" s="138" t="s">
        <v>819</v>
      </c>
      <c r="D771" s="138" t="s">
        <v>459</v>
      </c>
      <c r="E771" s="142" t="str">
        <f>+VLOOKUP(F771,[10]bd!A:B,2,0)</f>
        <v>BANCO CUSCATLAN DE EL SALVADOR S.A.</v>
      </c>
      <c r="F771" s="142" t="s">
        <v>90</v>
      </c>
      <c r="G771" s="142"/>
      <c r="H771" s="235"/>
      <c r="I771" s="235"/>
      <c r="J771" s="235">
        <v>95.89</v>
      </c>
      <c r="K771" s="162">
        <v>12.47</v>
      </c>
      <c r="L771" s="235">
        <f t="shared" si="45"/>
        <v>108.36</v>
      </c>
      <c r="M771" s="245">
        <v>51000200001</v>
      </c>
      <c r="N771" s="236"/>
      <c r="O771" s="152" t="s">
        <v>150</v>
      </c>
      <c r="P771" s="78">
        <v>52200000001</v>
      </c>
      <c r="Q771" s="142" t="s">
        <v>351</v>
      </c>
      <c r="R771" s="235">
        <f t="shared" si="44"/>
        <v>0</v>
      </c>
      <c r="W771" s="97" t="s">
        <v>480</v>
      </c>
      <c r="X771" s="144">
        <f>+R775</f>
        <v>4399.68</v>
      </c>
    </row>
    <row r="772" spans="2:25" x14ac:dyDescent="0.2">
      <c r="B772" s="141">
        <v>43566</v>
      </c>
      <c r="C772" s="138" t="s">
        <v>820</v>
      </c>
      <c r="D772" s="138" t="s">
        <v>459</v>
      </c>
      <c r="E772" s="142" t="str">
        <f>+VLOOKUP(F772,[10]bd!A:B,2,0)</f>
        <v>BANCO CUSCATLAN DE EL SALVADOR S.A.</v>
      </c>
      <c r="F772" s="142" t="s">
        <v>90</v>
      </c>
      <c r="G772" s="142"/>
      <c r="H772" s="235"/>
      <c r="I772" s="235"/>
      <c r="J772" s="235">
        <v>159.65</v>
      </c>
      <c r="K772" s="162">
        <v>20.75</v>
      </c>
      <c r="L772" s="235">
        <f t="shared" si="45"/>
        <v>180.4</v>
      </c>
      <c r="M772" s="245">
        <v>51000200002</v>
      </c>
      <c r="N772" s="236"/>
      <c r="O772" s="152" t="s">
        <v>150</v>
      </c>
      <c r="P772" s="78">
        <v>52200000001</v>
      </c>
      <c r="Q772" s="142" t="s">
        <v>56</v>
      </c>
      <c r="R772" s="235">
        <f t="shared" si="44"/>
        <v>0</v>
      </c>
      <c r="W772" s="97" t="s">
        <v>486</v>
      </c>
      <c r="X772" s="167">
        <f>+J766+J767+J777</f>
        <v>298.54999999999995</v>
      </c>
    </row>
    <row r="773" spans="2:25" x14ac:dyDescent="0.2">
      <c r="B773" s="141">
        <v>43566</v>
      </c>
      <c r="C773" s="138" t="s">
        <v>821</v>
      </c>
      <c r="D773" s="138" t="s">
        <v>459</v>
      </c>
      <c r="E773" s="142" t="str">
        <f>+VLOOKUP(F773,[10]bd!A:B,2,0)</f>
        <v>BANCO CUSCATLAN DE EL SALVADOR S.A.</v>
      </c>
      <c r="F773" s="142" t="s">
        <v>90</v>
      </c>
      <c r="G773" s="142"/>
      <c r="H773" s="235"/>
      <c r="I773" s="235"/>
      <c r="J773" s="235">
        <v>159.65</v>
      </c>
      <c r="K773" s="162">
        <v>20.75</v>
      </c>
      <c r="L773" s="235">
        <f t="shared" si="45"/>
        <v>180.4</v>
      </c>
      <c r="M773" s="245">
        <v>51000200001</v>
      </c>
      <c r="N773" s="236"/>
      <c r="O773" s="152" t="s">
        <v>150</v>
      </c>
      <c r="P773" s="78">
        <v>52200000001</v>
      </c>
      <c r="Q773" s="142" t="s">
        <v>460</v>
      </c>
      <c r="R773" s="235">
        <f t="shared" si="44"/>
        <v>0</v>
      </c>
      <c r="X773" s="324">
        <f>X770+X771+X772</f>
        <v>-1.7299999999997908</v>
      </c>
      <c r="Y773" s="97" t="s">
        <v>500</v>
      </c>
    </row>
    <row r="774" spans="2:25" x14ac:dyDescent="0.2">
      <c r="B774" s="141">
        <v>43570</v>
      </c>
      <c r="C774" s="138" t="s">
        <v>822</v>
      </c>
      <c r="D774" s="138" t="s">
        <v>459</v>
      </c>
      <c r="E774" s="142" t="s">
        <v>482</v>
      </c>
      <c r="F774" s="111"/>
      <c r="G774" s="234"/>
      <c r="H774" s="235"/>
      <c r="I774" s="235"/>
      <c r="J774" s="235">
        <v>0</v>
      </c>
      <c r="K774" s="162">
        <v>0</v>
      </c>
      <c r="L774" s="235">
        <f t="shared" si="45"/>
        <v>0</v>
      </c>
      <c r="M774" s="236"/>
      <c r="N774" s="236"/>
      <c r="O774" s="152" t="s">
        <v>150</v>
      </c>
      <c r="P774" s="227">
        <v>51220200001</v>
      </c>
      <c r="Q774" s="217" t="s">
        <v>496</v>
      </c>
      <c r="R774" s="235">
        <f t="shared" si="44"/>
        <v>346.02</v>
      </c>
    </row>
    <row r="775" spans="2:25" ht="13.5" thickBot="1" x14ac:dyDescent="0.25">
      <c r="B775" s="141">
        <v>43570</v>
      </c>
      <c r="C775" s="138" t="s">
        <v>823</v>
      </c>
      <c r="D775" s="138" t="s">
        <v>459</v>
      </c>
      <c r="E775" s="142" t="str">
        <f>+VLOOKUP(F775,[10]bd!A:B,2,0)</f>
        <v>INVERSIONES FINANCIERAS IMPERIA CUSCATLAN, SA</v>
      </c>
      <c r="F775" s="111" t="s">
        <v>497</v>
      </c>
      <c r="G775" s="234"/>
      <c r="H775" s="235"/>
      <c r="I775" s="235"/>
      <c r="J775" s="235">
        <v>346.02</v>
      </c>
      <c r="K775" s="162">
        <v>44.98</v>
      </c>
      <c r="L775" s="235">
        <f t="shared" si="45"/>
        <v>391</v>
      </c>
      <c r="M775" s="341">
        <v>51220200001</v>
      </c>
      <c r="N775" s="236"/>
      <c r="O775" s="232"/>
      <c r="P775" s="232"/>
      <c r="R775" s="244">
        <f>SUM(R755:R774)</f>
        <v>4399.68</v>
      </c>
    </row>
    <row r="776" spans="2:25" ht="13.5" thickTop="1" x14ac:dyDescent="0.2">
      <c r="B776" s="141">
        <v>43570</v>
      </c>
      <c r="C776" s="138" t="s">
        <v>824</v>
      </c>
      <c r="D776" s="138" t="s">
        <v>459</v>
      </c>
      <c r="E776" s="142" t="str">
        <f>+VLOOKUP(F776,[10]bd!A:B,2,0)</f>
        <v>BANCO CUSCATLAN DE EL SALVADOR S.A.</v>
      </c>
      <c r="F776" s="142" t="s">
        <v>90</v>
      </c>
      <c r="G776" s="234"/>
      <c r="H776" s="235"/>
      <c r="I776" s="235"/>
      <c r="J776" s="235">
        <v>2655.14</v>
      </c>
      <c r="K776" s="143">
        <v>345.17</v>
      </c>
      <c r="L776" s="235">
        <f t="shared" si="45"/>
        <v>3000.31</v>
      </c>
      <c r="M776" s="341">
        <v>51220200001</v>
      </c>
      <c r="N776" s="236"/>
      <c r="O776" s="232"/>
      <c r="P776" s="232"/>
    </row>
    <row r="777" spans="2:25" x14ac:dyDescent="0.2">
      <c r="B777" s="141">
        <v>43570</v>
      </c>
      <c r="C777" s="138" t="s">
        <v>825</v>
      </c>
      <c r="D777" s="138" t="s">
        <v>459</v>
      </c>
      <c r="E777" s="217" t="str">
        <f>+VLOOKUP(F777,[10]bd!A:B,2,0)</f>
        <v>CITIBANK, N.A. SUCURSAL EL SALVADOR</v>
      </c>
      <c r="F777" s="217" t="s">
        <v>329</v>
      </c>
      <c r="G777" s="218"/>
      <c r="H777" s="219"/>
      <c r="I777" s="219"/>
      <c r="J777" s="219">
        <v>226.64</v>
      </c>
      <c r="K777" s="246">
        <v>29.46</v>
      </c>
      <c r="L777" s="219">
        <f t="shared" si="45"/>
        <v>256.09999999999997</v>
      </c>
      <c r="M777" s="336"/>
      <c r="N777" s="236"/>
      <c r="O777" s="232"/>
      <c r="P777" s="232"/>
    </row>
    <row r="778" spans="2:25" x14ac:dyDescent="0.2">
      <c r="B778" s="141">
        <v>43580</v>
      </c>
      <c r="C778" s="138" t="s">
        <v>826</v>
      </c>
      <c r="D778" s="138" t="s">
        <v>459</v>
      </c>
      <c r="E778" s="142" t="str">
        <f>+VLOOKUP(F778,[10]bd!A:B,2,0)</f>
        <v>BANCO CUSCATLAN DE EL SALVADOR S.A.</v>
      </c>
      <c r="F778" s="142" t="s">
        <v>90</v>
      </c>
      <c r="G778" s="234"/>
      <c r="H778" s="235"/>
      <c r="I778" s="235"/>
      <c r="J778" s="235">
        <v>71.53</v>
      </c>
      <c r="K778" s="143">
        <v>9.3000000000000007</v>
      </c>
      <c r="L778" s="235">
        <f t="shared" si="45"/>
        <v>80.83</v>
      </c>
      <c r="M778" s="245">
        <v>51000200002</v>
      </c>
      <c r="N778" s="236"/>
      <c r="O778" s="232"/>
      <c r="P778" s="232"/>
    </row>
    <row r="779" spans="2:25" x14ac:dyDescent="0.2">
      <c r="B779" s="141">
        <v>43580</v>
      </c>
      <c r="C779" s="138" t="s">
        <v>827</v>
      </c>
      <c r="D779" s="138" t="s">
        <v>459</v>
      </c>
      <c r="E779" s="142" t="str">
        <f>+VLOOKUP(F779,[10]bd!A:B,2,0)</f>
        <v>BANCO CUSCATLAN DE EL SALVADOR S.A.</v>
      </c>
      <c r="F779" s="142" t="s">
        <v>90</v>
      </c>
      <c r="G779" s="234"/>
      <c r="H779" s="235"/>
      <c r="I779" s="235"/>
      <c r="J779" s="235">
        <v>71.53</v>
      </c>
      <c r="K779" s="143">
        <v>9.3000000000000007</v>
      </c>
      <c r="L779" s="235">
        <f t="shared" si="45"/>
        <v>80.83</v>
      </c>
      <c r="M779" s="245">
        <v>51000200001</v>
      </c>
      <c r="N779" s="236"/>
      <c r="O779" s="232"/>
      <c r="P779" s="232"/>
    </row>
    <row r="780" spans="2:25" x14ac:dyDescent="0.2">
      <c r="B780" s="141">
        <v>43580</v>
      </c>
      <c r="C780" s="138" t="s">
        <v>828</v>
      </c>
      <c r="D780" s="138" t="s">
        <v>459</v>
      </c>
      <c r="E780" s="142" t="s">
        <v>482</v>
      </c>
      <c r="F780" s="142"/>
      <c r="G780" s="234"/>
      <c r="H780" s="235"/>
      <c r="I780" s="235"/>
      <c r="J780" s="235">
        <v>0</v>
      </c>
      <c r="K780" s="143">
        <v>0</v>
      </c>
      <c r="L780" s="235">
        <f t="shared" si="45"/>
        <v>0</v>
      </c>
      <c r="M780" s="236"/>
      <c r="N780" s="236"/>
      <c r="O780" s="232"/>
      <c r="P780" s="232"/>
    </row>
    <row r="781" spans="2:25" x14ac:dyDescent="0.2">
      <c r="B781" s="141">
        <v>43580</v>
      </c>
      <c r="C781" s="138" t="s">
        <v>829</v>
      </c>
      <c r="D781" s="138" t="s">
        <v>459</v>
      </c>
      <c r="E781" s="142" t="s">
        <v>482</v>
      </c>
      <c r="F781" s="142"/>
      <c r="G781" s="234"/>
      <c r="H781" s="235"/>
      <c r="I781" s="235"/>
      <c r="J781" s="235">
        <v>0</v>
      </c>
      <c r="K781" s="143">
        <v>0</v>
      </c>
      <c r="L781" s="235">
        <f t="shared" si="45"/>
        <v>0</v>
      </c>
      <c r="M781" s="236"/>
      <c r="N781" s="236"/>
      <c r="O781" s="232"/>
      <c r="P781" s="232"/>
    </row>
    <row r="782" spans="2:25" x14ac:dyDescent="0.2">
      <c r="B782" s="141">
        <v>43584</v>
      </c>
      <c r="C782" s="138" t="s">
        <v>830</v>
      </c>
      <c r="D782" s="138" t="s">
        <v>459</v>
      </c>
      <c r="E782" s="142" t="str">
        <f>+VLOOKUP(F782,[10]bd!A:B,2,0)</f>
        <v>BANCO CUSCATLAN DE EL SALVADOR S.A.</v>
      </c>
      <c r="F782" s="142" t="s">
        <v>90</v>
      </c>
      <c r="G782" s="142"/>
      <c r="H782" s="235"/>
      <c r="I782" s="235"/>
      <c r="J782" s="235">
        <v>47.58</v>
      </c>
      <c r="K782" s="143">
        <v>6.19</v>
      </c>
      <c r="L782" s="235">
        <f t="shared" si="45"/>
        <v>53.769999999999996</v>
      </c>
      <c r="M782" s="245">
        <v>51000200002</v>
      </c>
      <c r="N782" s="236"/>
      <c r="O782" s="232"/>
      <c r="P782" s="232"/>
    </row>
    <row r="783" spans="2:25" x14ac:dyDescent="0.2">
      <c r="B783" s="141">
        <v>43584</v>
      </c>
      <c r="C783" s="138" t="s">
        <v>831</v>
      </c>
      <c r="D783" s="138" t="s">
        <v>459</v>
      </c>
      <c r="E783" s="142" t="str">
        <f>+VLOOKUP(F783,[10]bd!A:B,2,0)</f>
        <v>BANCO CUSCATLAN DE EL SALVADOR S.A.</v>
      </c>
      <c r="F783" s="142" t="s">
        <v>90</v>
      </c>
      <c r="G783" s="142"/>
      <c r="H783" s="235"/>
      <c r="I783" s="235"/>
      <c r="J783" s="235">
        <v>47.58</v>
      </c>
      <c r="K783" s="143">
        <v>6.19</v>
      </c>
      <c r="L783" s="235">
        <f t="shared" si="45"/>
        <v>53.769999999999996</v>
      </c>
      <c r="M783" s="245">
        <v>51000200001</v>
      </c>
      <c r="N783" s="236"/>
      <c r="O783" s="232"/>
      <c r="P783" s="232"/>
    </row>
    <row r="786" spans="1:28" ht="3.75" customHeight="1" x14ac:dyDescent="0.2">
      <c r="A786" s="247"/>
      <c r="B786" s="247"/>
      <c r="C786" s="248"/>
      <c r="D786" s="248"/>
      <c r="E786" s="247"/>
      <c r="F786" s="247"/>
      <c r="G786" s="247"/>
      <c r="H786" s="247"/>
      <c r="I786" s="247"/>
      <c r="J786" s="247"/>
      <c r="K786" s="247"/>
      <c r="L786" s="247"/>
      <c r="M786" s="249"/>
      <c r="N786" s="249"/>
      <c r="O786" s="249"/>
      <c r="P786" s="249"/>
      <c r="Q786" s="250"/>
      <c r="R786" s="250"/>
      <c r="S786" s="250"/>
      <c r="T786" s="250"/>
      <c r="U786" s="250"/>
      <c r="V786" s="250"/>
      <c r="W786" s="250"/>
      <c r="X786" s="250"/>
      <c r="Y786" s="250"/>
      <c r="Z786" s="250"/>
      <c r="AA786" s="250"/>
      <c r="AB786" s="250"/>
    </row>
    <row r="788" spans="1:28" ht="15.75" x14ac:dyDescent="0.25">
      <c r="E788" s="349" t="s">
        <v>843</v>
      </c>
    </row>
    <row r="790" spans="1:28" x14ac:dyDescent="0.2">
      <c r="B790" s="125"/>
      <c r="C790" s="126" t="s">
        <v>255</v>
      </c>
      <c r="D790" s="127" t="s">
        <v>43</v>
      </c>
      <c r="E790" s="127"/>
      <c r="F790" s="127" t="s">
        <v>135</v>
      </c>
      <c r="G790" s="127"/>
      <c r="H790" s="128" t="s">
        <v>136</v>
      </c>
      <c r="I790" s="129"/>
      <c r="J790" s="129"/>
      <c r="K790" s="129"/>
      <c r="L790" s="146"/>
      <c r="O790" s="170" t="s">
        <v>480</v>
      </c>
      <c r="P790" s="170"/>
      <c r="Q790" s="170"/>
      <c r="R790" s="170"/>
      <c r="U790" s="106" t="s">
        <v>465</v>
      </c>
      <c r="Y790" s="97" t="s">
        <v>479</v>
      </c>
      <c r="Z790" s="97" t="s">
        <v>340</v>
      </c>
    </row>
    <row r="791" spans="1:28" x14ac:dyDescent="0.2">
      <c r="B791" s="130" t="s">
        <v>137</v>
      </c>
      <c r="C791" s="131" t="s">
        <v>138</v>
      </c>
      <c r="D791" s="131" t="s">
        <v>258</v>
      </c>
      <c r="E791" s="131" t="s">
        <v>139</v>
      </c>
      <c r="F791" s="131" t="s">
        <v>259</v>
      </c>
      <c r="G791" s="131" t="s">
        <v>140</v>
      </c>
      <c r="H791" s="132" t="s">
        <v>94</v>
      </c>
      <c r="I791" s="129"/>
      <c r="J791" s="132" t="s">
        <v>141</v>
      </c>
      <c r="K791" s="129"/>
      <c r="L791" s="147" t="s">
        <v>325</v>
      </c>
      <c r="O791" s="152" t="s">
        <v>151</v>
      </c>
      <c r="P791" s="78">
        <v>51000000001</v>
      </c>
      <c r="Q791" s="142" t="s">
        <v>460</v>
      </c>
      <c r="R791" s="235">
        <f>SUMIFS($J$794:$J$803,$E$794:$E$803,Q791,$M$794:$M$803,P791)</f>
        <v>0</v>
      </c>
      <c r="T791" s="97">
        <v>51000200001</v>
      </c>
      <c r="U791" s="97" t="s">
        <v>382</v>
      </c>
      <c r="X791" s="109">
        <v>-435.41</v>
      </c>
      <c r="Y791" s="109">
        <f>R794</f>
        <v>0</v>
      </c>
      <c r="Z791" s="144">
        <v>0</v>
      </c>
    </row>
    <row r="792" spans="1:28" x14ac:dyDescent="0.2">
      <c r="B792" s="133"/>
      <c r="C792" s="134"/>
      <c r="D792" s="134"/>
      <c r="E792" s="133"/>
      <c r="F792" s="133"/>
      <c r="G792" s="133"/>
      <c r="H792" s="135" t="s">
        <v>326</v>
      </c>
      <c r="I792" s="136" t="s">
        <v>327</v>
      </c>
      <c r="J792" s="148" t="s">
        <v>328</v>
      </c>
      <c r="K792" s="148" t="s">
        <v>89</v>
      </c>
      <c r="L792" s="149" t="s">
        <v>94</v>
      </c>
      <c r="O792" s="152" t="s">
        <v>151</v>
      </c>
      <c r="P792" s="78">
        <v>51000000002</v>
      </c>
      <c r="Q792" s="142" t="s">
        <v>460</v>
      </c>
      <c r="R792" s="235">
        <f t="shared" ref="R792:R810" si="46">SUMIFS($J$794:$J$803,$E$794:$E$803,Q792,$M$794:$M$803,P792)</f>
        <v>0</v>
      </c>
      <c r="T792" s="97">
        <v>51000200002</v>
      </c>
      <c r="U792" s="97" t="s">
        <v>383</v>
      </c>
      <c r="X792" s="109">
        <v>-435.41</v>
      </c>
      <c r="Y792" s="109">
        <f>R796</f>
        <v>0</v>
      </c>
      <c r="Z792" s="144">
        <v>0</v>
      </c>
    </row>
    <row r="793" spans="1:28" x14ac:dyDescent="0.2">
      <c r="B793" s="137"/>
      <c r="C793" s="138"/>
      <c r="D793" s="138"/>
      <c r="E793" s="139"/>
      <c r="F793" s="140"/>
      <c r="G793" s="234"/>
      <c r="H793" s="235"/>
      <c r="I793" s="235"/>
      <c r="J793" s="235"/>
      <c r="K793" s="235"/>
      <c r="L793" s="235"/>
      <c r="O793" s="152" t="s">
        <v>151</v>
      </c>
      <c r="P793" s="78">
        <v>51000100001</v>
      </c>
      <c r="Q793" s="142" t="s">
        <v>460</v>
      </c>
      <c r="R793" s="235">
        <f t="shared" si="46"/>
        <v>0</v>
      </c>
      <c r="T793" s="97">
        <v>51000100001</v>
      </c>
      <c r="U793" s="109" t="s">
        <v>12</v>
      </c>
      <c r="X793" s="109">
        <v>-404.96</v>
      </c>
    </row>
    <row r="794" spans="1:28" x14ac:dyDescent="0.2">
      <c r="B794" s="344">
        <v>43601</v>
      </c>
      <c r="C794" s="345" t="s">
        <v>832</v>
      </c>
      <c r="D794" s="345" t="s">
        <v>459</v>
      </c>
      <c r="E794" s="217" t="str">
        <f>+VLOOKUP(F794,[11]bd!A:B,2,0)</f>
        <v>CITIBANK, N.A. SUCURSAL EL SALVADOR</v>
      </c>
      <c r="F794" s="217" t="s">
        <v>329</v>
      </c>
      <c r="G794" s="218"/>
      <c r="H794" s="219"/>
      <c r="I794" s="219"/>
      <c r="J794" s="219">
        <v>404.96</v>
      </c>
      <c r="K794" s="246">
        <v>52.64</v>
      </c>
      <c r="L794" s="219">
        <f t="shared" ref="L794:L803" si="47">+J794+K794</f>
        <v>457.59999999999997</v>
      </c>
      <c r="M794" s="336"/>
      <c r="O794" s="152" t="s">
        <v>151</v>
      </c>
      <c r="P794" s="78">
        <v>51000100001</v>
      </c>
      <c r="Q794" s="142" t="s">
        <v>496</v>
      </c>
      <c r="R794" s="235">
        <f t="shared" si="46"/>
        <v>0</v>
      </c>
      <c r="T794" s="97">
        <v>51000100002</v>
      </c>
      <c r="U794" s="109" t="s">
        <v>380</v>
      </c>
      <c r="X794" s="109">
        <v>-253.1</v>
      </c>
    </row>
    <row r="795" spans="1:28" x14ac:dyDescent="0.2">
      <c r="B795" s="344">
        <v>43601</v>
      </c>
      <c r="C795" s="345" t="s">
        <v>833</v>
      </c>
      <c r="D795" s="345" t="s">
        <v>459</v>
      </c>
      <c r="E795" s="217" t="str">
        <f>+VLOOKUP(F795,[11]bd!A:B,2,0)</f>
        <v>CITIBANK, N.A. SUCURSAL EL SALVADOR</v>
      </c>
      <c r="F795" s="217" t="s">
        <v>329</v>
      </c>
      <c r="G795" s="217"/>
      <c r="H795" s="219"/>
      <c r="I795" s="219"/>
      <c r="J795" s="219">
        <v>253.1</v>
      </c>
      <c r="K795" s="246">
        <v>32.9</v>
      </c>
      <c r="L795" s="219">
        <f t="shared" si="47"/>
        <v>286</v>
      </c>
      <c r="M795" s="336"/>
      <c r="O795" s="152" t="s">
        <v>151</v>
      </c>
      <c r="P795" s="78">
        <v>51000100002</v>
      </c>
      <c r="Q795" s="142" t="s">
        <v>460</v>
      </c>
      <c r="R795" s="235">
        <f t="shared" si="46"/>
        <v>0</v>
      </c>
      <c r="T795" s="97">
        <v>51220200001</v>
      </c>
      <c r="U795" s="97" t="s">
        <v>55</v>
      </c>
      <c r="X795" s="109">
        <v>-1522.23</v>
      </c>
      <c r="Y795" s="109">
        <f>R803+R810</f>
        <v>1520.5</v>
      </c>
      <c r="Z795" s="144">
        <f>X795+Y795</f>
        <v>-1.7300000000000182</v>
      </c>
    </row>
    <row r="796" spans="1:28" x14ac:dyDescent="0.2">
      <c r="B796" s="342">
        <v>43605</v>
      </c>
      <c r="C796" s="138" t="s">
        <v>834</v>
      </c>
      <c r="D796" s="138" t="s">
        <v>459</v>
      </c>
      <c r="E796" s="142" t="str">
        <f>+VLOOKUP(F796,[11]bd!A:B,2,0)</f>
        <v>BANCO CUSCATLAN DE EL SALVADOR S.A.</v>
      </c>
      <c r="F796" s="142" t="s">
        <v>90</v>
      </c>
      <c r="G796" s="234"/>
      <c r="H796" s="235"/>
      <c r="I796" s="235"/>
      <c r="J796" s="235">
        <v>102.74</v>
      </c>
      <c r="K796" s="143">
        <v>13.36</v>
      </c>
      <c r="L796" s="235">
        <f t="shared" si="47"/>
        <v>116.1</v>
      </c>
      <c r="M796" s="245">
        <v>51000200002</v>
      </c>
      <c r="O796" s="152" t="s">
        <v>151</v>
      </c>
      <c r="P796" s="78">
        <v>51000100002</v>
      </c>
      <c r="Q796" s="142" t="s">
        <v>496</v>
      </c>
      <c r="R796" s="235">
        <f t="shared" si="46"/>
        <v>0</v>
      </c>
      <c r="T796" s="322">
        <v>52200000001</v>
      </c>
      <c r="U796" s="322" t="s">
        <v>33</v>
      </c>
      <c r="V796" s="322"/>
      <c r="W796" s="322"/>
      <c r="X796" s="323">
        <v>-149.55000000000001</v>
      </c>
      <c r="Y796" s="109">
        <v>0</v>
      </c>
      <c r="Z796" s="144">
        <v>0</v>
      </c>
    </row>
    <row r="797" spans="1:28" x14ac:dyDescent="0.2">
      <c r="B797" s="342">
        <v>43605</v>
      </c>
      <c r="C797" s="138" t="s">
        <v>835</v>
      </c>
      <c r="D797" s="138" t="s">
        <v>459</v>
      </c>
      <c r="E797" s="142" t="str">
        <f>+VLOOKUP(F797,[11]bd!A:B,2,0)</f>
        <v>BANCO CUSCATLAN DE EL SALVADOR S.A.</v>
      </c>
      <c r="F797" s="142" t="s">
        <v>90</v>
      </c>
      <c r="G797" s="234"/>
      <c r="H797" s="235"/>
      <c r="I797" s="235"/>
      <c r="J797" s="235">
        <v>102.74</v>
      </c>
      <c r="K797" s="143">
        <v>13.36</v>
      </c>
      <c r="L797" s="235">
        <f t="shared" si="47"/>
        <v>116.1</v>
      </c>
      <c r="M797" s="245">
        <v>51000200001</v>
      </c>
      <c r="O797" s="152" t="s">
        <v>151</v>
      </c>
      <c r="P797" s="227">
        <v>51000200001</v>
      </c>
      <c r="Q797" s="217" t="s">
        <v>460</v>
      </c>
      <c r="R797" s="235">
        <f t="shared" si="46"/>
        <v>435.41</v>
      </c>
      <c r="T797" s="97">
        <v>51000000001</v>
      </c>
      <c r="U797" s="97" t="s">
        <v>132</v>
      </c>
      <c r="X797" s="109"/>
    </row>
    <row r="798" spans="1:28" x14ac:dyDescent="0.2">
      <c r="B798" s="343" t="s">
        <v>836</v>
      </c>
      <c r="C798" s="138" t="s">
        <v>837</v>
      </c>
      <c r="D798" s="138" t="s">
        <v>459</v>
      </c>
      <c r="E798" s="142" t="str">
        <f>+VLOOKUP(F798,[11]bd!A:B,2,0)</f>
        <v>INVERSIONES FINANCIERAS IMPERIA CUSCATLAN, SA</v>
      </c>
      <c r="F798" s="142" t="s">
        <v>497</v>
      </c>
      <c r="G798" s="142"/>
      <c r="H798" s="235"/>
      <c r="I798" s="235"/>
      <c r="J798" s="235">
        <v>379.35</v>
      </c>
      <c r="K798" s="143">
        <v>49.32</v>
      </c>
      <c r="L798" s="235">
        <f t="shared" si="47"/>
        <v>428.67</v>
      </c>
      <c r="M798" s="341">
        <v>51220200001</v>
      </c>
      <c r="O798" s="152" t="s">
        <v>151</v>
      </c>
      <c r="P798" s="78">
        <v>51000200001</v>
      </c>
      <c r="Q798" s="142" t="s">
        <v>351</v>
      </c>
      <c r="R798" s="235">
        <f t="shared" si="46"/>
        <v>0</v>
      </c>
      <c r="T798" s="97">
        <v>51000000002</v>
      </c>
      <c r="U798" s="97" t="s">
        <v>10</v>
      </c>
      <c r="X798" s="109"/>
    </row>
    <row r="799" spans="1:28" x14ac:dyDescent="0.2">
      <c r="B799" s="343" t="s">
        <v>836</v>
      </c>
      <c r="C799" s="138" t="s">
        <v>838</v>
      </c>
      <c r="D799" s="138" t="s">
        <v>459</v>
      </c>
      <c r="E799" s="142" t="str">
        <f>+VLOOKUP(F799,[11]bd!A:B,2,0)</f>
        <v>BANCO CUSCATLAN DE EL SALVADOR S.A.</v>
      </c>
      <c r="F799" s="142" t="s">
        <v>90</v>
      </c>
      <c r="G799" s="142"/>
      <c r="H799" s="235"/>
      <c r="I799" s="235"/>
      <c r="J799" s="235">
        <v>1141.1500000000001</v>
      </c>
      <c r="K799" s="143">
        <v>148.35</v>
      </c>
      <c r="L799" s="235">
        <f t="shared" si="47"/>
        <v>1289.5</v>
      </c>
      <c r="M799" s="245">
        <v>51220200001</v>
      </c>
      <c r="O799" s="152" t="s">
        <v>151</v>
      </c>
      <c r="P799" s="78">
        <v>51000200001</v>
      </c>
      <c r="Q799" s="142" t="s">
        <v>56</v>
      </c>
      <c r="R799" s="235">
        <f t="shared" si="46"/>
        <v>0</v>
      </c>
      <c r="X799" s="198">
        <v>0</v>
      </c>
      <c r="Y799" s="109">
        <v>0</v>
      </c>
      <c r="Z799" s="144">
        <v>0</v>
      </c>
    </row>
    <row r="800" spans="1:28" x14ac:dyDescent="0.2">
      <c r="B800" s="342">
        <v>43612</v>
      </c>
      <c r="C800" s="138" t="s">
        <v>839</v>
      </c>
      <c r="D800" s="138" t="s">
        <v>459</v>
      </c>
      <c r="E800" s="142" t="str">
        <f>+VLOOKUP(F800,[11]bd!A:B,2,0)</f>
        <v>BANCO CUSCATLAN DE EL SALVADOR S.A.</v>
      </c>
      <c r="F800" s="142" t="s">
        <v>90</v>
      </c>
      <c r="G800" s="142"/>
      <c r="H800" s="235"/>
      <c r="I800" s="235"/>
      <c r="J800" s="235">
        <v>65.180000000000007</v>
      </c>
      <c r="K800" s="143">
        <v>8.4700000000000006</v>
      </c>
      <c r="L800" s="235">
        <f t="shared" si="47"/>
        <v>73.650000000000006</v>
      </c>
      <c r="M800" s="245">
        <v>51000200002</v>
      </c>
      <c r="O800" s="152" t="s">
        <v>151</v>
      </c>
      <c r="P800" s="227">
        <v>51000200002</v>
      </c>
      <c r="Q800" s="217" t="s">
        <v>460</v>
      </c>
      <c r="R800" s="235">
        <f t="shared" si="46"/>
        <v>435.41</v>
      </c>
      <c r="X800" s="171">
        <v>0</v>
      </c>
      <c r="Y800" s="171">
        <f>R806+R813</f>
        <v>0</v>
      </c>
      <c r="Z800" s="167">
        <v>0</v>
      </c>
    </row>
    <row r="801" spans="2:26" x14ac:dyDescent="0.2">
      <c r="B801" s="342">
        <v>43612</v>
      </c>
      <c r="C801" s="138" t="s">
        <v>840</v>
      </c>
      <c r="D801" s="138" t="s">
        <v>459</v>
      </c>
      <c r="E801" s="142" t="str">
        <f>+VLOOKUP(F801,[11]bd!A:B,2,0)</f>
        <v>BANCO CUSCATLAN DE EL SALVADOR S.A.</v>
      </c>
      <c r="F801" s="142" t="s">
        <v>90</v>
      </c>
      <c r="G801" s="142"/>
      <c r="H801" s="235"/>
      <c r="I801" s="235"/>
      <c r="J801" s="235">
        <v>65.180000000000007</v>
      </c>
      <c r="K801" s="143">
        <v>8.4700000000000006</v>
      </c>
      <c r="L801" s="235">
        <f t="shared" si="47"/>
        <v>73.650000000000006</v>
      </c>
      <c r="M801" s="245">
        <v>51000200001</v>
      </c>
      <c r="O801" s="152" t="s">
        <v>151</v>
      </c>
      <c r="P801" s="78">
        <v>51000200002</v>
      </c>
      <c r="Q801" s="142" t="s">
        <v>351</v>
      </c>
      <c r="R801" s="235">
        <f t="shared" si="46"/>
        <v>0</v>
      </c>
      <c r="X801" s="158">
        <f>SUM(X791:X798)</f>
        <v>-3200.66</v>
      </c>
      <c r="Y801" s="158">
        <f>SUM(Y791:Y800)</f>
        <v>1520.5</v>
      </c>
      <c r="Z801" s="158">
        <f>SUM(Z791:Z800)</f>
        <v>-1.7300000000000182</v>
      </c>
    </row>
    <row r="802" spans="2:26" x14ac:dyDescent="0.2">
      <c r="B802" s="342">
        <v>43614</v>
      </c>
      <c r="C802" s="138" t="s">
        <v>841</v>
      </c>
      <c r="D802" s="138" t="s">
        <v>459</v>
      </c>
      <c r="E802" s="142" t="str">
        <f>+VLOOKUP(F802,[11]bd!A:B,2,0)</f>
        <v>BANCO CUSCATLAN DE EL SALVADOR S.A.</v>
      </c>
      <c r="F802" s="142" t="s">
        <v>90</v>
      </c>
      <c r="G802" s="142"/>
      <c r="H802" s="235"/>
      <c r="I802" s="235"/>
      <c r="J802" s="235">
        <v>267.49</v>
      </c>
      <c r="K802" s="143">
        <v>34.770000000000003</v>
      </c>
      <c r="L802" s="235">
        <f t="shared" si="47"/>
        <v>302.26</v>
      </c>
      <c r="M802" s="245">
        <v>51000200002</v>
      </c>
      <c r="O802" s="152" t="s">
        <v>151</v>
      </c>
      <c r="P802" s="78">
        <v>51000200002</v>
      </c>
      <c r="Q802" s="142" t="s">
        <v>56</v>
      </c>
      <c r="R802" s="235">
        <f t="shared" si="46"/>
        <v>0</v>
      </c>
      <c r="U802" s="109"/>
      <c r="Z802" s="144"/>
    </row>
    <row r="803" spans="2:26" x14ac:dyDescent="0.2">
      <c r="B803" s="342">
        <v>43614</v>
      </c>
      <c r="C803" s="138" t="s">
        <v>842</v>
      </c>
      <c r="D803" s="138" t="s">
        <v>459</v>
      </c>
      <c r="E803" s="142" t="str">
        <f>+VLOOKUP(F803,[11]bd!A:B,2,0)</f>
        <v>BANCO CUSCATLAN DE EL SALVADOR S.A.</v>
      </c>
      <c r="F803" s="142" t="s">
        <v>90</v>
      </c>
      <c r="G803" s="142"/>
      <c r="H803" s="235"/>
      <c r="I803" s="235"/>
      <c r="J803" s="235">
        <v>267.49</v>
      </c>
      <c r="K803" s="143">
        <v>34.770000000000003</v>
      </c>
      <c r="L803" s="235">
        <f t="shared" si="47"/>
        <v>302.26</v>
      </c>
      <c r="M803" s="245">
        <v>51000200001</v>
      </c>
      <c r="O803" s="152" t="s">
        <v>151</v>
      </c>
      <c r="P803" s="227">
        <v>51220200001</v>
      </c>
      <c r="Q803" s="217" t="s">
        <v>460</v>
      </c>
      <c r="R803" s="235">
        <f t="shared" si="46"/>
        <v>1141.1500000000001</v>
      </c>
      <c r="U803" s="109"/>
    </row>
    <row r="804" spans="2:26" x14ac:dyDescent="0.2">
      <c r="O804" s="152" t="s">
        <v>151</v>
      </c>
      <c r="P804" s="78">
        <v>51220200001</v>
      </c>
      <c r="Q804" s="142" t="s">
        <v>351</v>
      </c>
      <c r="R804" s="235">
        <f t="shared" si="46"/>
        <v>0</v>
      </c>
    </row>
    <row r="805" spans="2:26" x14ac:dyDescent="0.2">
      <c r="O805" s="152" t="s">
        <v>151</v>
      </c>
      <c r="P805" s="78">
        <v>51220200001</v>
      </c>
      <c r="Q805" s="142" t="s">
        <v>56</v>
      </c>
      <c r="R805" s="235">
        <f t="shared" si="46"/>
        <v>0</v>
      </c>
    </row>
    <row r="806" spans="2:26" x14ac:dyDescent="0.2">
      <c r="O806" s="152" t="s">
        <v>151</v>
      </c>
      <c r="P806" s="78">
        <v>52200000001</v>
      </c>
      <c r="Q806" s="142" t="s">
        <v>460</v>
      </c>
      <c r="R806" s="235">
        <f t="shared" si="46"/>
        <v>0</v>
      </c>
      <c r="W806" s="106" t="s">
        <v>478</v>
      </c>
      <c r="X806" s="144">
        <f>+X792+X795+X791+X799+X800+X793+X794+X797+X798</f>
        <v>-3051.11</v>
      </c>
    </row>
    <row r="807" spans="2:26" x14ac:dyDescent="0.2">
      <c r="O807" s="152" t="s">
        <v>151</v>
      </c>
      <c r="P807" s="78">
        <v>52200000001</v>
      </c>
      <c r="Q807" s="142" t="s">
        <v>351</v>
      </c>
      <c r="R807" s="235">
        <f t="shared" si="46"/>
        <v>0</v>
      </c>
      <c r="W807" s="97" t="s">
        <v>480</v>
      </c>
      <c r="X807" s="144">
        <f>+R811</f>
        <v>2391.3200000000002</v>
      </c>
    </row>
    <row r="808" spans="2:26" x14ac:dyDescent="0.2">
      <c r="O808" s="152" t="s">
        <v>151</v>
      </c>
      <c r="P808" s="78">
        <v>52200000001</v>
      </c>
      <c r="Q808" s="142" t="s">
        <v>56</v>
      </c>
      <c r="R808" s="235">
        <f t="shared" si="46"/>
        <v>0</v>
      </c>
      <c r="W808" s="97" t="s">
        <v>486</v>
      </c>
      <c r="X808" s="167">
        <f>+J794+J795</f>
        <v>658.06</v>
      </c>
    </row>
    <row r="809" spans="2:26" x14ac:dyDescent="0.2">
      <c r="O809" s="152" t="s">
        <v>151</v>
      </c>
      <c r="P809" s="78">
        <v>52200000001</v>
      </c>
      <c r="Q809" s="142" t="s">
        <v>460</v>
      </c>
      <c r="R809" s="235">
        <f t="shared" si="46"/>
        <v>0</v>
      </c>
      <c r="X809" s="324">
        <f>X806+X807+X808</f>
        <v>-1.7300000000000182</v>
      </c>
      <c r="Y809" s="97" t="s">
        <v>500</v>
      </c>
    </row>
    <row r="810" spans="2:26" x14ac:dyDescent="0.2">
      <c r="O810" s="152" t="s">
        <v>151</v>
      </c>
      <c r="P810" s="227">
        <v>51220200001</v>
      </c>
      <c r="Q810" s="217" t="s">
        <v>496</v>
      </c>
      <c r="R810" s="235">
        <f t="shared" si="46"/>
        <v>379.35</v>
      </c>
    </row>
    <row r="811" spans="2:26" ht="13.5" thickBot="1" x14ac:dyDescent="0.25">
      <c r="O811" s="232"/>
      <c r="P811" s="232"/>
      <c r="R811" s="244">
        <f>SUM(R791:R810)</f>
        <v>2391.3200000000002</v>
      </c>
    </row>
    <row r="812" spans="2:26" ht="13.5" thickTop="1" x14ac:dyDescent="0.2"/>
    <row r="814" spans="2:26" x14ac:dyDescent="0.2">
      <c r="X814" s="109"/>
    </row>
    <row r="815" spans="2:26" x14ac:dyDescent="0.2">
      <c r="X815" s="109"/>
    </row>
    <row r="816" spans="2:26" x14ac:dyDescent="0.2">
      <c r="X816" s="109"/>
    </row>
    <row r="817" spans="1:28" x14ac:dyDescent="0.2">
      <c r="X817" s="109"/>
    </row>
    <row r="818" spans="1:28" x14ac:dyDescent="0.2">
      <c r="X818" s="109"/>
    </row>
    <row r="819" spans="1:28" ht="3.75" customHeight="1" x14ac:dyDescent="0.2">
      <c r="A819" s="247"/>
      <c r="B819" s="247"/>
      <c r="C819" s="248"/>
      <c r="D819" s="248"/>
      <c r="E819" s="247"/>
      <c r="F819" s="247"/>
      <c r="G819" s="247"/>
      <c r="H819" s="247"/>
      <c r="I819" s="247"/>
      <c r="J819" s="247"/>
      <c r="K819" s="247"/>
      <c r="L819" s="247"/>
      <c r="M819" s="249"/>
      <c r="N819" s="249"/>
      <c r="O819" s="249"/>
      <c r="P819" s="249"/>
      <c r="Q819" s="250"/>
      <c r="R819" s="250"/>
      <c r="S819" s="250"/>
      <c r="T819" s="250"/>
      <c r="U819" s="250"/>
      <c r="V819" s="250"/>
      <c r="W819" s="250"/>
      <c r="X819" s="250"/>
      <c r="Y819" s="250"/>
      <c r="Z819" s="250"/>
      <c r="AA819" s="250"/>
      <c r="AB819" s="250"/>
    </row>
    <row r="821" spans="1:28" ht="15.75" x14ac:dyDescent="0.25">
      <c r="E821" s="349" t="s">
        <v>862</v>
      </c>
    </row>
    <row r="824" spans="1:28" x14ac:dyDescent="0.2">
      <c r="B824" s="125"/>
      <c r="C824" s="126" t="s">
        <v>255</v>
      </c>
      <c r="D824" s="127" t="s">
        <v>43</v>
      </c>
      <c r="E824" s="127"/>
      <c r="F824" s="127" t="s">
        <v>135</v>
      </c>
      <c r="G824" s="127"/>
      <c r="H824" s="128" t="s">
        <v>136</v>
      </c>
      <c r="I824" s="129"/>
      <c r="J824" s="129"/>
      <c r="K824" s="129"/>
      <c r="L824" s="146"/>
      <c r="O824" s="170" t="s">
        <v>480</v>
      </c>
      <c r="P824" s="170"/>
      <c r="Q824" s="170"/>
      <c r="R824" s="170"/>
      <c r="U824" s="106" t="s">
        <v>465</v>
      </c>
      <c r="Y824" s="97" t="s">
        <v>479</v>
      </c>
      <c r="Z824" s="97" t="s">
        <v>340</v>
      </c>
    </row>
    <row r="825" spans="1:28" x14ac:dyDescent="0.2">
      <c r="B825" s="130" t="s">
        <v>137</v>
      </c>
      <c r="C825" s="131" t="s">
        <v>138</v>
      </c>
      <c r="D825" s="131" t="s">
        <v>258</v>
      </c>
      <c r="E825" s="131" t="s">
        <v>139</v>
      </c>
      <c r="F825" s="131" t="s">
        <v>259</v>
      </c>
      <c r="G825" s="131" t="s">
        <v>140</v>
      </c>
      <c r="H825" s="132" t="s">
        <v>94</v>
      </c>
      <c r="I825" s="129"/>
      <c r="J825" s="132" t="s">
        <v>141</v>
      </c>
      <c r="K825" s="129"/>
      <c r="L825" s="147" t="s">
        <v>325</v>
      </c>
      <c r="O825" s="152" t="s">
        <v>152</v>
      </c>
      <c r="P825" s="78">
        <v>51000000001</v>
      </c>
      <c r="Q825" s="142" t="s">
        <v>460</v>
      </c>
      <c r="R825" s="235">
        <f>SUMIFS($J$828:$J$840,$E$828:$E$840,Q825,$M$828:$M$840,P825)</f>
        <v>0</v>
      </c>
      <c r="T825" s="97">
        <v>51000200001</v>
      </c>
      <c r="U825" s="97" t="s">
        <v>382</v>
      </c>
      <c r="X825" s="109">
        <v>-758.84999999999945</v>
      </c>
      <c r="Y825" s="109">
        <f>R828</f>
        <v>0</v>
      </c>
      <c r="Z825" s="144">
        <v>0</v>
      </c>
    </row>
    <row r="826" spans="1:28" x14ac:dyDescent="0.2">
      <c r="B826" s="133"/>
      <c r="C826" s="134"/>
      <c r="D826" s="134"/>
      <c r="E826" s="133"/>
      <c r="F826" s="133"/>
      <c r="G826" s="133"/>
      <c r="H826" s="135" t="s">
        <v>326</v>
      </c>
      <c r="I826" s="136" t="s">
        <v>327</v>
      </c>
      <c r="J826" s="148" t="s">
        <v>328</v>
      </c>
      <c r="K826" s="148" t="s">
        <v>89</v>
      </c>
      <c r="L826" s="149" t="s">
        <v>94</v>
      </c>
      <c r="O826" s="152" t="s">
        <v>152</v>
      </c>
      <c r="P826" s="78">
        <v>51000000002</v>
      </c>
      <c r="Q826" s="142" t="s">
        <v>460</v>
      </c>
      <c r="R826" s="235">
        <f t="shared" ref="R826:R844" si="48">SUMIFS($J$828:$J$840,$E$828:$E$840,Q826,$M$828:$M$840,P826)</f>
        <v>0</v>
      </c>
      <c r="T826" s="97">
        <v>51000200002</v>
      </c>
      <c r="U826" s="97" t="s">
        <v>383</v>
      </c>
      <c r="X826" s="109">
        <v>-758.84999999999945</v>
      </c>
      <c r="Y826" s="109">
        <f>R830</f>
        <v>0</v>
      </c>
      <c r="Z826" s="144">
        <v>0</v>
      </c>
    </row>
    <row r="827" spans="1:28" x14ac:dyDescent="0.2">
      <c r="B827" s="137"/>
      <c r="C827" s="138"/>
      <c r="D827" s="138"/>
      <c r="E827" s="139"/>
      <c r="F827" s="140"/>
      <c r="G827" s="234"/>
      <c r="H827" s="235"/>
      <c r="I827" s="235"/>
      <c r="J827" s="235"/>
      <c r="K827" s="235"/>
      <c r="L827" s="235"/>
      <c r="O827" s="152" t="s">
        <v>152</v>
      </c>
      <c r="P827" s="78">
        <v>51000100001</v>
      </c>
      <c r="Q827" s="142" t="s">
        <v>460</v>
      </c>
      <c r="R827" s="235">
        <f t="shared" si="48"/>
        <v>0</v>
      </c>
      <c r="T827" s="97">
        <v>51000100001</v>
      </c>
      <c r="U827" s="109" t="s">
        <v>12</v>
      </c>
      <c r="X827" s="109"/>
    </row>
    <row r="828" spans="1:28" x14ac:dyDescent="0.2">
      <c r="B828" s="347">
        <v>43626</v>
      </c>
      <c r="C828" s="138" t="s">
        <v>844</v>
      </c>
      <c r="D828" s="138" t="s">
        <v>459</v>
      </c>
      <c r="E828" s="142" t="str">
        <f>+VLOOKUP(F828,[12]bd!A:B,2,0)</f>
        <v>BANCO CUSCATLAN DE EL SALVADOR S.A.</v>
      </c>
      <c r="F828" s="142" t="s">
        <v>90</v>
      </c>
      <c r="G828" s="234"/>
      <c r="H828" s="235"/>
      <c r="I828" s="235"/>
      <c r="J828" s="235">
        <v>142.4</v>
      </c>
      <c r="K828" s="143">
        <v>18.510000000000002</v>
      </c>
      <c r="L828" s="235">
        <f t="shared" ref="L828:L840" si="49">+J828+K828</f>
        <v>160.91</v>
      </c>
      <c r="M828" s="245">
        <v>51000200002</v>
      </c>
      <c r="O828" s="152" t="s">
        <v>152</v>
      </c>
      <c r="P828" s="78">
        <v>51000100001</v>
      </c>
      <c r="Q828" s="142" t="s">
        <v>496</v>
      </c>
      <c r="R828" s="235">
        <f t="shared" si="48"/>
        <v>0</v>
      </c>
      <c r="T828" s="97">
        <v>51000100002</v>
      </c>
      <c r="U828" s="109" t="s">
        <v>380</v>
      </c>
      <c r="X828" s="109"/>
    </row>
    <row r="829" spans="1:28" x14ac:dyDescent="0.2">
      <c r="B829" s="347">
        <v>43626</v>
      </c>
      <c r="C829" s="138" t="s">
        <v>845</v>
      </c>
      <c r="D829" s="138" t="s">
        <v>459</v>
      </c>
      <c r="E829" s="142" t="str">
        <f>+VLOOKUP(F829,[12]bd!A:B,2,0)</f>
        <v>BANCO CUSCATLAN DE EL SALVADOR S.A.</v>
      </c>
      <c r="F829" s="142" t="s">
        <v>90</v>
      </c>
      <c r="G829" s="142"/>
      <c r="H829" s="235"/>
      <c r="I829" s="235"/>
      <c r="J829" s="235">
        <v>142.4</v>
      </c>
      <c r="K829" s="143">
        <v>18.510000000000002</v>
      </c>
      <c r="L829" s="235">
        <f t="shared" si="49"/>
        <v>160.91</v>
      </c>
      <c r="M829" s="245">
        <v>51000200001</v>
      </c>
      <c r="O829" s="152" t="s">
        <v>152</v>
      </c>
      <c r="P829" s="78">
        <v>51000100002</v>
      </c>
      <c r="Q829" s="142" t="s">
        <v>460</v>
      </c>
      <c r="R829" s="235">
        <f t="shared" si="48"/>
        <v>0</v>
      </c>
      <c r="T829" s="97">
        <v>51220200001</v>
      </c>
      <c r="U829" s="97" t="s">
        <v>55</v>
      </c>
      <c r="X829" s="109">
        <v>-1985.52</v>
      </c>
      <c r="Y829" s="109">
        <f>R837+R844</f>
        <v>1732.0100000000002</v>
      </c>
      <c r="Z829" s="144">
        <f>X829+Y829</f>
        <v>-253.50999999999976</v>
      </c>
    </row>
    <row r="830" spans="1:28" x14ac:dyDescent="0.2">
      <c r="B830" s="348" t="s">
        <v>846</v>
      </c>
      <c r="C830" s="138" t="s">
        <v>847</v>
      </c>
      <c r="D830" s="138" t="s">
        <v>459</v>
      </c>
      <c r="E830" s="142" t="str">
        <f>+VLOOKUP(F830,[12]bd!A:B,2,0)</f>
        <v>BANCO CUSCATLAN DE EL SALVADOR S.A.</v>
      </c>
      <c r="F830" s="142" t="s">
        <v>90</v>
      </c>
      <c r="G830" s="234"/>
      <c r="H830" s="235"/>
      <c r="I830" s="235"/>
      <c r="J830" s="235">
        <v>143.84</v>
      </c>
      <c r="K830" s="143">
        <v>18.7</v>
      </c>
      <c r="L830" s="235">
        <f t="shared" si="49"/>
        <v>162.54</v>
      </c>
      <c r="M830" s="245">
        <v>51000200002</v>
      </c>
      <c r="O830" s="152" t="s">
        <v>152</v>
      </c>
      <c r="P830" s="78">
        <v>51000100002</v>
      </c>
      <c r="Q830" s="142" t="s">
        <v>496</v>
      </c>
      <c r="R830" s="235">
        <f t="shared" si="48"/>
        <v>0</v>
      </c>
      <c r="T830" s="322">
        <v>52200000001</v>
      </c>
      <c r="U830" s="322" t="s">
        <v>33</v>
      </c>
      <c r="V830" s="322"/>
      <c r="W830" s="322"/>
      <c r="X830" s="323">
        <v>-778.41</v>
      </c>
      <c r="Y830" s="109">
        <v>0</v>
      </c>
      <c r="Z830" s="144">
        <v>0</v>
      </c>
    </row>
    <row r="831" spans="1:28" x14ac:dyDescent="0.2">
      <c r="B831" s="348" t="s">
        <v>846</v>
      </c>
      <c r="C831" s="138" t="s">
        <v>848</v>
      </c>
      <c r="D831" s="138" t="s">
        <v>459</v>
      </c>
      <c r="E831" s="142" t="str">
        <f>+VLOOKUP(F831,[12]bd!A:B,2,0)</f>
        <v>BANCO CUSCATLAN DE EL SALVADOR S.A.</v>
      </c>
      <c r="F831" s="142" t="s">
        <v>90</v>
      </c>
      <c r="G831" s="234"/>
      <c r="H831" s="235"/>
      <c r="I831" s="235"/>
      <c r="J831" s="235">
        <v>143.84</v>
      </c>
      <c r="K831" s="143">
        <v>18.7</v>
      </c>
      <c r="L831" s="235">
        <f t="shared" si="49"/>
        <v>162.54</v>
      </c>
      <c r="M831" s="245">
        <v>51000200001</v>
      </c>
      <c r="O831" s="152" t="s">
        <v>152</v>
      </c>
      <c r="P831" s="227">
        <v>51000200001</v>
      </c>
      <c r="Q831" s="217" t="s">
        <v>460</v>
      </c>
      <c r="R831" s="235">
        <f t="shared" si="48"/>
        <v>758.85</v>
      </c>
      <c r="T831" s="97">
        <v>51000000001</v>
      </c>
      <c r="U831" s="97" t="s">
        <v>132</v>
      </c>
      <c r="X831" s="109"/>
    </row>
    <row r="832" spans="1:28" x14ac:dyDescent="0.2">
      <c r="B832" s="348" t="s">
        <v>849</v>
      </c>
      <c r="C832" s="138" t="s">
        <v>850</v>
      </c>
      <c r="D832" s="138" t="s">
        <v>459</v>
      </c>
      <c r="E832" s="142" t="str">
        <f>+VLOOKUP(F832,[12]bd!A:B,2,0)</f>
        <v>BANCO CUSCATLAN DE EL SALVADOR S.A.</v>
      </c>
      <c r="F832" s="142" t="s">
        <v>90</v>
      </c>
      <c r="G832" s="142"/>
      <c r="H832" s="235"/>
      <c r="I832" s="235"/>
      <c r="J832" s="235">
        <v>191.78</v>
      </c>
      <c r="K832" s="143">
        <v>24.93</v>
      </c>
      <c r="L832" s="235">
        <f t="shared" si="49"/>
        <v>216.71</v>
      </c>
      <c r="M832" s="245">
        <v>51000200002</v>
      </c>
      <c r="O832" s="152" t="s">
        <v>152</v>
      </c>
      <c r="P832" s="78">
        <v>51000200001</v>
      </c>
      <c r="Q832" s="142" t="s">
        <v>351</v>
      </c>
      <c r="R832" s="235">
        <f t="shared" si="48"/>
        <v>0</v>
      </c>
      <c r="T832" s="97">
        <v>51000000002</v>
      </c>
      <c r="U832" s="97" t="s">
        <v>10</v>
      </c>
      <c r="X832" s="109"/>
    </row>
    <row r="833" spans="1:28" x14ac:dyDescent="0.2">
      <c r="B833" s="348" t="s">
        <v>849</v>
      </c>
      <c r="C833" s="138" t="s">
        <v>851</v>
      </c>
      <c r="D833" s="138" t="s">
        <v>459</v>
      </c>
      <c r="E833" s="142" t="str">
        <f>+VLOOKUP(F833,[12]bd!A:B,2,0)</f>
        <v>BANCO CUSCATLAN DE EL SALVADOR S.A.</v>
      </c>
      <c r="F833" s="142" t="s">
        <v>90</v>
      </c>
      <c r="G833" s="142"/>
      <c r="H833" s="235"/>
      <c r="I833" s="235"/>
      <c r="J833" s="235">
        <v>191.78</v>
      </c>
      <c r="K833" s="143">
        <v>24.93</v>
      </c>
      <c r="L833" s="235">
        <f t="shared" si="49"/>
        <v>216.71</v>
      </c>
      <c r="M833" s="245">
        <v>51000200001</v>
      </c>
      <c r="O833" s="152" t="s">
        <v>152</v>
      </c>
      <c r="P833" s="78">
        <v>51000200001</v>
      </c>
      <c r="Q833" s="142" t="s">
        <v>56</v>
      </c>
      <c r="R833" s="235">
        <f t="shared" si="48"/>
        <v>0</v>
      </c>
      <c r="X833" s="198">
        <v>0</v>
      </c>
      <c r="Y833" s="109">
        <v>0</v>
      </c>
      <c r="Z833" s="144">
        <v>0</v>
      </c>
    </row>
    <row r="834" spans="1:28" x14ac:dyDescent="0.2">
      <c r="B834" s="348" t="s">
        <v>852</v>
      </c>
      <c r="C834" s="138" t="s">
        <v>853</v>
      </c>
      <c r="D834" s="138" t="s">
        <v>459</v>
      </c>
      <c r="E834" s="142" t="str">
        <f>+VLOOKUP(F834,[12]bd!A:B,2,0)</f>
        <v>BANCO CUSCATLAN DE EL SALVADOR S.A.</v>
      </c>
      <c r="F834" s="142" t="s">
        <v>90</v>
      </c>
      <c r="G834" s="142"/>
      <c r="H834" s="235"/>
      <c r="I834" s="235"/>
      <c r="J834" s="235">
        <v>136.99</v>
      </c>
      <c r="K834" s="143">
        <v>17.809999999999999</v>
      </c>
      <c r="L834" s="235">
        <f t="shared" si="49"/>
        <v>154.80000000000001</v>
      </c>
      <c r="M834" s="245">
        <v>51000200002</v>
      </c>
      <c r="O834" s="152" t="s">
        <v>152</v>
      </c>
      <c r="P834" s="227">
        <v>51000200002</v>
      </c>
      <c r="Q834" s="217" t="s">
        <v>460</v>
      </c>
      <c r="R834" s="235">
        <f t="shared" si="48"/>
        <v>758.85</v>
      </c>
      <c r="X834" s="171">
        <v>0</v>
      </c>
      <c r="Y834" s="171">
        <f>R840+R850</f>
        <v>0</v>
      </c>
      <c r="Z834" s="167">
        <v>0</v>
      </c>
    </row>
    <row r="835" spans="1:28" x14ac:dyDescent="0.2">
      <c r="B835" s="348" t="s">
        <v>852</v>
      </c>
      <c r="C835" s="138" t="s">
        <v>854</v>
      </c>
      <c r="D835" s="138" t="s">
        <v>459</v>
      </c>
      <c r="E835" s="142" t="str">
        <f>+VLOOKUP(F835,[12]bd!A:B,2,0)</f>
        <v>BANCO CUSCATLAN DE EL SALVADOR S.A.</v>
      </c>
      <c r="F835" s="142" t="s">
        <v>90</v>
      </c>
      <c r="G835" s="142"/>
      <c r="H835" s="235"/>
      <c r="I835" s="235"/>
      <c r="J835" s="235">
        <v>136.99</v>
      </c>
      <c r="K835" s="143">
        <v>17.809999999999999</v>
      </c>
      <c r="L835" s="235">
        <f t="shared" si="49"/>
        <v>154.80000000000001</v>
      </c>
      <c r="M835" s="245">
        <v>51000200001</v>
      </c>
      <c r="O835" s="152" t="s">
        <v>152</v>
      </c>
      <c r="P835" s="78">
        <v>51000200002</v>
      </c>
      <c r="Q835" s="142" t="s">
        <v>351</v>
      </c>
      <c r="R835" s="235">
        <f t="shared" si="48"/>
        <v>0</v>
      </c>
      <c r="X835" s="158">
        <f>SUM(X825:X832)</f>
        <v>-4281.6299999999992</v>
      </c>
      <c r="Y835" s="158">
        <f>SUM(Y825:Y834)</f>
        <v>1732.0100000000002</v>
      </c>
      <c r="Z835" s="158">
        <f>SUM(Z825:Z834)</f>
        <v>-253.50999999999976</v>
      </c>
    </row>
    <row r="836" spans="1:28" x14ac:dyDescent="0.2">
      <c r="B836" s="348" t="s">
        <v>855</v>
      </c>
      <c r="C836" s="138" t="s">
        <v>856</v>
      </c>
      <c r="D836" s="138" t="s">
        <v>459</v>
      </c>
      <c r="E836" s="142" t="str">
        <f>+VLOOKUP(F836,[12]bd!A:B,2,0)</f>
        <v>BANCO CUSCATLAN DE EL SALVADOR S.A.</v>
      </c>
      <c r="F836" s="142" t="s">
        <v>90</v>
      </c>
      <c r="G836" s="142"/>
      <c r="H836" s="235"/>
      <c r="I836" s="235"/>
      <c r="J836" s="235">
        <v>143.84</v>
      </c>
      <c r="K836" s="143">
        <v>18.7</v>
      </c>
      <c r="L836" s="235">
        <f t="shared" si="49"/>
        <v>162.54</v>
      </c>
      <c r="M836" s="245">
        <v>51000200002</v>
      </c>
      <c r="O836" s="152" t="s">
        <v>152</v>
      </c>
      <c r="P836" s="78">
        <v>51000200002</v>
      </c>
      <c r="Q836" s="142" t="s">
        <v>56</v>
      </c>
      <c r="R836" s="235">
        <f t="shared" si="48"/>
        <v>0</v>
      </c>
      <c r="U836" s="109"/>
      <c r="Z836" s="144"/>
    </row>
    <row r="837" spans="1:28" x14ac:dyDescent="0.2">
      <c r="B837" s="348" t="s">
        <v>855</v>
      </c>
      <c r="C837" s="138" t="s">
        <v>857</v>
      </c>
      <c r="D837" s="138" t="s">
        <v>459</v>
      </c>
      <c r="E837" s="142" t="str">
        <f>+VLOOKUP(F837,[12]bd!A:B,2,0)</f>
        <v>BANCO CUSCATLAN DE EL SALVADOR S.A.</v>
      </c>
      <c r="F837" s="142" t="s">
        <v>90</v>
      </c>
      <c r="G837" s="142"/>
      <c r="H837" s="235"/>
      <c r="I837" s="235"/>
      <c r="J837" s="235">
        <v>143.84</v>
      </c>
      <c r="K837" s="143">
        <v>18.7</v>
      </c>
      <c r="L837" s="235">
        <f t="shared" si="49"/>
        <v>162.54</v>
      </c>
      <c r="M837" s="245">
        <v>51000200001</v>
      </c>
      <c r="O837" s="152" t="s">
        <v>152</v>
      </c>
      <c r="P837" s="227">
        <v>51220200001</v>
      </c>
      <c r="Q837" s="217" t="s">
        <v>460</v>
      </c>
      <c r="R837" s="235">
        <f t="shared" si="48"/>
        <v>1377.66</v>
      </c>
      <c r="U837" s="109"/>
    </row>
    <row r="838" spans="1:28" x14ac:dyDescent="0.2">
      <c r="B838" s="348" t="s">
        <v>858</v>
      </c>
      <c r="C838" s="138" t="s">
        <v>859</v>
      </c>
      <c r="D838" s="138" t="s">
        <v>459</v>
      </c>
      <c r="E838" s="142" t="str">
        <f>+VLOOKUP(F838,[12]bd!A:B,2,0)</f>
        <v>INVERSIONES FINANCIERAS IMPERIA CUSCATLAN, SA</v>
      </c>
      <c r="F838" s="142" t="s">
        <v>497</v>
      </c>
      <c r="G838" s="142"/>
      <c r="H838" s="235"/>
      <c r="I838" s="235"/>
      <c r="J838" s="235">
        <v>354.35</v>
      </c>
      <c r="K838" s="143">
        <v>46.07</v>
      </c>
      <c r="L838" s="235">
        <f t="shared" si="49"/>
        <v>400.42</v>
      </c>
      <c r="M838" s="245">
        <v>51220200001</v>
      </c>
      <c r="O838" s="152" t="s">
        <v>152</v>
      </c>
      <c r="P838" s="78">
        <v>51220200001</v>
      </c>
      <c r="Q838" s="142" t="s">
        <v>351</v>
      </c>
      <c r="R838" s="235">
        <f t="shared" si="48"/>
        <v>0</v>
      </c>
    </row>
    <row r="839" spans="1:28" x14ac:dyDescent="0.2">
      <c r="B839" s="348" t="s">
        <v>858</v>
      </c>
      <c r="C839" s="138" t="s">
        <v>860</v>
      </c>
      <c r="D839" s="138" t="s">
        <v>459</v>
      </c>
      <c r="E839" s="142" t="str">
        <f>+VLOOKUP(F839,[12]bd!A:B,2,0)</f>
        <v>BANCO CUSCATLAN DE EL SALVADOR S.A.</v>
      </c>
      <c r="F839" s="142" t="s">
        <v>90</v>
      </c>
      <c r="G839" s="142"/>
      <c r="H839" s="235"/>
      <c r="I839" s="235"/>
      <c r="J839" s="235">
        <v>1377.66</v>
      </c>
      <c r="K839" s="143">
        <v>179.1</v>
      </c>
      <c r="L839" s="235">
        <f t="shared" si="49"/>
        <v>1556.76</v>
      </c>
      <c r="M839" s="245">
        <v>51220200001</v>
      </c>
      <c r="O839" s="152" t="s">
        <v>152</v>
      </c>
      <c r="P839" s="78">
        <v>51220200001</v>
      </c>
      <c r="Q839" s="142" t="s">
        <v>56</v>
      </c>
      <c r="R839" s="235">
        <f t="shared" si="48"/>
        <v>0</v>
      </c>
    </row>
    <row r="840" spans="1:28" x14ac:dyDescent="0.2">
      <c r="B840" s="350">
        <v>43640</v>
      </c>
      <c r="C840" s="345" t="s">
        <v>861</v>
      </c>
      <c r="D840" s="345" t="s">
        <v>459</v>
      </c>
      <c r="E840" s="217" t="str">
        <f>+VLOOKUP(F840,[12]bd!A:B,2,0)</f>
        <v>CITIBANK, N.A. SUCURSAL EL SALVADOR</v>
      </c>
      <c r="F840" s="217" t="s">
        <v>329</v>
      </c>
      <c r="G840" s="217"/>
      <c r="H840" s="219"/>
      <c r="I840" s="219"/>
      <c r="J840" s="219">
        <v>251.79</v>
      </c>
      <c r="K840" s="246">
        <v>32.729999999999997</v>
      </c>
      <c r="L840" s="219">
        <f t="shared" si="49"/>
        <v>284.52</v>
      </c>
      <c r="M840" s="336"/>
      <c r="O840" s="152" t="s">
        <v>152</v>
      </c>
      <c r="P840" s="78">
        <v>52200000001</v>
      </c>
      <c r="Q840" s="142" t="s">
        <v>460</v>
      </c>
      <c r="R840" s="235">
        <f t="shared" si="48"/>
        <v>0</v>
      </c>
      <c r="W840" s="106" t="s">
        <v>478</v>
      </c>
      <c r="X840" s="144">
        <f>+X826+X829+X825+X833+X834+X827+X828+X831+X832</f>
        <v>-3503.2199999999989</v>
      </c>
    </row>
    <row r="841" spans="1:28" x14ac:dyDescent="0.2">
      <c r="O841" s="152" t="s">
        <v>152</v>
      </c>
      <c r="P841" s="78">
        <v>52200000001</v>
      </c>
      <c r="Q841" s="142" t="s">
        <v>351</v>
      </c>
      <c r="R841" s="235">
        <f t="shared" si="48"/>
        <v>0</v>
      </c>
      <c r="W841" s="97" t="s">
        <v>480</v>
      </c>
      <c r="X841" s="144">
        <f>+R845</f>
        <v>3249.71</v>
      </c>
    </row>
    <row r="842" spans="1:28" x14ac:dyDescent="0.2">
      <c r="O842" s="152" t="s">
        <v>152</v>
      </c>
      <c r="P842" s="78">
        <v>52200000001</v>
      </c>
      <c r="Q842" s="142" t="s">
        <v>56</v>
      </c>
      <c r="R842" s="235">
        <f t="shared" si="48"/>
        <v>0</v>
      </c>
      <c r="W842" s="97" t="s">
        <v>486</v>
      </c>
      <c r="X842" s="167">
        <f>+J840</f>
        <v>251.79</v>
      </c>
    </row>
    <row r="843" spans="1:28" x14ac:dyDescent="0.2">
      <c r="O843" s="152" t="s">
        <v>152</v>
      </c>
      <c r="P843" s="78">
        <v>52200000001</v>
      </c>
      <c r="Q843" s="142" t="s">
        <v>460</v>
      </c>
      <c r="R843" s="235">
        <f t="shared" si="48"/>
        <v>0</v>
      </c>
      <c r="X843" s="324">
        <f>X840+X841+X842</f>
        <v>-1.719999999998862</v>
      </c>
      <c r="Y843" s="97" t="s">
        <v>500</v>
      </c>
    </row>
    <row r="844" spans="1:28" x14ac:dyDescent="0.2">
      <c r="O844" s="152" t="s">
        <v>152</v>
      </c>
      <c r="P844" s="227">
        <v>51220200001</v>
      </c>
      <c r="Q844" s="217" t="s">
        <v>496</v>
      </c>
      <c r="R844" s="235">
        <f t="shared" si="48"/>
        <v>354.35</v>
      </c>
    </row>
    <row r="845" spans="1:28" ht="13.5" thickBot="1" x14ac:dyDescent="0.25">
      <c r="O845" s="232"/>
      <c r="P845" s="232"/>
      <c r="R845" s="244">
        <f>SUM(R825:R844)</f>
        <v>3249.71</v>
      </c>
    </row>
    <row r="846" spans="1:28" ht="13.5" thickTop="1" x14ac:dyDescent="0.2">
      <c r="M846" s="232"/>
      <c r="N846" s="232"/>
      <c r="O846" s="232"/>
      <c r="P846" s="232"/>
      <c r="R846" s="353"/>
    </row>
    <row r="847" spans="1:28" ht="3.75" customHeight="1" x14ac:dyDescent="0.2">
      <c r="A847" s="247"/>
      <c r="B847" s="247"/>
      <c r="C847" s="248"/>
      <c r="D847" s="248"/>
      <c r="E847" s="247"/>
      <c r="F847" s="247"/>
      <c r="G847" s="247"/>
      <c r="H847" s="247"/>
      <c r="I847" s="247"/>
      <c r="J847" s="247"/>
      <c r="K847" s="247"/>
      <c r="L847" s="247"/>
      <c r="M847" s="249"/>
      <c r="N847" s="249"/>
      <c r="O847" s="249"/>
      <c r="P847" s="249"/>
      <c r="Q847" s="250"/>
      <c r="R847" s="250"/>
      <c r="S847" s="250"/>
      <c r="T847" s="250"/>
      <c r="U847" s="250"/>
      <c r="V847" s="250"/>
      <c r="W847" s="250"/>
      <c r="X847" s="250"/>
      <c r="Y847" s="250"/>
      <c r="Z847" s="250"/>
      <c r="AA847" s="250"/>
      <c r="AB847" s="250"/>
    </row>
    <row r="848" spans="1:28" ht="15.75" x14ac:dyDescent="0.25">
      <c r="E848" s="349" t="s">
        <v>913</v>
      </c>
      <c r="M848" s="232"/>
      <c r="N848" s="232"/>
      <c r="O848" s="232"/>
      <c r="P848" s="232"/>
    </row>
    <row r="849" spans="2:26" x14ac:dyDescent="0.2">
      <c r="M849" s="232"/>
      <c r="N849" s="232"/>
      <c r="O849" s="232"/>
      <c r="P849" s="232"/>
    </row>
    <row r="850" spans="2:26" x14ac:dyDescent="0.2">
      <c r="B850" s="125"/>
      <c r="C850" s="126" t="s">
        <v>255</v>
      </c>
      <c r="D850" s="127" t="s">
        <v>43</v>
      </c>
      <c r="E850" s="127"/>
      <c r="F850" s="127" t="s">
        <v>135</v>
      </c>
      <c r="G850" s="127"/>
      <c r="H850" s="128" t="s">
        <v>136</v>
      </c>
      <c r="I850" s="129"/>
      <c r="J850" s="129"/>
      <c r="K850" s="129"/>
      <c r="L850" s="146"/>
      <c r="O850" s="170" t="s">
        <v>480</v>
      </c>
      <c r="P850" s="170"/>
      <c r="Q850" s="170"/>
      <c r="R850" s="170"/>
      <c r="U850" s="106" t="s">
        <v>465</v>
      </c>
      <c r="Y850" s="97" t="s">
        <v>479</v>
      </c>
      <c r="Z850" s="97" t="s">
        <v>340</v>
      </c>
    </row>
    <row r="851" spans="2:26" x14ac:dyDescent="0.2">
      <c r="B851" s="130" t="s">
        <v>137</v>
      </c>
      <c r="C851" s="131" t="s">
        <v>138</v>
      </c>
      <c r="D851" s="131" t="s">
        <v>258</v>
      </c>
      <c r="E851" s="131" t="s">
        <v>139</v>
      </c>
      <c r="F851" s="131" t="s">
        <v>259</v>
      </c>
      <c r="G851" s="131" t="s">
        <v>140</v>
      </c>
      <c r="H851" s="132" t="s">
        <v>94</v>
      </c>
      <c r="I851" s="129"/>
      <c r="J851" s="132" t="s">
        <v>141</v>
      </c>
      <c r="K851" s="129"/>
      <c r="L851" s="147" t="s">
        <v>325</v>
      </c>
      <c r="O851" s="152" t="s">
        <v>153</v>
      </c>
      <c r="P851" s="78">
        <v>51000000001</v>
      </c>
      <c r="Q851" s="142" t="s">
        <v>460</v>
      </c>
      <c r="R851" s="235">
        <f>SUMIFS($J$853:$J$896,$E$853:$E$896,Q851,$M$853:$M$896,P851)</f>
        <v>0</v>
      </c>
      <c r="T851" s="97">
        <v>51000200001</v>
      </c>
      <c r="U851" s="97" t="s">
        <v>382</v>
      </c>
      <c r="X851" s="109">
        <v>-1260.54</v>
      </c>
      <c r="Y851" s="109">
        <f>R854</f>
        <v>0</v>
      </c>
      <c r="Z851" s="144">
        <v>0</v>
      </c>
    </row>
    <row r="852" spans="2:26" x14ac:dyDescent="0.2">
      <c r="B852" s="133"/>
      <c r="C852" s="134"/>
      <c r="D852" s="134"/>
      <c r="E852" s="133"/>
      <c r="F852" s="133"/>
      <c r="G852" s="133"/>
      <c r="H852" s="135" t="s">
        <v>326</v>
      </c>
      <c r="I852" s="136" t="s">
        <v>327</v>
      </c>
      <c r="J852" s="148" t="s">
        <v>328</v>
      </c>
      <c r="K852" s="148" t="s">
        <v>89</v>
      </c>
      <c r="L852" s="149" t="s">
        <v>94</v>
      </c>
      <c r="M852" s="232"/>
      <c r="N852" s="232"/>
      <c r="O852" s="152" t="s">
        <v>153</v>
      </c>
      <c r="P852" s="78">
        <v>51000000002</v>
      </c>
      <c r="Q852" s="142" t="s">
        <v>460</v>
      </c>
      <c r="R852" s="235">
        <f t="shared" ref="R852:R870" si="50">SUMIFS($J$853:$J$896,$E$853:$E$896,Q852,$M$853:$M$896,P852)</f>
        <v>0</v>
      </c>
      <c r="T852" s="97">
        <v>51000200002</v>
      </c>
      <c r="U852" s="97" t="s">
        <v>383</v>
      </c>
      <c r="X852" s="109">
        <v>-1260.54</v>
      </c>
      <c r="Y852" s="109">
        <f>R856</f>
        <v>0</v>
      </c>
      <c r="Z852" s="144">
        <v>0</v>
      </c>
    </row>
    <row r="853" spans="2:26" x14ac:dyDescent="0.2">
      <c r="B853" s="141">
        <v>43647</v>
      </c>
      <c r="C853" s="138" t="s">
        <v>870</v>
      </c>
      <c r="D853" s="138" t="s">
        <v>459</v>
      </c>
      <c r="E853" s="142" t="s">
        <v>460</v>
      </c>
      <c r="F853" s="142" t="s">
        <v>90</v>
      </c>
      <c r="G853" s="234"/>
      <c r="H853" s="235"/>
      <c r="I853" s="235"/>
      <c r="J853" s="235">
        <v>47.95</v>
      </c>
      <c r="K853" s="143">
        <v>6.23</v>
      </c>
      <c r="L853" s="235">
        <f t="shared" ref="L853:L896" si="51">+J853+K853</f>
        <v>54.180000000000007</v>
      </c>
      <c r="M853" s="245">
        <v>51000200002</v>
      </c>
      <c r="N853" s="232"/>
      <c r="O853" s="152" t="s">
        <v>153</v>
      </c>
      <c r="P853" s="78">
        <v>51000100001</v>
      </c>
      <c r="Q853" s="142" t="s">
        <v>460</v>
      </c>
      <c r="R853" s="235">
        <f t="shared" si="50"/>
        <v>0</v>
      </c>
      <c r="T853" s="97">
        <v>51000100001</v>
      </c>
      <c r="U853" s="109" t="s">
        <v>12</v>
      </c>
      <c r="X853" s="109">
        <v>-1227.3599999999999</v>
      </c>
    </row>
    <row r="854" spans="2:26" x14ac:dyDescent="0.2">
      <c r="B854" s="141">
        <v>43647</v>
      </c>
      <c r="C854" s="138" t="s">
        <v>871</v>
      </c>
      <c r="D854" s="138" t="s">
        <v>459</v>
      </c>
      <c r="E854" s="142" t="s">
        <v>460</v>
      </c>
      <c r="F854" s="142" t="s">
        <v>90</v>
      </c>
      <c r="G854" s="142"/>
      <c r="H854" s="235"/>
      <c r="I854" s="235"/>
      <c r="J854" s="235">
        <v>47.95</v>
      </c>
      <c r="K854" s="143">
        <v>6.23</v>
      </c>
      <c r="L854" s="235">
        <f t="shared" si="51"/>
        <v>54.180000000000007</v>
      </c>
      <c r="M854" s="245">
        <v>51000200001</v>
      </c>
      <c r="N854" s="232"/>
      <c r="O854" s="152" t="s">
        <v>153</v>
      </c>
      <c r="P854" s="78">
        <v>51000100001</v>
      </c>
      <c r="Q854" s="142" t="s">
        <v>496</v>
      </c>
      <c r="R854" s="235">
        <f t="shared" si="50"/>
        <v>0</v>
      </c>
      <c r="T854" s="97">
        <v>51000100002</v>
      </c>
      <c r="U854" s="109" t="s">
        <v>380</v>
      </c>
      <c r="X854" s="109">
        <v>-780.29</v>
      </c>
    </row>
    <row r="855" spans="2:26" x14ac:dyDescent="0.2">
      <c r="B855" s="141">
        <v>43647</v>
      </c>
      <c r="C855" s="138" t="s">
        <v>872</v>
      </c>
      <c r="D855" s="138" t="s">
        <v>459</v>
      </c>
      <c r="E855" s="217" t="s">
        <v>539</v>
      </c>
      <c r="F855" s="217" t="s">
        <v>329</v>
      </c>
      <c r="G855" s="218"/>
      <c r="H855" s="219"/>
      <c r="I855" s="219"/>
      <c r="J855" s="219">
        <v>21.65</v>
      </c>
      <c r="K855" s="246">
        <v>2.82</v>
      </c>
      <c r="L855" s="219">
        <f t="shared" si="51"/>
        <v>24.47</v>
      </c>
      <c r="M855" s="336"/>
      <c r="N855" s="232"/>
      <c r="O855" s="152" t="s">
        <v>153</v>
      </c>
      <c r="P855" s="78">
        <v>51000100002</v>
      </c>
      <c r="Q855" s="142" t="s">
        <v>460</v>
      </c>
      <c r="R855" s="235">
        <f t="shared" si="50"/>
        <v>0</v>
      </c>
      <c r="T855" s="97">
        <v>51220200001</v>
      </c>
      <c r="U855" s="97" t="s">
        <v>55</v>
      </c>
      <c r="X855" s="109">
        <v>-1744.0499999999993</v>
      </c>
      <c r="Y855" s="109">
        <f>R863+R870</f>
        <v>1663.13</v>
      </c>
      <c r="Z855" s="144">
        <f>X855+Y855</f>
        <v>-80.919999999999163</v>
      </c>
    </row>
    <row r="856" spans="2:26" x14ac:dyDescent="0.2">
      <c r="B856" s="141">
        <v>43647</v>
      </c>
      <c r="C856" s="138" t="s">
        <v>873</v>
      </c>
      <c r="D856" s="138" t="s">
        <v>459</v>
      </c>
      <c r="E856" s="217" t="s">
        <v>539</v>
      </c>
      <c r="F856" s="217" t="s">
        <v>329</v>
      </c>
      <c r="G856" s="218"/>
      <c r="H856" s="219"/>
      <c r="I856" s="219"/>
      <c r="J856" s="219">
        <v>13.54</v>
      </c>
      <c r="K856" s="246">
        <v>1.76</v>
      </c>
      <c r="L856" s="219">
        <f t="shared" si="51"/>
        <v>15.299999999999999</v>
      </c>
      <c r="M856" s="336"/>
      <c r="N856" s="232"/>
      <c r="O856" s="152" t="s">
        <v>153</v>
      </c>
      <c r="P856" s="78">
        <v>51000100002</v>
      </c>
      <c r="Q856" s="142" t="s">
        <v>496</v>
      </c>
      <c r="R856" s="235">
        <f t="shared" si="50"/>
        <v>0</v>
      </c>
      <c r="T856" s="195">
        <v>52200000001</v>
      </c>
      <c r="U856" s="195" t="s">
        <v>33</v>
      </c>
      <c r="V856" s="195"/>
      <c r="W856" s="195"/>
      <c r="X856" s="191">
        <v>-143.15</v>
      </c>
      <c r="Y856" s="109">
        <v>0</v>
      </c>
      <c r="Z856" s="144">
        <v>0</v>
      </c>
    </row>
    <row r="857" spans="2:26" x14ac:dyDescent="0.2">
      <c r="B857" s="141">
        <v>43648</v>
      </c>
      <c r="C857" s="138" t="s">
        <v>874</v>
      </c>
      <c r="D857" s="138" t="s">
        <v>459</v>
      </c>
      <c r="E857" s="142" t="s">
        <v>460</v>
      </c>
      <c r="F857" s="142" t="s">
        <v>90</v>
      </c>
      <c r="G857" s="142"/>
      <c r="H857" s="235"/>
      <c r="I857" s="235"/>
      <c r="J857" s="235">
        <v>41.56</v>
      </c>
      <c r="K857" s="143">
        <v>5.4</v>
      </c>
      <c r="L857" s="235">
        <f t="shared" si="51"/>
        <v>46.96</v>
      </c>
      <c r="M857" s="245">
        <v>51000200002</v>
      </c>
      <c r="N857" s="232"/>
      <c r="O857" s="152" t="s">
        <v>153</v>
      </c>
      <c r="P857" s="227">
        <v>51000200001</v>
      </c>
      <c r="Q857" s="217" t="s">
        <v>460</v>
      </c>
      <c r="R857" s="235">
        <f t="shared" si="50"/>
        <v>1260.5400000000002</v>
      </c>
      <c r="T857" s="97">
        <v>51000000001</v>
      </c>
      <c r="U857" s="97" t="s">
        <v>132</v>
      </c>
      <c r="X857" s="109"/>
    </row>
    <row r="858" spans="2:26" x14ac:dyDescent="0.2">
      <c r="B858" s="141">
        <v>43648</v>
      </c>
      <c r="C858" s="138" t="s">
        <v>875</v>
      </c>
      <c r="D858" s="138" t="s">
        <v>459</v>
      </c>
      <c r="E858" s="142" t="s">
        <v>460</v>
      </c>
      <c r="F858" s="142" t="s">
        <v>90</v>
      </c>
      <c r="G858" s="142"/>
      <c r="H858" s="235"/>
      <c r="I858" s="235"/>
      <c r="J858" s="235">
        <v>41.56</v>
      </c>
      <c r="K858" s="143">
        <v>5.4</v>
      </c>
      <c r="L858" s="235">
        <f t="shared" si="51"/>
        <v>46.96</v>
      </c>
      <c r="M858" s="245">
        <v>51000200001</v>
      </c>
      <c r="N858" s="232"/>
      <c r="O858" s="152" t="s">
        <v>153</v>
      </c>
      <c r="P858" s="78">
        <v>51000200001</v>
      </c>
      <c r="Q858" s="142" t="s">
        <v>351</v>
      </c>
      <c r="R858" s="235">
        <f t="shared" si="50"/>
        <v>0</v>
      </c>
      <c r="T858" s="97">
        <v>51000000002</v>
      </c>
      <c r="U858" s="97" t="s">
        <v>10</v>
      </c>
      <c r="X858" s="109"/>
    </row>
    <row r="859" spans="2:26" x14ac:dyDescent="0.2">
      <c r="B859" s="141">
        <v>43654</v>
      </c>
      <c r="C859" s="138" t="s">
        <v>876</v>
      </c>
      <c r="D859" s="138" t="s">
        <v>459</v>
      </c>
      <c r="E859" s="142" t="s">
        <v>482</v>
      </c>
      <c r="F859" s="142"/>
      <c r="G859" s="142"/>
      <c r="H859" s="235"/>
      <c r="I859" s="235"/>
      <c r="J859" s="235">
        <v>0</v>
      </c>
      <c r="K859" s="143">
        <v>0</v>
      </c>
      <c r="L859" s="235">
        <f t="shared" si="51"/>
        <v>0</v>
      </c>
      <c r="M859" s="232"/>
      <c r="N859" s="232"/>
      <c r="O859" s="152" t="s">
        <v>153</v>
      </c>
      <c r="P859" s="78">
        <v>51000200001</v>
      </c>
      <c r="Q859" s="142" t="s">
        <v>56</v>
      </c>
      <c r="R859" s="235">
        <f t="shared" si="50"/>
        <v>0</v>
      </c>
      <c r="X859" s="198">
        <v>0</v>
      </c>
      <c r="Y859" s="109">
        <v>0</v>
      </c>
      <c r="Z859" s="144">
        <v>0</v>
      </c>
    </row>
    <row r="860" spans="2:26" x14ac:dyDescent="0.2">
      <c r="B860" s="141">
        <v>43654</v>
      </c>
      <c r="C860" s="138" t="s">
        <v>877</v>
      </c>
      <c r="D860" s="138" t="s">
        <v>459</v>
      </c>
      <c r="E860" s="142" t="s">
        <v>482</v>
      </c>
      <c r="F860" s="142"/>
      <c r="G860" s="142"/>
      <c r="H860" s="235"/>
      <c r="I860" s="235"/>
      <c r="J860" s="235">
        <v>0</v>
      </c>
      <c r="K860" s="143">
        <v>0</v>
      </c>
      <c r="L860" s="235">
        <f t="shared" si="51"/>
        <v>0</v>
      </c>
      <c r="M860" s="232"/>
      <c r="N860" s="232"/>
      <c r="O860" s="152" t="s">
        <v>153</v>
      </c>
      <c r="P860" s="227">
        <v>51000200002</v>
      </c>
      <c r="Q860" s="217" t="s">
        <v>460</v>
      </c>
      <c r="R860" s="235">
        <f t="shared" si="50"/>
        <v>1260.5400000000002</v>
      </c>
      <c r="X860" s="171">
        <v>0</v>
      </c>
      <c r="Y860" s="171">
        <f>R866+R873</f>
        <v>0</v>
      </c>
      <c r="Z860" s="167">
        <v>0</v>
      </c>
    </row>
    <row r="861" spans="2:26" x14ac:dyDescent="0.2">
      <c r="B861" s="141">
        <v>43654</v>
      </c>
      <c r="C861" s="138" t="s">
        <v>878</v>
      </c>
      <c r="D861" s="138" t="s">
        <v>459</v>
      </c>
      <c r="E861" s="142" t="s">
        <v>460</v>
      </c>
      <c r="F861" s="142" t="s">
        <v>90</v>
      </c>
      <c r="G861" s="142"/>
      <c r="H861" s="235"/>
      <c r="I861" s="235"/>
      <c r="J861" s="235">
        <v>47.95</v>
      </c>
      <c r="K861" s="143">
        <v>6.23</v>
      </c>
      <c r="L861" s="235">
        <f t="shared" si="51"/>
        <v>54.180000000000007</v>
      </c>
      <c r="M861" s="245">
        <v>51000200002</v>
      </c>
      <c r="N861" s="232"/>
      <c r="O861" s="152" t="s">
        <v>153</v>
      </c>
      <c r="P861" s="78">
        <v>51000200002</v>
      </c>
      <c r="Q861" s="142" t="s">
        <v>351</v>
      </c>
      <c r="R861" s="235">
        <f t="shared" si="50"/>
        <v>0</v>
      </c>
      <c r="X861" s="158">
        <f>SUM(X851:X858)</f>
        <v>-6415.9299999999985</v>
      </c>
      <c r="Y861" s="158">
        <f>SUM(Y851:Y860)</f>
        <v>1663.13</v>
      </c>
      <c r="Z861" s="158">
        <f>SUM(Z851:Z860)</f>
        <v>-80.919999999999163</v>
      </c>
    </row>
    <row r="862" spans="2:26" x14ac:dyDescent="0.2">
      <c r="B862" s="141">
        <v>43654</v>
      </c>
      <c r="C862" s="138" t="s">
        <v>879</v>
      </c>
      <c r="D862" s="138" t="s">
        <v>459</v>
      </c>
      <c r="E862" s="142" t="s">
        <v>460</v>
      </c>
      <c r="F862" s="142" t="s">
        <v>90</v>
      </c>
      <c r="G862" s="142"/>
      <c r="H862" s="235"/>
      <c r="I862" s="235"/>
      <c r="J862" s="235">
        <v>47.95</v>
      </c>
      <c r="K862" s="143">
        <v>6.23</v>
      </c>
      <c r="L862" s="235">
        <f t="shared" si="51"/>
        <v>54.180000000000007</v>
      </c>
      <c r="M862" s="245">
        <v>51000200001</v>
      </c>
      <c r="N862" s="232"/>
      <c r="O862" s="152" t="s">
        <v>153</v>
      </c>
      <c r="P862" s="78">
        <v>51000200002</v>
      </c>
      <c r="Q862" s="142" t="s">
        <v>56</v>
      </c>
      <c r="R862" s="235">
        <f t="shared" si="50"/>
        <v>0</v>
      </c>
      <c r="U862" s="109"/>
      <c r="Z862" s="144"/>
    </row>
    <row r="863" spans="2:26" x14ac:dyDescent="0.2">
      <c r="B863" s="141">
        <v>43654</v>
      </c>
      <c r="C863" s="138" t="s">
        <v>880</v>
      </c>
      <c r="D863" s="138" t="s">
        <v>459</v>
      </c>
      <c r="E863" s="217" t="s">
        <v>539</v>
      </c>
      <c r="F863" s="217" t="s">
        <v>329</v>
      </c>
      <c r="G863" s="217"/>
      <c r="H863" s="219"/>
      <c r="I863" s="219"/>
      <c r="J863" s="219">
        <v>716.42</v>
      </c>
      <c r="K863" s="246">
        <v>93.14</v>
      </c>
      <c r="L863" s="219">
        <f t="shared" si="51"/>
        <v>809.56</v>
      </c>
      <c r="M863" s="336"/>
      <c r="N863" s="232"/>
      <c r="O863" s="152" t="s">
        <v>153</v>
      </c>
      <c r="P863" s="227">
        <v>51220200001</v>
      </c>
      <c r="Q863" s="217" t="s">
        <v>460</v>
      </c>
      <c r="R863" s="235">
        <f t="shared" si="50"/>
        <v>1308.78</v>
      </c>
      <c r="U863" s="109"/>
    </row>
    <row r="864" spans="2:26" x14ac:dyDescent="0.2">
      <c r="B864" s="141">
        <v>43654</v>
      </c>
      <c r="C864" s="138" t="s">
        <v>881</v>
      </c>
      <c r="D864" s="138" t="s">
        <v>459</v>
      </c>
      <c r="E864" s="217" t="s">
        <v>539</v>
      </c>
      <c r="F864" s="217" t="s">
        <v>329</v>
      </c>
      <c r="G864" s="217"/>
      <c r="H864" s="219"/>
      <c r="I864" s="219"/>
      <c r="J864" s="219">
        <v>447.77</v>
      </c>
      <c r="K864" s="246">
        <v>58.21</v>
      </c>
      <c r="L864" s="219">
        <f t="shared" si="51"/>
        <v>505.97999999999996</v>
      </c>
      <c r="M864" s="336"/>
      <c r="N864" s="232"/>
      <c r="O864" s="152" t="s">
        <v>153</v>
      </c>
      <c r="P864" s="78">
        <v>51220200001</v>
      </c>
      <c r="Q864" s="142" t="s">
        <v>351</v>
      </c>
      <c r="R864" s="235">
        <f t="shared" si="50"/>
        <v>0</v>
      </c>
    </row>
    <row r="865" spans="2:25" x14ac:dyDescent="0.2">
      <c r="B865" s="141">
        <v>43656</v>
      </c>
      <c r="C865" s="138" t="s">
        <v>882</v>
      </c>
      <c r="D865" s="138" t="s">
        <v>459</v>
      </c>
      <c r="E865" s="142" t="s">
        <v>460</v>
      </c>
      <c r="F865" s="142" t="s">
        <v>90</v>
      </c>
      <c r="G865" s="142"/>
      <c r="H865" s="235"/>
      <c r="I865" s="235"/>
      <c r="J865" s="235">
        <v>95.89</v>
      </c>
      <c r="K865" s="162">
        <v>12.47</v>
      </c>
      <c r="L865" s="235">
        <f t="shared" si="51"/>
        <v>108.36</v>
      </c>
      <c r="M865" s="245">
        <v>51000200002</v>
      </c>
      <c r="N865" s="232"/>
      <c r="O865" s="152" t="s">
        <v>153</v>
      </c>
      <c r="P865" s="78">
        <v>51220200001</v>
      </c>
      <c r="Q865" s="142" t="s">
        <v>56</v>
      </c>
      <c r="R865" s="235">
        <f t="shared" si="50"/>
        <v>0</v>
      </c>
    </row>
    <row r="866" spans="2:25" x14ac:dyDescent="0.2">
      <c r="B866" s="141">
        <v>43656</v>
      </c>
      <c r="C866" s="138" t="s">
        <v>703</v>
      </c>
      <c r="D866" s="138" t="s">
        <v>459</v>
      </c>
      <c r="E866" s="142" t="s">
        <v>460</v>
      </c>
      <c r="F866" s="142" t="s">
        <v>90</v>
      </c>
      <c r="G866" s="142"/>
      <c r="H866" s="235"/>
      <c r="I866" s="235"/>
      <c r="J866" s="235">
        <v>95.89</v>
      </c>
      <c r="K866" s="162">
        <v>12.47</v>
      </c>
      <c r="L866" s="235">
        <f t="shared" si="51"/>
        <v>108.36</v>
      </c>
      <c r="M866" s="245">
        <v>51000200001</v>
      </c>
      <c r="N866" s="232"/>
      <c r="O866" s="152" t="s">
        <v>153</v>
      </c>
      <c r="P866" s="78">
        <v>52200000001</v>
      </c>
      <c r="Q866" s="142" t="s">
        <v>460</v>
      </c>
      <c r="R866" s="235">
        <f t="shared" si="50"/>
        <v>0</v>
      </c>
      <c r="W866" s="106" t="s">
        <v>478</v>
      </c>
      <c r="X866" s="144">
        <f>+X852+X855+X851+X859+X860+X853+X854+X857+X858</f>
        <v>-6272.7799999999988</v>
      </c>
    </row>
    <row r="867" spans="2:25" x14ac:dyDescent="0.2">
      <c r="B867" s="141">
        <v>43657</v>
      </c>
      <c r="C867" s="138" t="s">
        <v>883</v>
      </c>
      <c r="D867" s="138" t="s">
        <v>459</v>
      </c>
      <c r="E867" s="142" t="s">
        <v>460</v>
      </c>
      <c r="F867" s="142" t="s">
        <v>90</v>
      </c>
      <c r="G867" s="142"/>
      <c r="H867" s="235"/>
      <c r="I867" s="235"/>
      <c r="J867" s="235">
        <v>164.64</v>
      </c>
      <c r="K867" s="162">
        <v>21.4</v>
      </c>
      <c r="L867" s="235">
        <f t="shared" si="51"/>
        <v>186.04</v>
      </c>
      <c r="M867" s="245">
        <v>51000200002</v>
      </c>
      <c r="N867" s="232"/>
      <c r="O867" s="152" t="s">
        <v>153</v>
      </c>
      <c r="P867" s="78">
        <v>52200000001</v>
      </c>
      <c r="Q867" s="142" t="s">
        <v>351</v>
      </c>
      <c r="R867" s="235">
        <f t="shared" si="50"/>
        <v>0</v>
      </c>
      <c r="W867" s="97" t="s">
        <v>480</v>
      </c>
      <c r="X867" s="144">
        <f>+R871</f>
        <v>4184.2100000000009</v>
      </c>
    </row>
    <row r="868" spans="2:25" x14ac:dyDescent="0.2">
      <c r="B868" s="141">
        <v>43657</v>
      </c>
      <c r="C868" s="138" t="s">
        <v>884</v>
      </c>
      <c r="D868" s="138" t="s">
        <v>459</v>
      </c>
      <c r="E868" s="142" t="s">
        <v>460</v>
      </c>
      <c r="F868" s="142" t="s">
        <v>90</v>
      </c>
      <c r="G868" s="142"/>
      <c r="H868" s="235"/>
      <c r="I868" s="235"/>
      <c r="J868" s="235">
        <v>164.64</v>
      </c>
      <c r="K868" s="162">
        <v>21.4</v>
      </c>
      <c r="L868" s="235">
        <f t="shared" si="51"/>
        <v>186.04</v>
      </c>
      <c r="M868" s="245">
        <v>51000200001</v>
      </c>
      <c r="N868" s="232"/>
      <c r="O868" s="152" t="s">
        <v>153</v>
      </c>
      <c r="P868" s="78">
        <v>52200000001</v>
      </c>
      <c r="Q868" s="142" t="s">
        <v>56</v>
      </c>
      <c r="R868" s="235">
        <f t="shared" si="50"/>
        <v>0</v>
      </c>
      <c r="W868" s="97" t="s">
        <v>486</v>
      </c>
      <c r="X868" s="167">
        <f>+J855+J856+J863+J864+J879+J881+J889+J890+J893</f>
        <v>2066.4699999999998</v>
      </c>
    </row>
    <row r="869" spans="2:25" x14ac:dyDescent="0.2">
      <c r="B869" s="141">
        <v>43661</v>
      </c>
      <c r="C869" s="138" t="s">
        <v>885</v>
      </c>
      <c r="D869" s="138" t="s">
        <v>459</v>
      </c>
      <c r="E869" s="142" t="s">
        <v>460</v>
      </c>
      <c r="F869" s="142" t="s">
        <v>90</v>
      </c>
      <c r="G869" s="234"/>
      <c r="H869" s="235"/>
      <c r="I869" s="235"/>
      <c r="J869" s="235">
        <v>47.95</v>
      </c>
      <c r="K869" s="162">
        <v>6.23</v>
      </c>
      <c r="L869" s="235">
        <f t="shared" si="51"/>
        <v>54.180000000000007</v>
      </c>
      <c r="M869" s="245">
        <v>51000200002</v>
      </c>
      <c r="N869" s="232"/>
      <c r="O869" s="152" t="s">
        <v>153</v>
      </c>
      <c r="P869" s="78">
        <v>52200000001</v>
      </c>
      <c r="Q869" s="142" t="s">
        <v>460</v>
      </c>
      <c r="R869" s="235">
        <f t="shared" si="50"/>
        <v>0</v>
      </c>
      <c r="X869" s="324">
        <f>X866+X867+X868</f>
        <v>-22.09999999999809</v>
      </c>
      <c r="Y869" s="97" t="s">
        <v>500</v>
      </c>
    </row>
    <row r="870" spans="2:25" x14ac:dyDescent="0.2">
      <c r="B870" s="141">
        <v>43661</v>
      </c>
      <c r="C870" s="138" t="s">
        <v>886</v>
      </c>
      <c r="D870" s="138" t="s">
        <v>459</v>
      </c>
      <c r="E870" s="142" t="s">
        <v>460</v>
      </c>
      <c r="F870" s="142" t="s">
        <v>90</v>
      </c>
      <c r="G870" s="234"/>
      <c r="H870" s="235"/>
      <c r="I870" s="235"/>
      <c r="J870" s="235">
        <v>47.95</v>
      </c>
      <c r="K870" s="162">
        <v>6.23</v>
      </c>
      <c r="L870" s="235">
        <f t="shared" si="51"/>
        <v>54.180000000000007</v>
      </c>
      <c r="M870" s="245">
        <v>51000200001</v>
      </c>
      <c r="N870" s="232"/>
      <c r="O870" s="152" t="s">
        <v>153</v>
      </c>
      <c r="P870" s="227">
        <v>51220200001</v>
      </c>
      <c r="Q870" s="217" t="s">
        <v>496</v>
      </c>
      <c r="R870" s="235">
        <f t="shared" si="50"/>
        <v>354.35</v>
      </c>
    </row>
    <row r="871" spans="2:25" ht="13.5" thickBot="1" x14ac:dyDescent="0.25">
      <c r="B871" s="141">
        <v>43662</v>
      </c>
      <c r="C871" s="138" t="s">
        <v>887</v>
      </c>
      <c r="D871" s="138" t="s">
        <v>459</v>
      </c>
      <c r="E871" s="142" t="s">
        <v>460</v>
      </c>
      <c r="F871" s="142" t="s">
        <v>90</v>
      </c>
      <c r="G871" s="234"/>
      <c r="H871" s="235"/>
      <c r="I871" s="235"/>
      <c r="J871" s="235">
        <v>151.04</v>
      </c>
      <c r="K871" s="143">
        <v>19.63</v>
      </c>
      <c r="L871" s="235">
        <f t="shared" si="51"/>
        <v>170.67</v>
      </c>
      <c r="M871" s="245">
        <v>51000200002</v>
      </c>
      <c r="N871" s="232"/>
      <c r="O871" s="232"/>
      <c r="P871" s="232"/>
      <c r="R871" s="244">
        <f>SUM(R851:R870)</f>
        <v>4184.2100000000009</v>
      </c>
    </row>
    <row r="872" spans="2:25" ht="13.5" thickTop="1" x14ac:dyDescent="0.2">
      <c r="B872" s="141">
        <v>43662</v>
      </c>
      <c r="C872" s="138" t="s">
        <v>888</v>
      </c>
      <c r="D872" s="138" t="s">
        <v>459</v>
      </c>
      <c r="E872" s="142" t="s">
        <v>460</v>
      </c>
      <c r="F872" s="142" t="s">
        <v>90</v>
      </c>
      <c r="G872" s="234"/>
      <c r="H872" s="235"/>
      <c r="I872" s="235"/>
      <c r="J872" s="235">
        <v>151.04</v>
      </c>
      <c r="K872" s="143">
        <v>19.63</v>
      </c>
      <c r="L872" s="235">
        <f t="shared" si="51"/>
        <v>170.67</v>
      </c>
      <c r="M872" s="245">
        <v>51000200001</v>
      </c>
      <c r="N872" s="232"/>
    </row>
    <row r="873" spans="2:25" x14ac:dyDescent="0.2">
      <c r="B873" s="141">
        <v>43663</v>
      </c>
      <c r="C873" s="138" t="s">
        <v>889</v>
      </c>
      <c r="D873" s="138" t="s">
        <v>459</v>
      </c>
      <c r="E873" s="142" t="s">
        <v>460</v>
      </c>
      <c r="F873" s="142" t="s">
        <v>90</v>
      </c>
      <c r="G873" s="234"/>
      <c r="H873" s="235"/>
      <c r="I873" s="235"/>
      <c r="J873" s="235">
        <v>191.79</v>
      </c>
      <c r="K873" s="143">
        <v>24.93</v>
      </c>
      <c r="L873" s="235">
        <f t="shared" si="51"/>
        <v>216.72</v>
      </c>
      <c r="M873" s="245">
        <v>51000200002</v>
      </c>
      <c r="N873" s="232"/>
    </row>
    <row r="874" spans="2:25" x14ac:dyDescent="0.2">
      <c r="B874" s="141">
        <v>43663</v>
      </c>
      <c r="C874" s="138" t="s">
        <v>890</v>
      </c>
      <c r="D874" s="138" t="s">
        <v>459</v>
      </c>
      <c r="E874" s="142" t="s">
        <v>460</v>
      </c>
      <c r="F874" s="142" t="s">
        <v>90</v>
      </c>
      <c r="G874" s="234"/>
      <c r="H874" s="235"/>
      <c r="I874" s="235"/>
      <c r="J874" s="235">
        <v>191.79</v>
      </c>
      <c r="K874" s="143">
        <v>24.93</v>
      </c>
      <c r="L874" s="235">
        <f t="shared" si="51"/>
        <v>216.72</v>
      </c>
      <c r="M874" s="245">
        <v>51000200001</v>
      </c>
      <c r="N874" s="232"/>
    </row>
    <row r="875" spans="2:25" x14ac:dyDescent="0.2">
      <c r="B875" s="141">
        <v>43664</v>
      </c>
      <c r="C875" s="138" t="s">
        <v>891</v>
      </c>
      <c r="D875" s="138" t="s">
        <v>459</v>
      </c>
      <c r="E875" s="142" t="s">
        <v>460</v>
      </c>
      <c r="F875" s="142" t="s">
        <v>90</v>
      </c>
      <c r="G875" s="234"/>
      <c r="H875" s="235"/>
      <c r="I875" s="235"/>
      <c r="J875" s="235">
        <v>47.95</v>
      </c>
      <c r="K875" s="143">
        <v>6.23</v>
      </c>
      <c r="L875" s="235">
        <f t="shared" si="51"/>
        <v>54.180000000000007</v>
      </c>
      <c r="M875" s="245">
        <v>51000200002</v>
      </c>
      <c r="N875" s="232"/>
    </row>
    <row r="876" spans="2:25" x14ac:dyDescent="0.2">
      <c r="B876" s="141">
        <v>43664</v>
      </c>
      <c r="C876" s="138" t="s">
        <v>892</v>
      </c>
      <c r="D876" s="138" t="s">
        <v>459</v>
      </c>
      <c r="E876" s="142" t="s">
        <v>460</v>
      </c>
      <c r="F876" s="142" t="s">
        <v>90</v>
      </c>
      <c r="G876" s="234"/>
      <c r="H876" s="235"/>
      <c r="I876" s="235"/>
      <c r="J876" s="235">
        <v>47.95</v>
      </c>
      <c r="K876" s="143">
        <v>6.23</v>
      </c>
      <c r="L876" s="235">
        <f t="shared" si="51"/>
        <v>54.180000000000007</v>
      </c>
      <c r="M876" s="245">
        <v>51000200001</v>
      </c>
      <c r="N876" s="232"/>
    </row>
    <row r="877" spans="2:25" x14ac:dyDescent="0.2">
      <c r="B877" s="141">
        <v>43668</v>
      </c>
      <c r="C877" s="138" t="s">
        <v>893</v>
      </c>
      <c r="D877" s="138" t="s">
        <v>459</v>
      </c>
      <c r="E877" s="142" t="s">
        <v>460</v>
      </c>
      <c r="F877" s="142" t="s">
        <v>90</v>
      </c>
      <c r="G877" s="234"/>
      <c r="H877" s="235"/>
      <c r="I877" s="235"/>
      <c r="J877" s="235">
        <v>47.95</v>
      </c>
      <c r="K877" s="143">
        <v>6.23</v>
      </c>
      <c r="L877" s="235">
        <f t="shared" si="51"/>
        <v>54.180000000000007</v>
      </c>
      <c r="M877" s="245">
        <v>51000200002</v>
      </c>
      <c r="N877" s="232"/>
    </row>
    <row r="878" spans="2:25" x14ac:dyDescent="0.2">
      <c r="B878" s="141">
        <v>43668</v>
      </c>
      <c r="C878" s="138" t="s">
        <v>894</v>
      </c>
      <c r="D878" s="138" t="s">
        <v>459</v>
      </c>
      <c r="E878" s="142" t="s">
        <v>460</v>
      </c>
      <c r="F878" s="142" t="s">
        <v>90</v>
      </c>
      <c r="G878" s="234"/>
      <c r="H878" s="235"/>
      <c r="I878" s="235"/>
      <c r="J878" s="235">
        <v>47.95</v>
      </c>
      <c r="K878" s="143">
        <v>6.23</v>
      </c>
      <c r="L878" s="235">
        <f t="shared" si="51"/>
        <v>54.180000000000007</v>
      </c>
      <c r="M878" s="245">
        <v>51000200001</v>
      </c>
      <c r="N878" s="232"/>
    </row>
    <row r="879" spans="2:25" x14ac:dyDescent="0.2">
      <c r="B879" s="141" t="s">
        <v>895</v>
      </c>
      <c r="C879" s="138" t="s">
        <v>896</v>
      </c>
      <c r="D879" s="138" t="s">
        <v>459</v>
      </c>
      <c r="E879" s="217" t="s">
        <v>539</v>
      </c>
      <c r="F879" s="217" t="s">
        <v>329</v>
      </c>
      <c r="G879" s="217"/>
      <c r="H879" s="219"/>
      <c r="I879" s="219"/>
      <c r="J879" s="219">
        <v>314.89999999999998</v>
      </c>
      <c r="K879" s="246">
        <v>40.94</v>
      </c>
      <c r="L879" s="219">
        <f t="shared" si="51"/>
        <v>355.84</v>
      </c>
      <c r="M879" s="336"/>
      <c r="N879" s="232"/>
    </row>
    <row r="880" spans="2:25" x14ac:dyDescent="0.2">
      <c r="B880" s="141">
        <v>43668</v>
      </c>
      <c r="C880" s="138" t="s">
        <v>897</v>
      </c>
      <c r="D880" s="138" t="s">
        <v>459</v>
      </c>
      <c r="E880" s="142" t="s">
        <v>482</v>
      </c>
      <c r="F880" s="142" t="s">
        <v>329</v>
      </c>
      <c r="G880" s="142"/>
      <c r="H880" s="235"/>
      <c r="I880" s="235"/>
      <c r="J880" s="235"/>
      <c r="K880" s="143"/>
      <c r="L880" s="235">
        <f t="shared" si="51"/>
        <v>0</v>
      </c>
      <c r="M880" s="232"/>
      <c r="N880" s="232"/>
    </row>
    <row r="881" spans="2:14" x14ac:dyDescent="0.2">
      <c r="B881" s="141">
        <v>43668</v>
      </c>
      <c r="C881" s="138" t="s">
        <v>898</v>
      </c>
      <c r="D881" s="138" t="s">
        <v>459</v>
      </c>
      <c r="E881" s="217" t="s">
        <v>539</v>
      </c>
      <c r="F881" s="217" t="s">
        <v>329</v>
      </c>
      <c r="G881" s="217"/>
      <c r="H881" s="219"/>
      <c r="I881" s="219"/>
      <c r="J881" s="219">
        <v>196.81</v>
      </c>
      <c r="K881" s="246">
        <v>25.59</v>
      </c>
      <c r="L881" s="219">
        <f t="shared" si="51"/>
        <v>222.4</v>
      </c>
      <c r="M881" s="336"/>
      <c r="N881" s="232"/>
    </row>
    <row r="882" spans="2:14" x14ac:dyDescent="0.2">
      <c r="B882" s="141">
        <v>43669</v>
      </c>
      <c r="C882" s="138" t="s">
        <v>899</v>
      </c>
      <c r="D882" s="138" t="s">
        <v>459</v>
      </c>
      <c r="E882" s="142" t="s">
        <v>460</v>
      </c>
      <c r="F882" s="142" t="s">
        <v>90</v>
      </c>
      <c r="G882" s="142"/>
      <c r="H882" s="235"/>
      <c r="I882" s="235"/>
      <c r="J882" s="235">
        <v>95.89</v>
      </c>
      <c r="K882" s="143">
        <v>12.47</v>
      </c>
      <c r="L882" s="235">
        <f t="shared" si="51"/>
        <v>108.36</v>
      </c>
      <c r="M882" s="245">
        <v>51000200002</v>
      </c>
      <c r="N882" s="232"/>
    </row>
    <row r="883" spans="2:14" x14ac:dyDescent="0.2">
      <c r="B883" s="141">
        <v>43669</v>
      </c>
      <c r="C883" s="138" t="s">
        <v>900</v>
      </c>
      <c r="D883" s="138" t="s">
        <v>459</v>
      </c>
      <c r="E883" s="142" t="s">
        <v>460</v>
      </c>
      <c r="F883" s="142" t="s">
        <v>90</v>
      </c>
      <c r="G883" s="142"/>
      <c r="H883" s="235"/>
      <c r="I883" s="235"/>
      <c r="J883" s="235">
        <v>95.89</v>
      </c>
      <c r="K883" s="143">
        <v>12.47</v>
      </c>
      <c r="L883" s="235">
        <f t="shared" si="51"/>
        <v>108.36</v>
      </c>
      <c r="M883" s="245">
        <v>51000200001</v>
      </c>
      <c r="N883" s="232"/>
    </row>
    <row r="884" spans="2:14" x14ac:dyDescent="0.2">
      <c r="B884" s="141">
        <v>43669</v>
      </c>
      <c r="C884" s="138" t="s">
        <v>342</v>
      </c>
      <c r="D884" s="138" t="s">
        <v>459</v>
      </c>
      <c r="E884" s="142" t="s">
        <v>482</v>
      </c>
      <c r="F884" s="142" t="s">
        <v>90</v>
      </c>
      <c r="G884" s="142"/>
      <c r="H884" s="235"/>
      <c r="I884" s="235"/>
      <c r="J884" s="235"/>
      <c r="K884" s="143"/>
      <c r="L884" s="235">
        <f t="shared" si="51"/>
        <v>0</v>
      </c>
      <c r="M884" s="232"/>
      <c r="N884" s="232"/>
    </row>
    <row r="885" spans="2:14" x14ac:dyDescent="0.2">
      <c r="B885" s="141">
        <v>43670</v>
      </c>
      <c r="C885" s="138" t="s">
        <v>901</v>
      </c>
      <c r="D885" s="138" t="s">
        <v>459</v>
      </c>
      <c r="E885" s="142" t="s">
        <v>460</v>
      </c>
      <c r="F885" s="142" t="s">
        <v>90</v>
      </c>
      <c r="G885" s="142"/>
      <c r="H885" s="235"/>
      <c r="I885" s="235"/>
      <c r="J885" s="235">
        <v>95.89</v>
      </c>
      <c r="K885" s="143">
        <v>12.47</v>
      </c>
      <c r="L885" s="235">
        <f t="shared" si="51"/>
        <v>108.36</v>
      </c>
      <c r="M885" s="245">
        <v>51000200002</v>
      </c>
      <c r="N885" s="232"/>
    </row>
    <row r="886" spans="2:14" x14ac:dyDescent="0.2">
      <c r="B886" s="141">
        <v>43670</v>
      </c>
      <c r="C886" s="138" t="s">
        <v>902</v>
      </c>
      <c r="D886" s="138" t="s">
        <v>459</v>
      </c>
      <c r="E886" s="142" t="s">
        <v>460</v>
      </c>
      <c r="F886" s="142" t="s">
        <v>90</v>
      </c>
      <c r="G886" s="142"/>
      <c r="H886" s="235"/>
      <c r="I886" s="235"/>
      <c r="J886" s="235">
        <v>95.89</v>
      </c>
      <c r="K886" s="143">
        <v>12.47</v>
      </c>
      <c r="L886" s="235">
        <f t="shared" si="51"/>
        <v>108.36</v>
      </c>
      <c r="M886" s="245">
        <v>51000200001</v>
      </c>
      <c r="N886" s="232"/>
    </row>
    <row r="887" spans="2:14" x14ac:dyDescent="0.2">
      <c r="B887" s="141">
        <v>43671</v>
      </c>
      <c r="C887" s="138" t="s">
        <v>903</v>
      </c>
      <c r="D887" s="138" t="s">
        <v>459</v>
      </c>
      <c r="E887" s="142" t="s">
        <v>460</v>
      </c>
      <c r="F887" s="142" t="s">
        <v>90</v>
      </c>
      <c r="G887" s="142"/>
      <c r="H887" s="235"/>
      <c r="I887" s="235"/>
      <c r="J887" s="235">
        <v>88.2</v>
      </c>
      <c r="K887" s="143">
        <v>11.47</v>
      </c>
      <c r="L887" s="235">
        <f t="shared" si="51"/>
        <v>99.67</v>
      </c>
      <c r="M887" s="245">
        <v>51000200002</v>
      </c>
      <c r="N887" s="232"/>
    </row>
    <row r="888" spans="2:14" x14ac:dyDescent="0.2">
      <c r="B888" s="141">
        <v>43671</v>
      </c>
      <c r="C888" s="138" t="s">
        <v>904</v>
      </c>
      <c r="D888" s="138" t="s">
        <v>459</v>
      </c>
      <c r="E888" s="142" t="s">
        <v>460</v>
      </c>
      <c r="F888" s="142" t="s">
        <v>90</v>
      </c>
      <c r="G888" s="142"/>
      <c r="H888" s="235"/>
      <c r="I888" s="235"/>
      <c r="J888" s="235">
        <v>88.2</v>
      </c>
      <c r="K888" s="143">
        <v>11.47</v>
      </c>
      <c r="L888" s="235">
        <f t="shared" si="51"/>
        <v>99.67</v>
      </c>
      <c r="M888" s="245">
        <v>51000200001</v>
      </c>
      <c r="N888" s="232"/>
    </row>
    <row r="889" spans="2:14" x14ac:dyDescent="0.2">
      <c r="B889" s="141">
        <v>43672</v>
      </c>
      <c r="C889" s="138" t="s">
        <v>905</v>
      </c>
      <c r="D889" s="138" t="s">
        <v>459</v>
      </c>
      <c r="E889" s="217" t="s">
        <v>539</v>
      </c>
      <c r="F889" s="217" t="s">
        <v>329</v>
      </c>
      <c r="G889" s="217"/>
      <c r="H889" s="219"/>
      <c r="I889" s="219"/>
      <c r="J889" s="219">
        <v>182.5</v>
      </c>
      <c r="K889" s="246">
        <v>23.73</v>
      </c>
      <c r="L889" s="219">
        <f t="shared" si="51"/>
        <v>206.23</v>
      </c>
      <c r="M889" s="336"/>
      <c r="N889" s="232"/>
    </row>
    <row r="890" spans="2:14" x14ac:dyDescent="0.2">
      <c r="B890" s="141">
        <v>43672</v>
      </c>
      <c r="C890" s="138" t="s">
        <v>906</v>
      </c>
      <c r="D890" s="138" t="s">
        <v>459</v>
      </c>
      <c r="E890" s="217" t="s">
        <v>539</v>
      </c>
      <c r="F890" s="217" t="s">
        <v>329</v>
      </c>
      <c r="G890" s="217"/>
      <c r="H890" s="219"/>
      <c r="I890" s="219"/>
      <c r="J890" s="219">
        <v>114.06</v>
      </c>
      <c r="K890" s="246">
        <v>14.83</v>
      </c>
      <c r="L890" s="219">
        <f t="shared" si="51"/>
        <v>128.89000000000001</v>
      </c>
      <c r="M890" s="336"/>
      <c r="N890" s="232"/>
    </row>
    <row r="891" spans="2:14" x14ac:dyDescent="0.2">
      <c r="B891" s="141">
        <v>43675</v>
      </c>
      <c r="C891" s="138" t="s">
        <v>907</v>
      </c>
      <c r="D891" s="138" t="s">
        <v>459</v>
      </c>
      <c r="E891" s="142" t="s">
        <v>496</v>
      </c>
      <c r="F891" s="142" t="s">
        <v>497</v>
      </c>
      <c r="G891" s="142"/>
      <c r="H891" s="235"/>
      <c r="I891" s="235"/>
      <c r="J891" s="235">
        <v>354.35</v>
      </c>
      <c r="K891" s="143">
        <v>46.07</v>
      </c>
      <c r="L891" s="235">
        <f t="shared" si="51"/>
        <v>400.42</v>
      </c>
      <c r="M891" s="245">
        <v>51220200001</v>
      </c>
      <c r="N891" s="232"/>
    </row>
    <row r="892" spans="2:14" x14ac:dyDescent="0.2">
      <c r="B892" s="141">
        <v>43675</v>
      </c>
      <c r="C892" s="138" t="s">
        <v>908</v>
      </c>
      <c r="D892" s="138" t="s">
        <v>459</v>
      </c>
      <c r="E892" s="142" t="s">
        <v>460</v>
      </c>
      <c r="F892" s="142" t="s">
        <v>90</v>
      </c>
      <c r="G892" s="142"/>
      <c r="H892" s="235"/>
      <c r="I892" s="235"/>
      <c r="J892" s="235">
        <v>1308.78</v>
      </c>
      <c r="K892" s="143">
        <v>170.14</v>
      </c>
      <c r="L892" s="235">
        <f t="shared" si="51"/>
        <v>1478.92</v>
      </c>
      <c r="M892" s="245">
        <v>51220200001</v>
      </c>
      <c r="N892" s="232"/>
    </row>
    <row r="893" spans="2:14" x14ac:dyDescent="0.2">
      <c r="B893" s="141">
        <v>43675</v>
      </c>
      <c r="C893" s="138" t="s">
        <v>909</v>
      </c>
      <c r="D893" s="138" t="s">
        <v>459</v>
      </c>
      <c r="E893" s="217" t="s">
        <v>539</v>
      </c>
      <c r="F893" s="217" t="s">
        <v>329</v>
      </c>
      <c r="G893" s="217"/>
      <c r="H893" s="219"/>
      <c r="I893" s="219"/>
      <c r="J893" s="219">
        <v>58.82</v>
      </c>
      <c r="K893" s="246">
        <v>7.65</v>
      </c>
      <c r="L893" s="219">
        <f t="shared" si="51"/>
        <v>66.47</v>
      </c>
      <c r="M893" s="336"/>
      <c r="N893" s="232"/>
    </row>
    <row r="894" spans="2:14" x14ac:dyDescent="0.2">
      <c r="B894" s="141">
        <v>43675</v>
      </c>
      <c r="C894" s="138" t="s">
        <v>910</v>
      </c>
      <c r="D894" s="138" t="s">
        <v>459</v>
      </c>
      <c r="E894" s="142" t="s">
        <v>482</v>
      </c>
      <c r="F894" s="142"/>
      <c r="G894" s="142"/>
      <c r="H894" s="235"/>
      <c r="I894" s="235"/>
      <c r="J894" s="235">
        <v>0</v>
      </c>
      <c r="K894" s="143">
        <v>0</v>
      </c>
      <c r="L894" s="235">
        <f t="shared" si="51"/>
        <v>0</v>
      </c>
      <c r="M894" s="232"/>
      <c r="N894" s="232"/>
    </row>
    <row r="895" spans="2:14" x14ac:dyDescent="0.2">
      <c r="B895" s="141">
        <v>43675</v>
      </c>
      <c r="C895" s="138" t="s">
        <v>911</v>
      </c>
      <c r="D895" s="138" t="s">
        <v>459</v>
      </c>
      <c r="E895" s="142" t="s">
        <v>460</v>
      </c>
      <c r="F895" s="142" t="s">
        <v>90</v>
      </c>
      <c r="G895" s="142"/>
      <c r="H895" s="235"/>
      <c r="I895" s="235"/>
      <c r="J895" s="235">
        <v>95.89</v>
      </c>
      <c r="K895" s="143">
        <v>12.47</v>
      </c>
      <c r="L895" s="235">
        <f t="shared" si="51"/>
        <v>108.36</v>
      </c>
      <c r="M895" s="245">
        <v>51000200002</v>
      </c>
      <c r="N895" s="232"/>
    </row>
    <row r="896" spans="2:14" x14ac:dyDescent="0.2">
      <c r="B896" s="141">
        <v>43675</v>
      </c>
      <c r="C896" s="138" t="s">
        <v>912</v>
      </c>
      <c r="D896" s="138" t="s">
        <v>459</v>
      </c>
      <c r="E896" s="142" t="s">
        <v>460</v>
      </c>
      <c r="F896" s="142" t="s">
        <v>90</v>
      </c>
      <c r="G896" s="142"/>
      <c r="H896" s="235"/>
      <c r="I896" s="235"/>
      <c r="J896" s="235">
        <v>95.89</v>
      </c>
      <c r="K896" s="143">
        <v>12.47</v>
      </c>
      <c r="L896" s="235">
        <f t="shared" si="51"/>
        <v>108.36</v>
      </c>
      <c r="M896" s="245">
        <v>51000200001</v>
      </c>
      <c r="N896" s="232"/>
    </row>
    <row r="897" spans="1:28" x14ac:dyDescent="0.2">
      <c r="B897" s="141"/>
      <c r="C897" s="138"/>
      <c r="D897" s="138"/>
      <c r="E897" s="142"/>
      <c r="F897" s="142"/>
      <c r="G897" s="142"/>
      <c r="H897" s="235"/>
      <c r="I897" s="235"/>
      <c r="J897" s="235"/>
      <c r="K897" s="143"/>
      <c r="L897" s="235"/>
      <c r="M897" s="232"/>
      <c r="N897" s="232"/>
    </row>
    <row r="898" spans="1:28" x14ac:dyDescent="0.2">
      <c r="B898" s="141"/>
      <c r="C898" s="138" t="s">
        <v>50</v>
      </c>
      <c r="D898" s="138"/>
      <c r="E898" s="142" t="s">
        <v>537</v>
      </c>
      <c r="F898" s="114"/>
      <c r="G898" s="157"/>
      <c r="H898" s="157"/>
      <c r="I898" s="157"/>
      <c r="J898" s="157"/>
      <c r="K898" s="243">
        <v>-812.6</v>
      </c>
      <c r="L898" s="235">
        <f>+J898+K898</f>
        <v>-812.6</v>
      </c>
      <c r="M898" s="232"/>
      <c r="N898" s="232"/>
    </row>
    <row r="899" spans="1:28" x14ac:dyDescent="0.2">
      <c r="B899" s="163"/>
      <c r="C899" s="164"/>
      <c r="D899" s="164"/>
      <c r="E899" s="142"/>
      <c r="F899" s="163"/>
      <c r="G899" s="165"/>
      <c r="H899" s="165"/>
      <c r="I899" s="165"/>
      <c r="J899" s="165"/>
      <c r="K899" s="165"/>
      <c r="L899" s="165"/>
      <c r="M899" s="232"/>
      <c r="N899" s="232"/>
    </row>
    <row r="900" spans="1:28" x14ac:dyDescent="0.2">
      <c r="B900" s="114"/>
      <c r="C900" s="115"/>
      <c r="D900" s="115"/>
      <c r="E900" s="114"/>
      <c r="F900" s="114"/>
      <c r="G900" s="166">
        <f t="shared" ref="G900:L900" si="52">SUM(G852:G899)</f>
        <v>0</v>
      </c>
      <c r="H900" s="166">
        <f t="shared" si="52"/>
        <v>0</v>
      </c>
      <c r="I900" s="166">
        <f t="shared" si="52"/>
        <v>0</v>
      </c>
      <c r="J900" s="166">
        <f t="shared" si="52"/>
        <v>6250.6799999999994</v>
      </c>
      <c r="K900" s="166">
        <f t="shared" si="52"/>
        <v>0</v>
      </c>
      <c r="L900" s="166">
        <f t="shared" si="52"/>
        <v>6250.6799999999976</v>
      </c>
      <c r="M900" s="232"/>
      <c r="N900" s="232"/>
    </row>
    <row r="901" spans="1:28" x14ac:dyDescent="0.2">
      <c r="B901" s="114"/>
      <c r="C901" s="115"/>
      <c r="D901" s="115"/>
      <c r="E901" s="114"/>
      <c r="F901" s="114"/>
      <c r="G901" s="208"/>
      <c r="H901" s="208"/>
      <c r="I901" s="208"/>
      <c r="J901" s="208"/>
      <c r="K901" s="208"/>
      <c r="L901" s="208"/>
      <c r="M901" s="232"/>
      <c r="N901" s="232"/>
    </row>
    <row r="903" spans="1:28" ht="3.75" customHeight="1" x14ac:dyDescent="0.2">
      <c r="A903" s="247"/>
      <c r="B903" s="247"/>
      <c r="C903" s="248"/>
      <c r="D903" s="248"/>
      <c r="E903" s="247"/>
      <c r="F903" s="247"/>
      <c r="G903" s="247"/>
      <c r="H903" s="247"/>
      <c r="I903" s="247"/>
      <c r="J903" s="247"/>
      <c r="K903" s="247"/>
      <c r="L903" s="247"/>
      <c r="M903" s="249"/>
      <c r="N903" s="249"/>
      <c r="O903" s="249"/>
      <c r="P903" s="249"/>
      <c r="Q903" s="250"/>
      <c r="R903" s="250"/>
      <c r="S903" s="250"/>
      <c r="T903" s="250"/>
      <c r="U903" s="250"/>
      <c r="V903" s="250"/>
      <c r="W903" s="250"/>
      <c r="X903" s="250"/>
      <c r="Y903" s="250"/>
      <c r="Z903" s="250"/>
      <c r="AA903" s="250"/>
      <c r="AB903" s="250"/>
    </row>
    <row r="906" spans="1:28" ht="15.75" x14ac:dyDescent="0.25">
      <c r="E906" s="349" t="s">
        <v>926</v>
      </c>
    </row>
    <row r="908" spans="1:28" x14ac:dyDescent="0.2">
      <c r="B908" s="125"/>
      <c r="C908" s="126" t="s">
        <v>255</v>
      </c>
      <c r="D908" s="127" t="s">
        <v>43</v>
      </c>
      <c r="E908" s="127"/>
      <c r="F908" s="127" t="s">
        <v>135</v>
      </c>
      <c r="G908" s="127"/>
      <c r="H908" s="128" t="s">
        <v>136</v>
      </c>
      <c r="I908" s="129"/>
      <c r="J908" s="129"/>
      <c r="K908" s="129"/>
      <c r="L908" s="146"/>
      <c r="O908" s="170" t="s">
        <v>480</v>
      </c>
      <c r="P908" s="170"/>
      <c r="Q908" s="170"/>
      <c r="R908" s="170"/>
      <c r="U908" s="106" t="s">
        <v>465</v>
      </c>
      <c r="Y908" s="97" t="s">
        <v>479</v>
      </c>
      <c r="Z908" s="97" t="s">
        <v>340</v>
      </c>
    </row>
    <row r="909" spans="1:28" x14ac:dyDescent="0.2">
      <c r="B909" s="130" t="s">
        <v>137</v>
      </c>
      <c r="C909" s="131" t="s">
        <v>138</v>
      </c>
      <c r="D909" s="131" t="s">
        <v>258</v>
      </c>
      <c r="E909" s="131" t="s">
        <v>139</v>
      </c>
      <c r="F909" s="131" t="s">
        <v>259</v>
      </c>
      <c r="G909" s="131" t="s">
        <v>140</v>
      </c>
      <c r="H909" s="132" t="s">
        <v>94</v>
      </c>
      <c r="I909" s="129"/>
      <c r="J909" s="132" t="s">
        <v>141</v>
      </c>
      <c r="K909" s="129"/>
      <c r="L909" s="147" t="s">
        <v>325</v>
      </c>
      <c r="O909" s="152" t="s">
        <v>154</v>
      </c>
      <c r="P909" s="78">
        <v>51000000001</v>
      </c>
      <c r="Q909" s="142" t="s">
        <v>460</v>
      </c>
      <c r="R909" s="235">
        <f>SUMIFS($J$939:$J$963,$E$939:$E$963,Q909,$M$939:$M$963,P909)</f>
        <v>0</v>
      </c>
      <c r="T909" s="97">
        <v>51000200001</v>
      </c>
      <c r="U909" s="97" t="s">
        <v>382</v>
      </c>
      <c r="X909" s="109">
        <v>-308.22999999999956</v>
      </c>
      <c r="Y909" s="109">
        <f>R912</f>
        <v>0</v>
      </c>
      <c r="Z909" s="144">
        <v>0</v>
      </c>
    </row>
    <row r="910" spans="1:28" x14ac:dyDescent="0.2">
      <c r="B910" s="133"/>
      <c r="C910" s="134"/>
      <c r="D910" s="134"/>
      <c r="E910" s="133"/>
      <c r="F910" s="133"/>
      <c r="G910" s="133"/>
      <c r="H910" s="135" t="s">
        <v>326</v>
      </c>
      <c r="I910" s="136" t="s">
        <v>327</v>
      </c>
      <c r="J910" s="148" t="s">
        <v>328</v>
      </c>
      <c r="K910" s="148" t="s">
        <v>89</v>
      </c>
      <c r="L910" s="149" t="s">
        <v>94</v>
      </c>
      <c r="O910" s="152" t="s">
        <v>154</v>
      </c>
      <c r="P910" s="78">
        <v>51000000002</v>
      </c>
      <c r="Q910" s="142" t="s">
        <v>460</v>
      </c>
      <c r="R910" s="235">
        <f t="shared" ref="R910:R928" si="53">SUMIFS($J$911:$J$919,$E$911:$E$919,Q910,$M$911:$M$919,P910)</f>
        <v>0</v>
      </c>
      <c r="T910" s="97">
        <v>51000200002</v>
      </c>
      <c r="U910" s="97" t="s">
        <v>383</v>
      </c>
      <c r="X910" s="109">
        <v>-308.22999999999956</v>
      </c>
      <c r="Y910" s="109">
        <f>R914</f>
        <v>0</v>
      </c>
      <c r="Z910" s="144">
        <v>0</v>
      </c>
    </row>
    <row r="911" spans="1:28" x14ac:dyDescent="0.2">
      <c r="B911" s="141">
        <v>43684</v>
      </c>
      <c r="C911" s="138" t="s">
        <v>914</v>
      </c>
      <c r="D911" s="138" t="s">
        <v>459</v>
      </c>
      <c r="E911" s="142" t="s">
        <v>460</v>
      </c>
      <c r="F911" s="142" t="s">
        <v>90</v>
      </c>
      <c r="G911" s="234"/>
      <c r="H911" s="235"/>
      <c r="I911" s="235"/>
      <c r="J911" s="235">
        <v>68.5</v>
      </c>
      <c r="K911" s="143">
        <v>8.9</v>
      </c>
      <c r="L911" s="235">
        <f t="shared" ref="L911:L919" si="54">+J911+K911</f>
        <v>77.400000000000006</v>
      </c>
      <c r="M911" s="245">
        <v>51000200002</v>
      </c>
      <c r="O911" s="152" t="s">
        <v>154</v>
      </c>
      <c r="P911" s="78">
        <v>51000100001</v>
      </c>
      <c r="Q911" s="142" t="s">
        <v>460</v>
      </c>
      <c r="R911" s="235">
        <f t="shared" si="53"/>
        <v>0</v>
      </c>
      <c r="T911" s="97">
        <v>51000100001</v>
      </c>
      <c r="U911" s="109" t="s">
        <v>12</v>
      </c>
      <c r="X911" s="109"/>
    </row>
    <row r="912" spans="1:28" x14ac:dyDescent="0.2">
      <c r="B912" s="141">
        <v>43684</v>
      </c>
      <c r="C912" s="138" t="s">
        <v>915</v>
      </c>
      <c r="D912" s="138" t="s">
        <v>459</v>
      </c>
      <c r="E912" s="142" t="s">
        <v>460</v>
      </c>
      <c r="F912" s="142" t="s">
        <v>90</v>
      </c>
      <c r="G912" s="234"/>
      <c r="H912" s="235"/>
      <c r="I912" s="235"/>
      <c r="J912" s="235">
        <v>68.5</v>
      </c>
      <c r="K912" s="143">
        <v>8.9</v>
      </c>
      <c r="L912" s="235">
        <f t="shared" si="54"/>
        <v>77.400000000000006</v>
      </c>
      <c r="M912" s="245">
        <v>51000200001</v>
      </c>
      <c r="O912" s="152" t="s">
        <v>154</v>
      </c>
      <c r="P912" s="78">
        <v>51000100001</v>
      </c>
      <c r="Q912" s="142" t="s">
        <v>496</v>
      </c>
      <c r="R912" s="235">
        <f t="shared" si="53"/>
        <v>0</v>
      </c>
      <c r="T912" s="97">
        <v>51000100002</v>
      </c>
      <c r="U912" s="109" t="s">
        <v>380</v>
      </c>
      <c r="X912" s="109"/>
    </row>
    <row r="913" spans="2:26" x14ac:dyDescent="0.2">
      <c r="B913" s="354" t="s">
        <v>916</v>
      </c>
      <c r="C913" s="138" t="s">
        <v>917</v>
      </c>
      <c r="D913" s="138" t="s">
        <v>459</v>
      </c>
      <c r="E913" s="142" t="s">
        <v>460</v>
      </c>
      <c r="F913" s="142" t="s">
        <v>90</v>
      </c>
      <c r="G913" s="142"/>
      <c r="H913" s="235"/>
      <c r="I913" s="235"/>
      <c r="J913" s="235">
        <v>47.95</v>
      </c>
      <c r="K913" s="143">
        <v>6.23</v>
      </c>
      <c r="L913" s="235">
        <f t="shared" si="54"/>
        <v>54.180000000000007</v>
      </c>
      <c r="M913" s="245">
        <v>51000200002</v>
      </c>
      <c r="O913" s="152" t="s">
        <v>154</v>
      </c>
      <c r="P913" s="78">
        <v>51000100002</v>
      </c>
      <c r="Q913" s="142" t="s">
        <v>460</v>
      </c>
      <c r="R913" s="235">
        <f t="shared" si="53"/>
        <v>0</v>
      </c>
      <c r="T913" s="97">
        <v>51220200001</v>
      </c>
      <c r="U913" s="97" t="s">
        <v>55</v>
      </c>
      <c r="X913" s="109">
        <v>-1440.43</v>
      </c>
      <c r="Y913" s="109">
        <f>R921+R928</f>
        <v>1230.06</v>
      </c>
      <c r="Z913" s="144">
        <f>X913+Y913</f>
        <v>-210.37000000000012</v>
      </c>
    </row>
    <row r="914" spans="2:26" x14ac:dyDescent="0.2">
      <c r="B914" s="354" t="s">
        <v>916</v>
      </c>
      <c r="C914" s="138" t="s">
        <v>918</v>
      </c>
      <c r="D914" s="138" t="s">
        <v>459</v>
      </c>
      <c r="E914" s="142" t="s">
        <v>460</v>
      </c>
      <c r="F914" s="142" t="s">
        <v>90</v>
      </c>
      <c r="G914" s="142"/>
      <c r="H914" s="235"/>
      <c r="I914" s="235"/>
      <c r="J914" s="235">
        <v>47.95</v>
      </c>
      <c r="K914" s="143">
        <v>6.23</v>
      </c>
      <c r="L914" s="235">
        <f t="shared" si="54"/>
        <v>54.180000000000007</v>
      </c>
      <c r="M914" s="245">
        <v>51000200001</v>
      </c>
      <c r="O914" s="152" t="s">
        <v>154</v>
      </c>
      <c r="P914" s="78">
        <v>51000100002</v>
      </c>
      <c r="Q914" s="142" t="s">
        <v>496</v>
      </c>
      <c r="R914" s="235">
        <f t="shared" si="53"/>
        <v>0</v>
      </c>
      <c r="T914" s="195">
        <v>52200000001</v>
      </c>
      <c r="U914" s="195" t="s">
        <v>33</v>
      </c>
      <c r="V914" s="195"/>
      <c r="W914" s="195"/>
      <c r="X914" s="191"/>
      <c r="Y914" s="109">
        <v>0</v>
      </c>
      <c r="Z914" s="144">
        <v>0</v>
      </c>
    </row>
    <row r="915" spans="2:26" x14ac:dyDescent="0.2">
      <c r="B915" s="354" t="s">
        <v>919</v>
      </c>
      <c r="C915" s="138" t="s">
        <v>920</v>
      </c>
      <c r="D915" s="138" t="s">
        <v>459</v>
      </c>
      <c r="E915" s="142" t="s">
        <v>496</v>
      </c>
      <c r="F915" s="142" t="s">
        <v>497</v>
      </c>
      <c r="G915" s="142"/>
      <c r="H915" s="235"/>
      <c r="I915" s="235"/>
      <c r="J915" s="235">
        <v>354.35</v>
      </c>
      <c r="K915" s="143">
        <v>46.07</v>
      </c>
      <c r="L915" s="235">
        <f t="shared" si="54"/>
        <v>400.42</v>
      </c>
      <c r="M915" s="245">
        <v>51220200001</v>
      </c>
      <c r="O915" s="152" t="s">
        <v>154</v>
      </c>
      <c r="P915" s="227">
        <v>51000200001</v>
      </c>
      <c r="Q915" s="217" t="s">
        <v>460</v>
      </c>
      <c r="R915" s="235">
        <f t="shared" si="53"/>
        <v>308.23</v>
      </c>
      <c r="T915" s="97">
        <v>51000000001</v>
      </c>
      <c r="U915" s="97" t="s">
        <v>132</v>
      </c>
      <c r="X915" s="109"/>
    </row>
    <row r="916" spans="2:26" x14ac:dyDescent="0.2">
      <c r="B916" s="354" t="s">
        <v>919</v>
      </c>
      <c r="C916" s="138" t="s">
        <v>921</v>
      </c>
      <c r="D916" s="138" t="s">
        <v>459</v>
      </c>
      <c r="E916" s="142" t="s">
        <v>460</v>
      </c>
      <c r="F916" s="142" t="s">
        <v>90</v>
      </c>
      <c r="G916" s="142"/>
      <c r="H916" s="235"/>
      <c r="I916" s="235"/>
      <c r="J916" s="235">
        <v>875.71</v>
      </c>
      <c r="K916" s="143">
        <v>113.84</v>
      </c>
      <c r="L916" s="235">
        <f t="shared" si="54"/>
        <v>989.55000000000007</v>
      </c>
      <c r="M916" s="245">
        <v>51220200001</v>
      </c>
      <c r="O916" s="152" t="s">
        <v>154</v>
      </c>
      <c r="P916" s="78">
        <v>51000200001</v>
      </c>
      <c r="Q916" s="142" t="s">
        <v>351</v>
      </c>
      <c r="R916" s="235">
        <f t="shared" si="53"/>
        <v>0</v>
      </c>
      <c r="T916" s="97">
        <v>51000000002</v>
      </c>
      <c r="U916" s="97" t="s">
        <v>10</v>
      </c>
      <c r="X916" s="109"/>
    </row>
    <row r="917" spans="2:26" x14ac:dyDescent="0.2">
      <c r="B917" s="354" t="s">
        <v>919</v>
      </c>
      <c r="C917" s="138" t="s">
        <v>922</v>
      </c>
      <c r="D917" s="138" t="s">
        <v>459</v>
      </c>
      <c r="E917" s="217" t="s">
        <v>539</v>
      </c>
      <c r="F917" s="217" t="s">
        <v>329</v>
      </c>
      <c r="G917" s="217"/>
      <c r="H917" s="219"/>
      <c r="I917" s="219"/>
      <c r="J917" s="219">
        <v>208.58</v>
      </c>
      <c r="K917" s="246">
        <v>27.12</v>
      </c>
      <c r="L917" s="219">
        <f t="shared" si="54"/>
        <v>235.70000000000002</v>
      </c>
      <c r="O917" s="152" t="s">
        <v>154</v>
      </c>
      <c r="P917" s="78">
        <v>51000200001</v>
      </c>
      <c r="Q917" s="142" t="s">
        <v>56</v>
      </c>
      <c r="R917" s="235">
        <f t="shared" si="53"/>
        <v>0</v>
      </c>
      <c r="X917" s="198">
        <v>0</v>
      </c>
      <c r="Y917" s="109">
        <v>0</v>
      </c>
      <c r="Z917" s="144">
        <v>0</v>
      </c>
    </row>
    <row r="918" spans="2:26" x14ac:dyDescent="0.2">
      <c r="B918" s="354" t="s">
        <v>923</v>
      </c>
      <c r="C918" s="138" t="s">
        <v>924</v>
      </c>
      <c r="D918" s="138" t="s">
        <v>459</v>
      </c>
      <c r="E918" s="142" t="s">
        <v>460</v>
      </c>
      <c r="F918" s="142" t="s">
        <v>90</v>
      </c>
      <c r="G918" s="142"/>
      <c r="H918" s="235"/>
      <c r="I918" s="235"/>
      <c r="J918" s="235">
        <v>191.78</v>
      </c>
      <c r="K918" s="143">
        <v>24.93</v>
      </c>
      <c r="L918" s="235">
        <f t="shared" si="54"/>
        <v>216.71</v>
      </c>
      <c r="M918" s="245">
        <v>51000200002</v>
      </c>
      <c r="O918" s="152" t="s">
        <v>154</v>
      </c>
      <c r="P918" s="227">
        <v>51000200002</v>
      </c>
      <c r="Q918" s="217" t="s">
        <v>460</v>
      </c>
      <c r="R918" s="235">
        <f t="shared" si="53"/>
        <v>308.23</v>
      </c>
      <c r="X918" s="171">
        <v>0</v>
      </c>
      <c r="Y918" s="171">
        <f>R924+R933</f>
        <v>0</v>
      </c>
      <c r="Z918" s="167">
        <v>0</v>
      </c>
    </row>
    <row r="919" spans="2:26" x14ac:dyDescent="0.2">
      <c r="B919" s="354" t="s">
        <v>923</v>
      </c>
      <c r="C919" s="138" t="s">
        <v>925</v>
      </c>
      <c r="D919" s="138" t="s">
        <v>459</v>
      </c>
      <c r="E919" s="142" t="s">
        <v>460</v>
      </c>
      <c r="F919" s="142"/>
      <c r="G919" s="142"/>
      <c r="H919" s="235"/>
      <c r="I919" s="235"/>
      <c r="J919" s="235">
        <v>191.78</v>
      </c>
      <c r="K919" s="143">
        <v>24.93</v>
      </c>
      <c r="L919" s="235">
        <f t="shared" si="54"/>
        <v>216.71</v>
      </c>
      <c r="M919" s="245">
        <v>51000200001</v>
      </c>
      <c r="O919" s="152" t="s">
        <v>154</v>
      </c>
      <c r="P919" s="78">
        <v>51000200002</v>
      </c>
      <c r="Q919" s="142" t="s">
        <v>351</v>
      </c>
      <c r="R919" s="235">
        <f t="shared" si="53"/>
        <v>0</v>
      </c>
      <c r="X919" s="158">
        <f>SUM(X909:X916)</f>
        <v>-2056.8899999999994</v>
      </c>
      <c r="Y919" s="158">
        <f>SUM(Y909:Y918)</f>
        <v>1230.06</v>
      </c>
      <c r="Z919" s="158">
        <f>SUM(Z909:Z918)</f>
        <v>-210.37000000000012</v>
      </c>
    </row>
    <row r="920" spans="2:26" x14ac:dyDescent="0.2">
      <c r="O920" s="152" t="s">
        <v>154</v>
      </c>
      <c r="P920" s="78">
        <v>51000200002</v>
      </c>
      <c r="Q920" s="142" t="s">
        <v>56</v>
      </c>
      <c r="R920" s="235">
        <f t="shared" si="53"/>
        <v>0</v>
      </c>
      <c r="U920" s="109"/>
      <c r="Z920" s="144"/>
    </row>
    <row r="921" spans="2:26" x14ac:dyDescent="0.2">
      <c r="O921" s="152" t="s">
        <v>154</v>
      </c>
      <c r="P921" s="227">
        <v>51220200001</v>
      </c>
      <c r="Q921" s="217" t="s">
        <v>460</v>
      </c>
      <c r="R921" s="235">
        <f t="shared" si="53"/>
        <v>875.71</v>
      </c>
      <c r="U921" s="109"/>
    </row>
    <row r="922" spans="2:26" x14ac:dyDescent="0.2">
      <c r="O922" s="152" t="s">
        <v>154</v>
      </c>
      <c r="P922" s="78">
        <v>51220200001</v>
      </c>
      <c r="Q922" s="142" t="s">
        <v>351</v>
      </c>
      <c r="R922" s="235">
        <f t="shared" si="53"/>
        <v>0</v>
      </c>
    </row>
    <row r="923" spans="2:26" x14ac:dyDescent="0.2">
      <c r="O923" s="152" t="s">
        <v>154</v>
      </c>
      <c r="P923" s="78">
        <v>51220200001</v>
      </c>
      <c r="Q923" s="142" t="s">
        <v>56</v>
      </c>
      <c r="R923" s="235">
        <f t="shared" si="53"/>
        <v>0</v>
      </c>
    </row>
    <row r="924" spans="2:26" x14ac:dyDescent="0.2">
      <c r="O924" s="152" t="s">
        <v>154</v>
      </c>
      <c r="P924" s="78">
        <v>52200000001</v>
      </c>
      <c r="Q924" s="142" t="s">
        <v>460</v>
      </c>
      <c r="R924" s="235">
        <f t="shared" si="53"/>
        <v>0</v>
      </c>
      <c r="W924" s="106" t="s">
        <v>478</v>
      </c>
      <c r="X924" s="144">
        <f>+X910+X913+X909+X917+X918+X911+X912+X915+X916</f>
        <v>-2056.8899999999994</v>
      </c>
    </row>
    <row r="925" spans="2:26" x14ac:dyDescent="0.2">
      <c r="O925" s="152" t="s">
        <v>154</v>
      </c>
      <c r="P925" s="78">
        <v>52200000001</v>
      </c>
      <c r="Q925" s="142" t="s">
        <v>351</v>
      </c>
      <c r="R925" s="235">
        <f t="shared" si="53"/>
        <v>0</v>
      </c>
      <c r="W925" s="97" t="s">
        <v>480</v>
      </c>
      <c r="X925" s="144">
        <f>+R929</f>
        <v>1846.52</v>
      </c>
    </row>
    <row r="926" spans="2:26" x14ac:dyDescent="0.2">
      <c r="O926" s="152" t="s">
        <v>154</v>
      </c>
      <c r="P926" s="78">
        <v>52200000001</v>
      </c>
      <c r="Q926" s="142" t="s">
        <v>56</v>
      </c>
      <c r="R926" s="235">
        <f t="shared" si="53"/>
        <v>0</v>
      </c>
      <c r="W926" s="97" t="s">
        <v>486</v>
      </c>
      <c r="X926" s="167">
        <f>+J917</f>
        <v>208.58</v>
      </c>
    </row>
    <row r="927" spans="2:26" x14ac:dyDescent="0.2">
      <c r="O927" s="152" t="s">
        <v>154</v>
      </c>
      <c r="P927" s="78">
        <v>52200000001</v>
      </c>
      <c r="Q927" s="142" t="s">
        <v>460</v>
      </c>
      <c r="R927" s="235">
        <f t="shared" si="53"/>
        <v>0</v>
      </c>
      <c r="X927" s="324">
        <f>X924+X925+X926</f>
        <v>-1.7899999999994236</v>
      </c>
      <c r="Y927" s="97" t="s">
        <v>500</v>
      </c>
    </row>
    <row r="928" spans="2:26" x14ac:dyDescent="0.2">
      <c r="O928" s="152" t="s">
        <v>154</v>
      </c>
      <c r="P928" s="227">
        <v>51220200001</v>
      </c>
      <c r="Q928" s="217" t="s">
        <v>496</v>
      </c>
      <c r="R928" s="235">
        <f t="shared" si="53"/>
        <v>354.35</v>
      </c>
    </row>
    <row r="929" spans="1:26" ht="13.5" thickBot="1" x14ac:dyDescent="0.25">
      <c r="O929" s="232"/>
      <c r="P929" s="232"/>
      <c r="R929" s="244">
        <f>SUM(R909:R928)</f>
        <v>1846.52</v>
      </c>
    </row>
    <row r="930" spans="1:26" ht="13.5" thickTop="1" x14ac:dyDescent="0.2">
      <c r="M930" s="427"/>
      <c r="N930" s="427"/>
      <c r="O930" s="427"/>
      <c r="P930" s="427"/>
      <c r="R930" s="353"/>
    </row>
    <row r="931" spans="1:26" s="250" customFormat="1" ht="4.5" customHeight="1" x14ac:dyDescent="0.2">
      <c r="A931" s="247"/>
      <c r="B931" s="247"/>
      <c r="C931" s="248"/>
      <c r="D931" s="248"/>
      <c r="E931" s="247"/>
      <c r="F931" s="247"/>
      <c r="G931" s="247"/>
      <c r="H931" s="247"/>
      <c r="I931" s="247"/>
      <c r="J931" s="247"/>
      <c r="K931" s="247"/>
      <c r="L931" s="247"/>
      <c r="M931" s="249"/>
      <c r="N931" s="249"/>
      <c r="O931" s="249"/>
      <c r="P931" s="249"/>
      <c r="R931" s="384"/>
    </row>
    <row r="933" spans="1:26" ht="15.75" x14ac:dyDescent="0.25">
      <c r="E933" s="349" t="s">
        <v>954</v>
      </c>
    </row>
    <row r="935" spans="1:26" x14ac:dyDescent="0.2">
      <c r="B935" s="125"/>
      <c r="C935" s="126" t="s">
        <v>255</v>
      </c>
      <c r="D935" s="127" t="s">
        <v>43</v>
      </c>
      <c r="E935" s="127"/>
      <c r="F935" s="127" t="s">
        <v>135</v>
      </c>
      <c r="G935" s="127"/>
      <c r="H935" s="128" t="s">
        <v>136</v>
      </c>
      <c r="I935" s="129"/>
      <c r="J935" s="129"/>
      <c r="K935" s="129"/>
      <c r="L935" s="146"/>
      <c r="O935" s="170" t="s">
        <v>480</v>
      </c>
      <c r="P935" s="170"/>
      <c r="Q935" s="170"/>
      <c r="R935" s="170"/>
      <c r="U935" s="106" t="s">
        <v>465</v>
      </c>
      <c r="Y935" s="97" t="s">
        <v>479</v>
      </c>
      <c r="Z935" s="97" t="s">
        <v>340</v>
      </c>
    </row>
    <row r="936" spans="1:26" x14ac:dyDescent="0.2">
      <c r="B936" s="130" t="s">
        <v>137</v>
      </c>
      <c r="C936" s="131" t="s">
        <v>138</v>
      </c>
      <c r="D936" s="131" t="s">
        <v>258</v>
      </c>
      <c r="E936" s="131" t="s">
        <v>139</v>
      </c>
      <c r="F936" s="131" t="s">
        <v>259</v>
      </c>
      <c r="G936" s="131" t="s">
        <v>140</v>
      </c>
      <c r="H936" s="132" t="s">
        <v>94</v>
      </c>
      <c r="I936" s="129"/>
      <c r="J936" s="132" t="s">
        <v>141</v>
      </c>
      <c r="K936" s="129"/>
      <c r="L936" s="147" t="s">
        <v>325</v>
      </c>
      <c r="O936" s="152" t="s">
        <v>582</v>
      </c>
      <c r="P936" s="78">
        <v>51000000001</v>
      </c>
      <c r="Q936" s="142" t="s">
        <v>460</v>
      </c>
      <c r="R936" s="429">
        <f>SUMIFS($J$939:$J$963,$E$939:$E$963,Q936,$M$939:$M$963,P936)</f>
        <v>0</v>
      </c>
      <c r="T936" s="97">
        <v>51000200001</v>
      </c>
      <c r="U936" s="97" t="s">
        <v>382</v>
      </c>
      <c r="X936" s="109">
        <v>-233.57999999999993</v>
      </c>
      <c r="Y936" s="109">
        <f>R939</f>
        <v>0</v>
      </c>
      <c r="Z936" s="144">
        <v>0</v>
      </c>
    </row>
    <row r="937" spans="1:26" x14ac:dyDescent="0.2">
      <c r="B937" s="133"/>
      <c r="C937" s="134"/>
      <c r="D937" s="134"/>
      <c r="E937" s="133"/>
      <c r="F937" s="133"/>
      <c r="G937" s="133"/>
      <c r="H937" s="135" t="s">
        <v>326</v>
      </c>
      <c r="I937" s="136" t="s">
        <v>327</v>
      </c>
      <c r="J937" s="148" t="s">
        <v>328</v>
      </c>
      <c r="K937" s="148" t="s">
        <v>89</v>
      </c>
      <c r="L937" s="149" t="s">
        <v>94</v>
      </c>
      <c r="O937" s="152" t="s">
        <v>582</v>
      </c>
      <c r="P937" s="78">
        <v>51000000002</v>
      </c>
      <c r="Q937" s="142" t="s">
        <v>460</v>
      </c>
      <c r="R937" s="429">
        <f t="shared" ref="R937:R955" si="55">SUMIFS($J$939:$J$963,$E$939:$E$963,Q937,$M$939:$M$963,P937)</f>
        <v>0</v>
      </c>
      <c r="T937" s="97">
        <v>51000200002</v>
      </c>
      <c r="U937" s="97" t="s">
        <v>383</v>
      </c>
      <c r="X937" s="109">
        <v>-233.57999999999993</v>
      </c>
      <c r="Y937" s="109">
        <f>R941</f>
        <v>0</v>
      </c>
      <c r="Z937" s="144">
        <v>0</v>
      </c>
    </row>
    <row r="938" spans="1:26" x14ac:dyDescent="0.2">
      <c r="O938" s="152" t="s">
        <v>582</v>
      </c>
      <c r="P938" s="78">
        <v>51000100001</v>
      </c>
      <c r="Q938" s="142" t="s">
        <v>460</v>
      </c>
      <c r="R938" s="429">
        <f t="shared" si="55"/>
        <v>0</v>
      </c>
      <c r="T938" s="97">
        <v>51000100001</v>
      </c>
      <c r="U938" s="109" t="s">
        <v>12</v>
      </c>
      <c r="X938" s="109">
        <v>-3172.8100000000004</v>
      </c>
    </row>
    <row r="939" spans="1:26" x14ac:dyDescent="0.2">
      <c r="B939" s="141">
        <v>43711</v>
      </c>
      <c r="C939" s="138" t="s">
        <v>928</v>
      </c>
      <c r="D939" s="138" t="s">
        <v>459</v>
      </c>
      <c r="E939" s="142" t="s">
        <v>460</v>
      </c>
      <c r="F939" s="142" t="s">
        <v>90</v>
      </c>
      <c r="G939" s="428"/>
      <c r="H939" s="429"/>
      <c r="I939" s="429"/>
      <c r="J939" s="429">
        <v>494.11</v>
      </c>
      <c r="K939" s="143">
        <v>64.23</v>
      </c>
      <c r="L939" s="429">
        <f t="shared" ref="L939:L963" si="56">+J939+K939</f>
        <v>558.34</v>
      </c>
      <c r="M939" s="245">
        <v>51000200002</v>
      </c>
      <c r="O939" s="152" t="s">
        <v>582</v>
      </c>
      <c r="P939" s="78">
        <v>51000100001</v>
      </c>
      <c r="Q939" s="142" t="s">
        <v>496</v>
      </c>
      <c r="R939" s="429">
        <f t="shared" si="55"/>
        <v>0</v>
      </c>
      <c r="T939" s="97">
        <v>51000100002</v>
      </c>
      <c r="U939" s="109" t="s">
        <v>380</v>
      </c>
      <c r="X939" s="109">
        <v>-2168.31</v>
      </c>
    </row>
    <row r="940" spans="1:26" x14ac:dyDescent="0.2">
      <c r="B940" s="141">
        <v>43711</v>
      </c>
      <c r="C940" s="138" t="s">
        <v>929</v>
      </c>
      <c r="D940" s="138" t="s">
        <v>459</v>
      </c>
      <c r="E940" s="142" t="s">
        <v>460</v>
      </c>
      <c r="F940" s="142" t="s">
        <v>90</v>
      </c>
      <c r="G940" s="428"/>
      <c r="H940" s="429"/>
      <c r="I940" s="429"/>
      <c r="J940" s="429">
        <v>494.11</v>
      </c>
      <c r="K940" s="143">
        <v>64.23</v>
      </c>
      <c r="L940" s="429">
        <f t="shared" si="56"/>
        <v>558.34</v>
      </c>
      <c r="M940" s="245">
        <v>51000200001</v>
      </c>
      <c r="O940" s="152" t="s">
        <v>582</v>
      </c>
      <c r="P940" s="78">
        <v>51000100002</v>
      </c>
      <c r="Q940" s="142" t="s">
        <v>460</v>
      </c>
      <c r="R940" s="429">
        <f t="shared" si="55"/>
        <v>0</v>
      </c>
      <c r="T940" s="97">
        <v>51220200001</v>
      </c>
      <c r="U940" s="97" t="s">
        <v>55</v>
      </c>
      <c r="X940" s="109">
        <v>-1830.6</v>
      </c>
      <c r="Y940" s="109">
        <f>R948+R955</f>
        <v>1629.1100000000001</v>
      </c>
      <c r="Z940" s="144">
        <f>X940+Y940</f>
        <v>-201.48999999999978</v>
      </c>
    </row>
    <row r="941" spans="1:26" x14ac:dyDescent="0.2">
      <c r="B941" s="141">
        <v>43711</v>
      </c>
      <c r="C941" s="138" t="s">
        <v>930</v>
      </c>
      <c r="D941" s="138" t="s">
        <v>459</v>
      </c>
      <c r="E941" s="217" t="s">
        <v>539</v>
      </c>
      <c r="F941" s="217" t="s">
        <v>329</v>
      </c>
      <c r="G941" s="217"/>
      <c r="H941" s="219"/>
      <c r="I941" s="219"/>
      <c r="J941" s="219">
        <v>778.97</v>
      </c>
      <c r="K941" s="246">
        <v>101.27</v>
      </c>
      <c r="L941" s="219">
        <f t="shared" si="56"/>
        <v>880.24</v>
      </c>
      <c r="M941" s="336"/>
      <c r="O941" s="152" t="s">
        <v>582</v>
      </c>
      <c r="P941" s="78">
        <v>51000100002</v>
      </c>
      <c r="Q941" s="142" t="s">
        <v>496</v>
      </c>
      <c r="R941" s="429">
        <f t="shared" si="55"/>
        <v>0</v>
      </c>
      <c r="T941" s="195">
        <v>52200000001</v>
      </c>
      <c r="U941" s="195" t="s">
        <v>33</v>
      </c>
      <c r="V941" s="195"/>
      <c r="W941" s="195"/>
      <c r="X941" s="191"/>
      <c r="Y941" s="109">
        <v>0</v>
      </c>
      <c r="Z941" s="144">
        <v>0</v>
      </c>
    </row>
    <row r="942" spans="1:26" x14ac:dyDescent="0.2">
      <c r="B942" s="141">
        <v>43711</v>
      </c>
      <c r="C942" s="138" t="s">
        <v>931</v>
      </c>
      <c r="D942" s="138" t="s">
        <v>459</v>
      </c>
      <c r="E942" s="217" t="s">
        <v>539</v>
      </c>
      <c r="F942" s="217" t="s">
        <v>329</v>
      </c>
      <c r="G942" s="217"/>
      <c r="H942" s="219"/>
      <c r="I942" s="219"/>
      <c r="J942" s="219">
        <v>486.86</v>
      </c>
      <c r="K942" s="246">
        <v>63.29</v>
      </c>
      <c r="L942" s="219">
        <f t="shared" si="56"/>
        <v>550.15</v>
      </c>
      <c r="M942" s="336"/>
      <c r="O942" s="152" t="s">
        <v>582</v>
      </c>
      <c r="P942" s="227">
        <v>51000200001</v>
      </c>
      <c r="Q942" s="217" t="s">
        <v>460</v>
      </c>
      <c r="R942" s="429">
        <f t="shared" si="55"/>
        <v>707.1400000000001</v>
      </c>
      <c r="T942" s="97">
        <v>51000000001</v>
      </c>
      <c r="U942" s="97" t="s">
        <v>132</v>
      </c>
      <c r="X942" s="109"/>
    </row>
    <row r="943" spans="1:26" x14ac:dyDescent="0.2">
      <c r="B943" s="141">
        <v>43711</v>
      </c>
      <c r="C943" s="138" t="s">
        <v>932</v>
      </c>
      <c r="D943" s="138" t="s">
        <v>459</v>
      </c>
      <c r="E943" s="142" t="s">
        <v>482</v>
      </c>
      <c r="F943" s="142"/>
      <c r="G943" s="142"/>
      <c r="H943" s="429"/>
      <c r="I943" s="429"/>
      <c r="J943" s="429"/>
      <c r="K943" s="143"/>
      <c r="L943" s="429"/>
      <c r="O943" s="152" t="s">
        <v>582</v>
      </c>
      <c r="P943" s="78">
        <v>51000200001</v>
      </c>
      <c r="Q943" s="142" t="s">
        <v>351</v>
      </c>
      <c r="R943" s="429">
        <f t="shared" si="55"/>
        <v>0</v>
      </c>
      <c r="T943" s="97">
        <v>51000000002</v>
      </c>
      <c r="U943" s="97" t="s">
        <v>10</v>
      </c>
      <c r="X943" s="109"/>
    </row>
    <row r="944" spans="1:26" x14ac:dyDescent="0.2">
      <c r="B944" s="141">
        <v>43711</v>
      </c>
      <c r="C944" s="138" t="s">
        <v>933</v>
      </c>
      <c r="D944" s="138" t="s">
        <v>459</v>
      </c>
      <c r="E944" s="142" t="s">
        <v>482</v>
      </c>
      <c r="F944" s="142"/>
      <c r="G944" s="142"/>
      <c r="H944" s="429"/>
      <c r="I944" s="429"/>
      <c r="J944" s="429"/>
      <c r="K944" s="143"/>
      <c r="L944" s="429"/>
      <c r="O944" s="152" t="s">
        <v>582</v>
      </c>
      <c r="P944" s="78">
        <v>51000200001</v>
      </c>
      <c r="Q944" s="142" t="s">
        <v>56</v>
      </c>
      <c r="R944" s="429">
        <f t="shared" si="55"/>
        <v>0</v>
      </c>
      <c r="T944" s="97">
        <v>53000100001</v>
      </c>
      <c r="U944" s="97" t="s">
        <v>134</v>
      </c>
      <c r="X944" s="198">
        <v>-41.88</v>
      </c>
      <c r="Y944" s="109">
        <v>0</v>
      </c>
      <c r="Z944" s="144">
        <v>0</v>
      </c>
    </row>
    <row r="945" spans="2:26" x14ac:dyDescent="0.2">
      <c r="B945" s="141">
        <v>43712</v>
      </c>
      <c r="C945" s="138" t="s">
        <v>934</v>
      </c>
      <c r="D945" s="138" t="s">
        <v>459</v>
      </c>
      <c r="E945" s="142" t="s">
        <v>460</v>
      </c>
      <c r="F945" s="142" t="s">
        <v>90</v>
      </c>
      <c r="G945" s="142"/>
      <c r="H945" s="429"/>
      <c r="I945" s="429"/>
      <c r="J945" s="429">
        <v>55.48</v>
      </c>
      <c r="K945" s="143">
        <v>7.21</v>
      </c>
      <c r="L945" s="429">
        <f t="shared" si="56"/>
        <v>62.69</v>
      </c>
      <c r="M945" s="245">
        <v>51000200002</v>
      </c>
      <c r="O945" s="152" t="s">
        <v>582</v>
      </c>
      <c r="P945" s="227">
        <v>51000200002</v>
      </c>
      <c r="Q945" s="217" t="s">
        <v>460</v>
      </c>
      <c r="R945" s="429">
        <f t="shared" si="55"/>
        <v>707.1400000000001</v>
      </c>
      <c r="X945" s="171">
        <v>0</v>
      </c>
      <c r="Y945" s="171">
        <f>R951+R960</f>
        <v>0</v>
      </c>
      <c r="Z945" s="167">
        <v>0</v>
      </c>
    </row>
    <row r="946" spans="2:26" x14ac:dyDescent="0.2">
      <c r="B946" s="141">
        <v>43712</v>
      </c>
      <c r="C946" s="138" t="s">
        <v>935</v>
      </c>
      <c r="D946" s="138" t="s">
        <v>459</v>
      </c>
      <c r="E946" s="142" t="s">
        <v>460</v>
      </c>
      <c r="F946" s="142" t="s">
        <v>90</v>
      </c>
      <c r="G946" s="142"/>
      <c r="H946" s="429"/>
      <c r="I946" s="429"/>
      <c r="J946" s="429">
        <v>55.48</v>
      </c>
      <c r="K946" s="143">
        <v>7.21</v>
      </c>
      <c r="L946" s="429">
        <f t="shared" si="56"/>
        <v>62.69</v>
      </c>
      <c r="M946" s="245">
        <v>51000200001</v>
      </c>
      <c r="O946" s="152" t="s">
        <v>582</v>
      </c>
      <c r="P946" s="78">
        <v>51000200002</v>
      </c>
      <c r="Q946" s="142" t="s">
        <v>351</v>
      </c>
      <c r="R946" s="429">
        <f t="shared" si="55"/>
        <v>0</v>
      </c>
      <c r="X946" s="158">
        <f>SUM(X936:X944)</f>
        <v>-7680.7600000000011</v>
      </c>
      <c r="Y946" s="158">
        <f>SUM(Y936:Y945)</f>
        <v>1629.1100000000001</v>
      </c>
      <c r="Z946" s="158">
        <f>SUM(Z936:Z945)</f>
        <v>-201.48999999999978</v>
      </c>
    </row>
    <row r="947" spans="2:26" x14ac:dyDescent="0.2">
      <c r="B947" s="141">
        <v>43713</v>
      </c>
      <c r="C947" s="138" t="s">
        <v>936</v>
      </c>
      <c r="D947" s="138" t="s">
        <v>459</v>
      </c>
      <c r="E947" s="142" t="s">
        <v>460</v>
      </c>
      <c r="F947" s="142" t="s">
        <v>90</v>
      </c>
      <c r="G947" s="142"/>
      <c r="H947" s="429"/>
      <c r="I947" s="429"/>
      <c r="J947" s="429">
        <v>47.95</v>
      </c>
      <c r="K947" s="143">
        <v>6.23</v>
      </c>
      <c r="L947" s="429">
        <f t="shared" si="56"/>
        <v>54.180000000000007</v>
      </c>
      <c r="M947" s="245">
        <v>51000200002</v>
      </c>
      <c r="O947" s="152" t="s">
        <v>582</v>
      </c>
      <c r="P947" s="78">
        <v>51000200002</v>
      </c>
      <c r="Q947" s="142" t="s">
        <v>56</v>
      </c>
      <c r="R947" s="429">
        <f t="shared" si="55"/>
        <v>0</v>
      </c>
      <c r="U947" s="109"/>
      <c r="Z947" s="144"/>
    </row>
    <row r="948" spans="2:26" x14ac:dyDescent="0.2">
      <c r="B948" s="141">
        <v>43713</v>
      </c>
      <c r="C948" s="138" t="s">
        <v>937</v>
      </c>
      <c r="D948" s="138" t="s">
        <v>459</v>
      </c>
      <c r="E948" s="142" t="s">
        <v>460</v>
      </c>
      <c r="F948" s="142" t="s">
        <v>90</v>
      </c>
      <c r="G948" s="142"/>
      <c r="H948" s="429"/>
      <c r="I948" s="429"/>
      <c r="J948" s="429">
        <v>47.95</v>
      </c>
      <c r="K948" s="143">
        <v>6.23</v>
      </c>
      <c r="L948" s="429">
        <f t="shared" si="56"/>
        <v>54.180000000000007</v>
      </c>
      <c r="M948" s="245">
        <v>51000200001</v>
      </c>
      <c r="O948" s="152" t="s">
        <v>582</v>
      </c>
      <c r="P948" s="227">
        <v>51220200001</v>
      </c>
      <c r="Q948" s="217" t="s">
        <v>460</v>
      </c>
      <c r="R948" s="429">
        <f t="shared" si="55"/>
        <v>1274.76</v>
      </c>
      <c r="U948" s="109"/>
    </row>
    <row r="949" spans="2:26" x14ac:dyDescent="0.2">
      <c r="B949" s="141">
        <v>43718</v>
      </c>
      <c r="C949" s="138" t="s">
        <v>938</v>
      </c>
      <c r="D949" s="138" t="s">
        <v>459</v>
      </c>
      <c r="E949" s="142" t="s">
        <v>460</v>
      </c>
      <c r="F949" s="142" t="s">
        <v>90</v>
      </c>
      <c r="G949" s="142"/>
      <c r="H949" s="429"/>
      <c r="I949" s="429"/>
      <c r="J949" s="429">
        <v>20.55</v>
      </c>
      <c r="K949" s="143">
        <v>2.67</v>
      </c>
      <c r="L949" s="429">
        <f t="shared" si="56"/>
        <v>23.22</v>
      </c>
      <c r="M949" s="245">
        <v>51000200002</v>
      </c>
      <c r="O949" s="152" t="s">
        <v>582</v>
      </c>
      <c r="P949" s="78">
        <v>51220200001</v>
      </c>
      <c r="Q949" s="142" t="s">
        <v>351</v>
      </c>
      <c r="R949" s="429">
        <f t="shared" si="55"/>
        <v>0</v>
      </c>
    </row>
    <row r="950" spans="2:26" x14ac:dyDescent="0.2">
      <c r="B950" s="141">
        <v>43718</v>
      </c>
      <c r="C950" s="138" t="s">
        <v>939</v>
      </c>
      <c r="D950" s="138" t="s">
        <v>459</v>
      </c>
      <c r="E950" s="142" t="s">
        <v>460</v>
      </c>
      <c r="F950" s="142" t="s">
        <v>90</v>
      </c>
      <c r="G950" s="142"/>
      <c r="H950" s="429"/>
      <c r="I950" s="429"/>
      <c r="J950" s="429">
        <v>20.55</v>
      </c>
      <c r="K950" s="143">
        <v>2.67</v>
      </c>
      <c r="L950" s="429">
        <f t="shared" si="56"/>
        <v>23.22</v>
      </c>
      <c r="M950" s="245">
        <v>51000200001</v>
      </c>
      <c r="O950" s="152" t="s">
        <v>582</v>
      </c>
      <c r="P950" s="78">
        <v>51220200001</v>
      </c>
      <c r="Q950" s="142" t="s">
        <v>56</v>
      </c>
      <c r="R950" s="429">
        <f t="shared" si="55"/>
        <v>0</v>
      </c>
    </row>
    <row r="951" spans="2:26" x14ac:dyDescent="0.2">
      <c r="B951" s="141">
        <v>43718</v>
      </c>
      <c r="C951" s="138" t="s">
        <v>940</v>
      </c>
      <c r="D951" s="138" t="s">
        <v>459</v>
      </c>
      <c r="E951" s="217" t="s">
        <v>539</v>
      </c>
      <c r="F951" s="217" t="s">
        <v>329</v>
      </c>
      <c r="G951" s="217"/>
      <c r="H951" s="219"/>
      <c r="I951" s="219"/>
      <c r="J951" s="219">
        <v>20.55</v>
      </c>
      <c r="K951" s="246">
        <v>2.67</v>
      </c>
      <c r="L951" s="219">
        <f t="shared" si="56"/>
        <v>23.22</v>
      </c>
      <c r="M951" s="224"/>
      <c r="O951" s="152" t="s">
        <v>582</v>
      </c>
      <c r="P951" s="78">
        <v>52200000001</v>
      </c>
      <c r="Q951" s="142" t="s">
        <v>460</v>
      </c>
      <c r="R951" s="429">
        <f t="shared" si="55"/>
        <v>0</v>
      </c>
      <c r="W951" s="106" t="s">
        <v>478</v>
      </c>
      <c r="X951" s="144">
        <f>+X937+X940+X936+X945+X938+X939+X942+X943</f>
        <v>-7638.8799999999992</v>
      </c>
    </row>
    <row r="952" spans="2:26" x14ac:dyDescent="0.2">
      <c r="B952" s="141">
        <v>43718</v>
      </c>
      <c r="C952" s="138" t="s">
        <v>941</v>
      </c>
      <c r="D952" s="138" t="s">
        <v>459</v>
      </c>
      <c r="E952" s="217" t="s">
        <v>539</v>
      </c>
      <c r="F952" s="217" t="s">
        <v>329</v>
      </c>
      <c r="G952" s="217"/>
      <c r="H952" s="219"/>
      <c r="I952" s="219"/>
      <c r="J952" s="219">
        <v>20.55</v>
      </c>
      <c r="K952" s="246">
        <v>2.67</v>
      </c>
      <c r="L952" s="219">
        <f t="shared" si="56"/>
        <v>23.22</v>
      </c>
      <c r="M952" s="224"/>
      <c r="O952" s="152" t="s">
        <v>582</v>
      </c>
      <c r="P952" s="78">
        <v>52200000001</v>
      </c>
      <c r="Q952" s="142" t="s">
        <v>351</v>
      </c>
      <c r="R952" s="429">
        <f t="shared" si="55"/>
        <v>0</v>
      </c>
      <c r="W952" s="97" t="s">
        <v>480</v>
      </c>
      <c r="X952" s="144">
        <f>+R956</f>
        <v>3043.39</v>
      </c>
    </row>
    <row r="953" spans="2:26" x14ac:dyDescent="0.2">
      <c r="B953" s="141" t="s">
        <v>942</v>
      </c>
      <c r="C953" s="138" t="s">
        <v>943</v>
      </c>
      <c r="D953" s="138" t="s">
        <v>459</v>
      </c>
      <c r="E953" s="142" t="s">
        <v>460</v>
      </c>
      <c r="F953" s="142" t="s">
        <v>90</v>
      </c>
      <c r="G953" s="142"/>
      <c r="H953" s="429"/>
      <c r="I953" s="429"/>
      <c r="J953" s="429">
        <v>47.95</v>
      </c>
      <c r="K953" s="162">
        <v>6.23</v>
      </c>
      <c r="L953" s="429">
        <f t="shared" si="56"/>
        <v>54.180000000000007</v>
      </c>
      <c r="M953" s="245">
        <v>51000200002</v>
      </c>
      <c r="O953" s="152" t="s">
        <v>582</v>
      </c>
      <c r="P953" s="78">
        <v>52200000001</v>
      </c>
      <c r="Q953" s="142" t="s">
        <v>56</v>
      </c>
      <c r="R953" s="429">
        <f t="shared" si="55"/>
        <v>0</v>
      </c>
      <c r="W953" s="97" t="s">
        <v>486</v>
      </c>
      <c r="X953" s="167">
        <f>+J941+J942+J951+J952+J955+J956+J961</f>
        <v>4583.37</v>
      </c>
    </row>
    <row r="954" spans="2:26" x14ac:dyDescent="0.2">
      <c r="B954" s="141" t="s">
        <v>942</v>
      </c>
      <c r="C954" s="138" t="s">
        <v>944</v>
      </c>
      <c r="D954" s="138" t="s">
        <v>459</v>
      </c>
      <c r="E954" s="142" t="s">
        <v>460</v>
      </c>
      <c r="F954" s="142" t="s">
        <v>90</v>
      </c>
      <c r="G954" s="142"/>
      <c r="H954" s="429"/>
      <c r="I954" s="429"/>
      <c r="J954" s="429">
        <v>47.95</v>
      </c>
      <c r="K954" s="162">
        <v>6.23</v>
      </c>
      <c r="L954" s="429">
        <f t="shared" si="56"/>
        <v>54.180000000000007</v>
      </c>
      <c r="M954" s="245">
        <v>51000200001</v>
      </c>
      <c r="O954" s="152" t="s">
        <v>582</v>
      </c>
      <c r="P954" s="78">
        <v>52200000001</v>
      </c>
      <c r="Q954" s="142" t="s">
        <v>460</v>
      </c>
      <c r="R954" s="429">
        <f t="shared" si="55"/>
        <v>0</v>
      </c>
      <c r="X954" s="324">
        <f>X951+X952+X953</f>
        <v>-12.119999999999891</v>
      </c>
      <c r="Y954" s="97" t="s">
        <v>500</v>
      </c>
    </row>
    <row r="955" spans="2:26" x14ac:dyDescent="0.2">
      <c r="B955" s="141">
        <v>43725</v>
      </c>
      <c r="C955" s="138" t="s">
        <v>945</v>
      </c>
      <c r="D955" s="138" t="s">
        <v>459</v>
      </c>
      <c r="E955" s="217" t="s">
        <v>539</v>
      </c>
      <c r="F955" s="217" t="s">
        <v>329</v>
      </c>
      <c r="G955" s="217"/>
      <c r="H955" s="219"/>
      <c r="I955" s="219"/>
      <c r="J955" s="219">
        <v>1899.73</v>
      </c>
      <c r="K955" s="246">
        <v>246.97</v>
      </c>
      <c r="L955" s="219">
        <f t="shared" si="56"/>
        <v>2146.6999999999998</v>
      </c>
      <c r="M955" s="336"/>
      <c r="O955" s="152" t="s">
        <v>582</v>
      </c>
      <c r="P955" s="227">
        <v>51220200001</v>
      </c>
      <c r="Q955" s="217" t="s">
        <v>496</v>
      </c>
      <c r="R955" s="429">
        <f t="shared" si="55"/>
        <v>354.35</v>
      </c>
    </row>
    <row r="956" spans="2:26" ht="13.5" thickBot="1" x14ac:dyDescent="0.25">
      <c r="B956" s="141">
        <v>43725</v>
      </c>
      <c r="C956" s="138" t="s">
        <v>946</v>
      </c>
      <c r="D956" s="138" t="s">
        <v>459</v>
      </c>
      <c r="E956" s="217" t="s">
        <v>539</v>
      </c>
      <c r="F956" s="217" t="s">
        <v>329</v>
      </c>
      <c r="G956" s="218"/>
      <c r="H956" s="219"/>
      <c r="I956" s="219"/>
      <c r="J956" s="219">
        <v>1187.3399999999999</v>
      </c>
      <c r="K956" s="246">
        <v>154.35</v>
      </c>
      <c r="L956" s="219">
        <f t="shared" si="56"/>
        <v>1341.6899999999998</v>
      </c>
      <c r="M956" s="336"/>
      <c r="O956" s="427"/>
      <c r="P956" s="427"/>
      <c r="R956" s="244">
        <f>SUM(R936:R955)</f>
        <v>3043.39</v>
      </c>
      <c r="X956" s="144"/>
    </row>
    <row r="957" spans="2:26" ht="13.5" thickTop="1" x14ac:dyDescent="0.2">
      <c r="B957" s="141">
        <v>43726</v>
      </c>
      <c r="C957" s="138" t="s">
        <v>947</v>
      </c>
      <c r="D957" s="138" t="s">
        <v>459</v>
      </c>
      <c r="E957" s="142" t="s">
        <v>482</v>
      </c>
      <c r="F957" s="142"/>
      <c r="G957" s="428"/>
      <c r="H957" s="429"/>
      <c r="I957" s="429"/>
      <c r="J957" s="429"/>
      <c r="K957" s="162"/>
      <c r="L957" s="429">
        <f t="shared" si="56"/>
        <v>0</v>
      </c>
    </row>
    <row r="958" spans="2:26" x14ac:dyDescent="0.2">
      <c r="B958" s="141">
        <v>43726</v>
      </c>
      <c r="C958" s="138" t="s">
        <v>948</v>
      </c>
      <c r="D958" s="138" t="s">
        <v>459</v>
      </c>
      <c r="E958" s="142" t="s">
        <v>482</v>
      </c>
      <c r="F958" s="142"/>
      <c r="G958" s="428"/>
      <c r="H958" s="429"/>
      <c r="I958" s="429"/>
      <c r="J958" s="429"/>
      <c r="K958" s="143"/>
      <c r="L958" s="429">
        <f t="shared" si="56"/>
        <v>0</v>
      </c>
    </row>
    <row r="959" spans="2:26" x14ac:dyDescent="0.2">
      <c r="B959" s="141">
        <v>43731</v>
      </c>
      <c r="C959" s="138" t="s">
        <v>949</v>
      </c>
      <c r="D959" s="138" t="s">
        <v>459</v>
      </c>
      <c r="E959" s="142" t="s">
        <v>496</v>
      </c>
      <c r="F959" s="142" t="s">
        <v>497</v>
      </c>
      <c r="G959" s="428"/>
      <c r="H959" s="429"/>
      <c r="I959" s="429"/>
      <c r="J959" s="429">
        <v>354.35</v>
      </c>
      <c r="K959" s="143">
        <v>46.07</v>
      </c>
      <c r="L959" s="429">
        <f t="shared" si="56"/>
        <v>400.42</v>
      </c>
      <c r="M959" s="245">
        <v>51220200001</v>
      </c>
    </row>
    <row r="960" spans="2:26" x14ac:dyDescent="0.2">
      <c r="B960" s="141">
        <v>43731</v>
      </c>
      <c r="C960" s="138" t="s">
        <v>950</v>
      </c>
      <c r="D960" s="138" t="s">
        <v>459</v>
      </c>
      <c r="E960" s="142" t="s">
        <v>460</v>
      </c>
      <c r="F960" s="142" t="s">
        <v>90</v>
      </c>
      <c r="G960" s="428"/>
      <c r="H960" s="429"/>
      <c r="I960" s="429"/>
      <c r="J960" s="429">
        <v>1274.76</v>
      </c>
      <c r="K960" s="143">
        <v>165.72</v>
      </c>
      <c r="L960" s="429">
        <f t="shared" si="56"/>
        <v>1440.48</v>
      </c>
      <c r="M960" s="245">
        <v>51220200001</v>
      </c>
    </row>
    <row r="961" spans="1:26" x14ac:dyDescent="0.2">
      <c r="B961" s="141">
        <v>43731</v>
      </c>
      <c r="C961" s="138" t="s">
        <v>951</v>
      </c>
      <c r="D961" s="138" t="s">
        <v>459</v>
      </c>
      <c r="E961" s="217" t="s">
        <v>539</v>
      </c>
      <c r="F961" s="217" t="s">
        <v>329</v>
      </c>
      <c r="G961" s="218"/>
      <c r="H961" s="219"/>
      <c r="I961" s="219"/>
      <c r="J961" s="219">
        <v>189.37</v>
      </c>
      <c r="K961" s="246">
        <v>24.62</v>
      </c>
      <c r="L961" s="219">
        <f t="shared" si="56"/>
        <v>213.99</v>
      </c>
      <c r="M961" s="336"/>
    </row>
    <row r="962" spans="1:26" x14ac:dyDescent="0.2">
      <c r="B962" s="141">
        <v>43733</v>
      </c>
      <c r="C962" s="138" t="s">
        <v>952</v>
      </c>
      <c r="D962" s="138" t="s">
        <v>459</v>
      </c>
      <c r="E962" s="142" t="s">
        <v>460</v>
      </c>
      <c r="F962" s="142" t="s">
        <v>90</v>
      </c>
      <c r="G962" s="428"/>
      <c r="H962" s="429"/>
      <c r="I962" s="429"/>
      <c r="J962" s="429">
        <v>41.1</v>
      </c>
      <c r="K962" s="143">
        <v>5.34</v>
      </c>
      <c r="L962" s="429">
        <f t="shared" si="56"/>
        <v>46.44</v>
      </c>
      <c r="M962" s="245">
        <v>51000200002</v>
      </c>
    </row>
    <row r="963" spans="1:26" x14ac:dyDescent="0.2">
      <c r="B963" s="141">
        <v>43733</v>
      </c>
      <c r="C963" s="138" t="s">
        <v>953</v>
      </c>
      <c r="D963" s="138" t="s">
        <v>459</v>
      </c>
      <c r="E963" s="142" t="s">
        <v>460</v>
      </c>
      <c r="F963" s="142" t="s">
        <v>90</v>
      </c>
      <c r="G963" s="428"/>
      <c r="H963" s="429"/>
      <c r="I963" s="429"/>
      <c r="J963" s="429">
        <v>41.1</v>
      </c>
      <c r="K963" s="143">
        <v>5.34</v>
      </c>
      <c r="L963" s="429">
        <f t="shared" si="56"/>
        <v>46.44</v>
      </c>
      <c r="M963" s="245">
        <v>51000200001</v>
      </c>
    </row>
    <row r="966" spans="1:26" s="250" customFormat="1" ht="4.5" customHeight="1" x14ac:dyDescent="0.2">
      <c r="A966" s="247"/>
      <c r="B966" s="247"/>
      <c r="C966" s="248"/>
      <c r="D966" s="248"/>
      <c r="E966" s="247"/>
      <c r="F966" s="247"/>
      <c r="G966" s="247"/>
      <c r="H966" s="247"/>
      <c r="I966" s="247"/>
      <c r="J966" s="247"/>
      <c r="K966" s="247"/>
      <c r="L966" s="247"/>
      <c r="M966" s="249"/>
      <c r="N966" s="249"/>
      <c r="O966" s="249"/>
      <c r="P966" s="249"/>
      <c r="R966" s="384"/>
    </row>
    <row r="968" spans="1:26" x14ac:dyDescent="0.2">
      <c r="B968" s="125"/>
      <c r="C968" s="126" t="s">
        <v>255</v>
      </c>
      <c r="D968" s="127" t="s">
        <v>43</v>
      </c>
      <c r="E968" s="127"/>
      <c r="F968" s="127" t="s">
        <v>135</v>
      </c>
      <c r="G968" s="127"/>
      <c r="H968" s="128" t="s">
        <v>136</v>
      </c>
      <c r="I968" s="129"/>
      <c r="J968" s="129"/>
      <c r="K968" s="129"/>
      <c r="L968" s="146"/>
      <c r="O968" s="170" t="s">
        <v>480</v>
      </c>
      <c r="P968" s="170"/>
      <c r="Q968" s="170"/>
      <c r="R968" s="170"/>
      <c r="U968" s="106" t="s">
        <v>465</v>
      </c>
      <c r="Y968" s="97" t="s">
        <v>479</v>
      </c>
      <c r="Z968" s="97" t="s">
        <v>340</v>
      </c>
    </row>
    <row r="969" spans="1:26" x14ac:dyDescent="0.2">
      <c r="B969" s="130" t="s">
        <v>137</v>
      </c>
      <c r="C969" s="131" t="s">
        <v>138</v>
      </c>
      <c r="D969" s="131" t="s">
        <v>258</v>
      </c>
      <c r="E969" s="131" t="s">
        <v>139</v>
      </c>
      <c r="F969" s="131" t="s">
        <v>259</v>
      </c>
      <c r="G969" s="131" t="s">
        <v>140</v>
      </c>
      <c r="H969" s="132" t="s">
        <v>94</v>
      </c>
      <c r="I969" s="129"/>
      <c r="J969" s="132" t="s">
        <v>141</v>
      </c>
      <c r="K969" s="129"/>
      <c r="L969" s="147" t="s">
        <v>325</v>
      </c>
      <c r="O969" s="152" t="s">
        <v>639</v>
      </c>
      <c r="P969" s="78">
        <v>51000000001</v>
      </c>
      <c r="Q969" s="142" t="s">
        <v>460</v>
      </c>
      <c r="R969" s="429">
        <f>SUMIFS($J$971:$J$995,$E$971:$E$995,Q969,$M$971:$M$995,P969)</f>
        <v>0</v>
      </c>
      <c r="T969" s="97">
        <v>51000200001</v>
      </c>
      <c r="U969" s="97" t="s">
        <v>382</v>
      </c>
      <c r="X969" s="109">
        <v>-381.51000000000022</v>
      </c>
      <c r="Y969" s="109">
        <f>R972</f>
        <v>0</v>
      </c>
      <c r="Z969" s="144">
        <v>0</v>
      </c>
    </row>
    <row r="970" spans="1:26" x14ac:dyDescent="0.2">
      <c r="B970" s="133"/>
      <c r="C970" s="134"/>
      <c r="D970" s="134"/>
      <c r="E970" s="133"/>
      <c r="F970" s="133"/>
      <c r="G970" s="133"/>
      <c r="H970" s="135" t="s">
        <v>326</v>
      </c>
      <c r="I970" s="136" t="s">
        <v>327</v>
      </c>
      <c r="J970" s="148" t="s">
        <v>328</v>
      </c>
      <c r="K970" s="148" t="s">
        <v>89</v>
      </c>
      <c r="L970" s="149" t="s">
        <v>94</v>
      </c>
      <c r="O970" s="152" t="s">
        <v>639</v>
      </c>
      <c r="P970" s="78">
        <v>51000000002</v>
      </c>
      <c r="Q970" s="142" t="s">
        <v>460</v>
      </c>
      <c r="R970" s="429">
        <f t="shared" ref="R970:R988" si="57">SUMIFS($J$971:$J$995,$E$971:$E$995,Q970,$M$971:$M$995,P970)</f>
        <v>0</v>
      </c>
      <c r="T970" s="97">
        <v>51000200002</v>
      </c>
      <c r="U970" s="97" t="s">
        <v>383</v>
      </c>
      <c r="X970" s="109">
        <v>-381.51000000000022</v>
      </c>
      <c r="Y970" s="109">
        <f>R974</f>
        <v>0</v>
      </c>
      <c r="Z970" s="144">
        <v>0</v>
      </c>
    </row>
    <row r="971" spans="1:26" x14ac:dyDescent="0.2">
      <c r="B971" s="141">
        <v>43739</v>
      </c>
      <c r="C971" s="138" t="s">
        <v>962</v>
      </c>
      <c r="D971" s="138" t="s">
        <v>459</v>
      </c>
      <c r="E971" s="142" t="s">
        <v>460</v>
      </c>
      <c r="F971" s="142" t="s">
        <v>90</v>
      </c>
      <c r="G971" s="428"/>
      <c r="H971" s="429"/>
      <c r="I971" s="429"/>
      <c r="J971" s="429">
        <v>93.59</v>
      </c>
      <c r="K971" s="143">
        <v>12.17</v>
      </c>
      <c r="L971" s="429">
        <f t="shared" ref="L971:L994" si="58">+J971+K971</f>
        <v>105.76</v>
      </c>
      <c r="M971" s="245">
        <v>51000200002</v>
      </c>
      <c r="O971" s="152" t="s">
        <v>639</v>
      </c>
      <c r="P971" s="78">
        <v>51000100001</v>
      </c>
      <c r="Q971" s="142" t="s">
        <v>460</v>
      </c>
      <c r="R971" s="429">
        <f t="shared" si="57"/>
        <v>0</v>
      </c>
      <c r="T971" s="97">
        <v>51000100001</v>
      </c>
      <c r="U971" s="109" t="s">
        <v>12</v>
      </c>
      <c r="X971" s="109">
        <v>-352.44999999999982</v>
      </c>
    </row>
    <row r="972" spans="1:26" x14ac:dyDescent="0.2">
      <c r="B972" s="141">
        <v>43739</v>
      </c>
      <c r="C972" s="138" t="s">
        <v>963</v>
      </c>
      <c r="D972" s="138" t="s">
        <v>459</v>
      </c>
      <c r="E972" s="142" t="s">
        <v>460</v>
      </c>
      <c r="F972" s="142" t="s">
        <v>90</v>
      </c>
      <c r="G972" s="428"/>
      <c r="H972" s="429"/>
      <c r="I972" s="429"/>
      <c r="J972" s="429">
        <v>93.59</v>
      </c>
      <c r="K972" s="143">
        <v>12.17</v>
      </c>
      <c r="L972" s="429">
        <f t="shared" si="58"/>
        <v>105.76</v>
      </c>
      <c r="M972" s="245">
        <v>51000200001</v>
      </c>
      <c r="O972" s="152" t="s">
        <v>639</v>
      </c>
      <c r="P972" s="78">
        <v>51000100001</v>
      </c>
      <c r="Q972" s="142" t="s">
        <v>496</v>
      </c>
      <c r="R972" s="429">
        <f t="shared" si="57"/>
        <v>0</v>
      </c>
      <c r="T972" s="97">
        <v>51000100002</v>
      </c>
      <c r="U972" s="109" t="s">
        <v>380</v>
      </c>
      <c r="X972" s="109">
        <v>-536.04999999999973</v>
      </c>
    </row>
    <row r="973" spans="1:26" x14ac:dyDescent="0.2">
      <c r="B973" s="141">
        <v>43740</v>
      </c>
      <c r="C973" s="138" t="s">
        <v>964</v>
      </c>
      <c r="D973" s="138" t="s">
        <v>459</v>
      </c>
      <c r="E973" s="142" t="s">
        <v>460</v>
      </c>
      <c r="F973" s="142" t="s">
        <v>90</v>
      </c>
      <c r="G973" s="142"/>
      <c r="H973" s="429"/>
      <c r="I973" s="429"/>
      <c r="J973" s="429">
        <v>81.55</v>
      </c>
      <c r="K973" s="143">
        <v>10.6</v>
      </c>
      <c r="L973" s="429">
        <f t="shared" si="58"/>
        <v>92.149999999999991</v>
      </c>
      <c r="M973" s="245">
        <v>51000200002</v>
      </c>
      <c r="O973" s="152" t="s">
        <v>639</v>
      </c>
      <c r="P973" s="78">
        <v>51000100002</v>
      </c>
      <c r="Q973" s="142" t="s">
        <v>460</v>
      </c>
      <c r="R973" s="429">
        <f t="shared" si="57"/>
        <v>0</v>
      </c>
      <c r="T973" s="97">
        <v>51220200001</v>
      </c>
      <c r="U973" s="97" t="s">
        <v>55</v>
      </c>
      <c r="X973" s="109">
        <v>-1985.0900000000001</v>
      </c>
      <c r="Y973" s="109">
        <f>R981+R988</f>
        <v>1676.8400000000001</v>
      </c>
      <c r="Z973" s="144">
        <f>X973+Y973</f>
        <v>-308.25</v>
      </c>
    </row>
    <row r="974" spans="1:26" x14ac:dyDescent="0.2">
      <c r="B974" s="141">
        <v>43740</v>
      </c>
      <c r="C974" s="138" t="s">
        <v>965</v>
      </c>
      <c r="D974" s="138" t="s">
        <v>459</v>
      </c>
      <c r="E974" s="142" t="s">
        <v>460</v>
      </c>
      <c r="F974" s="142" t="s">
        <v>90</v>
      </c>
      <c r="G974" s="142"/>
      <c r="H974" s="429"/>
      <c r="I974" s="429"/>
      <c r="J974" s="429">
        <v>81.55</v>
      </c>
      <c r="K974" s="143">
        <v>10.6</v>
      </c>
      <c r="L974" s="429">
        <f t="shared" si="58"/>
        <v>92.149999999999991</v>
      </c>
      <c r="M974" s="245">
        <v>51000200001</v>
      </c>
      <c r="O974" s="152" t="s">
        <v>639</v>
      </c>
      <c r="P974" s="78">
        <v>51000100002</v>
      </c>
      <c r="Q974" s="142" t="s">
        <v>496</v>
      </c>
      <c r="R974" s="429">
        <f t="shared" si="57"/>
        <v>0</v>
      </c>
      <c r="T974" s="195">
        <v>52200000001</v>
      </c>
      <c r="U974" s="195" t="s">
        <v>33</v>
      </c>
      <c r="V974" s="195"/>
      <c r="W974" s="195"/>
      <c r="X974" s="191">
        <v>-935.34</v>
      </c>
      <c r="Y974" s="109">
        <v>0</v>
      </c>
      <c r="Z974" s="144">
        <v>0</v>
      </c>
    </row>
    <row r="975" spans="1:26" x14ac:dyDescent="0.2">
      <c r="B975" s="141">
        <v>43741</v>
      </c>
      <c r="C975" s="138" t="s">
        <v>966</v>
      </c>
      <c r="D975" s="138" t="s">
        <v>459</v>
      </c>
      <c r="E975" s="142" t="s">
        <v>460</v>
      </c>
      <c r="F975" s="142" t="s">
        <v>90</v>
      </c>
      <c r="G975" s="142"/>
      <c r="H975" s="429"/>
      <c r="I975" s="429"/>
      <c r="J975" s="429">
        <v>50.35</v>
      </c>
      <c r="K975" s="143">
        <v>6.54</v>
      </c>
      <c r="L975" s="429">
        <f t="shared" si="58"/>
        <v>56.89</v>
      </c>
      <c r="M975" s="245">
        <v>51000200002</v>
      </c>
      <c r="O975" s="152" t="s">
        <v>639</v>
      </c>
      <c r="P975" s="227">
        <v>51000200001</v>
      </c>
      <c r="Q975" s="217" t="s">
        <v>460</v>
      </c>
      <c r="R975" s="429">
        <f t="shared" si="57"/>
        <v>381.51</v>
      </c>
      <c r="T975" s="97">
        <v>51000000001</v>
      </c>
      <c r="U975" s="97" t="s">
        <v>132</v>
      </c>
      <c r="X975" s="109"/>
    </row>
    <row r="976" spans="1:26" x14ac:dyDescent="0.2">
      <c r="B976" s="141">
        <v>43741</v>
      </c>
      <c r="C976" s="138" t="s">
        <v>967</v>
      </c>
      <c r="D976" s="138" t="s">
        <v>459</v>
      </c>
      <c r="E976" s="142" t="s">
        <v>460</v>
      </c>
      <c r="F976" s="142" t="s">
        <v>90</v>
      </c>
      <c r="G976" s="142"/>
      <c r="H976" s="429"/>
      <c r="I976" s="429"/>
      <c r="J976" s="429">
        <v>50.35</v>
      </c>
      <c r="K976" s="143">
        <v>6.54</v>
      </c>
      <c r="L976" s="429">
        <f t="shared" si="58"/>
        <v>56.89</v>
      </c>
      <c r="M976" s="245">
        <v>51000200001</v>
      </c>
      <c r="O976" s="152" t="s">
        <v>639</v>
      </c>
      <c r="P976" s="78">
        <v>51000200001</v>
      </c>
      <c r="Q976" s="142" t="s">
        <v>351</v>
      </c>
      <c r="R976" s="429">
        <f t="shared" si="57"/>
        <v>0</v>
      </c>
      <c r="T976" s="97">
        <v>51000000002</v>
      </c>
      <c r="U976" s="97" t="s">
        <v>10</v>
      </c>
      <c r="X976" s="109"/>
    </row>
    <row r="977" spans="2:26" x14ac:dyDescent="0.2">
      <c r="B977" s="141">
        <v>43741</v>
      </c>
      <c r="C977" s="138" t="s">
        <v>968</v>
      </c>
      <c r="D977" s="138" t="s">
        <v>459</v>
      </c>
      <c r="E977" s="142" t="s">
        <v>482</v>
      </c>
      <c r="F977" s="142"/>
      <c r="G977" s="142"/>
      <c r="H977" s="429"/>
      <c r="I977" s="429"/>
      <c r="J977" s="429">
        <v>0</v>
      </c>
      <c r="K977" s="143">
        <v>0</v>
      </c>
      <c r="L977" s="429">
        <f t="shared" si="58"/>
        <v>0</v>
      </c>
      <c r="O977" s="152" t="s">
        <v>639</v>
      </c>
      <c r="P977" s="78">
        <v>51000200001</v>
      </c>
      <c r="Q977" s="142" t="s">
        <v>56</v>
      </c>
      <c r="R977" s="429">
        <f t="shared" si="57"/>
        <v>0</v>
      </c>
      <c r="T977" s="97">
        <v>53000100001</v>
      </c>
      <c r="U977" s="97" t="s">
        <v>134</v>
      </c>
      <c r="X977" s="198"/>
      <c r="Y977" s="109">
        <v>0</v>
      </c>
      <c r="Z977" s="144">
        <v>0</v>
      </c>
    </row>
    <row r="978" spans="2:26" x14ac:dyDescent="0.2">
      <c r="B978" s="141">
        <v>43741</v>
      </c>
      <c r="C978" s="138" t="s">
        <v>969</v>
      </c>
      <c r="D978" s="138" t="s">
        <v>459</v>
      </c>
      <c r="E978" s="142" t="s">
        <v>482</v>
      </c>
      <c r="F978" s="142"/>
      <c r="G978" s="142"/>
      <c r="H978" s="429"/>
      <c r="I978" s="429"/>
      <c r="J978" s="429">
        <v>0</v>
      </c>
      <c r="K978" s="143">
        <v>0</v>
      </c>
      <c r="L978" s="429">
        <f t="shared" si="58"/>
        <v>0</v>
      </c>
      <c r="O978" s="152" t="s">
        <v>639</v>
      </c>
      <c r="P978" s="227">
        <v>51000200002</v>
      </c>
      <c r="Q978" s="217" t="s">
        <v>460</v>
      </c>
      <c r="R978" s="429">
        <f t="shared" si="57"/>
        <v>381.51</v>
      </c>
      <c r="X978" s="171">
        <v>0</v>
      </c>
      <c r="Y978" s="171">
        <f>R984+R993</f>
        <v>0</v>
      </c>
      <c r="Z978" s="167">
        <v>0</v>
      </c>
    </row>
    <row r="979" spans="2:26" x14ac:dyDescent="0.2">
      <c r="B979" s="141">
        <v>43746</v>
      </c>
      <c r="C979" s="138" t="s">
        <v>970</v>
      </c>
      <c r="D979" s="138" t="s">
        <v>459</v>
      </c>
      <c r="E979" s="142" t="s">
        <v>460</v>
      </c>
      <c r="F979" s="142" t="s">
        <v>90</v>
      </c>
      <c r="G979" s="142"/>
      <c r="H979" s="429"/>
      <c r="I979" s="429"/>
      <c r="J979" s="429">
        <v>32.99</v>
      </c>
      <c r="K979" s="143">
        <v>4.29</v>
      </c>
      <c r="L979" s="429">
        <f t="shared" si="58"/>
        <v>37.28</v>
      </c>
      <c r="M979" s="245">
        <v>51000200002</v>
      </c>
      <c r="O979" s="152" t="s">
        <v>639</v>
      </c>
      <c r="P979" s="78">
        <v>51000200002</v>
      </c>
      <c r="Q979" s="142" t="s">
        <v>351</v>
      </c>
      <c r="R979" s="429">
        <f t="shared" si="57"/>
        <v>0</v>
      </c>
      <c r="X979" s="158">
        <f>SUM(X969:X977)</f>
        <v>-4571.95</v>
      </c>
      <c r="Y979" s="158">
        <f>SUM(Y969:Y978)</f>
        <v>1676.8400000000001</v>
      </c>
      <c r="Z979" s="158">
        <f>SUM(Z969:Z978)</f>
        <v>-308.25</v>
      </c>
    </row>
    <row r="980" spans="2:26" x14ac:dyDescent="0.2">
      <c r="B980" s="141">
        <v>43746</v>
      </c>
      <c r="C980" s="138" t="s">
        <v>971</v>
      </c>
      <c r="D980" s="138" t="s">
        <v>459</v>
      </c>
      <c r="E980" s="142" t="s">
        <v>460</v>
      </c>
      <c r="F980" s="142" t="s">
        <v>90</v>
      </c>
      <c r="G980" s="142"/>
      <c r="H980" s="429"/>
      <c r="I980" s="429"/>
      <c r="J980" s="429">
        <v>32.99</v>
      </c>
      <c r="K980" s="143">
        <v>4.29</v>
      </c>
      <c r="L980" s="429">
        <f t="shared" si="58"/>
        <v>37.28</v>
      </c>
      <c r="M980" s="245">
        <v>51000200001</v>
      </c>
      <c r="O980" s="152" t="s">
        <v>639</v>
      </c>
      <c r="P980" s="78">
        <v>51000200002</v>
      </c>
      <c r="Q980" s="142" t="s">
        <v>56</v>
      </c>
      <c r="R980" s="429">
        <f t="shared" si="57"/>
        <v>0</v>
      </c>
      <c r="U980" s="109"/>
      <c r="Z980" s="144"/>
    </row>
    <row r="981" spans="2:26" x14ac:dyDescent="0.2">
      <c r="B981" s="141">
        <v>43748</v>
      </c>
      <c r="C981" s="138" t="s">
        <v>972</v>
      </c>
      <c r="D981" s="138" t="s">
        <v>459</v>
      </c>
      <c r="E981" s="142" t="s">
        <v>460</v>
      </c>
      <c r="F981" s="142" t="s">
        <v>90</v>
      </c>
      <c r="G981" s="142"/>
      <c r="H981" s="429"/>
      <c r="I981" s="429"/>
      <c r="J981" s="429">
        <v>35.96</v>
      </c>
      <c r="K981" s="143">
        <v>4.67</v>
      </c>
      <c r="L981" s="429">
        <f t="shared" si="58"/>
        <v>40.630000000000003</v>
      </c>
      <c r="M981" s="245">
        <v>51000200002</v>
      </c>
      <c r="O981" s="152" t="s">
        <v>639</v>
      </c>
      <c r="P981" s="227">
        <v>51220200001</v>
      </c>
      <c r="Q981" s="217" t="s">
        <v>460</v>
      </c>
      <c r="R981" s="429">
        <f t="shared" si="57"/>
        <v>1322.49</v>
      </c>
      <c r="U981" s="109"/>
    </row>
    <row r="982" spans="2:26" x14ac:dyDescent="0.2">
      <c r="B982" s="141">
        <v>43748</v>
      </c>
      <c r="C982" s="138" t="s">
        <v>973</v>
      </c>
      <c r="D982" s="138" t="s">
        <v>459</v>
      </c>
      <c r="E982" s="142" t="s">
        <v>460</v>
      </c>
      <c r="F982" s="142" t="s">
        <v>90</v>
      </c>
      <c r="G982" s="142"/>
      <c r="H982" s="429"/>
      <c r="I982" s="429"/>
      <c r="J982" s="429">
        <v>35.96</v>
      </c>
      <c r="K982" s="143">
        <v>4.67</v>
      </c>
      <c r="L982" s="429">
        <f t="shared" si="58"/>
        <v>40.630000000000003</v>
      </c>
      <c r="M982" s="245">
        <v>51000200001</v>
      </c>
      <c r="O982" s="152" t="s">
        <v>639</v>
      </c>
      <c r="P982" s="78">
        <v>51220200001</v>
      </c>
      <c r="Q982" s="142" t="s">
        <v>351</v>
      </c>
      <c r="R982" s="429">
        <f t="shared" si="57"/>
        <v>0</v>
      </c>
    </row>
    <row r="983" spans="2:26" x14ac:dyDescent="0.2">
      <c r="B983" s="141">
        <v>43748</v>
      </c>
      <c r="C983" s="138" t="s">
        <v>974</v>
      </c>
      <c r="D983" s="138" t="s">
        <v>459</v>
      </c>
      <c r="E983" s="217" t="s">
        <v>539</v>
      </c>
      <c r="F983" s="217" t="s">
        <v>329</v>
      </c>
      <c r="G983" s="217"/>
      <c r="H983" s="219"/>
      <c r="I983" s="219"/>
      <c r="J983" s="219">
        <v>28.58</v>
      </c>
      <c r="K983" s="246">
        <v>3.72</v>
      </c>
      <c r="L983" s="219">
        <f t="shared" si="58"/>
        <v>32.299999999999997</v>
      </c>
      <c r="M983" s="336"/>
      <c r="O983" s="152" t="s">
        <v>639</v>
      </c>
      <c r="P983" s="78">
        <v>51220200001</v>
      </c>
      <c r="Q983" s="142" t="s">
        <v>56</v>
      </c>
      <c r="R983" s="429">
        <f t="shared" si="57"/>
        <v>0</v>
      </c>
    </row>
    <row r="984" spans="2:26" x14ac:dyDescent="0.2">
      <c r="B984" s="141">
        <v>43748</v>
      </c>
      <c r="C984" s="138" t="s">
        <v>975</v>
      </c>
      <c r="D984" s="138" t="s">
        <v>459</v>
      </c>
      <c r="E984" s="217" t="s">
        <v>539</v>
      </c>
      <c r="F984" s="217" t="s">
        <v>329</v>
      </c>
      <c r="G984" s="217"/>
      <c r="H984" s="219"/>
      <c r="I984" s="219"/>
      <c r="J984" s="219">
        <v>17.86</v>
      </c>
      <c r="K984" s="246">
        <v>2.3199999999999998</v>
      </c>
      <c r="L984" s="219">
        <f t="shared" si="58"/>
        <v>20.18</v>
      </c>
      <c r="M984" s="336"/>
      <c r="O984" s="152" t="s">
        <v>639</v>
      </c>
      <c r="P984" s="78">
        <v>52200000001</v>
      </c>
      <c r="Q984" s="142" t="s">
        <v>460</v>
      </c>
      <c r="R984" s="429">
        <f t="shared" si="57"/>
        <v>0</v>
      </c>
      <c r="W984" s="106" t="s">
        <v>478</v>
      </c>
      <c r="X984" s="144">
        <f>+X970+X973+X969+X978+X971+X972+X975+X976</f>
        <v>-3636.61</v>
      </c>
    </row>
    <row r="985" spans="2:26" x14ac:dyDescent="0.2">
      <c r="B985" s="141">
        <v>43753</v>
      </c>
      <c r="C985" s="138" t="s">
        <v>976</v>
      </c>
      <c r="D985" s="138" t="s">
        <v>459</v>
      </c>
      <c r="E985" s="142" t="s">
        <v>460</v>
      </c>
      <c r="F985" s="142" t="s">
        <v>90</v>
      </c>
      <c r="G985" s="142"/>
      <c r="H985" s="429"/>
      <c r="I985" s="429"/>
      <c r="J985" s="429">
        <v>42.34</v>
      </c>
      <c r="K985" s="143">
        <v>5.5</v>
      </c>
      <c r="L985" s="429">
        <f t="shared" si="58"/>
        <v>47.84</v>
      </c>
      <c r="M985" s="245">
        <v>51000200002</v>
      </c>
      <c r="O985" s="152" t="s">
        <v>639</v>
      </c>
      <c r="P985" s="78">
        <v>52200000001</v>
      </c>
      <c r="Q985" s="142" t="s">
        <v>351</v>
      </c>
      <c r="R985" s="429">
        <f t="shared" si="57"/>
        <v>0</v>
      </c>
      <c r="W985" s="97" t="s">
        <v>480</v>
      </c>
      <c r="X985" s="144">
        <f>+R989</f>
        <v>2439.86</v>
      </c>
    </row>
    <row r="986" spans="2:26" x14ac:dyDescent="0.2">
      <c r="B986" s="141">
        <v>43753</v>
      </c>
      <c r="C986" s="138" t="s">
        <v>977</v>
      </c>
      <c r="D986" s="138" t="s">
        <v>459</v>
      </c>
      <c r="E986" s="142" t="s">
        <v>460</v>
      </c>
      <c r="F986" s="142" t="s">
        <v>90</v>
      </c>
      <c r="G986" s="142"/>
      <c r="H986" s="429"/>
      <c r="I986" s="429"/>
      <c r="J986" s="429">
        <v>42.34</v>
      </c>
      <c r="K986" s="143">
        <v>5.5</v>
      </c>
      <c r="L986" s="429">
        <f t="shared" si="58"/>
        <v>47.84</v>
      </c>
      <c r="M986" s="245">
        <v>51000200001</v>
      </c>
      <c r="O986" s="152" t="s">
        <v>639</v>
      </c>
      <c r="P986" s="78">
        <v>52200000001</v>
      </c>
      <c r="Q986" s="142" t="s">
        <v>56</v>
      </c>
      <c r="R986" s="429">
        <f t="shared" si="57"/>
        <v>0</v>
      </c>
      <c r="W986" s="97" t="s">
        <v>486</v>
      </c>
      <c r="X986" s="167">
        <f>+J983+J984+J989+J991+J992</f>
        <v>1183.4000000000001</v>
      </c>
    </row>
    <row r="987" spans="2:26" x14ac:dyDescent="0.2">
      <c r="B987" s="141">
        <v>43760</v>
      </c>
      <c r="C987" s="138" t="s">
        <v>978</v>
      </c>
      <c r="D987" s="138" t="s">
        <v>459</v>
      </c>
      <c r="E987" s="142" t="s">
        <v>496</v>
      </c>
      <c r="F987" s="142" t="s">
        <v>497</v>
      </c>
      <c r="G987" s="142"/>
      <c r="H987" s="429"/>
      <c r="I987" s="429"/>
      <c r="J987" s="429">
        <v>354.35</v>
      </c>
      <c r="K987" s="162">
        <v>46.07</v>
      </c>
      <c r="L987" s="429">
        <f t="shared" si="58"/>
        <v>400.42</v>
      </c>
      <c r="M987" s="245">
        <v>51220200001</v>
      </c>
      <c r="O987" s="152" t="s">
        <v>639</v>
      </c>
      <c r="P987" s="78">
        <v>52200000001</v>
      </c>
      <c r="Q987" s="142" t="s">
        <v>460</v>
      </c>
      <c r="R987" s="429">
        <f t="shared" si="57"/>
        <v>0</v>
      </c>
      <c r="X987" s="324">
        <f>X984+X985+X986</f>
        <v>-13.349999999999909</v>
      </c>
      <c r="Y987" s="97" t="s">
        <v>500</v>
      </c>
    </row>
    <row r="988" spans="2:26" x14ac:dyDescent="0.2">
      <c r="B988" s="141">
        <v>43760</v>
      </c>
      <c r="C988" s="138" t="s">
        <v>979</v>
      </c>
      <c r="D988" s="138" t="s">
        <v>459</v>
      </c>
      <c r="E988" s="142" t="s">
        <v>460</v>
      </c>
      <c r="F988" s="142" t="s">
        <v>90</v>
      </c>
      <c r="G988" s="142"/>
      <c r="H988" s="429"/>
      <c r="I988" s="429"/>
      <c r="J988" s="429">
        <v>1322.49</v>
      </c>
      <c r="K988" s="162">
        <v>171.92</v>
      </c>
      <c r="L988" s="429">
        <f t="shared" si="58"/>
        <v>1494.41</v>
      </c>
      <c r="M988" s="245">
        <v>51220200001</v>
      </c>
      <c r="O988" s="152" t="s">
        <v>639</v>
      </c>
      <c r="P988" s="227">
        <v>51220200001</v>
      </c>
      <c r="Q988" s="217" t="s">
        <v>496</v>
      </c>
      <c r="R988" s="429">
        <f t="shared" si="57"/>
        <v>354.35</v>
      </c>
    </row>
    <row r="989" spans="2:26" ht="13.5" thickBot="1" x14ac:dyDescent="0.25">
      <c r="B989" s="141">
        <v>43760</v>
      </c>
      <c r="C989" s="138" t="s">
        <v>980</v>
      </c>
      <c r="D989" s="138" t="s">
        <v>459</v>
      </c>
      <c r="E989" s="217" t="s">
        <v>539</v>
      </c>
      <c r="F989" s="217" t="s">
        <v>329</v>
      </c>
      <c r="G989" s="218"/>
      <c r="H989" s="219"/>
      <c r="I989" s="219"/>
      <c r="J989" s="219">
        <v>294.89999999999998</v>
      </c>
      <c r="K989" s="246">
        <v>38.340000000000003</v>
      </c>
      <c r="L989" s="219">
        <f t="shared" si="58"/>
        <v>333.24</v>
      </c>
      <c r="O989" s="427"/>
      <c r="P989" s="427"/>
      <c r="R989" s="244">
        <f>SUM(R969:R988)</f>
        <v>2439.86</v>
      </c>
      <c r="X989" s="144"/>
    </row>
    <row r="990" spans="2:26" ht="13.5" thickTop="1" x14ac:dyDescent="0.2">
      <c r="B990" s="141">
        <v>43760</v>
      </c>
      <c r="C990" s="138" t="s">
        <v>981</v>
      </c>
      <c r="D990" s="138" t="s">
        <v>459</v>
      </c>
      <c r="E990" s="142" t="s">
        <v>482</v>
      </c>
      <c r="F990" s="142"/>
      <c r="G990" s="428"/>
      <c r="H990" s="429"/>
      <c r="I990" s="429"/>
      <c r="J990" s="429"/>
      <c r="K990" s="162"/>
      <c r="L990" s="429">
        <f t="shared" si="58"/>
        <v>0</v>
      </c>
    </row>
    <row r="991" spans="2:26" x14ac:dyDescent="0.2">
      <c r="B991" s="438" t="s">
        <v>961</v>
      </c>
      <c r="C991" s="138" t="s">
        <v>982</v>
      </c>
      <c r="D991" s="138" t="s">
        <v>459</v>
      </c>
      <c r="E991" s="217" t="s">
        <v>539</v>
      </c>
      <c r="F991" s="217" t="s">
        <v>329</v>
      </c>
      <c r="G991" s="218"/>
      <c r="H991" s="219"/>
      <c r="I991" s="219"/>
      <c r="J991" s="219">
        <v>518.19000000000005</v>
      </c>
      <c r="K991" s="246">
        <v>67.36</v>
      </c>
      <c r="L991" s="219">
        <f t="shared" si="58"/>
        <v>585.55000000000007</v>
      </c>
      <c r="M991" s="245"/>
    </row>
    <row r="992" spans="2:26" x14ac:dyDescent="0.2">
      <c r="B992" s="438" t="s">
        <v>961</v>
      </c>
      <c r="C992" s="138" t="s">
        <v>983</v>
      </c>
      <c r="D992" s="138" t="s">
        <v>459</v>
      </c>
      <c r="E992" s="217" t="s">
        <v>539</v>
      </c>
      <c r="F992" s="217" t="s">
        <v>329</v>
      </c>
      <c r="G992" s="218"/>
      <c r="H992" s="219"/>
      <c r="I992" s="219"/>
      <c r="J992" s="219">
        <v>323.87</v>
      </c>
      <c r="K992" s="246">
        <v>42.1</v>
      </c>
      <c r="L992" s="219">
        <f t="shared" si="58"/>
        <v>365.97</v>
      </c>
      <c r="M992" s="245"/>
    </row>
    <row r="993" spans="2:18" x14ac:dyDescent="0.2">
      <c r="B993" s="438" t="s">
        <v>984</v>
      </c>
      <c r="C993" s="138" t="s">
        <v>985</v>
      </c>
      <c r="D993" s="138" t="s">
        <v>459</v>
      </c>
      <c r="E993" s="142" t="s">
        <v>460</v>
      </c>
      <c r="F993" s="142" t="s">
        <v>90</v>
      </c>
      <c r="G993" s="428"/>
      <c r="H993" s="429"/>
      <c r="I993" s="429"/>
      <c r="J993" s="429">
        <v>44.73</v>
      </c>
      <c r="K993" s="143">
        <v>5.82</v>
      </c>
      <c r="L993" s="429">
        <f t="shared" si="58"/>
        <v>50.55</v>
      </c>
      <c r="M993" s="245">
        <v>51000200002</v>
      </c>
    </row>
    <row r="994" spans="2:18" x14ac:dyDescent="0.2">
      <c r="B994" s="438" t="s">
        <v>984</v>
      </c>
      <c r="C994" s="138" t="s">
        <v>986</v>
      </c>
      <c r="D994" s="138" t="s">
        <v>459</v>
      </c>
      <c r="E994" s="142" t="s">
        <v>460</v>
      </c>
      <c r="F994" s="142" t="s">
        <v>90</v>
      </c>
      <c r="G994" s="428"/>
      <c r="H994" s="429"/>
      <c r="I994" s="429"/>
      <c r="J994" s="429">
        <v>44.73</v>
      </c>
      <c r="K994" s="143">
        <v>5.82</v>
      </c>
      <c r="L994" s="429">
        <f t="shared" si="58"/>
        <v>50.55</v>
      </c>
      <c r="M994" s="245">
        <v>51000200001</v>
      </c>
      <c r="R994" s="439"/>
    </row>
    <row r="996" spans="2:18" x14ac:dyDescent="0.2">
      <c r="B996" s="141"/>
      <c r="C996" s="138" t="s">
        <v>50</v>
      </c>
      <c r="D996" s="138"/>
      <c r="E996" s="142" t="s">
        <v>537</v>
      </c>
      <c r="F996" s="114"/>
      <c r="G996" s="157"/>
      <c r="H996" s="157"/>
      <c r="I996" s="157"/>
      <c r="J996" s="157"/>
      <c r="K996" s="243">
        <v>-471.01</v>
      </c>
      <c r="L996" s="429">
        <f>+J996+K996</f>
        <v>-471.01</v>
      </c>
    </row>
    <row r="997" spans="2:18" x14ac:dyDescent="0.2">
      <c r="B997" s="141"/>
      <c r="C997" s="138"/>
      <c r="D997" s="138"/>
      <c r="E997" s="142"/>
      <c r="F997" s="114"/>
      <c r="G997" s="157"/>
      <c r="H997" s="157"/>
      <c r="I997" s="157"/>
      <c r="J997" s="157"/>
      <c r="K997" s="143"/>
      <c r="L997" s="429">
        <f>+J997+K997</f>
        <v>0</v>
      </c>
    </row>
    <row r="998" spans="2:18" x14ac:dyDescent="0.2">
      <c r="B998" s="141"/>
      <c r="C998" s="138"/>
      <c r="D998" s="138"/>
      <c r="E998" s="142"/>
      <c r="F998" s="114"/>
      <c r="G998" s="157"/>
      <c r="H998" s="157"/>
      <c r="I998" s="157"/>
      <c r="J998" s="157"/>
      <c r="K998" s="143"/>
      <c r="L998" s="429"/>
    </row>
    <row r="999" spans="2:18" x14ac:dyDescent="0.2">
      <c r="B999" s="141"/>
      <c r="C999" s="138"/>
      <c r="D999" s="138"/>
      <c r="E999" s="142"/>
      <c r="F999" s="114"/>
      <c r="G999" s="157"/>
      <c r="H999" s="157"/>
      <c r="I999" s="157"/>
      <c r="J999" s="157"/>
      <c r="K999" s="143"/>
      <c r="L999" s="429"/>
    </row>
    <row r="1000" spans="2:18" x14ac:dyDescent="0.2">
      <c r="B1000" s="114"/>
      <c r="C1000" s="115"/>
      <c r="D1000" s="115"/>
      <c r="E1000" s="142"/>
      <c r="F1000" s="114"/>
      <c r="G1000" s="157"/>
      <c r="H1000" s="157"/>
      <c r="I1000" s="157"/>
      <c r="J1000" s="157"/>
      <c r="K1000" s="157"/>
      <c r="L1000" s="157"/>
    </row>
    <row r="1001" spans="2:18" x14ac:dyDescent="0.2">
      <c r="B1001" s="163"/>
      <c r="C1001" s="164"/>
      <c r="D1001" s="164"/>
      <c r="E1001" s="142"/>
      <c r="F1001" s="163"/>
      <c r="G1001" s="165"/>
      <c r="H1001" s="165"/>
      <c r="I1001" s="165"/>
      <c r="J1001" s="165"/>
      <c r="K1001" s="165"/>
      <c r="L1001" s="165"/>
    </row>
    <row r="1002" spans="2:18" x14ac:dyDescent="0.2">
      <c r="B1002" s="114"/>
      <c r="C1002" s="115"/>
      <c r="D1002" s="115"/>
      <c r="E1002" s="114"/>
      <c r="F1002" s="114"/>
      <c r="G1002" s="166">
        <f>SUM(G949:G1001)</f>
        <v>0</v>
      </c>
      <c r="H1002" s="166">
        <f>SUM(H949:H1001)</f>
        <v>0</v>
      </c>
      <c r="I1002" s="166">
        <f>SUM(I949:I1001)</f>
        <v>0</v>
      </c>
      <c r="J1002" s="166">
        <f>SUM(J971:J1001)</f>
        <v>3623.26</v>
      </c>
      <c r="K1002" s="166">
        <f>SUM(K971:K1001)</f>
        <v>0</v>
      </c>
      <c r="L1002" s="166">
        <f>SUM(L971:L1001)</f>
        <v>3623.26</v>
      </c>
    </row>
    <row r="1003" spans="2:18" x14ac:dyDescent="0.2">
      <c r="B1003" s="114"/>
      <c r="C1003" s="115"/>
      <c r="D1003" s="115"/>
      <c r="E1003" s="114"/>
      <c r="F1003" s="114"/>
      <c r="G1003" s="208"/>
      <c r="H1003" s="208"/>
      <c r="I1003" s="208"/>
      <c r="J1003" s="208"/>
      <c r="K1003" s="208"/>
      <c r="L1003" s="208"/>
    </row>
    <row r="1004" spans="2:18" x14ac:dyDescent="0.2">
      <c r="B1004" s="114"/>
      <c r="C1004" s="115"/>
      <c r="D1004" s="115"/>
      <c r="E1004" s="114"/>
      <c r="F1004" s="114"/>
      <c r="G1004" s="208"/>
      <c r="H1004" s="208"/>
      <c r="I1004" s="208"/>
      <c r="J1004" s="208"/>
      <c r="K1004" s="208"/>
      <c r="L1004" s="208"/>
    </row>
    <row r="1005" spans="2:18" x14ac:dyDescent="0.2">
      <c r="B1005" s="114"/>
      <c r="C1005" s="115"/>
      <c r="D1005" s="115"/>
      <c r="E1005" s="114"/>
      <c r="F1005" s="114"/>
      <c r="G1005" s="208"/>
      <c r="H1005" s="208"/>
      <c r="I1005" s="208"/>
      <c r="J1005" s="208"/>
      <c r="K1005" s="208"/>
      <c r="L1005" s="208"/>
    </row>
    <row r="1006" spans="2:18" x14ac:dyDescent="0.2">
      <c r="B1006" s="114"/>
      <c r="C1006" s="115"/>
      <c r="D1006" s="115"/>
      <c r="E1006" s="114"/>
      <c r="F1006" s="114"/>
      <c r="G1006" s="208"/>
      <c r="H1006" s="208"/>
      <c r="I1006" s="208"/>
      <c r="J1006" s="208"/>
      <c r="K1006" s="208"/>
      <c r="L1006" s="208"/>
    </row>
    <row r="1007" spans="2:18" x14ac:dyDescent="0.2">
      <c r="B1007" s="114"/>
      <c r="C1007" s="115"/>
      <c r="D1007" s="115"/>
      <c r="E1007" s="114"/>
      <c r="F1007" s="114"/>
      <c r="G1007" s="208"/>
      <c r="H1007" s="208"/>
      <c r="I1007" s="208"/>
      <c r="J1007" s="208"/>
      <c r="K1007" s="208"/>
      <c r="L1007" s="208"/>
    </row>
    <row r="1008" spans="2:18" x14ac:dyDescent="0.2">
      <c r="B1008" s="114"/>
      <c r="C1008" s="115"/>
      <c r="D1008" s="115"/>
      <c r="E1008" s="114"/>
      <c r="F1008" s="114"/>
      <c r="G1008" s="114"/>
      <c r="H1008" s="114"/>
      <c r="I1008" s="114"/>
      <c r="J1008" s="114"/>
      <c r="K1008" s="114"/>
      <c r="L1008" s="114"/>
    </row>
    <row r="1009" spans="1:18" x14ac:dyDescent="0.2">
      <c r="B1009" s="114"/>
      <c r="C1009" s="117" t="s">
        <v>587</v>
      </c>
      <c r="D1009" s="115"/>
      <c r="E1009" s="115"/>
      <c r="F1009" s="114"/>
      <c r="G1009" s="114"/>
      <c r="H1009" s="114"/>
      <c r="I1009" s="117" t="s">
        <v>588</v>
      </c>
      <c r="J1009" s="114"/>
      <c r="K1009" s="114"/>
      <c r="L1009" s="114"/>
    </row>
    <row r="1010" spans="1:18" x14ac:dyDescent="0.2">
      <c r="B1010" s="114"/>
      <c r="C1010" s="117"/>
      <c r="D1010" s="115"/>
      <c r="E1010" s="115"/>
      <c r="F1010" s="114"/>
      <c r="G1010" s="114"/>
      <c r="H1010" s="114"/>
      <c r="I1010" s="117"/>
      <c r="J1010" s="114"/>
      <c r="K1010" s="114"/>
      <c r="L1010" s="114"/>
    </row>
    <row r="1011" spans="1:18" x14ac:dyDescent="0.2">
      <c r="B1011" s="114"/>
      <c r="C1011" s="114" t="s">
        <v>140</v>
      </c>
      <c r="D1011" s="115"/>
      <c r="E1011" s="115"/>
      <c r="F1011" s="114"/>
      <c r="G1011" s="214">
        <v>0</v>
      </c>
      <c r="H1011" s="114"/>
      <c r="I1011" s="114" t="s">
        <v>140</v>
      </c>
      <c r="J1011" s="114"/>
      <c r="K1011" s="114"/>
      <c r="L1011" s="214">
        <v>0</v>
      </c>
    </row>
    <row r="1012" spans="1:18" x14ac:dyDescent="0.2">
      <c r="B1012" s="114"/>
      <c r="C1012" s="114"/>
      <c r="D1012" s="115"/>
      <c r="E1012" s="115"/>
      <c r="F1012" s="114"/>
      <c r="G1012" s="114"/>
      <c r="H1012" s="114"/>
      <c r="I1012" s="114"/>
      <c r="J1012" s="114"/>
      <c r="K1012" s="114"/>
      <c r="L1012" s="114"/>
    </row>
    <row r="1013" spans="1:18" x14ac:dyDescent="0.2">
      <c r="B1013" s="114"/>
      <c r="C1013" s="114" t="s">
        <v>589</v>
      </c>
      <c r="D1013" s="115"/>
      <c r="E1013" s="115"/>
      <c r="F1013" s="114"/>
      <c r="G1013" s="214">
        <v>0</v>
      </c>
      <c r="H1013" s="114"/>
      <c r="I1013" s="114" t="s">
        <v>589</v>
      </c>
      <c r="J1013" s="114"/>
      <c r="K1013" s="114"/>
      <c r="L1013" s="214">
        <v>0</v>
      </c>
    </row>
    <row r="1014" spans="1:18" x14ac:dyDescent="0.2">
      <c r="B1014" s="114"/>
      <c r="C1014" s="114"/>
      <c r="D1014" s="115"/>
      <c r="E1014" s="115"/>
      <c r="F1014" s="114"/>
      <c r="G1014" s="214"/>
      <c r="H1014" s="114"/>
      <c r="I1014" s="114"/>
      <c r="J1014" s="114"/>
      <c r="K1014" s="114"/>
      <c r="L1014" s="214"/>
    </row>
    <row r="1015" spans="1:18" x14ac:dyDescent="0.2">
      <c r="B1015" s="114"/>
      <c r="C1015" s="114"/>
      <c r="D1015" s="115"/>
      <c r="E1015" s="115"/>
      <c r="F1015" s="114"/>
      <c r="G1015" s="214"/>
      <c r="H1015" s="114"/>
      <c r="I1015" s="114"/>
      <c r="J1015" s="114"/>
      <c r="K1015" s="114"/>
      <c r="L1015" s="214"/>
    </row>
    <row r="1016" spans="1:18" x14ac:dyDescent="0.2">
      <c r="B1016" s="114"/>
      <c r="C1016" s="114" t="s">
        <v>590</v>
      </c>
      <c r="D1016" s="115"/>
      <c r="E1016" s="115"/>
      <c r="F1016" s="114"/>
      <c r="G1016" s="214"/>
      <c r="H1016" s="114"/>
      <c r="I1016" s="114" t="s">
        <v>590</v>
      </c>
      <c r="J1016" s="114"/>
      <c r="K1016" s="114"/>
      <c r="L1016" s="214"/>
    </row>
    <row r="1017" spans="1:18" x14ac:dyDescent="0.2">
      <c r="B1017" s="114"/>
      <c r="C1017" s="114" t="s">
        <v>141</v>
      </c>
      <c r="D1017" s="115"/>
      <c r="E1017" s="115"/>
      <c r="F1017" s="114"/>
      <c r="G1017" s="214">
        <f>+'[13]reportes consumidor final'!I973</f>
        <v>0</v>
      </c>
      <c r="H1017" s="114"/>
      <c r="I1017" s="114" t="s">
        <v>141</v>
      </c>
      <c r="J1017" s="114"/>
      <c r="K1017" s="114"/>
      <c r="L1017" s="214">
        <f>+J1002</f>
        <v>3623.26</v>
      </c>
    </row>
    <row r="1018" spans="1:18" x14ac:dyDescent="0.2">
      <c r="B1018" s="114"/>
      <c r="C1018" s="114" t="s">
        <v>591</v>
      </c>
      <c r="D1018" s="115"/>
      <c r="E1018" s="115"/>
      <c r="F1018" s="114"/>
      <c r="G1018" s="215">
        <f>+G1017*0.13</f>
        <v>0</v>
      </c>
      <c r="H1018" s="114"/>
      <c r="I1018" s="114" t="s">
        <v>591</v>
      </c>
      <c r="J1018" s="114"/>
      <c r="K1018" s="114"/>
      <c r="L1018" s="215">
        <f>+K1002</f>
        <v>0</v>
      </c>
    </row>
    <row r="1019" spans="1:18" x14ac:dyDescent="0.2">
      <c r="B1019" s="114"/>
      <c r="C1019" s="114"/>
      <c r="D1019" s="115"/>
      <c r="E1019" s="115"/>
      <c r="F1019" s="114"/>
      <c r="G1019" s="214"/>
      <c r="H1019" s="114"/>
      <c r="I1019" s="114"/>
      <c r="J1019" s="114"/>
      <c r="K1019" s="114"/>
      <c r="L1019" s="214"/>
    </row>
    <row r="1020" spans="1:18" ht="13.5" thickBot="1" x14ac:dyDescent="0.25">
      <c r="B1020" s="114"/>
      <c r="C1020" s="114" t="s">
        <v>592</v>
      </c>
      <c r="D1020" s="115"/>
      <c r="E1020" s="115"/>
      <c r="F1020" s="114"/>
      <c r="G1020" s="216">
        <f>SUM(G1011:G1018)</f>
        <v>0</v>
      </c>
      <c r="H1020" s="114"/>
      <c r="I1020" s="114" t="s">
        <v>592</v>
      </c>
      <c r="J1020" s="114"/>
      <c r="K1020" s="114"/>
      <c r="L1020" s="216">
        <f>SUM(L1017:L1019)</f>
        <v>3623.26</v>
      </c>
    </row>
    <row r="1021" spans="1:18" ht="13.5" thickTop="1" x14ac:dyDescent="0.2">
      <c r="B1021" s="114"/>
      <c r="C1021" s="114"/>
      <c r="D1021" s="115"/>
      <c r="E1021" s="115"/>
      <c r="F1021" s="114"/>
      <c r="G1021" s="114"/>
      <c r="H1021" s="114"/>
      <c r="I1021" s="114"/>
      <c r="J1021" s="114"/>
      <c r="K1021" s="114"/>
      <c r="L1021" s="114"/>
    </row>
    <row r="1022" spans="1:18" s="250" customFormat="1" ht="4.5" customHeight="1" x14ac:dyDescent="0.2">
      <c r="A1022" s="247"/>
      <c r="B1022" s="247"/>
      <c r="C1022" s="248"/>
      <c r="D1022" s="248"/>
      <c r="E1022" s="247"/>
      <c r="F1022" s="247"/>
      <c r="G1022" s="247"/>
      <c r="H1022" s="247"/>
      <c r="I1022" s="247"/>
      <c r="J1022" s="247"/>
      <c r="K1022" s="247"/>
      <c r="L1022" s="247"/>
      <c r="M1022" s="249"/>
      <c r="N1022" s="249"/>
      <c r="O1022" s="249"/>
      <c r="P1022" s="249"/>
      <c r="R1022" s="384"/>
    </row>
    <row r="1026" spans="2:26" x14ac:dyDescent="0.2">
      <c r="B1026" s="125"/>
      <c r="C1026" s="126" t="s">
        <v>255</v>
      </c>
      <c r="D1026" s="127" t="s">
        <v>43</v>
      </c>
      <c r="E1026" s="127"/>
      <c r="F1026" s="127" t="s">
        <v>135</v>
      </c>
      <c r="G1026" s="127"/>
      <c r="H1026" s="128" t="s">
        <v>136</v>
      </c>
      <c r="I1026" s="129"/>
      <c r="J1026" s="129"/>
      <c r="K1026" s="129"/>
      <c r="L1026" s="146"/>
      <c r="O1026" s="170" t="s">
        <v>480</v>
      </c>
      <c r="P1026" s="170"/>
      <c r="Q1026" s="170"/>
      <c r="R1026" s="170"/>
      <c r="U1026" s="106" t="s">
        <v>465</v>
      </c>
      <c r="Y1026" s="97" t="s">
        <v>479</v>
      </c>
      <c r="Z1026" s="97" t="s">
        <v>340</v>
      </c>
    </row>
    <row r="1027" spans="2:26" x14ac:dyDescent="0.2">
      <c r="B1027" s="130" t="s">
        <v>137</v>
      </c>
      <c r="C1027" s="131" t="s">
        <v>138</v>
      </c>
      <c r="D1027" s="131" t="s">
        <v>258</v>
      </c>
      <c r="E1027" s="131" t="s">
        <v>139</v>
      </c>
      <c r="F1027" s="131" t="s">
        <v>259</v>
      </c>
      <c r="G1027" s="131" t="s">
        <v>140</v>
      </c>
      <c r="H1027" s="132" t="s">
        <v>94</v>
      </c>
      <c r="I1027" s="129"/>
      <c r="J1027" s="132" t="s">
        <v>141</v>
      </c>
      <c r="K1027" s="129"/>
      <c r="L1027" s="147" t="s">
        <v>325</v>
      </c>
      <c r="O1027" s="152" t="s">
        <v>677</v>
      </c>
      <c r="P1027" s="78">
        <v>51000000001</v>
      </c>
      <c r="Q1027" s="142" t="s">
        <v>460</v>
      </c>
      <c r="R1027" s="429">
        <f>SUMIFS($J$1029:$J$1040,$E$1029:$E$1040,Q1027,$M$1029:$M$1040,P1027)</f>
        <v>0</v>
      </c>
      <c r="T1027" s="97">
        <v>51000200001</v>
      </c>
      <c r="U1027" s="97" t="s">
        <v>382</v>
      </c>
      <c r="X1027" s="109">
        <v>-140.6200000000008</v>
      </c>
      <c r="Y1027" s="109">
        <f>R1030</f>
        <v>0</v>
      </c>
      <c r="Z1027" s="144">
        <v>0</v>
      </c>
    </row>
    <row r="1028" spans="2:26" x14ac:dyDescent="0.2">
      <c r="B1028" s="133"/>
      <c r="C1028" s="134"/>
      <c r="D1028" s="134"/>
      <c r="E1028" s="133"/>
      <c r="F1028" s="133"/>
      <c r="G1028" s="133"/>
      <c r="H1028" s="135" t="s">
        <v>326</v>
      </c>
      <c r="I1028" s="136" t="s">
        <v>327</v>
      </c>
      <c r="J1028" s="148" t="s">
        <v>328</v>
      </c>
      <c r="K1028" s="148" t="s">
        <v>89</v>
      </c>
      <c r="L1028" s="149" t="s">
        <v>94</v>
      </c>
      <c r="O1028" s="152" t="s">
        <v>677</v>
      </c>
      <c r="P1028" s="78">
        <v>51000000002</v>
      </c>
      <c r="Q1028" s="142" t="s">
        <v>460</v>
      </c>
      <c r="R1028" s="429">
        <f t="shared" ref="R1028:R1046" si="59">SUMIFS($J$1029:$J$1040,$E$1029:$E$1040,Q1028,$M$1029:$M$1040,P1028)</f>
        <v>0</v>
      </c>
      <c r="T1028" s="97">
        <v>51000200002</v>
      </c>
      <c r="U1028" s="97" t="s">
        <v>383</v>
      </c>
      <c r="X1028" s="109">
        <v>-140.6200000000008</v>
      </c>
      <c r="Y1028" s="109">
        <f>R1032</f>
        <v>0</v>
      </c>
      <c r="Z1028" s="144">
        <v>0</v>
      </c>
    </row>
    <row r="1029" spans="2:26" x14ac:dyDescent="0.2">
      <c r="B1029" s="141" t="s">
        <v>993</v>
      </c>
      <c r="C1029" s="138" t="s">
        <v>551</v>
      </c>
      <c r="D1029" s="138" t="s">
        <v>459</v>
      </c>
      <c r="E1029" s="142" t="str">
        <f>+VLOOKUP(F1029,[14]bd!A:B,2,0)</f>
        <v>BANCO CUSCATLAN DE EL SALVADOR S.A.</v>
      </c>
      <c r="F1029" s="142" t="s">
        <v>90</v>
      </c>
      <c r="G1029" s="142"/>
      <c r="H1029" s="429"/>
      <c r="I1029" s="429"/>
      <c r="J1029" s="429">
        <v>55.62</v>
      </c>
      <c r="K1029" s="143">
        <v>7.23</v>
      </c>
      <c r="L1029" s="429">
        <f t="shared" ref="L1029:L1040" si="60">+J1029+K1029</f>
        <v>62.849999999999994</v>
      </c>
      <c r="M1029" s="245">
        <v>51000200002</v>
      </c>
      <c r="O1029" s="152" t="s">
        <v>677</v>
      </c>
      <c r="P1029" s="78">
        <v>51000100001</v>
      </c>
      <c r="Q1029" s="142" t="s">
        <v>460</v>
      </c>
      <c r="R1029" s="429">
        <f t="shared" si="59"/>
        <v>0</v>
      </c>
      <c r="T1029" s="97">
        <v>51000100001</v>
      </c>
      <c r="U1029" s="109" t="s">
        <v>12</v>
      </c>
      <c r="X1029" s="109">
        <v>-368.94999999999982</v>
      </c>
    </row>
    <row r="1030" spans="2:26" x14ac:dyDescent="0.2">
      <c r="B1030" s="141">
        <v>43780</v>
      </c>
      <c r="C1030" s="138" t="s">
        <v>550</v>
      </c>
      <c r="D1030" s="138" t="s">
        <v>459</v>
      </c>
      <c r="E1030" s="142" t="str">
        <f>+VLOOKUP(F1030,[14]bd!A:B,2,0)</f>
        <v>BANCO CUSCATLAN DE EL SALVADOR S.A.</v>
      </c>
      <c r="F1030" s="142" t="s">
        <v>90</v>
      </c>
      <c r="G1030" s="142"/>
      <c r="H1030" s="429"/>
      <c r="I1030" s="429"/>
      <c r="J1030" s="429">
        <v>55.62</v>
      </c>
      <c r="K1030" s="143">
        <v>7.23</v>
      </c>
      <c r="L1030" s="429">
        <f t="shared" si="60"/>
        <v>62.849999999999994</v>
      </c>
      <c r="M1030" s="245">
        <v>51000200001</v>
      </c>
      <c r="O1030" s="152" t="s">
        <v>677</v>
      </c>
      <c r="P1030" s="78">
        <v>51000100001</v>
      </c>
      <c r="Q1030" s="142" t="s">
        <v>496</v>
      </c>
      <c r="R1030" s="429">
        <f t="shared" si="59"/>
        <v>0</v>
      </c>
      <c r="T1030" s="97">
        <v>51000100002</v>
      </c>
      <c r="U1030" s="109" t="s">
        <v>380</v>
      </c>
      <c r="X1030" s="109">
        <v>-230.60000000000036</v>
      </c>
    </row>
    <row r="1031" spans="2:26" x14ac:dyDescent="0.2">
      <c r="B1031" s="141">
        <v>43783</v>
      </c>
      <c r="C1031" s="138" t="s">
        <v>994</v>
      </c>
      <c r="D1031" s="138" t="s">
        <v>459</v>
      </c>
      <c r="E1031" s="142" t="str">
        <f>+VLOOKUP(F1031,[14]bd!A:B,2,0)</f>
        <v>BANCO CUSCATLAN DE EL SALVADOR S.A.</v>
      </c>
      <c r="F1031" s="142" t="s">
        <v>90</v>
      </c>
      <c r="G1031" s="142"/>
      <c r="H1031" s="429"/>
      <c r="I1031" s="429"/>
      <c r="J1031" s="429">
        <v>85</v>
      </c>
      <c r="K1031" s="143">
        <v>11.05</v>
      </c>
      <c r="L1031" s="429">
        <f t="shared" si="60"/>
        <v>96.05</v>
      </c>
      <c r="M1031" s="245">
        <v>51000200002</v>
      </c>
      <c r="O1031" s="152" t="s">
        <v>677</v>
      </c>
      <c r="P1031" s="78">
        <v>51000100002</v>
      </c>
      <c r="Q1031" s="142" t="s">
        <v>460</v>
      </c>
      <c r="R1031" s="429">
        <f t="shared" si="59"/>
        <v>0</v>
      </c>
      <c r="T1031" s="97">
        <v>51220200001</v>
      </c>
      <c r="U1031" s="97" t="s">
        <v>55</v>
      </c>
      <c r="X1031" s="109">
        <v>-2205.16</v>
      </c>
      <c r="Y1031" s="109">
        <f>R1039+R1046</f>
        <v>1927.8400000000001</v>
      </c>
      <c r="Z1031" s="144">
        <f>X1032+Y1031</f>
        <v>1927.8400000000001</v>
      </c>
    </row>
    <row r="1032" spans="2:26" x14ac:dyDescent="0.2">
      <c r="B1032" s="141">
        <v>43783</v>
      </c>
      <c r="C1032" s="138" t="s">
        <v>995</v>
      </c>
      <c r="D1032" s="138" t="s">
        <v>459</v>
      </c>
      <c r="E1032" s="142" t="str">
        <f>+VLOOKUP(F1032,[14]bd!A:B,2,0)</f>
        <v>BANCO CUSCATLAN DE EL SALVADOR S.A.</v>
      </c>
      <c r="F1032" s="142" t="s">
        <v>90</v>
      </c>
      <c r="G1032" s="142"/>
      <c r="H1032" s="429"/>
      <c r="I1032" s="429"/>
      <c r="J1032" s="429">
        <v>85</v>
      </c>
      <c r="K1032" s="143">
        <v>11.05</v>
      </c>
      <c r="L1032" s="429">
        <f t="shared" si="60"/>
        <v>96.05</v>
      </c>
      <c r="M1032" s="245">
        <v>51000200001</v>
      </c>
      <c r="O1032" s="152" t="s">
        <v>677</v>
      </c>
      <c r="P1032" s="78">
        <v>51000100002</v>
      </c>
      <c r="Q1032" s="142" t="s">
        <v>496</v>
      </c>
      <c r="R1032" s="429">
        <f t="shared" si="59"/>
        <v>0</v>
      </c>
      <c r="T1032" s="195">
        <v>52200000001</v>
      </c>
      <c r="U1032" s="195" t="s">
        <v>33</v>
      </c>
      <c r="V1032" s="195"/>
      <c r="W1032" s="195"/>
      <c r="X1032" s="109"/>
      <c r="Y1032" s="109">
        <v>0</v>
      </c>
      <c r="Z1032" s="144">
        <v>0</v>
      </c>
    </row>
    <row r="1033" spans="2:26" x14ac:dyDescent="0.2">
      <c r="B1033" s="141">
        <v>43783</v>
      </c>
      <c r="C1033" s="138" t="s">
        <v>996</v>
      </c>
      <c r="D1033" s="138" t="s">
        <v>459</v>
      </c>
      <c r="E1033" s="217" t="str">
        <f>+VLOOKUP(F1033,[14]bd!A:B,2,0)</f>
        <v>CITIBANK, N.A. SUCURSAL EL SALVADOR</v>
      </c>
      <c r="F1033" s="217" t="s">
        <v>329</v>
      </c>
      <c r="G1033" s="218"/>
      <c r="H1033" s="219"/>
      <c r="I1033" s="219"/>
      <c r="J1033" s="219">
        <v>242.58</v>
      </c>
      <c r="K1033" s="246">
        <v>31.54</v>
      </c>
      <c r="L1033" s="219">
        <f t="shared" si="60"/>
        <v>274.12</v>
      </c>
      <c r="O1033" s="152" t="s">
        <v>677</v>
      </c>
      <c r="P1033" s="227">
        <v>51000200001</v>
      </c>
      <c r="Q1033" s="217" t="s">
        <v>460</v>
      </c>
      <c r="R1033" s="429">
        <f t="shared" si="59"/>
        <v>140.62</v>
      </c>
      <c r="T1033" s="97">
        <v>51000000001</v>
      </c>
      <c r="U1033" s="97" t="s">
        <v>132</v>
      </c>
      <c r="X1033" s="109"/>
    </row>
    <row r="1034" spans="2:26" x14ac:dyDescent="0.2">
      <c r="B1034" s="141">
        <v>43783</v>
      </c>
      <c r="C1034" s="138" t="s">
        <v>997</v>
      </c>
      <c r="D1034" s="138" t="s">
        <v>459</v>
      </c>
      <c r="E1034" s="142" t="s">
        <v>482</v>
      </c>
      <c r="F1034" s="142"/>
      <c r="G1034" s="428"/>
      <c r="H1034" s="429"/>
      <c r="I1034" s="429"/>
      <c r="J1034" s="429">
        <v>0</v>
      </c>
      <c r="K1034" s="143">
        <v>0</v>
      </c>
      <c r="L1034" s="429">
        <f t="shared" si="60"/>
        <v>0</v>
      </c>
      <c r="O1034" s="152" t="s">
        <v>677</v>
      </c>
      <c r="P1034" s="78">
        <v>51000200001</v>
      </c>
      <c r="Q1034" s="142" t="s">
        <v>351</v>
      </c>
      <c r="R1034" s="429">
        <f t="shared" si="59"/>
        <v>0</v>
      </c>
      <c r="T1034" s="97">
        <v>51000000002</v>
      </c>
      <c r="U1034" s="97" t="s">
        <v>10</v>
      </c>
      <c r="X1034" s="109"/>
    </row>
    <row r="1035" spans="2:26" x14ac:dyDescent="0.2">
      <c r="B1035" s="141">
        <v>43784</v>
      </c>
      <c r="C1035" s="138" t="s">
        <v>998</v>
      </c>
      <c r="D1035" s="138" t="s">
        <v>459</v>
      </c>
      <c r="E1035" s="142" t="str">
        <f>+VLOOKUP(F1035,[14]bd!A:B,2,0)</f>
        <v>BANCO CUSCATLAN DE EL SALVADOR S.A.</v>
      </c>
      <c r="F1035" s="142" t="s">
        <v>90</v>
      </c>
      <c r="G1035" s="142"/>
      <c r="H1035" s="429"/>
      <c r="I1035" s="429"/>
      <c r="J1035" s="429">
        <v>1573.49</v>
      </c>
      <c r="K1035" s="143">
        <v>204.55</v>
      </c>
      <c r="L1035" s="429">
        <f t="shared" si="60"/>
        <v>1778.04</v>
      </c>
      <c r="M1035" s="245">
        <v>51220200001</v>
      </c>
      <c r="O1035" s="152" t="s">
        <v>677</v>
      </c>
      <c r="P1035" s="78">
        <v>51000200001</v>
      </c>
      <c r="Q1035" s="142" t="s">
        <v>56</v>
      </c>
      <c r="R1035" s="429">
        <f t="shared" si="59"/>
        <v>0</v>
      </c>
      <c r="T1035" s="97">
        <v>53000100001</v>
      </c>
      <c r="U1035" s="97" t="s">
        <v>134</v>
      </c>
      <c r="X1035" s="198"/>
      <c r="Y1035" s="109">
        <v>0</v>
      </c>
      <c r="Z1035" s="144">
        <v>0</v>
      </c>
    </row>
    <row r="1036" spans="2:26" x14ac:dyDescent="0.2">
      <c r="B1036" s="141">
        <v>43784</v>
      </c>
      <c r="C1036" s="138" t="s">
        <v>999</v>
      </c>
      <c r="D1036" s="138" t="s">
        <v>459</v>
      </c>
      <c r="E1036" s="142" t="str">
        <f>+VLOOKUP(F1036,[14]bd!A:B,2,0)</f>
        <v>INVERSIONES FINANCIERAS IMPERIA CUSCATLAN, SA</v>
      </c>
      <c r="F1036" s="142" t="s">
        <v>497</v>
      </c>
      <c r="G1036" s="142"/>
      <c r="H1036" s="429"/>
      <c r="I1036" s="429"/>
      <c r="J1036" s="429">
        <v>354.35</v>
      </c>
      <c r="K1036" s="143">
        <v>46.07</v>
      </c>
      <c r="L1036" s="429">
        <f t="shared" si="60"/>
        <v>400.42</v>
      </c>
      <c r="M1036" s="245">
        <v>51220200001</v>
      </c>
      <c r="O1036" s="152" t="s">
        <v>677</v>
      </c>
      <c r="P1036" s="227">
        <v>51000200002</v>
      </c>
      <c r="Q1036" s="217" t="s">
        <v>460</v>
      </c>
      <c r="R1036" s="429">
        <f t="shared" si="59"/>
        <v>140.62</v>
      </c>
      <c r="X1036" s="171">
        <v>0</v>
      </c>
      <c r="Y1036" s="171"/>
      <c r="Z1036" s="167">
        <v>0</v>
      </c>
    </row>
    <row r="1037" spans="2:26" x14ac:dyDescent="0.2">
      <c r="B1037" s="141" t="s">
        <v>1000</v>
      </c>
      <c r="C1037" s="138" t="s">
        <v>1001</v>
      </c>
      <c r="D1037" s="138" t="s">
        <v>459</v>
      </c>
      <c r="E1037" s="217" t="str">
        <f>+VLOOKUP(F1037,[14]bd!A:B,2,0)</f>
        <v>CITIBANK, N.A. SUCURSAL EL SALVADOR</v>
      </c>
      <c r="F1037" s="217" t="s">
        <v>329</v>
      </c>
      <c r="G1037" s="217"/>
      <c r="H1037" s="219"/>
      <c r="I1037" s="219"/>
      <c r="J1037" s="219">
        <v>319.95999999999998</v>
      </c>
      <c r="K1037" s="246">
        <v>41.6</v>
      </c>
      <c r="L1037" s="219">
        <f t="shared" si="60"/>
        <v>361.56</v>
      </c>
      <c r="O1037" s="152" t="s">
        <v>677</v>
      </c>
      <c r="P1037" s="78">
        <v>51000200002</v>
      </c>
      <c r="Q1037" s="142" t="s">
        <v>351</v>
      </c>
      <c r="R1037" s="429">
        <f t="shared" si="59"/>
        <v>0</v>
      </c>
      <c r="X1037" s="158">
        <f>SUM(X1027:X1035)</f>
        <v>-3085.9500000000016</v>
      </c>
      <c r="Y1037" s="158">
        <f>SUM(Y1027:Y1036)</f>
        <v>1927.8400000000001</v>
      </c>
      <c r="Z1037" s="158">
        <f>SUM(Z1027:Z1036)</f>
        <v>1927.8400000000001</v>
      </c>
    </row>
    <row r="1038" spans="2:26" x14ac:dyDescent="0.2">
      <c r="B1038" s="141" t="s">
        <v>1000</v>
      </c>
      <c r="C1038" s="138" t="s">
        <v>1002</v>
      </c>
      <c r="D1038" s="138" t="s">
        <v>459</v>
      </c>
      <c r="E1038" s="217" t="str">
        <f>+VLOOKUP(F1038,[14]bd!A:B,2,0)</f>
        <v>CITIBANK, N.A. SUCURSAL EL SALVADOR</v>
      </c>
      <c r="F1038" s="217" t="s">
        <v>329</v>
      </c>
      <c r="G1038" s="217"/>
      <c r="H1038" s="219"/>
      <c r="I1038" s="219"/>
      <c r="J1038" s="219">
        <v>199.98</v>
      </c>
      <c r="K1038" s="246">
        <v>26</v>
      </c>
      <c r="L1038" s="219">
        <f t="shared" si="60"/>
        <v>225.98</v>
      </c>
      <c r="O1038" s="152" t="s">
        <v>677</v>
      </c>
      <c r="P1038" s="78">
        <v>51000200002</v>
      </c>
      <c r="Q1038" s="142" t="s">
        <v>56</v>
      </c>
      <c r="R1038" s="429">
        <f t="shared" si="59"/>
        <v>0</v>
      </c>
      <c r="U1038" s="109"/>
      <c r="Z1038" s="144"/>
    </row>
    <row r="1039" spans="2:26" x14ac:dyDescent="0.2">
      <c r="B1039" s="141">
        <v>43798</v>
      </c>
      <c r="C1039" s="138" t="s">
        <v>1003</v>
      </c>
      <c r="D1039" s="138" t="s">
        <v>459</v>
      </c>
      <c r="E1039" s="217" t="str">
        <f>+VLOOKUP(F1039,[14]bd!A:B,2,0)</f>
        <v>CITIBANK, N.A. SUCURSAL EL SALVADOR</v>
      </c>
      <c r="F1039" s="217" t="s">
        <v>329</v>
      </c>
      <c r="G1039" s="217"/>
      <c r="H1039" s="219"/>
      <c r="I1039" s="219"/>
      <c r="J1039" s="219">
        <v>48.99</v>
      </c>
      <c r="K1039" s="246">
        <v>6.37</v>
      </c>
      <c r="L1039" s="219">
        <f t="shared" si="60"/>
        <v>55.36</v>
      </c>
      <c r="O1039" s="152" t="s">
        <v>677</v>
      </c>
      <c r="P1039" s="227">
        <v>51220200001</v>
      </c>
      <c r="Q1039" s="217" t="s">
        <v>460</v>
      </c>
      <c r="R1039" s="429">
        <f t="shared" si="59"/>
        <v>1573.49</v>
      </c>
      <c r="U1039" s="109"/>
    </row>
    <row r="1040" spans="2:26" x14ac:dyDescent="0.2">
      <c r="B1040" s="141">
        <v>43798</v>
      </c>
      <c r="C1040" s="138" t="s">
        <v>1004</v>
      </c>
      <c r="D1040" s="138" t="s">
        <v>459</v>
      </c>
      <c r="E1040" s="217" t="str">
        <f>+VLOOKUP(F1040,[14]bd!A:B,2,0)</f>
        <v>CITIBANK, N.A. SUCURSAL EL SALVADOR</v>
      </c>
      <c r="F1040" s="217" t="s">
        <v>329</v>
      </c>
      <c r="G1040" s="217"/>
      <c r="H1040" s="219"/>
      <c r="I1040" s="219"/>
      <c r="J1040" s="219">
        <v>30.62</v>
      </c>
      <c r="K1040" s="246">
        <v>3.98</v>
      </c>
      <c r="L1040" s="219">
        <f t="shared" si="60"/>
        <v>34.6</v>
      </c>
      <c r="O1040" s="152" t="s">
        <v>677</v>
      </c>
      <c r="P1040" s="78">
        <v>51220200001</v>
      </c>
      <c r="Q1040" s="142" t="s">
        <v>351</v>
      </c>
      <c r="R1040" s="429">
        <f t="shared" si="59"/>
        <v>0</v>
      </c>
    </row>
    <row r="1041" spans="3:25" x14ac:dyDescent="0.2">
      <c r="O1041" s="152" t="s">
        <v>677</v>
      </c>
      <c r="P1041" s="78">
        <v>51220200001</v>
      </c>
      <c r="Q1041" s="142" t="s">
        <v>56</v>
      </c>
      <c r="R1041" s="429">
        <f t="shared" si="59"/>
        <v>0</v>
      </c>
    </row>
    <row r="1042" spans="3:25" x14ac:dyDescent="0.2">
      <c r="C1042" s="138" t="s">
        <v>50</v>
      </c>
      <c r="D1042" s="138"/>
      <c r="E1042" s="142" t="s">
        <v>537</v>
      </c>
      <c r="F1042" s="114"/>
      <c r="G1042" s="157"/>
      <c r="H1042" s="157"/>
      <c r="I1042" s="157"/>
      <c r="J1042" s="157"/>
      <c r="K1042" s="243">
        <v>-396.67</v>
      </c>
      <c r="L1042" s="429">
        <f>+J1042+K1042</f>
        <v>-396.67</v>
      </c>
      <c r="O1042" s="152" t="s">
        <v>677</v>
      </c>
      <c r="P1042" s="78">
        <v>52200000001</v>
      </c>
      <c r="Q1042" s="142" t="s">
        <v>460</v>
      </c>
      <c r="R1042" s="429">
        <f t="shared" si="59"/>
        <v>0</v>
      </c>
      <c r="W1042" s="106" t="s">
        <v>478</v>
      </c>
      <c r="X1042" s="144">
        <f>+X1027+X1028+X1029+X1030+X1031</f>
        <v>-3085.9500000000016</v>
      </c>
    </row>
    <row r="1043" spans="3:25" x14ac:dyDescent="0.2">
      <c r="C1043" s="138"/>
      <c r="D1043" s="138"/>
      <c r="E1043" s="142"/>
      <c r="F1043" s="114"/>
      <c r="G1043" s="157"/>
      <c r="H1043" s="157"/>
      <c r="I1043" s="157"/>
      <c r="J1043" s="157"/>
      <c r="K1043" s="143"/>
      <c r="L1043" s="429">
        <f>+J1043+K1043</f>
        <v>0</v>
      </c>
      <c r="O1043" s="152" t="s">
        <v>677</v>
      </c>
      <c r="P1043" s="78">
        <v>52200000001</v>
      </c>
      <c r="Q1043" s="142" t="s">
        <v>351</v>
      </c>
      <c r="R1043" s="429">
        <f t="shared" si="59"/>
        <v>0</v>
      </c>
      <c r="W1043" s="97" t="s">
        <v>480</v>
      </c>
      <c r="X1043" s="144">
        <f>+R1047</f>
        <v>2209.08</v>
      </c>
    </row>
    <row r="1044" spans="3:25" x14ac:dyDescent="0.2">
      <c r="C1044" s="138"/>
      <c r="D1044" s="138"/>
      <c r="E1044" s="142"/>
      <c r="F1044" s="114"/>
      <c r="G1044" s="157"/>
      <c r="H1044" s="157"/>
      <c r="I1044" s="157"/>
      <c r="J1044" s="157"/>
      <c r="K1044" s="143"/>
      <c r="L1044" s="429"/>
      <c r="O1044" s="152" t="s">
        <v>677</v>
      </c>
      <c r="P1044" s="78">
        <v>52200000001</v>
      </c>
      <c r="Q1044" s="142" t="s">
        <v>56</v>
      </c>
      <c r="R1044" s="429">
        <f t="shared" si="59"/>
        <v>0</v>
      </c>
      <c r="W1044" s="97" t="s">
        <v>486</v>
      </c>
      <c r="X1044" s="167">
        <f>+J1033+J1037+J1038+J1039+J1040</f>
        <v>842.13</v>
      </c>
    </row>
    <row r="1045" spans="3:25" x14ac:dyDescent="0.2">
      <c r="C1045" s="138"/>
      <c r="D1045" s="138"/>
      <c r="E1045" s="142"/>
      <c r="F1045" s="114"/>
      <c r="G1045" s="157"/>
      <c r="H1045" s="157"/>
      <c r="I1045" s="157"/>
      <c r="J1045" s="157"/>
      <c r="K1045" s="143"/>
      <c r="L1045" s="429"/>
      <c r="O1045" s="152" t="s">
        <v>677</v>
      </c>
      <c r="P1045" s="78">
        <v>52200000001</v>
      </c>
      <c r="Q1045" s="142" t="s">
        <v>460</v>
      </c>
      <c r="R1045" s="429">
        <f t="shared" si="59"/>
        <v>0</v>
      </c>
      <c r="X1045" s="324">
        <f>X1042+X1043+X1044</f>
        <v>-34.740000000001714</v>
      </c>
      <c r="Y1045" s="97" t="s">
        <v>500</v>
      </c>
    </row>
    <row r="1046" spans="3:25" x14ac:dyDescent="0.2">
      <c r="C1046" s="115"/>
      <c r="D1046" s="115"/>
      <c r="E1046" s="142"/>
      <c r="F1046" s="114"/>
      <c r="G1046" s="157"/>
      <c r="H1046" s="157"/>
      <c r="I1046" s="157"/>
      <c r="J1046" s="157"/>
      <c r="K1046" s="157"/>
      <c r="L1046" s="157"/>
      <c r="O1046" s="152" t="s">
        <v>677</v>
      </c>
      <c r="P1046" s="227">
        <v>51220200001</v>
      </c>
      <c r="Q1046" s="217" t="s">
        <v>496</v>
      </c>
      <c r="R1046" s="429">
        <f t="shared" si="59"/>
        <v>354.35</v>
      </c>
    </row>
    <row r="1047" spans="3:25" ht="13.5" thickBot="1" x14ac:dyDescent="0.25">
      <c r="C1047" s="164"/>
      <c r="D1047" s="164"/>
      <c r="E1047" s="142"/>
      <c r="F1047" s="163"/>
      <c r="G1047" s="165"/>
      <c r="H1047" s="165"/>
      <c r="I1047" s="165"/>
      <c r="J1047" s="165"/>
      <c r="K1047" s="165"/>
      <c r="L1047" s="165"/>
      <c r="O1047" s="427"/>
      <c r="P1047" s="427"/>
      <c r="R1047" s="244">
        <f>SUM(R1027:R1046)</f>
        <v>2209.08</v>
      </c>
      <c r="X1047" s="144"/>
    </row>
    <row r="1048" spans="3:25" ht="13.5" thickTop="1" x14ac:dyDescent="0.2">
      <c r="C1048" s="115"/>
      <c r="D1048" s="115"/>
      <c r="E1048" s="114"/>
      <c r="F1048" s="114"/>
      <c r="G1048" s="166">
        <f>SUM(G1001:G1047)</f>
        <v>0</v>
      </c>
      <c r="H1048" s="166">
        <f>SUM(H1001:H1047)</f>
        <v>0</v>
      </c>
      <c r="I1048" s="166">
        <f>SUM(I1001:I1047)</f>
        <v>0</v>
      </c>
      <c r="J1048" s="166">
        <f>SUM(J1029:J1047)</f>
        <v>3051.2099999999996</v>
      </c>
      <c r="K1048" s="166">
        <f>SUM(K1029:K1047)</f>
        <v>0</v>
      </c>
      <c r="L1048" s="166">
        <f>SUM(L1029:L1047)</f>
        <v>3051.21</v>
      </c>
    </row>
    <row r="1049" spans="3:25" x14ac:dyDescent="0.2">
      <c r="C1049" s="115"/>
      <c r="D1049" s="115"/>
      <c r="E1049" s="114"/>
      <c r="F1049" s="114"/>
      <c r="G1049" s="208"/>
      <c r="H1049" s="208"/>
      <c r="I1049" s="208"/>
      <c r="J1049" s="208"/>
      <c r="K1049" s="208"/>
      <c r="L1049" s="208"/>
    </row>
    <row r="1050" spans="3:25" x14ac:dyDescent="0.2">
      <c r="C1050" s="117" t="s">
        <v>587</v>
      </c>
      <c r="D1050" s="115"/>
      <c r="E1050" s="115"/>
      <c r="F1050" s="114"/>
      <c r="G1050" s="114"/>
      <c r="H1050" s="114"/>
      <c r="I1050" s="117" t="s">
        <v>588</v>
      </c>
      <c r="J1050" s="114"/>
      <c r="K1050" s="114"/>
      <c r="L1050" s="114"/>
      <c r="V1050" s="109"/>
      <c r="X1050" s="109"/>
    </row>
    <row r="1051" spans="3:25" x14ac:dyDescent="0.2">
      <c r="C1051" s="117"/>
      <c r="D1051" s="115"/>
      <c r="E1051" s="115"/>
      <c r="F1051" s="114"/>
      <c r="G1051" s="114"/>
      <c r="H1051" s="114"/>
      <c r="I1051" s="117"/>
      <c r="J1051" s="114">
        <v>0</v>
      </c>
      <c r="K1051" s="114"/>
      <c r="L1051" s="114"/>
      <c r="V1051" s="109"/>
      <c r="X1051" s="109"/>
    </row>
    <row r="1052" spans="3:25" x14ac:dyDescent="0.2">
      <c r="C1052" s="114" t="s">
        <v>140</v>
      </c>
      <c r="D1052" s="115"/>
      <c r="E1052" s="115"/>
      <c r="F1052" s="114"/>
      <c r="G1052" s="214">
        <v>0</v>
      </c>
      <c r="H1052" s="114"/>
      <c r="I1052" s="114" t="s">
        <v>140</v>
      </c>
      <c r="J1052" s="114"/>
      <c r="K1052" s="114"/>
      <c r="L1052" s="214">
        <v>0</v>
      </c>
      <c r="V1052" s="109"/>
      <c r="X1052" s="109"/>
    </row>
    <row r="1053" spans="3:25" x14ac:dyDescent="0.2">
      <c r="C1053" s="114"/>
      <c r="D1053" s="115"/>
      <c r="E1053" s="115"/>
      <c r="F1053" s="114"/>
      <c r="G1053" s="114"/>
      <c r="H1053" s="114"/>
      <c r="I1053" s="114"/>
      <c r="J1053" s="114">
        <v>0</v>
      </c>
      <c r="K1053" s="114"/>
      <c r="L1053" s="114"/>
      <c r="X1053" s="109"/>
    </row>
    <row r="1054" spans="3:25" x14ac:dyDescent="0.2">
      <c r="C1054" s="114" t="s">
        <v>589</v>
      </c>
      <c r="D1054" s="115"/>
      <c r="E1054" s="115"/>
      <c r="F1054" s="114"/>
      <c r="G1054" s="214">
        <v>0</v>
      </c>
      <c r="H1054" s="114"/>
      <c r="I1054" s="114" t="s">
        <v>589</v>
      </c>
      <c r="J1054" s="114"/>
      <c r="K1054" s="114"/>
      <c r="L1054" s="214">
        <v>0</v>
      </c>
      <c r="X1054" s="109"/>
    </row>
    <row r="1055" spans="3:25" x14ac:dyDescent="0.2">
      <c r="C1055" s="114"/>
      <c r="D1055" s="115"/>
      <c r="E1055" s="115"/>
      <c r="F1055" s="114"/>
      <c r="G1055" s="214"/>
      <c r="H1055" s="114"/>
      <c r="I1055" s="114"/>
      <c r="J1055" s="114"/>
      <c r="K1055" s="114"/>
      <c r="L1055" s="214"/>
    </row>
    <row r="1056" spans="3:25" x14ac:dyDescent="0.2">
      <c r="C1056" s="114"/>
      <c r="D1056" s="115"/>
      <c r="E1056" s="115"/>
      <c r="F1056" s="114"/>
      <c r="G1056" s="214"/>
      <c r="H1056" s="114"/>
      <c r="I1056" s="114"/>
      <c r="J1056" s="114"/>
      <c r="K1056" s="114"/>
      <c r="L1056" s="214"/>
    </row>
    <row r="1057" spans="1:26" x14ac:dyDescent="0.2">
      <c r="C1057" s="114" t="s">
        <v>590</v>
      </c>
      <c r="D1057" s="115"/>
      <c r="E1057" s="115"/>
      <c r="F1057" s="114"/>
      <c r="G1057" s="214"/>
      <c r="H1057" s="114"/>
      <c r="I1057" s="114" t="s">
        <v>590</v>
      </c>
      <c r="J1057" s="198"/>
      <c r="K1057" s="114"/>
      <c r="L1057" s="214"/>
    </row>
    <row r="1058" spans="1:26" x14ac:dyDescent="0.2">
      <c r="C1058" s="114" t="s">
        <v>141</v>
      </c>
      <c r="D1058" s="115"/>
      <c r="E1058" s="115"/>
      <c r="F1058" s="114"/>
      <c r="G1058" s="214">
        <f>+'[14]reportes consumidor final'!I1025</f>
        <v>0</v>
      </c>
      <c r="H1058" s="114"/>
      <c r="I1058" s="114" t="s">
        <v>141</v>
      </c>
      <c r="J1058" s="214">
        <v>34.74</v>
      </c>
      <c r="K1058" s="114"/>
      <c r="L1058" s="214">
        <f>+J1048</f>
        <v>3051.2099999999996</v>
      </c>
    </row>
    <row r="1059" spans="1:26" x14ac:dyDescent="0.2">
      <c r="C1059" s="114" t="s">
        <v>591</v>
      </c>
      <c r="D1059" s="115"/>
      <c r="E1059" s="115"/>
      <c r="F1059" s="114"/>
      <c r="G1059" s="215">
        <f>+G1058*0.13</f>
        <v>0</v>
      </c>
      <c r="H1059" s="114"/>
      <c r="I1059" s="114" t="s">
        <v>591</v>
      </c>
      <c r="J1059" s="215">
        <v>4.5162000000000004</v>
      </c>
      <c r="K1059" s="114"/>
      <c r="L1059" s="215">
        <f>+K1048</f>
        <v>0</v>
      </c>
    </row>
    <row r="1060" spans="1:26" x14ac:dyDescent="0.2">
      <c r="C1060" s="114"/>
      <c r="D1060" s="115"/>
      <c r="E1060" s="115"/>
      <c r="F1060" s="114"/>
      <c r="G1060" s="214"/>
      <c r="H1060" s="114"/>
      <c r="I1060" s="114"/>
      <c r="J1060" s="214"/>
      <c r="K1060" s="114"/>
      <c r="L1060" s="214"/>
    </row>
    <row r="1061" spans="1:26" ht="13.5" thickBot="1" x14ac:dyDescent="0.25">
      <c r="C1061" s="114" t="s">
        <v>592</v>
      </c>
      <c r="D1061" s="115"/>
      <c r="E1061" s="115"/>
      <c r="F1061" s="114"/>
      <c r="G1061" s="216">
        <f>SUM(G1052:G1059)</f>
        <v>0</v>
      </c>
      <c r="H1061" s="114"/>
      <c r="I1061" s="114" t="s">
        <v>592</v>
      </c>
      <c r="J1061" s="216">
        <v>39.2562</v>
      </c>
      <c r="K1061" s="114"/>
      <c r="L1061" s="216">
        <f>SUM(L1058:L1060)</f>
        <v>3051.2099999999996</v>
      </c>
    </row>
    <row r="1062" spans="1:26" ht="13.5" thickTop="1" x14ac:dyDescent="0.2">
      <c r="J1062" s="198"/>
    </row>
    <row r="1064" spans="1:26" s="250" customFormat="1" ht="4.5" customHeight="1" x14ac:dyDescent="0.2">
      <c r="A1064" s="247"/>
      <c r="B1064" s="247"/>
      <c r="C1064" s="248"/>
      <c r="D1064" s="248"/>
      <c r="E1064" s="247"/>
      <c r="F1064" s="247"/>
      <c r="G1064" s="247"/>
      <c r="H1064" s="247"/>
      <c r="I1064" s="247"/>
      <c r="J1064" s="247"/>
      <c r="K1064" s="247"/>
      <c r="L1064" s="247"/>
      <c r="M1064" s="249"/>
      <c r="N1064" s="249"/>
      <c r="O1064" s="249"/>
      <c r="P1064" s="249"/>
      <c r="R1064" s="384"/>
    </row>
    <row r="1068" spans="1:26" x14ac:dyDescent="0.2">
      <c r="B1068" s="125"/>
      <c r="C1068" s="126" t="s">
        <v>255</v>
      </c>
      <c r="D1068" s="127" t="s">
        <v>43</v>
      </c>
      <c r="E1068" s="127"/>
      <c r="F1068" s="127" t="s">
        <v>135</v>
      </c>
      <c r="G1068" s="127"/>
      <c r="H1068" s="128" t="s">
        <v>136</v>
      </c>
      <c r="I1068" s="129"/>
      <c r="J1068" s="129"/>
      <c r="K1068" s="129"/>
      <c r="L1068" s="146"/>
      <c r="O1068" s="170" t="s">
        <v>480</v>
      </c>
      <c r="P1068" s="170"/>
      <c r="Q1068" s="170"/>
      <c r="R1068" s="170"/>
      <c r="U1068" s="106" t="s">
        <v>465</v>
      </c>
      <c r="Y1068" s="97" t="s">
        <v>479</v>
      </c>
      <c r="Z1068" s="97" t="s">
        <v>340</v>
      </c>
    </row>
    <row r="1069" spans="1:26" x14ac:dyDescent="0.2">
      <c r="B1069" s="130" t="s">
        <v>137</v>
      </c>
      <c r="C1069" s="131" t="s">
        <v>138</v>
      </c>
      <c r="D1069" s="131" t="s">
        <v>258</v>
      </c>
      <c r="E1069" s="131" t="s">
        <v>139</v>
      </c>
      <c r="F1069" s="131" t="s">
        <v>259</v>
      </c>
      <c r="G1069" s="131" t="s">
        <v>140</v>
      </c>
      <c r="H1069" s="132" t="s">
        <v>94</v>
      </c>
      <c r="I1069" s="129"/>
      <c r="J1069" s="132" t="s">
        <v>141</v>
      </c>
      <c r="K1069" s="129"/>
      <c r="L1069" s="147" t="s">
        <v>325</v>
      </c>
      <c r="O1069" s="152" t="s">
        <v>681</v>
      </c>
      <c r="P1069" s="78">
        <v>51000000001</v>
      </c>
      <c r="Q1069" s="142" t="s">
        <v>460</v>
      </c>
      <c r="R1069" s="429">
        <f>SUMIFS($J$1071:$J$1082,$E$1071:$E$1082,Q1069,$M$1071:$M$1082,P1069)</f>
        <v>0</v>
      </c>
      <c r="T1069" s="97">
        <v>51000200001</v>
      </c>
      <c r="U1069" s="97" t="s">
        <v>382</v>
      </c>
      <c r="X1069" s="109">
        <v>-146.69000000000051</v>
      </c>
      <c r="Y1069" s="109">
        <f>R1072</f>
        <v>0</v>
      </c>
      <c r="Z1069" s="144">
        <v>0</v>
      </c>
    </row>
    <row r="1070" spans="1:26" x14ac:dyDescent="0.2">
      <c r="B1070" s="133"/>
      <c r="C1070" s="134"/>
      <c r="D1070" s="134"/>
      <c r="E1070" s="133"/>
      <c r="F1070" s="133"/>
      <c r="G1070" s="133"/>
      <c r="H1070" s="135" t="s">
        <v>326</v>
      </c>
      <c r="I1070" s="136" t="s">
        <v>327</v>
      </c>
      <c r="J1070" s="148" t="s">
        <v>328</v>
      </c>
      <c r="K1070" s="148" t="s">
        <v>89</v>
      </c>
      <c r="L1070" s="149" t="s">
        <v>94</v>
      </c>
      <c r="O1070" s="152" t="s">
        <v>681</v>
      </c>
      <c r="P1070" s="78">
        <v>51000000002</v>
      </c>
      <c r="Q1070" s="142" t="s">
        <v>460</v>
      </c>
      <c r="R1070" s="429">
        <f t="shared" ref="R1070:R1088" si="61">SUMIFS($J$1071:$J$1082,$E$1071:$E$1082,Q1070,$M$1071:$M$1082,P1070)</f>
        <v>0</v>
      </c>
      <c r="T1070" s="97">
        <v>51000200002</v>
      </c>
      <c r="U1070" s="97" t="s">
        <v>383</v>
      </c>
      <c r="X1070" s="109">
        <v>-146.69000000000051</v>
      </c>
      <c r="Y1070" s="109">
        <f>R1074</f>
        <v>0</v>
      </c>
      <c r="Z1070" s="144">
        <v>0</v>
      </c>
    </row>
    <row r="1071" spans="1:26" x14ac:dyDescent="0.2">
      <c r="B1071" s="443" t="s">
        <v>1010</v>
      </c>
      <c r="C1071" s="138" t="s">
        <v>1011</v>
      </c>
      <c r="D1071" s="138" t="s">
        <v>459</v>
      </c>
      <c r="E1071" s="142" t="str">
        <f>+VLOOKUP(F1071,[15]bd!A:B,2,0)</f>
        <v>BANCO CUSCATLAN DE EL SALVADOR S.A.</v>
      </c>
      <c r="F1071" s="142" t="s">
        <v>90</v>
      </c>
      <c r="G1071" s="142"/>
      <c r="H1071" s="429"/>
      <c r="I1071" s="429"/>
      <c r="J1071" s="429">
        <v>78.19</v>
      </c>
      <c r="K1071" s="143">
        <v>10.16</v>
      </c>
      <c r="L1071" s="429">
        <f t="shared" ref="L1071:L1082" si="62">+J1071+K1071</f>
        <v>88.35</v>
      </c>
      <c r="M1071" s="245">
        <v>51000200002</v>
      </c>
      <c r="O1071" s="152" t="s">
        <v>681</v>
      </c>
      <c r="P1071" s="78">
        <v>51000100001</v>
      </c>
      <c r="Q1071" s="142" t="s">
        <v>460</v>
      </c>
      <c r="R1071" s="429">
        <f t="shared" si="61"/>
        <v>0</v>
      </c>
      <c r="T1071" s="97">
        <v>51000100001</v>
      </c>
      <c r="U1071" s="109" t="s">
        <v>12</v>
      </c>
      <c r="X1071" s="109">
        <v>-1766.4700000000003</v>
      </c>
    </row>
    <row r="1072" spans="1:26" x14ac:dyDescent="0.2">
      <c r="B1072" s="443" t="s">
        <v>1010</v>
      </c>
      <c r="C1072" s="138" t="s">
        <v>1012</v>
      </c>
      <c r="D1072" s="138" t="s">
        <v>459</v>
      </c>
      <c r="E1072" s="142" t="str">
        <f>+VLOOKUP(F1072,[15]bd!A:B,2,0)</f>
        <v>BANCO CUSCATLAN DE EL SALVADOR S.A.</v>
      </c>
      <c r="F1072" s="142" t="s">
        <v>90</v>
      </c>
      <c r="G1072" s="142"/>
      <c r="H1072" s="429"/>
      <c r="I1072" s="429"/>
      <c r="J1072" s="429">
        <v>78.19</v>
      </c>
      <c r="K1072" s="143">
        <v>10.16</v>
      </c>
      <c r="L1072" s="429">
        <f t="shared" si="62"/>
        <v>88.35</v>
      </c>
      <c r="M1072" s="245">
        <v>51000200001</v>
      </c>
      <c r="O1072" s="152" t="s">
        <v>681</v>
      </c>
      <c r="P1072" s="78">
        <v>51000100001</v>
      </c>
      <c r="Q1072" s="142" t="s">
        <v>496</v>
      </c>
      <c r="R1072" s="429">
        <f t="shared" si="61"/>
        <v>0</v>
      </c>
      <c r="T1072" s="97">
        <v>51000100002</v>
      </c>
      <c r="U1072" s="109" t="s">
        <v>380</v>
      </c>
      <c r="X1072" s="109">
        <v>-1104.04</v>
      </c>
    </row>
    <row r="1073" spans="2:26" x14ac:dyDescent="0.2">
      <c r="B1073" s="443" t="s">
        <v>1010</v>
      </c>
      <c r="C1073" s="138" t="s">
        <v>1013</v>
      </c>
      <c r="D1073" s="138" t="s">
        <v>459</v>
      </c>
      <c r="E1073" s="142" t="s">
        <v>482</v>
      </c>
      <c r="F1073" s="142"/>
      <c r="G1073" s="142"/>
      <c r="H1073" s="429"/>
      <c r="I1073" s="429"/>
      <c r="J1073" s="429">
        <v>0</v>
      </c>
      <c r="K1073" s="143">
        <v>0</v>
      </c>
      <c r="L1073" s="429">
        <f t="shared" si="62"/>
        <v>0</v>
      </c>
      <c r="O1073" s="152" t="s">
        <v>681</v>
      </c>
      <c r="P1073" s="78">
        <v>51000100002</v>
      </c>
      <c r="Q1073" s="142" t="s">
        <v>460</v>
      </c>
      <c r="R1073" s="429">
        <f t="shared" si="61"/>
        <v>0</v>
      </c>
      <c r="T1073" s="97">
        <v>51220200001</v>
      </c>
      <c r="U1073" s="97" t="s">
        <v>55</v>
      </c>
      <c r="X1073" s="109">
        <v>-2260.8199999999997</v>
      </c>
      <c r="Y1073" s="109">
        <f>R1081+R1088</f>
        <v>1975.87</v>
      </c>
      <c r="Z1073" s="144">
        <f>X1074+Y1073</f>
        <v>-6263.29</v>
      </c>
    </row>
    <row r="1074" spans="2:26" x14ac:dyDescent="0.2">
      <c r="B1074" s="443" t="s">
        <v>1014</v>
      </c>
      <c r="C1074" s="138" t="s">
        <v>1015</v>
      </c>
      <c r="D1074" s="138" t="s">
        <v>459</v>
      </c>
      <c r="E1074" s="142" t="str">
        <f>+VLOOKUP(F1074,[15]bd!A:B,2,0)</f>
        <v>BANCO CUSCATLAN DE EL SALVADOR S.A.</v>
      </c>
      <c r="F1074" s="142" t="s">
        <v>90</v>
      </c>
      <c r="G1074" s="142"/>
      <c r="H1074" s="429"/>
      <c r="I1074" s="429"/>
      <c r="J1074" s="429">
        <v>1621.52</v>
      </c>
      <c r="K1074" s="143">
        <v>210.8</v>
      </c>
      <c r="L1074" s="429">
        <f t="shared" si="62"/>
        <v>1832.32</v>
      </c>
      <c r="M1074" s="245">
        <v>51220200001</v>
      </c>
      <c r="O1074" s="152" t="s">
        <v>681</v>
      </c>
      <c r="P1074" s="78">
        <v>51000100002</v>
      </c>
      <c r="Q1074" s="142" t="s">
        <v>496</v>
      </c>
      <c r="R1074" s="429">
        <f t="shared" si="61"/>
        <v>0</v>
      </c>
      <c r="T1074" s="195">
        <v>52200000001</v>
      </c>
      <c r="U1074" s="195" t="s">
        <v>33</v>
      </c>
      <c r="V1074" s="195"/>
      <c r="W1074" s="195"/>
      <c r="X1074" s="109">
        <v>-8239.16</v>
      </c>
      <c r="Y1074" s="109">
        <v>0</v>
      </c>
      <c r="Z1074" s="144">
        <v>0</v>
      </c>
    </row>
    <row r="1075" spans="2:26" x14ac:dyDescent="0.2">
      <c r="B1075" s="443" t="s">
        <v>1014</v>
      </c>
      <c r="C1075" s="138" t="s">
        <v>1016</v>
      </c>
      <c r="D1075" s="138" t="s">
        <v>459</v>
      </c>
      <c r="E1075" s="217" t="str">
        <f>+VLOOKUP(F1075,[15]bd!A:B,2,0)</f>
        <v>CITIBANK, N.A. SUCURSAL EL SALVADOR</v>
      </c>
      <c r="F1075" s="217" t="s">
        <v>329</v>
      </c>
      <c r="G1075" s="218"/>
      <c r="H1075" s="219"/>
      <c r="I1075" s="219"/>
      <c r="J1075" s="219">
        <v>271.38</v>
      </c>
      <c r="K1075" s="246">
        <v>35.28</v>
      </c>
      <c r="L1075" s="219">
        <f t="shared" si="62"/>
        <v>306.65999999999997</v>
      </c>
      <c r="M1075" s="336"/>
      <c r="O1075" s="152" t="s">
        <v>681</v>
      </c>
      <c r="P1075" s="227">
        <v>51000200001</v>
      </c>
      <c r="Q1075" s="217" t="s">
        <v>460</v>
      </c>
      <c r="R1075" s="429">
        <f t="shared" si="61"/>
        <v>112.44</v>
      </c>
      <c r="T1075" s="97">
        <v>51000000001</v>
      </c>
      <c r="U1075" s="97" t="s">
        <v>132</v>
      </c>
      <c r="X1075" s="109"/>
    </row>
    <row r="1076" spans="2:26" x14ac:dyDescent="0.2">
      <c r="B1076" s="443" t="s">
        <v>1014</v>
      </c>
      <c r="C1076" s="138" t="s">
        <v>1017</v>
      </c>
      <c r="D1076" s="138" t="s">
        <v>459</v>
      </c>
      <c r="E1076" s="142" t="str">
        <f>+VLOOKUP(F1076,[15]bd!A:B,2,0)</f>
        <v>INVERSIONES FINANCIERAS IMPERIA CUSCATLAN, SA</v>
      </c>
      <c r="F1076" s="142" t="s">
        <v>497</v>
      </c>
      <c r="G1076" s="428"/>
      <c r="H1076" s="429"/>
      <c r="I1076" s="429"/>
      <c r="J1076" s="429">
        <v>354.35</v>
      </c>
      <c r="K1076" s="143">
        <v>46.07</v>
      </c>
      <c r="L1076" s="429">
        <f t="shared" si="62"/>
        <v>400.42</v>
      </c>
      <c r="M1076" s="245">
        <v>51220200001</v>
      </c>
      <c r="O1076" s="152" t="s">
        <v>681</v>
      </c>
      <c r="P1076" s="78">
        <v>51000200001</v>
      </c>
      <c r="Q1076" s="142" t="s">
        <v>351</v>
      </c>
      <c r="R1076" s="429">
        <f t="shared" si="61"/>
        <v>0</v>
      </c>
      <c r="T1076" s="97">
        <v>51000000002</v>
      </c>
      <c r="U1076" s="97" t="s">
        <v>10</v>
      </c>
      <c r="X1076" s="109"/>
    </row>
    <row r="1077" spans="2:26" x14ac:dyDescent="0.2">
      <c r="B1077" s="444" t="s">
        <v>1018</v>
      </c>
      <c r="C1077" s="184" t="s">
        <v>1019</v>
      </c>
      <c r="D1077" s="138" t="s">
        <v>459</v>
      </c>
      <c r="E1077" s="217" t="str">
        <f>+VLOOKUP(F1077,[15]bd!A:B,2,0)</f>
        <v>CITIBANK, N.A. SUCURSAL EL SALVADOR</v>
      </c>
      <c r="F1077" s="217" t="s">
        <v>329</v>
      </c>
      <c r="G1077" s="217"/>
      <c r="H1077" s="219"/>
      <c r="I1077" s="219"/>
      <c r="J1077" s="219">
        <v>34.25</v>
      </c>
      <c r="K1077" s="246">
        <v>4.45</v>
      </c>
      <c r="L1077" s="219">
        <f t="shared" si="62"/>
        <v>38.700000000000003</v>
      </c>
      <c r="M1077" s="224"/>
      <c r="O1077" s="152" t="s">
        <v>681</v>
      </c>
      <c r="P1077" s="78">
        <v>51000200001</v>
      </c>
      <c r="Q1077" s="142" t="s">
        <v>56</v>
      </c>
      <c r="R1077" s="429">
        <f t="shared" si="61"/>
        <v>0</v>
      </c>
      <c r="T1077" s="97">
        <v>53000100001</v>
      </c>
      <c r="U1077" s="97" t="s">
        <v>134</v>
      </c>
      <c r="X1077" s="198"/>
      <c r="Y1077" s="109">
        <v>0</v>
      </c>
      <c r="Z1077" s="144">
        <v>0</v>
      </c>
    </row>
    <row r="1078" spans="2:26" x14ac:dyDescent="0.2">
      <c r="B1078" s="444" t="s">
        <v>1018</v>
      </c>
      <c r="C1078" s="446" t="s">
        <v>1020</v>
      </c>
      <c r="D1078" s="138" t="s">
        <v>459</v>
      </c>
      <c r="E1078" s="217" t="str">
        <f>+VLOOKUP(F1078,[15]bd!A:B,2,0)</f>
        <v>CITIBANK, N.A. SUCURSAL EL SALVADOR</v>
      </c>
      <c r="F1078" s="217" t="s">
        <v>329</v>
      </c>
      <c r="G1078" s="217"/>
      <c r="H1078" s="219"/>
      <c r="I1078" s="219"/>
      <c r="J1078" s="219">
        <v>34.25</v>
      </c>
      <c r="K1078" s="246">
        <v>4.45</v>
      </c>
      <c r="L1078" s="219">
        <f t="shared" si="62"/>
        <v>38.700000000000003</v>
      </c>
      <c r="M1078" s="224"/>
      <c r="O1078" s="152" t="s">
        <v>681</v>
      </c>
      <c r="P1078" s="227">
        <v>51000200002</v>
      </c>
      <c r="Q1078" s="217" t="s">
        <v>460</v>
      </c>
      <c r="R1078" s="429">
        <f t="shared" si="61"/>
        <v>112.44</v>
      </c>
      <c r="X1078" s="171">
        <v>0</v>
      </c>
      <c r="Y1078" s="171"/>
      <c r="Z1078" s="167">
        <v>0</v>
      </c>
    </row>
    <row r="1079" spans="2:26" x14ac:dyDescent="0.2">
      <c r="B1079" s="445">
        <v>43812</v>
      </c>
      <c r="C1079" s="184" t="s">
        <v>1021</v>
      </c>
      <c r="D1079" s="138" t="s">
        <v>459</v>
      </c>
      <c r="E1079" s="142" t="str">
        <f>+VLOOKUP(F1079,[15]bd!A:B,2,0)</f>
        <v>BANCO CUSCATLAN DE EL SALVADOR S.A.</v>
      </c>
      <c r="F1079" s="142" t="s">
        <v>90</v>
      </c>
      <c r="G1079" s="142"/>
      <c r="H1079" s="429"/>
      <c r="I1079" s="429"/>
      <c r="J1079" s="429">
        <v>34.25</v>
      </c>
      <c r="K1079" s="143">
        <v>4.45</v>
      </c>
      <c r="L1079" s="429">
        <f t="shared" si="62"/>
        <v>38.700000000000003</v>
      </c>
      <c r="M1079" s="245">
        <v>51000200002</v>
      </c>
      <c r="O1079" s="152" t="s">
        <v>681</v>
      </c>
      <c r="P1079" s="78">
        <v>51000200002</v>
      </c>
      <c r="Q1079" s="142" t="s">
        <v>351</v>
      </c>
      <c r="R1079" s="429">
        <f t="shared" si="61"/>
        <v>0</v>
      </c>
      <c r="X1079" s="158">
        <f>SUM(X1069:X1077)</f>
        <v>-13663.87</v>
      </c>
      <c r="Y1079" s="158">
        <f>SUM(Y1069:Y1078)</f>
        <v>1975.87</v>
      </c>
      <c r="Z1079" s="158">
        <f>SUM(Z1069:Z1078)</f>
        <v>-6263.29</v>
      </c>
    </row>
    <row r="1080" spans="2:26" x14ac:dyDescent="0.2">
      <c r="B1080" s="445">
        <v>43812</v>
      </c>
      <c r="C1080" s="184" t="s">
        <v>1009</v>
      </c>
      <c r="D1080" s="138" t="s">
        <v>459</v>
      </c>
      <c r="E1080" s="142" t="str">
        <f>+VLOOKUP(F1080,[15]bd!A:B,2,0)</f>
        <v>BANCO CUSCATLAN DE EL SALVADOR S.A.</v>
      </c>
      <c r="F1080" s="142" t="s">
        <v>90</v>
      </c>
      <c r="G1080" s="142"/>
      <c r="H1080" s="429"/>
      <c r="I1080" s="429"/>
      <c r="J1080" s="429">
        <v>34.25</v>
      </c>
      <c r="K1080" s="143">
        <v>4.45</v>
      </c>
      <c r="L1080" s="429">
        <f t="shared" si="62"/>
        <v>38.700000000000003</v>
      </c>
      <c r="M1080" s="245">
        <v>51000200001</v>
      </c>
      <c r="O1080" s="152" t="s">
        <v>681</v>
      </c>
      <c r="P1080" s="78">
        <v>51000200002</v>
      </c>
      <c r="Q1080" s="142" t="s">
        <v>56</v>
      </c>
      <c r="R1080" s="429">
        <f t="shared" si="61"/>
        <v>0</v>
      </c>
      <c r="U1080" s="109"/>
      <c r="Z1080" s="144"/>
    </row>
    <row r="1081" spans="2:26" x14ac:dyDescent="0.2">
      <c r="B1081" s="445">
        <v>43816</v>
      </c>
      <c r="C1081" s="184" t="s">
        <v>1022</v>
      </c>
      <c r="D1081" s="138" t="s">
        <v>459</v>
      </c>
      <c r="E1081" s="217" t="str">
        <f>+VLOOKUP(F1081,[15]bd!A:B,2,0)</f>
        <v>CITIBANK, N.A. SUCURSAL EL SALVADOR</v>
      </c>
      <c r="F1081" s="217" t="s">
        <v>329</v>
      </c>
      <c r="G1081" s="217"/>
      <c r="H1081" s="219"/>
      <c r="I1081" s="219"/>
      <c r="J1081" s="219">
        <v>1104.04</v>
      </c>
      <c r="K1081" s="246">
        <v>143.53</v>
      </c>
      <c r="L1081" s="219">
        <f t="shared" si="62"/>
        <v>1247.57</v>
      </c>
      <c r="O1081" s="152" t="s">
        <v>681</v>
      </c>
      <c r="P1081" s="227">
        <v>51220200001</v>
      </c>
      <c r="Q1081" s="217" t="s">
        <v>460</v>
      </c>
      <c r="R1081" s="429">
        <f t="shared" si="61"/>
        <v>1621.52</v>
      </c>
      <c r="U1081" s="109"/>
    </row>
    <row r="1082" spans="2:26" x14ac:dyDescent="0.2">
      <c r="B1082" s="445">
        <v>43816</v>
      </c>
      <c r="C1082" s="184" t="s">
        <v>1023</v>
      </c>
      <c r="D1082" s="138" t="s">
        <v>459</v>
      </c>
      <c r="E1082" s="217" t="str">
        <f>+VLOOKUP(F1082,[15]bd!A:B,2,0)</f>
        <v>CITIBANK, N.A. SUCURSAL EL SALVADOR</v>
      </c>
      <c r="F1082" s="217" t="s">
        <v>329</v>
      </c>
      <c r="G1082" s="217"/>
      <c r="H1082" s="219"/>
      <c r="I1082" s="219"/>
      <c r="J1082" s="219">
        <v>1766.47</v>
      </c>
      <c r="K1082" s="246">
        <v>229.64</v>
      </c>
      <c r="L1082" s="219">
        <f t="shared" si="62"/>
        <v>1996.1100000000001</v>
      </c>
      <c r="O1082" s="152" t="s">
        <v>681</v>
      </c>
      <c r="P1082" s="78">
        <v>51220200001</v>
      </c>
      <c r="Q1082" s="142" t="s">
        <v>351</v>
      </c>
      <c r="R1082" s="429">
        <f t="shared" si="61"/>
        <v>0</v>
      </c>
    </row>
    <row r="1083" spans="2:26" x14ac:dyDescent="0.2">
      <c r="O1083" s="152" t="s">
        <v>681</v>
      </c>
      <c r="P1083" s="78">
        <v>51220200001</v>
      </c>
      <c r="Q1083" s="142" t="s">
        <v>56</v>
      </c>
      <c r="R1083" s="429">
        <f t="shared" si="61"/>
        <v>0</v>
      </c>
    </row>
    <row r="1084" spans="2:26" x14ac:dyDescent="0.2">
      <c r="B1084" s="141"/>
      <c r="C1084" s="138" t="s">
        <v>50</v>
      </c>
      <c r="D1084" s="138"/>
      <c r="E1084" s="142" t="s">
        <v>537</v>
      </c>
      <c r="F1084" s="114"/>
      <c r="G1084" s="157"/>
      <c r="H1084" s="157"/>
      <c r="I1084" s="157"/>
      <c r="J1084" s="157"/>
      <c r="K1084" s="243"/>
      <c r="L1084" s="429"/>
      <c r="O1084" s="152" t="s">
        <v>681</v>
      </c>
      <c r="P1084" s="78">
        <v>52200000001</v>
      </c>
      <c r="Q1084" s="142" t="s">
        <v>460</v>
      </c>
      <c r="R1084" s="429">
        <f t="shared" si="61"/>
        <v>0</v>
      </c>
      <c r="W1084" s="106" t="s">
        <v>478</v>
      </c>
      <c r="X1084" s="144">
        <f>+X1069+X1070+X1071+X1072+X1073</f>
        <v>-5424.7100000000009</v>
      </c>
    </row>
    <row r="1085" spans="2:26" x14ac:dyDescent="0.2">
      <c r="B1085" s="141"/>
      <c r="C1085" s="138"/>
      <c r="D1085" s="138"/>
      <c r="E1085" s="142"/>
      <c r="F1085" s="114"/>
      <c r="G1085" s="157"/>
      <c r="H1085" s="157"/>
      <c r="I1085" s="157"/>
      <c r="J1085" s="157"/>
      <c r="K1085" s="143"/>
      <c r="L1085" s="429"/>
      <c r="O1085" s="152" t="s">
        <v>681</v>
      </c>
      <c r="P1085" s="78">
        <v>52200000001</v>
      </c>
      <c r="Q1085" s="142" t="s">
        <v>351</v>
      </c>
      <c r="R1085" s="429">
        <f t="shared" si="61"/>
        <v>0</v>
      </c>
      <c r="W1085" s="97" t="s">
        <v>480</v>
      </c>
      <c r="X1085" s="144">
        <f>+R1089</f>
        <v>2200.75</v>
      </c>
    </row>
    <row r="1086" spans="2:26" x14ac:dyDescent="0.2">
      <c r="B1086" s="141"/>
      <c r="C1086" s="138"/>
      <c r="D1086" s="138"/>
      <c r="E1086" s="142"/>
      <c r="F1086" s="114"/>
      <c r="G1086" s="157"/>
      <c r="H1086" s="157"/>
      <c r="I1086" s="157"/>
      <c r="J1086" s="157"/>
      <c r="K1086" s="143"/>
      <c r="L1086" s="429"/>
      <c r="O1086" s="152" t="s">
        <v>681</v>
      </c>
      <c r="P1086" s="78">
        <v>52200000001</v>
      </c>
      <c r="Q1086" s="142" t="s">
        <v>56</v>
      </c>
      <c r="R1086" s="429">
        <f t="shared" si="61"/>
        <v>0</v>
      </c>
      <c r="W1086" s="97" t="s">
        <v>486</v>
      </c>
      <c r="X1086" s="167">
        <f>+J1075+J1079+J1080+J1081+J1082</f>
        <v>3210.3900000000003</v>
      </c>
    </row>
    <row r="1087" spans="2:26" x14ac:dyDescent="0.2">
      <c r="B1087" s="141"/>
      <c r="C1087" s="138"/>
      <c r="D1087" s="138"/>
      <c r="E1087" s="142"/>
      <c r="F1087" s="114"/>
      <c r="G1087" s="157"/>
      <c r="H1087" s="157"/>
      <c r="I1087" s="157"/>
      <c r="J1087" s="157"/>
      <c r="K1087" s="143"/>
      <c r="L1087" s="429"/>
      <c r="O1087" s="152" t="s">
        <v>681</v>
      </c>
      <c r="P1087" s="78">
        <v>52200000001</v>
      </c>
      <c r="Q1087" s="142" t="s">
        <v>460</v>
      </c>
      <c r="R1087" s="429">
        <f t="shared" si="61"/>
        <v>0</v>
      </c>
      <c r="X1087" s="324">
        <f>X1084+X1085+X1086</f>
        <v>-13.570000000000618</v>
      </c>
      <c r="Y1087" s="97" t="s">
        <v>500</v>
      </c>
    </row>
    <row r="1088" spans="2:26" x14ac:dyDescent="0.2">
      <c r="B1088" s="114"/>
      <c r="C1088" s="115"/>
      <c r="D1088" s="115"/>
      <c r="E1088" s="142"/>
      <c r="F1088" s="114"/>
      <c r="G1088" s="157"/>
      <c r="H1088" s="157"/>
      <c r="I1088" s="157"/>
      <c r="J1088" s="157"/>
      <c r="K1088" s="157"/>
      <c r="L1088" s="157"/>
      <c r="O1088" s="152" t="s">
        <v>681</v>
      </c>
      <c r="P1088" s="227">
        <v>51220200001</v>
      </c>
      <c r="Q1088" s="217" t="s">
        <v>496</v>
      </c>
      <c r="R1088" s="429">
        <f t="shared" si="61"/>
        <v>354.35</v>
      </c>
    </row>
    <row r="1089" spans="2:24" ht="13.5" thickBot="1" x14ac:dyDescent="0.25">
      <c r="B1089" s="163"/>
      <c r="C1089" s="164"/>
      <c r="D1089" s="164"/>
      <c r="E1089" s="142"/>
      <c r="F1089" s="163"/>
      <c r="G1089" s="165"/>
      <c r="H1089" s="165"/>
      <c r="I1089" s="165"/>
      <c r="J1089" s="165"/>
      <c r="K1089" s="165"/>
      <c r="L1089" s="165"/>
      <c r="O1089" s="427"/>
      <c r="P1089" s="427"/>
      <c r="R1089" s="244">
        <f>SUM(R1069:R1088)</f>
        <v>2200.75</v>
      </c>
      <c r="X1089" s="144"/>
    </row>
    <row r="1090" spans="2:24" ht="13.5" thickTop="1" x14ac:dyDescent="0.2">
      <c r="B1090" s="114"/>
      <c r="C1090" s="115"/>
      <c r="D1090" s="115"/>
      <c r="E1090" s="114"/>
      <c r="F1090" s="114"/>
      <c r="G1090" s="166">
        <f>SUM(G1043:G1089)</f>
        <v>0</v>
      </c>
      <c r="H1090" s="166">
        <f>SUM(H1043:H1089)</f>
        <v>0</v>
      </c>
      <c r="I1090" s="166">
        <f>SUM(I1043:I1089)</f>
        <v>0</v>
      </c>
      <c r="J1090" s="166">
        <f>SUM(J1071:J1089)</f>
        <v>5411.14</v>
      </c>
      <c r="K1090" s="166">
        <f>SUM(K1071:K1089)</f>
        <v>703.43999999999994</v>
      </c>
      <c r="L1090" s="166">
        <f>SUM(L1071:L1089)</f>
        <v>6114.58</v>
      </c>
      <c r="O1090" s="427"/>
      <c r="P1090" s="427"/>
      <c r="W1090" s="109"/>
    </row>
    <row r="1091" spans="2:24" x14ac:dyDescent="0.2">
      <c r="B1091" s="114"/>
      <c r="C1091" s="115"/>
      <c r="D1091" s="115"/>
      <c r="E1091" s="114"/>
      <c r="F1091" s="114"/>
      <c r="G1091" s="208"/>
      <c r="H1091" s="208"/>
      <c r="I1091" s="208"/>
      <c r="J1091" s="208"/>
      <c r="K1091" s="208"/>
      <c r="L1091" s="208"/>
      <c r="O1091" s="427"/>
      <c r="P1091" s="427"/>
      <c r="W1091" s="109"/>
    </row>
    <row r="1092" spans="2:24" x14ac:dyDescent="0.2">
      <c r="B1092" s="114"/>
      <c r="C1092" s="115"/>
      <c r="D1092" s="115"/>
      <c r="E1092" s="114"/>
      <c r="F1092" s="114"/>
      <c r="G1092" s="208"/>
      <c r="H1092" s="208"/>
      <c r="I1092" s="208"/>
      <c r="J1092" s="208"/>
      <c r="K1092" s="208"/>
      <c r="L1092" s="208"/>
      <c r="O1092" s="427"/>
      <c r="P1092" s="427"/>
      <c r="V1092" s="109"/>
      <c r="W1092" s="109"/>
      <c r="X1092" s="109"/>
    </row>
    <row r="1093" spans="2:24" x14ac:dyDescent="0.2">
      <c r="B1093" s="114"/>
      <c r="C1093" s="115"/>
      <c r="D1093" s="115"/>
      <c r="E1093" s="114"/>
      <c r="F1093" s="114"/>
      <c r="G1093" s="208"/>
      <c r="H1093" s="208"/>
      <c r="I1093" s="208"/>
      <c r="J1093" s="208"/>
      <c r="K1093" s="208"/>
      <c r="L1093" s="208"/>
      <c r="W1093" s="109"/>
    </row>
    <row r="1094" spans="2:24" x14ac:dyDescent="0.2">
      <c r="B1094" s="114"/>
      <c r="C1094" s="115"/>
      <c r="D1094" s="115"/>
      <c r="E1094" s="114"/>
      <c r="F1094" s="114"/>
      <c r="G1094" s="208"/>
      <c r="H1094" s="208"/>
      <c r="I1094" s="208"/>
      <c r="J1094" s="208"/>
      <c r="K1094" s="208"/>
      <c r="L1094" s="208"/>
      <c r="W1094" s="109"/>
    </row>
    <row r="1095" spans="2:24" x14ac:dyDescent="0.2">
      <c r="B1095" s="114"/>
      <c r="C1095" s="115"/>
      <c r="D1095" s="115"/>
      <c r="E1095" s="114"/>
      <c r="F1095" s="114"/>
      <c r="G1095" s="208"/>
      <c r="H1095" s="208"/>
      <c r="I1095" s="208"/>
      <c r="J1095" s="208"/>
      <c r="K1095" s="208"/>
      <c r="L1095" s="208"/>
      <c r="W1095" s="109"/>
    </row>
    <row r="1096" spans="2:24" x14ac:dyDescent="0.2">
      <c r="B1096" s="114"/>
      <c r="C1096" s="115"/>
      <c r="D1096" s="115"/>
      <c r="E1096" s="114"/>
      <c r="F1096" s="114"/>
      <c r="G1096" s="114"/>
      <c r="H1096" s="114"/>
      <c r="I1096" s="114"/>
      <c r="J1096" s="114"/>
      <c r="K1096" s="114"/>
      <c r="L1096" s="114"/>
      <c r="W1096" s="109"/>
    </row>
    <row r="1097" spans="2:24" x14ac:dyDescent="0.2">
      <c r="B1097" s="114"/>
      <c r="C1097" s="117" t="s">
        <v>587</v>
      </c>
      <c r="D1097" s="115"/>
      <c r="E1097" s="115"/>
      <c r="F1097" s="114"/>
      <c r="G1097" s="114"/>
      <c r="H1097" s="114"/>
      <c r="I1097" s="117" t="s">
        <v>588</v>
      </c>
      <c r="J1097" s="114"/>
      <c r="K1097" s="114"/>
      <c r="L1097" s="114"/>
      <c r="W1097" s="109"/>
    </row>
    <row r="1098" spans="2:24" x14ac:dyDescent="0.2">
      <c r="B1098" s="114"/>
      <c r="C1098" s="117"/>
      <c r="D1098" s="115"/>
      <c r="E1098" s="115"/>
      <c r="F1098" s="114"/>
      <c r="G1098" s="114"/>
      <c r="H1098" s="114"/>
      <c r="I1098" s="117"/>
      <c r="J1098" s="114"/>
      <c r="K1098" s="114"/>
      <c r="L1098" s="114"/>
    </row>
    <row r="1099" spans="2:24" x14ac:dyDescent="0.2">
      <c r="B1099" s="114"/>
      <c r="C1099" s="114" t="s">
        <v>140</v>
      </c>
      <c r="D1099" s="115"/>
      <c r="E1099" s="115"/>
      <c r="F1099" s="114"/>
      <c r="G1099" s="214">
        <v>0</v>
      </c>
      <c r="H1099" s="114"/>
      <c r="I1099" s="114" t="s">
        <v>140</v>
      </c>
      <c r="J1099" s="214">
        <v>0</v>
      </c>
      <c r="K1099" s="114"/>
      <c r="L1099" s="214">
        <v>0</v>
      </c>
    </row>
    <row r="1100" spans="2:24" x14ac:dyDescent="0.2">
      <c r="B1100" s="114"/>
      <c r="C1100" s="114"/>
      <c r="D1100" s="115"/>
      <c r="E1100" s="115"/>
      <c r="F1100" s="114"/>
      <c r="G1100" s="114"/>
      <c r="H1100" s="114"/>
      <c r="I1100" s="114"/>
      <c r="J1100" s="114"/>
      <c r="K1100" s="114"/>
      <c r="L1100" s="114"/>
    </row>
    <row r="1101" spans="2:24" x14ac:dyDescent="0.2">
      <c r="B1101" s="114"/>
      <c r="C1101" s="114" t="s">
        <v>589</v>
      </c>
      <c r="D1101" s="115"/>
      <c r="E1101" s="115"/>
      <c r="F1101" s="114"/>
      <c r="G1101" s="214">
        <v>0</v>
      </c>
      <c r="H1101" s="114"/>
      <c r="I1101" s="114" t="s">
        <v>589</v>
      </c>
      <c r="J1101" s="214">
        <v>0</v>
      </c>
      <c r="K1101" s="114"/>
      <c r="L1101" s="214">
        <v>0</v>
      </c>
    </row>
    <row r="1102" spans="2:24" x14ac:dyDescent="0.2">
      <c r="B1102" s="114"/>
      <c r="C1102" s="114"/>
      <c r="D1102" s="115"/>
      <c r="E1102" s="115"/>
      <c r="F1102" s="114"/>
      <c r="G1102" s="214"/>
      <c r="H1102" s="114"/>
      <c r="I1102" s="114"/>
      <c r="J1102" s="214"/>
      <c r="K1102" s="114"/>
      <c r="L1102" s="214"/>
    </row>
    <row r="1103" spans="2:24" x14ac:dyDescent="0.2">
      <c r="B1103" s="114"/>
      <c r="C1103" s="114"/>
      <c r="D1103" s="115"/>
      <c r="E1103" s="115"/>
      <c r="F1103" s="114"/>
      <c r="G1103" s="214"/>
      <c r="H1103" s="114"/>
      <c r="I1103" s="114"/>
      <c r="J1103" s="214"/>
      <c r="K1103" s="114"/>
      <c r="L1103" s="214"/>
    </row>
    <row r="1104" spans="2:24" x14ac:dyDescent="0.2">
      <c r="B1104" s="114"/>
      <c r="C1104" s="114" t="s">
        <v>590</v>
      </c>
      <c r="D1104" s="115"/>
      <c r="E1104" s="115"/>
      <c r="F1104" s="114"/>
      <c r="G1104" s="214"/>
      <c r="H1104" s="114"/>
      <c r="I1104" s="114" t="s">
        <v>590</v>
      </c>
      <c r="J1104" s="214"/>
      <c r="K1104" s="114"/>
      <c r="L1104" s="214"/>
    </row>
    <row r="1105" spans="1:26" x14ac:dyDescent="0.2">
      <c r="B1105" s="114"/>
      <c r="C1105" s="114" t="s">
        <v>141</v>
      </c>
      <c r="D1105" s="115"/>
      <c r="E1105" s="115"/>
      <c r="F1105" s="114"/>
      <c r="G1105" s="214" t="e">
        <f>+'[15]reportes consumidor final'!I1067</f>
        <v>#REF!</v>
      </c>
      <c r="H1105" s="114"/>
      <c r="I1105" s="114" t="s">
        <v>141</v>
      </c>
      <c r="J1105" s="214">
        <v>13.57</v>
      </c>
      <c r="K1105" s="114"/>
      <c r="L1105" s="214">
        <f>+J1090</f>
        <v>5411.14</v>
      </c>
    </row>
    <row r="1106" spans="1:26" x14ac:dyDescent="0.2">
      <c r="B1106" s="114"/>
      <c r="C1106" s="114" t="s">
        <v>591</v>
      </c>
      <c r="D1106" s="115"/>
      <c r="E1106" s="115"/>
      <c r="F1106" s="114"/>
      <c r="G1106" s="215" t="e">
        <f>+G1105*0.13</f>
        <v>#REF!</v>
      </c>
      <c r="H1106" s="114"/>
      <c r="I1106" s="114" t="s">
        <v>591</v>
      </c>
      <c r="J1106" s="215">
        <v>1.7641</v>
      </c>
      <c r="K1106" s="114"/>
      <c r="L1106" s="215">
        <f>+K1090</f>
        <v>703.43999999999994</v>
      </c>
    </row>
    <row r="1107" spans="1:26" x14ac:dyDescent="0.2">
      <c r="B1107" s="114"/>
      <c r="C1107" s="114"/>
      <c r="D1107" s="115"/>
      <c r="E1107" s="115"/>
      <c r="F1107" s="114"/>
      <c r="G1107" s="214"/>
      <c r="H1107" s="114"/>
      <c r="I1107" s="114"/>
      <c r="J1107" s="214"/>
      <c r="K1107" s="114"/>
      <c r="L1107" s="214"/>
    </row>
    <row r="1108" spans="1:26" ht="13.5" thickBot="1" x14ac:dyDescent="0.25">
      <c r="B1108" s="114"/>
      <c r="C1108" s="114" t="s">
        <v>592</v>
      </c>
      <c r="D1108" s="115"/>
      <c r="E1108" s="115"/>
      <c r="F1108" s="114"/>
      <c r="G1108" s="216" t="e">
        <f>SUM(G1099:G1106)</f>
        <v>#REF!</v>
      </c>
      <c r="H1108" s="114"/>
      <c r="I1108" s="114" t="s">
        <v>592</v>
      </c>
      <c r="J1108" s="216">
        <v>15.334099999999999</v>
      </c>
      <c r="K1108" s="114"/>
      <c r="L1108" s="216">
        <f>SUM(L1105:L1107)</f>
        <v>6114.58</v>
      </c>
    </row>
    <row r="1109" spans="1:26" ht="13.5" thickTop="1" x14ac:dyDescent="0.2"/>
    <row r="1111" spans="1:26" s="250" customFormat="1" ht="8.25" customHeight="1" x14ac:dyDescent="0.2">
      <c r="A1111" s="247"/>
      <c r="B1111" s="247"/>
      <c r="C1111" s="248"/>
      <c r="D1111" s="248"/>
      <c r="E1111" s="247"/>
      <c r="F1111" s="247"/>
      <c r="G1111" s="247"/>
      <c r="H1111" s="247"/>
      <c r="I1111" s="247"/>
      <c r="J1111" s="247"/>
      <c r="K1111" s="247"/>
      <c r="L1111" s="247"/>
      <c r="M1111" s="249"/>
      <c r="N1111" s="249"/>
      <c r="O1111" s="249"/>
      <c r="P1111" s="249"/>
    </row>
    <row r="1113" spans="1:26" x14ac:dyDescent="0.2">
      <c r="B1113" s="124"/>
      <c r="C1113" s="124"/>
      <c r="D1113" s="124"/>
      <c r="E1113" s="124"/>
      <c r="F1113" s="124"/>
      <c r="G1113" s="124"/>
      <c r="H1113" s="117"/>
      <c r="I1113" s="117"/>
      <c r="J1113" s="117"/>
      <c r="K1113" s="117"/>
      <c r="L1113" s="124"/>
    </row>
    <row r="1114" spans="1:26" ht="14.25" x14ac:dyDescent="0.2">
      <c r="B1114" s="125"/>
      <c r="C1114" s="126" t="s">
        <v>255</v>
      </c>
      <c r="D1114" s="127" t="s">
        <v>43</v>
      </c>
      <c r="E1114" s="127"/>
      <c r="F1114" s="127" t="s">
        <v>135</v>
      </c>
      <c r="G1114" s="127"/>
      <c r="H1114" s="128" t="s">
        <v>136</v>
      </c>
      <c r="I1114" s="129"/>
      <c r="J1114" s="129"/>
      <c r="K1114" s="129"/>
      <c r="L1114" s="146"/>
      <c r="O1114" s="1206" t="s">
        <v>1037</v>
      </c>
      <c r="P1114" s="1206"/>
      <c r="Q1114" s="1206"/>
      <c r="R1114" s="1206"/>
      <c r="U1114" s="106" t="s">
        <v>465</v>
      </c>
      <c r="Y1114" s="97" t="s">
        <v>479</v>
      </c>
      <c r="Z1114" s="97" t="s">
        <v>340</v>
      </c>
    </row>
    <row r="1115" spans="1:26" x14ac:dyDescent="0.2">
      <c r="B1115" s="130" t="s">
        <v>137</v>
      </c>
      <c r="C1115" s="131" t="s">
        <v>138</v>
      </c>
      <c r="D1115" s="131" t="s">
        <v>258</v>
      </c>
      <c r="E1115" s="131" t="s">
        <v>139</v>
      </c>
      <c r="F1115" s="131" t="s">
        <v>259</v>
      </c>
      <c r="G1115" s="131" t="s">
        <v>140</v>
      </c>
      <c r="H1115" s="132" t="s">
        <v>94</v>
      </c>
      <c r="I1115" s="129"/>
      <c r="J1115" s="132" t="s">
        <v>141</v>
      </c>
      <c r="K1115" s="129"/>
      <c r="L1115" s="147" t="s">
        <v>325</v>
      </c>
      <c r="O1115" s="152" t="s">
        <v>147</v>
      </c>
      <c r="P1115" s="78">
        <v>51000000001</v>
      </c>
      <c r="Q1115" s="142" t="s">
        <v>460</v>
      </c>
      <c r="R1115" s="429">
        <f>SUMIFS($J$1117:$J$1122,$E$1117:$E$1122,Q1115,$M$1117:$M$1122,P1115)</f>
        <v>0</v>
      </c>
      <c r="T1115" s="97">
        <v>51000200001</v>
      </c>
      <c r="U1115" s="97" t="s">
        <v>382</v>
      </c>
      <c r="X1115" s="109">
        <v>-143.83000000000001</v>
      </c>
      <c r="Y1115" s="109">
        <f>R1118</f>
        <v>0</v>
      </c>
      <c r="Z1115" s="144">
        <v>0</v>
      </c>
    </row>
    <row r="1116" spans="1:26" x14ac:dyDescent="0.2">
      <c r="B1116" s="133"/>
      <c r="C1116" s="134"/>
      <c r="D1116" s="134"/>
      <c r="E1116" s="133"/>
      <c r="F1116" s="133"/>
      <c r="G1116" s="133"/>
      <c r="H1116" s="135" t="s">
        <v>326</v>
      </c>
      <c r="I1116" s="136" t="s">
        <v>327</v>
      </c>
      <c r="J1116" s="148" t="s">
        <v>328</v>
      </c>
      <c r="K1116" s="148" t="s">
        <v>89</v>
      </c>
      <c r="L1116" s="149" t="s">
        <v>94</v>
      </c>
      <c r="O1116" s="152" t="s">
        <v>147</v>
      </c>
      <c r="P1116" s="78">
        <v>51000000002</v>
      </c>
      <c r="Q1116" s="142" t="s">
        <v>460</v>
      </c>
      <c r="R1116" s="429">
        <f t="shared" ref="R1116:R1134" si="63">SUMIFS($J$1117:$J$1122,$E$1117:$E$1122,Q1116,$M$1117:$M$1122,P1116)</f>
        <v>0</v>
      </c>
      <c r="T1116" s="97">
        <v>51000200002</v>
      </c>
      <c r="U1116" s="97" t="s">
        <v>383</v>
      </c>
      <c r="X1116" s="109">
        <v>-143.83000000000001</v>
      </c>
      <c r="Y1116" s="109">
        <f>R1120</f>
        <v>0</v>
      </c>
      <c r="Z1116" s="144">
        <v>0</v>
      </c>
    </row>
    <row r="1117" spans="1:26" x14ac:dyDescent="0.2">
      <c r="B1117" s="448">
        <v>43854</v>
      </c>
      <c r="C1117" s="138" t="s">
        <v>1029</v>
      </c>
      <c r="D1117" s="138" t="s">
        <v>459</v>
      </c>
      <c r="E1117" s="142" t="str">
        <f>+VLOOKUP(F1117,[7]bd!A:B,2,0)</f>
        <v>INVERSIONES FINANCIERAS IMPERIA CUSCATLAN, SA</v>
      </c>
      <c r="F1117" s="142" t="s">
        <v>497</v>
      </c>
      <c r="G1117" s="142"/>
      <c r="H1117" s="429"/>
      <c r="I1117" s="429"/>
      <c r="J1117" s="429">
        <v>354.35</v>
      </c>
      <c r="K1117" s="143">
        <v>46.07</v>
      </c>
      <c r="L1117" s="429">
        <f t="shared" ref="L1117:L1122" si="64">+J1117+K1117</f>
        <v>400.42</v>
      </c>
      <c r="M1117" s="245">
        <v>51220200001</v>
      </c>
      <c r="O1117" s="152" t="s">
        <v>147</v>
      </c>
      <c r="P1117" s="78">
        <v>51000100001</v>
      </c>
      <c r="Q1117" s="142" t="s">
        <v>460</v>
      </c>
      <c r="R1117" s="429">
        <f t="shared" si="63"/>
        <v>0</v>
      </c>
      <c r="T1117" s="97">
        <v>51000100001</v>
      </c>
      <c r="U1117" s="109" t="s">
        <v>12</v>
      </c>
      <c r="X1117" s="109"/>
    </row>
    <row r="1118" spans="1:26" x14ac:dyDescent="0.2">
      <c r="B1118" s="448">
        <v>43854</v>
      </c>
      <c r="C1118" s="138" t="s">
        <v>1030</v>
      </c>
      <c r="D1118" s="138" t="s">
        <v>459</v>
      </c>
      <c r="E1118" s="142" t="str">
        <f>+VLOOKUP(F1118,[7]bd!A:B,2,0)</f>
        <v>BANCO CUSCATLAN DE EL SALVADOR S.A.</v>
      </c>
      <c r="F1118" s="142" t="s">
        <v>90</v>
      </c>
      <c r="G1118" s="142"/>
      <c r="H1118" s="429"/>
      <c r="I1118" s="429"/>
      <c r="J1118" s="429">
        <v>1807.46</v>
      </c>
      <c r="K1118" s="143">
        <v>234.97</v>
      </c>
      <c r="L1118" s="429">
        <f t="shared" si="64"/>
        <v>2042.43</v>
      </c>
      <c r="M1118" s="245">
        <v>51220200001</v>
      </c>
      <c r="O1118" s="152" t="s">
        <v>147</v>
      </c>
      <c r="P1118" s="78">
        <v>51000100001</v>
      </c>
      <c r="Q1118" s="142" t="s">
        <v>496</v>
      </c>
      <c r="R1118" s="429">
        <f t="shared" si="63"/>
        <v>0</v>
      </c>
      <c r="T1118" s="97">
        <v>51000100002</v>
      </c>
      <c r="U1118" s="109" t="s">
        <v>380</v>
      </c>
      <c r="X1118" s="109"/>
    </row>
    <row r="1119" spans="1:26" x14ac:dyDescent="0.2">
      <c r="B1119" s="448">
        <v>43854</v>
      </c>
      <c r="C1119" s="138" t="s">
        <v>1031</v>
      </c>
      <c r="D1119" s="138" t="s">
        <v>459</v>
      </c>
      <c r="E1119" s="217" t="str">
        <f>+VLOOKUP(F1119,[7]bd!A:B,2,0)</f>
        <v>CITIBANK, N.A. SUCURSAL EL SALVADOR</v>
      </c>
      <c r="F1119" s="217" t="s">
        <v>329</v>
      </c>
      <c r="G1119" s="217"/>
      <c r="H1119" s="219"/>
      <c r="I1119" s="219"/>
      <c r="J1119" s="219">
        <v>251.07</v>
      </c>
      <c r="K1119" s="246">
        <v>32.64</v>
      </c>
      <c r="L1119" s="219">
        <f t="shared" si="64"/>
        <v>283.70999999999998</v>
      </c>
      <c r="O1119" s="152" t="s">
        <v>147</v>
      </c>
      <c r="P1119" s="78">
        <v>51000100002</v>
      </c>
      <c r="Q1119" s="142" t="s">
        <v>460</v>
      </c>
      <c r="R1119" s="429">
        <f t="shared" si="63"/>
        <v>0</v>
      </c>
      <c r="T1119" s="97">
        <v>51220200001</v>
      </c>
      <c r="U1119" s="97" t="s">
        <v>55</v>
      </c>
      <c r="X1119" s="109">
        <v>-2458.06</v>
      </c>
      <c r="Y1119" s="109">
        <f>R1127+R1134</f>
        <v>2161.81</v>
      </c>
      <c r="Z1119" s="144">
        <f>X1120+Y1119</f>
        <v>2161.81</v>
      </c>
    </row>
    <row r="1120" spans="1:26" x14ac:dyDescent="0.2">
      <c r="B1120" s="448">
        <v>43854</v>
      </c>
      <c r="C1120" s="138" t="s">
        <v>1032</v>
      </c>
      <c r="D1120" s="138" t="s">
        <v>459</v>
      </c>
      <c r="E1120" s="142" t="s">
        <v>482</v>
      </c>
      <c r="F1120" s="142"/>
      <c r="G1120" s="142"/>
      <c r="H1120" s="429"/>
      <c r="I1120" s="429"/>
      <c r="J1120" s="429">
        <v>0</v>
      </c>
      <c r="K1120" s="143">
        <v>0</v>
      </c>
      <c r="L1120" s="429">
        <f t="shared" si="64"/>
        <v>0</v>
      </c>
      <c r="O1120" s="152" t="s">
        <v>147</v>
      </c>
      <c r="P1120" s="78">
        <v>51000100002</v>
      </c>
      <c r="Q1120" s="142" t="s">
        <v>496</v>
      </c>
      <c r="R1120" s="429">
        <f t="shared" si="63"/>
        <v>0</v>
      </c>
      <c r="T1120" s="195">
        <v>52200000001</v>
      </c>
      <c r="U1120" s="195" t="s">
        <v>33</v>
      </c>
      <c r="V1120" s="195"/>
      <c r="W1120" s="195"/>
      <c r="X1120" s="109"/>
      <c r="Y1120" s="109">
        <v>0</v>
      </c>
      <c r="Z1120" s="144">
        <v>0</v>
      </c>
    </row>
    <row r="1121" spans="2:26" x14ac:dyDescent="0.2">
      <c r="B1121" s="448">
        <v>43860</v>
      </c>
      <c r="C1121" s="138" t="s">
        <v>1033</v>
      </c>
      <c r="D1121" s="138" t="s">
        <v>459</v>
      </c>
      <c r="E1121" s="142" t="str">
        <f>+VLOOKUP(F1121,[7]bd!A:B,2,0)</f>
        <v>BANCO CUSCATLAN DE EL SALVADOR S.A.</v>
      </c>
      <c r="F1121" s="142" t="s">
        <v>90</v>
      </c>
      <c r="G1121" s="428"/>
      <c r="H1121" s="429"/>
      <c r="I1121" s="429"/>
      <c r="J1121" s="429">
        <v>143.83000000000001</v>
      </c>
      <c r="K1121" s="143">
        <v>18.7</v>
      </c>
      <c r="L1121" s="429">
        <f t="shared" si="64"/>
        <v>162.53</v>
      </c>
      <c r="M1121" s="245">
        <v>51000200002</v>
      </c>
      <c r="O1121" s="152" t="s">
        <v>147</v>
      </c>
      <c r="P1121" s="227">
        <v>51000200001</v>
      </c>
      <c r="Q1121" s="217" t="s">
        <v>460</v>
      </c>
      <c r="R1121" s="429">
        <f t="shared" si="63"/>
        <v>143.83000000000001</v>
      </c>
      <c r="T1121" s="97">
        <v>51000000001</v>
      </c>
      <c r="U1121" s="97" t="s">
        <v>132</v>
      </c>
      <c r="X1121" s="109"/>
    </row>
    <row r="1122" spans="2:26" x14ac:dyDescent="0.2">
      <c r="B1122" s="448">
        <v>43860</v>
      </c>
      <c r="C1122" s="138" t="s">
        <v>1034</v>
      </c>
      <c r="D1122" s="138" t="s">
        <v>459</v>
      </c>
      <c r="E1122" s="142" t="str">
        <f>+VLOOKUP(F1122,[7]bd!A:B,2,0)</f>
        <v>BANCO CUSCATLAN DE EL SALVADOR S.A.</v>
      </c>
      <c r="F1122" s="142" t="s">
        <v>90</v>
      </c>
      <c r="G1122" s="428"/>
      <c r="H1122" s="429"/>
      <c r="I1122" s="429"/>
      <c r="J1122" s="429">
        <v>143.83000000000001</v>
      </c>
      <c r="K1122" s="143">
        <v>18.7</v>
      </c>
      <c r="L1122" s="429">
        <f t="shared" si="64"/>
        <v>162.53</v>
      </c>
      <c r="M1122" s="245">
        <v>51000200001</v>
      </c>
      <c r="O1122" s="152" t="s">
        <v>147</v>
      </c>
      <c r="P1122" s="78">
        <v>51000200001</v>
      </c>
      <c r="Q1122" s="142" t="s">
        <v>351</v>
      </c>
      <c r="R1122" s="429">
        <f t="shared" si="63"/>
        <v>0</v>
      </c>
      <c r="T1122" s="97">
        <v>51000000002</v>
      </c>
      <c r="U1122" s="97" t="s">
        <v>10</v>
      </c>
      <c r="X1122" s="109"/>
    </row>
    <row r="1123" spans="2:26" x14ac:dyDescent="0.2">
      <c r="O1123" s="152" t="s">
        <v>147</v>
      </c>
      <c r="P1123" s="78">
        <v>51000200001</v>
      </c>
      <c r="Q1123" s="142" t="s">
        <v>56</v>
      </c>
      <c r="R1123" s="429">
        <f t="shared" si="63"/>
        <v>0</v>
      </c>
      <c r="T1123" s="97">
        <v>53000100001</v>
      </c>
      <c r="U1123" s="97" t="s">
        <v>134</v>
      </c>
      <c r="X1123" s="198"/>
      <c r="Y1123" s="109">
        <v>0</v>
      </c>
      <c r="Z1123" s="144">
        <v>0</v>
      </c>
    </row>
    <row r="1124" spans="2:26" x14ac:dyDescent="0.2">
      <c r="B1124" s="141"/>
      <c r="C1124" s="138"/>
      <c r="D1124" s="138"/>
      <c r="E1124" s="142"/>
      <c r="F1124" s="142"/>
      <c r="G1124" s="142"/>
      <c r="H1124" s="429"/>
      <c r="I1124" s="429"/>
      <c r="J1124" s="429"/>
      <c r="K1124" s="143"/>
      <c r="L1124" s="429"/>
      <c r="O1124" s="152" t="s">
        <v>147</v>
      </c>
      <c r="P1124" s="227">
        <v>51000200002</v>
      </c>
      <c r="Q1124" s="217" t="s">
        <v>460</v>
      </c>
      <c r="R1124" s="429">
        <f t="shared" si="63"/>
        <v>143.83000000000001</v>
      </c>
      <c r="X1124" s="171">
        <v>0</v>
      </c>
      <c r="Y1124" s="171"/>
      <c r="Z1124" s="167">
        <v>0</v>
      </c>
    </row>
    <row r="1125" spans="2:26" x14ac:dyDescent="0.2">
      <c r="B1125" s="141"/>
      <c r="C1125" s="138" t="s">
        <v>50</v>
      </c>
      <c r="D1125" s="138"/>
      <c r="E1125" s="142" t="s">
        <v>537</v>
      </c>
      <c r="F1125" s="114"/>
      <c r="G1125" s="157"/>
      <c r="H1125" s="157"/>
      <c r="I1125" s="157"/>
      <c r="J1125" s="157"/>
      <c r="K1125" s="243">
        <v>-351.08</v>
      </c>
      <c r="L1125" s="429">
        <f>+J1125+K1125</f>
        <v>-351.08</v>
      </c>
      <c r="O1125" s="152" t="s">
        <v>147</v>
      </c>
      <c r="P1125" s="78">
        <v>51000200002</v>
      </c>
      <c r="Q1125" s="142" t="s">
        <v>351</v>
      </c>
      <c r="R1125" s="429">
        <f t="shared" si="63"/>
        <v>0</v>
      </c>
      <c r="X1125" s="158">
        <f>SUM(X1115:X1123)</f>
        <v>-2745.72</v>
      </c>
      <c r="Y1125" s="158">
        <f>SUM(Y1115:Y1124)</f>
        <v>2161.81</v>
      </c>
      <c r="Z1125" s="158">
        <f>SUM(Z1115:Z1124)</f>
        <v>2161.81</v>
      </c>
    </row>
    <row r="1126" spans="2:26" x14ac:dyDescent="0.2">
      <c r="B1126" s="141"/>
      <c r="C1126" s="138"/>
      <c r="D1126" s="138"/>
      <c r="E1126" s="142"/>
      <c r="F1126" s="114"/>
      <c r="G1126" s="157"/>
      <c r="H1126" s="157"/>
      <c r="I1126" s="157"/>
      <c r="J1126" s="157"/>
      <c r="K1126" s="143"/>
      <c r="L1126" s="429">
        <f>+J1126+K1126</f>
        <v>0</v>
      </c>
      <c r="O1126" s="152" t="s">
        <v>147</v>
      </c>
      <c r="P1126" s="78">
        <v>51000200002</v>
      </c>
      <c r="Q1126" s="142" t="s">
        <v>56</v>
      </c>
      <c r="R1126" s="429">
        <f t="shared" si="63"/>
        <v>0</v>
      </c>
      <c r="U1126" s="109"/>
      <c r="Z1126" s="144"/>
    </row>
    <row r="1127" spans="2:26" x14ac:dyDescent="0.2">
      <c r="B1127" s="141"/>
      <c r="C1127" s="138"/>
      <c r="D1127" s="138"/>
      <c r="E1127" s="142"/>
      <c r="F1127" s="114"/>
      <c r="G1127" s="157"/>
      <c r="H1127" s="157"/>
      <c r="I1127" s="157"/>
      <c r="J1127" s="157"/>
      <c r="K1127" s="143"/>
      <c r="L1127" s="429"/>
      <c r="O1127" s="152" t="s">
        <v>147</v>
      </c>
      <c r="P1127" s="227">
        <v>51220200001</v>
      </c>
      <c r="Q1127" s="217" t="s">
        <v>460</v>
      </c>
      <c r="R1127" s="429">
        <f t="shared" si="63"/>
        <v>1807.46</v>
      </c>
      <c r="U1127" s="109"/>
    </row>
    <row r="1128" spans="2:26" x14ac:dyDescent="0.2">
      <c r="B1128" s="141"/>
      <c r="C1128" s="138"/>
      <c r="D1128" s="138"/>
      <c r="E1128" s="142"/>
      <c r="F1128" s="114"/>
      <c r="G1128" s="157"/>
      <c r="H1128" s="157"/>
      <c r="I1128" s="157"/>
      <c r="J1128" s="157"/>
      <c r="K1128" s="143"/>
      <c r="L1128" s="429"/>
      <c r="O1128" s="152" t="s">
        <v>147</v>
      </c>
      <c r="P1128" s="78">
        <v>51220200001</v>
      </c>
      <c r="Q1128" s="142" t="s">
        <v>351</v>
      </c>
      <c r="R1128" s="429">
        <f t="shared" si="63"/>
        <v>0</v>
      </c>
    </row>
    <row r="1129" spans="2:26" x14ac:dyDescent="0.2">
      <c r="B1129" s="114"/>
      <c r="C1129" s="115"/>
      <c r="D1129" s="115"/>
      <c r="E1129" s="142"/>
      <c r="F1129" s="114"/>
      <c r="G1129" s="157"/>
      <c r="H1129" s="157"/>
      <c r="I1129" s="157"/>
      <c r="J1129" s="157"/>
      <c r="K1129" s="157"/>
      <c r="L1129" s="157"/>
      <c r="O1129" s="152" t="s">
        <v>147</v>
      </c>
      <c r="P1129" s="78">
        <v>51220200001</v>
      </c>
      <c r="Q1129" s="142" t="s">
        <v>56</v>
      </c>
      <c r="R1129" s="429">
        <f t="shared" si="63"/>
        <v>0</v>
      </c>
    </row>
    <row r="1130" spans="2:26" x14ac:dyDescent="0.2">
      <c r="B1130" s="163"/>
      <c r="C1130" s="164"/>
      <c r="D1130" s="164"/>
      <c r="E1130" s="142"/>
      <c r="F1130" s="163"/>
      <c r="G1130" s="165"/>
      <c r="H1130" s="165"/>
      <c r="I1130" s="165"/>
      <c r="J1130" s="165"/>
      <c r="K1130" s="165"/>
      <c r="L1130" s="165"/>
      <c r="O1130" s="152" t="s">
        <v>147</v>
      </c>
      <c r="P1130" s="78">
        <v>52200000001</v>
      </c>
      <c r="Q1130" s="142" t="s">
        <v>460</v>
      </c>
      <c r="R1130" s="429">
        <f t="shared" si="63"/>
        <v>0</v>
      </c>
      <c r="W1130" s="106" t="s">
        <v>478</v>
      </c>
      <c r="X1130" s="144">
        <f>+X1115+X1116+X1117+X1118+X1119</f>
        <v>-2745.72</v>
      </c>
    </row>
    <row r="1131" spans="2:26" x14ac:dyDescent="0.2">
      <c r="B1131" s="114"/>
      <c r="C1131" s="115"/>
      <c r="D1131" s="115"/>
      <c r="E1131" s="114"/>
      <c r="F1131" s="114"/>
      <c r="G1131" s="166" t="e">
        <f>SUM(G1084:G1130)</f>
        <v>#REF!</v>
      </c>
      <c r="H1131" s="166">
        <f>SUM(H1084:H1130)</f>
        <v>0</v>
      </c>
      <c r="I1131" s="166">
        <f>SUM(I1084:I1130)</f>
        <v>0</v>
      </c>
      <c r="J1131" s="166">
        <f>SUM(J1117:J1130)</f>
        <v>2700.54</v>
      </c>
      <c r="K1131" s="166">
        <f>SUM(K1117:K1130)</f>
        <v>0</v>
      </c>
      <c r="L1131" s="166">
        <f>SUM(L1117:L1130)</f>
        <v>2700.5400000000004</v>
      </c>
      <c r="O1131" s="152" t="s">
        <v>147</v>
      </c>
      <c r="P1131" s="78">
        <v>52200000001</v>
      </c>
      <c r="Q1131" s="142" t="s">
        <v>351</v>
      </c>
      <c r="R1131" s="429">
        <f t="shared" si="63"/>
        <v>0</v>
      </c>
      <c r="W1131" s="97" t="s">
        <v>480</v>
      </c>
      <c r="X1131" s="144">
        <f>+R1135</f>
        <v>2449.4699999999998</v>
      </c>
    </row>
    <row r="1132" spans="2:26" x14ac:dyDescent="0.2">
      <c r="B1132" s="114"/>
      <c r="C1132" s="115"/>
      <c r="D1132" s="115"/>
      <c r="E1132" s="114"/>
      <c r="F1132" s="114"/>
      <c r="G1132" s="208"/>
      <c r="H1132" s="208"/>
      <c r="I1132" s="208"/>
      <c r="J1132" s="208"/>
      <c r="K1132" s="208"/>
      <c r="L1132" s="208"/>
      <c r="O1132" s="152" t="s">
        <v>147</v>
      </c>
      <c r="P1132" s="78">
        <v>52200000001</v>
      </c>
      <c r="Q1132" s="142" t="s">
        <v>56</v>
      </c>
      <c r="R1132" s="429">
        <f t="shared" si="63"/>
        <v>0</v>
      </c>
      <c r="W1132" s="97" t="s">
        <v>486</v>
      </c>
      <c r="X1132" s="167">
        <f>J1119</f>
        <v>251.07</v>
      </c>
    </row>
    <row r="1133" spans="2:26" x14ac:dyDescent="0.2">
      <c r="B1133" s="114"/>
      <c r="C1133" s="115"/>
      <c r="D1133" s="115"/>
      <c r="E1133" s="114"/>
      <c r="F1133" s="114"/>
      <c r="G1133" s="208"/>
      <c r="H1133" s="208"/>
      <c r="I1133" s="208"/>
      <c r="J1133" s="208"/>
      <c r="K1133" s="208"/>
      <c r="L1133" s="208"/>
      <c r="O1133" s="152" t="s">
        <v>147</v>
      </c>
      <c r="P1133" s="78">
        <v>52200000001</v>
      </c>
      <c r="Q1133" s="142" t="s">
        <v>460</v>
      </c>
      <c r="R1133" s="429">
        <f t="shared" si="63"/>
        <v>0</v>
      </c>
      <c r="X1133" s="324">
        <f>X1130+X1131+X1132</f>
        <v>-45.180000000000007</v>
      </c>
      <c r="Y1133" s="97" t="s">
        <v>500</v>
      </c>
    </row>
    <row r="1134" spans="2:26" x14ac:dyDescent="0.2">
      <c r="B1134" s="114"/>
      <c r="C1134" s="115"/>
      <c r="D1134" s="115"/>
      <c r="E1134" s="114"/>
      <c r="F1134" s="114"/>
      <c r="G1134" s="208"/>
      <c r="H1134" s="208"/>
      <c r="I1134" s="208"/>
      <c r="J1134" s="208"/>
      <c r="K1134" s="208"/>
      <c r="L1134" s="208"/>
      <c r="O1134" s="152" t="s">
        <v>147</v>
      </c>
      <c r="P1134" s="227">
        <v>51220200001</v>
      </c>
      <c r="Q1134" s="217" t="s">
        <v>496</v>
      </c>
      <c r="R1134" s="429">
        <f t="shared" si="63"/>
        <v>354.35</v>
      </c>
    </row>
    <row r="1135" spans="2:26" ht="13.5" thickBot="1" x14ac:dyDescent="0.25">
      <c r="B1135" s="114"/>
      <c r="C1135" s="115"/>
      <c r="D1135" s="115"/>
      <c r="E1135" s="114"/>
      <c r="F1135" s="114"/>
      <c r="G1135" s="208"/>
      <c r="H1135" s="208"/>
      <c r="I1135" s="208"/>
      <c r="J1135" s="208"/>
      <c r="K1135" s="208"/>
      <c r="L1135" s="208"/>
      <c r="O1135" s="427"/>
      <c r="P1135" s="427"/>
      <c r="R1135" s="244">
        <f>SUM(R1115:R1134)</f>
        <v>2449.4699999999998</v>
      </c>
      <c r="X1135" s="144"/>
    </row>
    <row r="1136" spans="2:26" ht="13.5" thickTop="1" x14ac:dyDescent="0.2">
      <c r="B1136" s="114"/>
      <c r="C1136" s="115"/>
      <c r="D1136" s="115"/>
      <c r="E1136" s="114"/>
      <c r="F1136" s="114"/>
      <c r="G1136" s="208"/>
      <c r="H1136" s="208"/>
      <c r="I1136" s="208"/>
      <c r="J1136" s="208"/>
      <c r="K1136" s="208"/>
      <c r="L1136" s="208"/>
      <c r="O1136" s="427"/>
      <c r="P1136" s="427"/>
      <c r="W1136" s="109"/>
    </row>
    <row r="1137" spans="2:24" x14ac:dyDescent="0.2">
      <c r="B1137" s="114"/>
      <c r="C1137" s="115"/>
      <c r="D1137" s="115"/>
      <c r="E1137" s="114"/>
      <c r="F1137" s="114"/>
      <c r="G1137" s="114"/>
      <c r="H1137" s="114"/>
      <c r="I1137" s="114"/>
      <c r="J1137" s="114"/>
      <c r="K1137" s="114"/>
      <c r="L1137" s="114"/>
      <c r="O1137" s="427"/>
      <c r="P1137" s="427"/>
      <c r="W1137" s="109"/>
    </row>
    <row r="1138" spans="2:24" x14ac:dyDescent="0.2">
      <c r="B1138" s="114"/>
      <c r="C1138" s="117" t="s">
        <v>587</v>
      </c>
      <c r="D1138" s="115"/>
      <c r="E1138" s="115"/>
      <c r="F1138" s="114"/>
      <c r="G1138" s="114"/>
      <c r="H1138" s="114"/>
      <c r="I1138" s="117" t="s">
        <v>588</v>
      </c>
      <c r="J1138" s="114"/>
      <c r="K1138" s="114"/>
      <c r="L1138" s="114"/>
      <c r="O1138" s="427"/>
      <c r="P1138" s="427"/>
      <c r="V1138" s="109"/>
      <c r="W1138" s="109"/>
      <c r="X1138" s="109"/>
    </row>
    <row r="1139" spans="2:24" x14ac:dyDescent="0.2">
      <c r="B1139" s="114"/>
      <c r="C1139" s="117"/>
      <c r="D1139" s="115"/>
      <c r="E1139" s="115"/>
      <c r="F1139" s="114"/>
      <c r="G1139" s="114"/>
      <c r="H1139" s="114"/>
      <c r="I1139" s="117"/>
      <c r="J1139" s="114"/>
      <c r="K1139" s="114"/>
      <c r="L1139" s="114"/>
      <c r="O1139" s="427"/>
      <c r="P1139" s="427"/>
      <c r="W1139" s="109"/>
    </row>
    <row r="1140" spans="2:24" x14ac:dyDescent="0.2">
      <c r="B1140" s="114"/>
      <c r="C1140" s="114" t="s">
        <v>140</v>
      </c>
      <c r="D1140" s="115"/>
      <c r="E1140" s="115"/>
      <c r="F1140" s="114"/>
      <c r="G1140" s="214">
        <v>0</v>
      </c>
      <c r="H1140" s="114"/>
      <c r="I1140" s="114" t="s">
        <v>140</v>
      </c>
      <c r="J1140" s="114"/>
      <c r="K1140" s="114"/>
      <c r="L1140" s="214">
        <v>0</v>
      </c>
      <c r="O1140" s="427"/>
      <c r="P1140" s="427"/>
      <c r="W1140" s="109"/>
    </row>
    <row r="1141" spans="2:24" x14ac:dyDescent="0.2">
      <c r="B1141" s="114"/>
      <c r="C1141" s="114"/>
      <c r="D1141" s="115"/>
      <c r="E1141" s="115"/>
      <c r="F1141" s="114"/>
      <c r="G1141" s="114"/>
      <c r="H1141" s="114"/>
      <c r="I1141" s="114"/>
      <c r="J1141" s="114"/>
      <c r="K1141" s="114"/>
      <c r="L1141" s="114"/>
    </row>
    <row r="1142" spans="2:24" x14ac:dyDescent="0.2">
      <c r="B1142" s="114"/>
      <c r="C1142" s="114" t="s">
        <v>589</v>
      </c>
      <c r="D1142" s="115"/>
      <c r="E1142" s="115"/>
      <c r="F1142" s="114"/>
      <c r="G1142" s="214">
        <v>0</v>
      </c>
      <c r="H1142" s="114"/>
      <c r="I1142" s="114" t="s">
        <v>589</v>
      </c>
      <c r="J1142" s="114"/>
      <c r="K1142" s="114"/>
      <c r="L1142" s="214">
        <v>0</v>
      </c>
    </row>
    <row r="1143" spans="2:24" x14ac:dyDescent="0.2">
      <c r="B1143" s="114"/>
      <c r="C1143" s="114"/>
      <c r="D1143" s="115"/>
      <c r="E1143" s="115"/>
      <c r="F1143" s="114"/>
      <c r="G1143" s="214"/>
      <c r="H1143" s="114"/>
      <c r="I1143" s="114"/>
      <c r="J1143" s="114"/>
      <c r="K1143" s="114"/>
      <c r="L1143" s="214"/>
    </row>
    <row r="1144" spans="2:24" x14ac:dyDescent="0.2">
      <c r="B1144" s="114"/>
      <c r="C1144" s="114"/>
      <c r="D1144" s="115"/>
      <c r="E1144" s="115"/>
      <c r="F1144" s="114"/>
      <c r="G1144" s="214"/>
      <c r="H1144" s="114"/>
      <c r="I1144" s="114"/>
      <c r="J1144" s="114"/>
      <c r="K1144" s="114"/>
      <c r="L1144" s="214"/>
    </row>
    <row r="1145" spans="2:24" x14ac:dyDescent="0.2">
      <c r="B1145" s="114"/>
      <c r="C1145" s="114" t="s">
        <v>590</v>
      </c>
      <c r="D1145" s="115"/>
      <c r="E1145" s="115"/>
      <c r="F1145" s="214">
        <v>45.19</v>
      </c>
      <c r="G1145" s="214"/>
      <c r="H1145" s="114"/>
      <c r="I1145" s="114" t="s">
        <v>590</v>
      </c>
      <c r="J1145" s="114"/>
      <c r="K1145" s="114"/>
      <c r="L1145" s="214"/>
    </row>
    <row r="1146" spans="2:24" x14ac:dyDescent="0.2">
      <c r="B1146" s="114"/>
      <c r="C1146" s="114" t="s">
        <v>141</v>
      </c>
      <c r="D1146" s="115"/>
      <c r="E1146" s="115"/>
      <c r="F1146" s="215">
        <f>+F1145*0.13</f>
        <v>5.8746999999999998</v>
      </c>
      <c r="G1146" s="214">
        <f>+'[7]reportes consumidor final'!I1108</f>
        <v>0</v>
      </c>
      <c r="H1146" s="114"/>
      <c r="I1146" s="114" t="s">
        <v>141</v>
      </c>
      <c r="J1146" s="114"/>
      <c r="K1146" s="114"/>
      <c r="L1146" s="214">
        <f>+J1131</f>
        <v>2700.54</v>
      </c>
    </row>
    <row r="1147" spans="2:24" x14ac:dyDescent="0.2">
      <c r="B1147" s="114"/>
      <c r="C1147" s="114" t="s">
        <v>591</v>
      </c>
      <c r="D1147" s="115"/>
      <c r="E1147" s="115"/>
      <c r="F1147" s="214"/>
      <c r="G1147" s="215">
        <f>+G1146*0.13</f>
        <v>0</v>
      </c>
      <c r="H1147" s="114"/>
      <c r="I1147" s="114" t="s">
        <v>591</v>
      </c>
      <c r="J1147" s="114"/>
      <c r="K1147" s="114"/>
      <c r="L1147" s="215">
        <f>+K1131</f>
        <v>0</v>
      </c>
    </row>
    <row r="1148" spans="2:24" ht="13.5" thickBot="1" x14ac:dyDescent="0.25">
      <c r="B1148" s="114"/>
      <c r="C1148" s="114"/>
      <c r="D1148" s="115"/>
      <c r="E1148" s="115"/>
      <c r="F1148" s="216">
        <f>SUM(F1139:F1146)</f>
        <v>51.064699999999995</v>
      </c>
      <c r="G1148" s="214"/>
      <c r="H1148" s="114"/>
      <c r="I1148" s="114"/>
      <c r="J1148" s="114"/>
      <c r="K1148" s="114"/>
      <c r="L1148" s="214"/>
    </row>
    <row r="1149" spans="2:24" ht="14.25" thickTop="1" thickBot="1" x14ac:dyDescent="0.25">
      <c r="B1149" s="114"/>
      <c r="C1149" s="114" t="s">
        <v>592</v>
      </c>
      <c r="D1149" s="115"/>
      <c r="E1149" s="115"/>
      <c r="F1149" s="114"/>
      <c r="G1149" s="216">
        <f>SUM(G1140:G1147)</f>
        <v>0</v>
      </c>
      <c r="H1149" s="114"/>
      <c r="I1149" s="114" t="s">
        <v>592</v>
      </c>
      <c r="J1149" s="114"/>
      <c r="K1149" s="114"/>
      <c r="L1149" s="216">
        <f>SUM(L1146:L1148)</f>
        <v>2700.54</v>
      </c>
    </row>
    <row r="1150" spans="2:24" ht="13.5" thickTop="1" x14ac:dyDescent="0.2">
      <c r="B1150" s="114"/>
      <c r="C1150" s="114"/>
      <c r="D1150" s="115"/>
      <c r="E1150" s="115"/>
      <c r="F1150" s="114"/>
      <c r="G1150" s="114"/>
      <c r="H1150" s="114"/>
      <c r="I1150" s="114"/>
      <c r="J1150" s="114"/>
      <c r="K1150" s="114"/>
      <c r="L1150" s="114"/>
    </row>
    <row r="1154" spans="2:26" ht="14.25" x14ac:dyDescent="0.2">
      <c r="B1154" s="125"/>
      <c r="C1154" s="126" t="s">
        <v>255</v>
      </c>
      <c r="D1154" s="127" t="s">
        <v>43</v>
      </c>
      <c r="E1154" s="127"/>
      <c r="F1154" s="127" t="s">
        <v>135</v>
      </c>
      <c r="G1154" s="127"/>
      <c r="H1154" s="128" t="s">
        <v>136</v>
      </c>
      <c r="I1154" s="129"/>
      <c r="J1154" s="129"/>
      <c r="K1154" s="129"/>
      <c r="L1154" s="146"/>
      <c r="O1154" s="1206" t="s">
        <v>1037</v>
      </c>
      <c r="P1154" s="1206"/>
      <c r="Q1154" s="1206"/>
      <c r="R1154" s="1206"/>
      <c r="U1154" s="106" t="s">
        <v>465</v>
      </c>
      <c r="Y1154" s="97" t="s">
        <v>479</v>
      </c>
      <c r="Z1154" s="97" t="s">
        <v>340</v>
      </c>
    </row>
    <row r="1155" spans="2:26" x14ac:dyDescent="0.2">
      <c r="B1155" s="130" t="s">
        <v>137</v>
      </c>
      <c r="C1155" s="131" t="s">
        <v>138</v>
      </c>
      <c r="D1155" s="131" t="s">
        <v>258</v>
      </c>
      <c r="E1155" s="131" t="s">
        <v>139</v>
      </c>
      <c r="F1155" s="131" t="s">
        <v>259</v>
      </c>
      <c r="G1155" s="131" t="s">
        <v>140</v>
      </c>
      <c r="H1155" s="132" t="s">
        <v>94</v>
      </c>
      <c r="I1155" s="129"/>
      <c r="J1155" s="132" t="s">
        <v>141</v>
      </c>
      <c r="K1155" s="129"/>
      <c r="L1155" s="147" t="s">
        <v>325</v>
      </c>
      <c r="O1155" s="152" t="s">
        <v>148</v>
      </c>
      <c r="P1155" s="78">
        <v>51000000001</v>
      </c>
      <c r="Q1155" s="142" t="s">
        <v>460</v>
      </c>
      <c r="R1155" s="429">
        <f>SUMIFS($J$1157:$J$1167,$E$1157:$E$1167,Q1155,$M$1157:$M$1167,P1155)</f>
        <v>0</v>
      </c>
      <c r="T1155" s="97">
        <v>51000200001</v>
      </c>
      <c r="U1155" s="97" t="s">
        <v>382</v>
      </c>
      <c r="X1155" s="109">
        <v>-527.39</v>
      </c>
      <c r="Y1155" s="109">
        <f>R1158</f>
        <v>0</v>
      </c>
      <c r="Z1155" s="144">
        <v>0</v>
      </c>
    </row>
    <row r="1156" spans="2:26" x14ac:dyDescent="0.2">
      <c r="B1156" s="133"/>
      <c r="C1156" s="134"/>
      <c r="D1156" s="134"/>
      <c r="E1156" s="133"/>
      <c r="F1156" s="133"/>
      <c r="G1156" s="133"/>
      <c r="H1156" s="135" t="s">
        <v>326</v>
      </c>
      <c r="I1156" s="136" t="s">
        <v>327</v>
      </c>
      <c r="J1156" s="148" t="s">
        <v>328</v>
      </c>
      <c r="K1156" s="148" t="s">
        <v>89</v>
      </c>
      <c r="L1156" s="149" t="s">
        <v>94</v>
      </c>
      <c r="O1156" s="152" t="s">
        <v>148</v>
      </c>
      <c r="P1156" s="78">
        <v>51000000002</v>
      </c>
      <c r="Q1156" s="142" t="s">
        <v>460</v>
      </c>
      <c r="R1156" s="429">
        <f t="shared" ref="R1156:R1174" si="65">SUMIFS($J$1157:$J$1167,$E$1157:$E$1167,Q1156,$M$1157:$M$1167,P1156)</f>
        <v>0</v>
      </c>
      <c r="T1156" s="97">
        <v>51000200002</v>
      </c>
      <c r="U1156" s="97" t="s">
        <v>383</v>
      </c>
      <c r="X1156" s="109">
        <v>-527.39</v>
      </c>
      <c r="Y1156" s="109">
        <f>R1160</f>
        <v>0</v>
      </c>
      <c r="Z1156" s="144">
        <v>0</v>
      </c>
    </row>
    <row r="1157" spans="2:26" x14ac:dyDescent="0.2">
      <c r="B1157" s="448">
        <v>43872</v>
      </c>
      <c r="C1157" s="138" t="s">
        <v>1038</v>
      </c>
      <c r="D1157" s="138" t="s">
        <v>459</v>
      </c>
      <c r="E1157" s="217" t="str">
        <f>+VLOOKUP(F1157,[16]bd!A:B,2,0)</f>
        <v>CITIBANK, N.A. SUCURSAL EL SALVADOR</v>
      </c>
      <c r="F1157" s="217" t="s">
        <v>329</v>
      </c>
      <c r="G1157" s="217"/>
      <c r="H1157" s="219"/>
      <c r="I1157" s="219"/>
      <c r="J1157" s="219">
        <v>8804.9500000000007</v>
      </c>
      <c r="K1157" s="246">
        <v>1144.6400000000001</v>
      </c>
      <c r="L1157" s="219">
        <f t="shared" ref="L1157:L1167" si="66">+J1157+K1157</f>
        <v>9949.59</v>
      </c>
      <c r="O1157" s="152" t="s">
        <v>148</v>
      </c>
      <c r="P1157" s="78">
        <v>51000100001</v>
      </c>
      <c r="Q1157" s="142" t="s">
        <v>460</v>
      </c>
      <c r="R1157" s="429">
        <f t="shared" si="65"/>
        <v>0</v>
      </c>
      <c r="T1157" s="97">
        <v>51000100001</v>
      </c>
      <c r="U1157" s="109" t="s">
        <v>12</v>
      </c>
      <c r="X1157" s="109">
        <v>-8804.9500000000007</v>
      </c>
    </row>
    <row r="1158" spans="2:26" x14ac:dyDescent="0.2">
      <c r="B1158" s="448">
        <v>43872</v>
      </c>
      <c r="C1158" s="138" t="s">
        <v>1039</v>
      </c>
      <c r="D1158" s="138" t="s">
        <v>459</v>
      </c>
      <c r="E1158" s="217" t="str">
        <f>+VLOOKUP(F1158,[16]bd!A:B,2,0)</f>
        <v>CITIBANK, N.A. SUCURSAL EL SALVADOR</v>
      </c>
      <c r="F1158" s="217" t="s">
        <v>329</v>
      </c>
      <c r="G1158" s="217"/>
      <c r="H1158" s="219"/>
      <c r="I1158" s="219"/>
      <c r="J1158" s="219">
        <v>5503.1</v>
      </c>
      <c r="K1158" s="246">
        <v>715.4</v>
      </c>
      <c r="L1158" s="219">
        <f t="shared" si="66"/>
        <v>6218.5</v>
      </c>
      <c r="O1158" s="152" t="s">
        <v>148</v>
      </c>
      <c r="P1158" s="78">
        <v>51000100001</v>
      </c>
      <c r="Q1158" s="142" t="s">
        <v>496</v>
      </c>
      <c r="R1158" s="429">
        <f t="shared" si="65"/>
        <v>0</v>
      </c>
      <c r="T1158" s="97">
        <v>51000100002</v>
      </c>
      <c r="U1158" s="109" t="s">
        <v>380</v>
      </c>
      <c r="X1158" s="109">
        <v>-5503.1</v>
      </c>
    </row>
    <row r="1159" spans="2:26" x14ac:dyDescent="0.2">
      <c r="B1159" s="448">
        <v>43875</v>
      </c>
      <c r="C1159" s="138" t="s">
        <v>1040</v>
      </c>
      <c r="D1159" s="138" t="s">
        <v>459</v>
      </c>
      <c r="E1159" s="217" t="str">
        <f>+VLOOKUP(F1159,[16]bd!A:B,2,0)</f>
        <v>CITIBANK, N.A. SUCURSAL EL SALVADOR</v>
      </c>
      <c r="F1159" s="217" t="s">
        <v>329</v>
      </c>
      <c r="G1159" s="217"/>
      <c r="H1159" s="219"/>
      <c r="I1159" s="219"/>
      <c r="J1159" s="219">
        <v>7.77</v>
      </c>
      <c r="K1159" s="246">
        <v>1.01</v>
      </c>
      <c r="L1159" s="219">
        <f t="shared" si="66"/>
        <v>8.7799999999999994</v>
      </c>
      <c r="O1159" s="152" t="s">
        <v>148</v>
      </c>
      <c r="P1159" s="78">
        <v>51000100002</v>
      </c>
      <c r="Q1159" s="142" t="s">
        <v>460</v>
      </c>
      <c r="R1159" s="429">
        <f t="shared" si="65"/>
        <v>0</v>
      </c>
      <c r="T1159" s="97">
        <v>51220200001</v>
      </c>
      <c r="U1159" s="97" t="s">
        <v>55</v>
      </c>
      <c r="X1159" s="109">
        <v>-3162.74</v>
      </c>
      <c r="Y1159" s="109">
        <f>R1167+R1174</f>
        <v>2807.46</v>
      </c>
      <c r="Z1159" s="144">
        <f>X1160+Y1159</f>
        <v>2807.46</v>
      </c>
    </row>
    <row r="1160" spans="2:26" x14ac:dyDescent="0.2">
      <c r="B1160" s="448">
        <v>43875</v>
      </c>
      <c r="C1160" s="138" t="s">
        <v>1041</v>
      </c>
      <c r="D1160" s="138" t="s">
        <v>459</v>
      </c>
      <c r="E1160" s="217" t="str">
        <f>+VLOOKUP(F1160,[16]bd!A:B,2,0)</f>
        <v>CITIBANK, N.A. SUCURSAL EL SALVADOR</v>
      </c>
      <c r="F1160" s="217" t="s">
        <v>329</v>
      </c>
      <c r="G1160" s="217"/>
      <c r="H1160" s="219"/>
      <c r="I1160" s="219"/>
      <c r="J1160" s="219">
        <v>4.8600000000000003</v>
      </c>
      <c r="K1160" s="246">
        <v>0.63</v>
      </c>
      <c r="L1160" s="219">
        <f t="shared" si="66"/>
        <v>5.49</v>
      </c>
      <c r="O1160" s="152" t="s">
        <v>148</v>
      </c>
      <c r="P1160" s="78">
        <v>51000100002</v>
      </c>
      <c r="Q1160" s="142" t="s">
        <v>496</v>
      </c>
      <c r="R1160" s="429">
        <f t="shared" si="65"/>
        <v>0</v>
      </c>
      <c r="T1160" s="195">
        <v>52200000001</v>
      </c>
      <c r="U1160" s="195" t="s">
        <v>33</v>
      </c>
      <c r="V1160" s="195"/>
      <c r="W1160" s="195"/>
      <c r="X1160" s="109"/>
      <c r="Y1160" s="109">
        <v>0</v>
      </c>
      <c r="Z1160" s="144">
        <v>0</v>
      </c>
    </row>
    <row r="1161" spans="2:26" x14ac:dyDescent="0.2">
      <c r="B1161" s="448">
        <v>43879</v>
      </c>
      <c r="C1161" s="138" t="s">
        <v>1042</v>
      </c>
      <c r="D1161" s="138" t="s">
        <v>459</v>
      </c>
      <c r="E1161" s="142" t="str">
        <f>+VLOOKUP(F1161,[16]bd!A:B,2,0)</f>
        <v>BANCO CUSCATLAN DE EL SALVADOR S.A.</v>
      </c>
      <c r="F1161" s="142" t="s">
        <v>90</v>
      </c>
      <c r="G1161" s="428"/>
      <c r="H1161" s="429"/>
      <c r="I1161" s="429"/>
      <c r="J1161" s="429">
        <v>239.73</v>
      </c>
      <c r="K1161" s="143">
        <v>31.16</v>
      </c>
      <c r="L1161" s="429">
        <f t="shared" si="66"/>
        <v>270.89</v>
      </c>
      <c r="M1161" s="245">
        <v>51000200002</v>
      </c>
      <c r="O1161" s="152" t="s">
        <v>148</v>
      </c>
      <c r="P1161" s="227">
        <v>51000200001</v>
      </c>
      <c r="Q1161" s="217" t="s">
        <v>460</v>
      </c>
      <c r="R1161" s="429">
        <f t="shared" si="65"/>
        <v>527.39</v>
      </c>
      <c r="T1161" s="97">
        <v>51000000001</v>
      </c>
      <c r="U1161" s="97" t="s">
        <v>132</v>
      </c>
      <c r="X1161" s="109"/>
    </row>
    <row r="1162" spans="2:26" x14ac:dyDescent="0.2">
      <c r="B1162" s="448">
        <v>43879</v>
      </c>
      <c r="C1162" s="138" t="s">
        <v>1043</v>
      </c>
      <c r="D1162" s="138" t="s">
        <v>459</v>
      </c>
      <c r="E1162" s="142" t="str">
        <f>+VLOOKUP(F1162,[16]bd!A:B,2,0)</f>
        <v>BANCO CUSCATLAN DE EL SALVADOR S.A.</v>
      </c>
      <c r="F1162" s="142" t="s">
        <v>90</v>
      </c>
      <c r="G1162" s="428"/>
      <c r="H1162" s="429"/>
      <c r="I1162" s="429"/>
      <c r="J1162" s="429">
        <v>239.73</v>
      </c>
      <c r="K1162" s="143">
        <v>31.16</v>
      </c>
      <c r="L1162" s="429">
        <f t="shared" si="66"/>
        <v>270.89</v>
      </c>
      <c r="M1162" s="245">
        <v>51000200001</v>
      </c>
      <c r="O1162" s="152" t="s">
        <v>148</v>
      </c>
      <c r="P1162" s="78">
        <v>51000200001</v>
      </c>
      <c r="Q1162" s="142" t="s">
        <v>351</v>
      </c>
      <c r="R1162" s="429">
        <f t="shared" si="65"/>
        <v>0</v>
      </c>
      <c r="T1162" s="97">
        <v>51000000002</v>
      </c>
      <c r="U1162" s="97" t="s">
        <v>10</v>
      </c>
      <c r="X1162" s="109"/>
    </row>
    <row r="1163" spans="2:26" x14ac:dyDescent="0.2">
      <c r="B1163" s="457">
        <v>43881</v>
      </c>
      <c r="C1163" s="138" t="s">
        <v>1044</v>
      </c>
      <c r="D1163" s="138" t="s">
        <v>459</v>
      </c>
      <c r="E1163" s="142" t="str">
        <f>+VLOOKUP(F1163,[16]bd!A:B,2,0)</f>
        <v>BANCO CUSCATLAN DE EL SALVADOR S.A.</v>
      </c>
      <c r="F1163" s="142" t="s">
        <v>90</v>
      </c>
      <c r="G1163" s="142"/>
      <c r="H1163" s="429"/>
      <c r="I1163" s="429"/>
      <c r="J1163" s="429">
        <v>287.66000000000003</v>
      </c>
      <c r="K1163" s="143">
        <v>37.4</v>
      </c>
      <c r="L1163" s="429">
        <f t="shared" si="66"/>
        <v>325.06</v>
      </c>
      <c r="M1163" s="245">
        <v>51000200002</v>
      </c>
      <c r="O1163" s="152" t="s">
        <v>148</v>
      </c>
      <c r="P1163" s="78">
        <v>51000200001</v>
      </c>
      <c r="Q1163" s="142" t="s">
        <v>56</v>
      </c>
      <c r="R1163" s="429">
        <f t="shared" si="65"/>
        <v>0</v>
      </c>
      <c r="T1163" s="97">
        <v>53000100001</v>
      </c>
      <c r="U1163" s="97" t="s">
        <v>134</v>
      </c>
      <c r="X1163" s="198"/>
      <c r="Y1163" s="109">
        <v>0</v>
      </c>
      <c r="Z1163" s="144">
        <v>0</v>
      </c>
    </row>
    <row r="1164" spans="2:26" x14ac:dyDescent="0.2">
      <c r="B1164" s="457">
        <v>43881</v>
      </c>
      <c r="C1164" s="138" t="s">
        <v>1045</v>
      </c>
      <c r="D1164" s="138" t="s">
        <v>459</v>
      </c>
      <c r="E1164" s="142" t="str">
        <f>+VLOOKUP(F1164,[16]bd!A:B,2,0)</f>
        <v>BANCO CUSCATLAN DE EL SALVADOR S.A.</v>
      </c>
      <c r="F1164" s="142" t="s">
        <v>90</v>
      </c>
      <c r="G1164" s="142"/>
      <c r="H1164" s="429"/>
      <c r="I1164" s="429"/>
      <c r="J1164" s="429">
        <v>287.66000000000003</v>
      </c>
      <c r="K1164" s="143">
        <v>37.4</v>
      </c>
      <c r="L1164" s="429">
        <f t="shared" si="66"/>
        <v>325.06</v>
      </c>
      <c r="M1164" s="245">
        <v>51000200001</v>
      </c>
      <c r="O1164" s="152" t="s">
        <v>148</v>
      </c>
      <c r="P1164" s="227">
        <v>51000200002</v>
      </c>
      <c r="Q1164" s="217" t="s">
        <v>460</v>
      </c>
      <c r="R1164" s="429">
        <f t="shared" si="65"/>
        <v>527.39</v>
      </c>
      <c r="X1164" s="171">
        <v>0</v>
      </c>
      <c r="Y1164" s="171"/>
      <c r="Z1164" s="167">
        <v>0</v>
      </c>
    </row>
    <row r="1165" spans="2:26" x14ac:dyDescent="0.2">
      <c r="B1165" s="457">
        <v>43881</v>
      </c>
      <c r="C1165" s="138" t="s">
        <v>1046</v>
      </c>
      <c r="D1165" s="138" t="s">
        <v>459</v>
      </c>
      <c r="E1165" s="142" t="str">
        <f>+VLOOKUP(F1165,[16]bd!A:B,2,0)</f>
        <v>BANCO CUSCATLAN DE EL SALVADOR S.A.</v>
      </c>
      <c r="F1165" s="142" t="s">
        <v>90</v>
      </c>
      <c r="G1165" s="142"/>
      <c r="H1165" s="429"/>
      <c r="I1165" s="429"/>
      <c r="J1165" s="429">
        <v>2353.11</v>
      </c>
      <c r="K1165" s="143">
        <v>305.89999999999998</v>
      </c>
      <c r="L1165" s="429">
        <f t="shared" si="66"/>
        <v>2659.01</v>
      </c>
      <c r="M1165" s="245">
        <v>51220200001</v>
      </c>
      <c r="O1165" s="152" t="s">
        <v>148</v>
      </c>
      <c r="P1165" s="78">
        <v>51000200002</v>
      </c>
      <c r="Q1165" s="142" t="s">
        <v>351</v>
      </c>
      <c r="R1165" s="429">
        <f t="shared" si="65"/>
        <v>0</v>
      </c>
      <c r="X1165" s="158">
        <f>SUM(X1155:X1163)</f>
        <v>-18525.57</v>
      </c>
      <c r="Y1165" s="158">
        <f>SUM(Y1155:Y1164)</f>
        <v>2807.46</v>
      </c>
      <c r="Z1165" s="158">
        <f>SUM(Z1155:Z1164)</f>
        <v>2807.46</v>
      </c>
    </row>
    <row r="1166" spans="2:26" x14ac:dyDescent="0.2">
      <c r="B1166" s="141">
        <v>43881</v>
      </c>
      <c r="C1166" s="138" t="s">
        <v>1047</v>
      </c>
      <c r="D1166" s="138" t="s">
        <v>459</v>
      </c>
      <c r="E1166" s="142" t="str">
        <f>+VLOOKUP(F1166,[16]bd!A:B,2,0)</f>
        <v>INVERSIONES FINANCIERAS IMPERIA CUSCATLAN, SA</v>
      </c>
      <c r="F1166" s="142" t="s">
        <v>497</v>
      </c>
      <c r="G1166" s="142"/>
      <c r="H1166" s="429"/>
      <c r="I1166" s="429"/>
      <c r="J1166" s="429">
        <v>454.35</v>
      </c>
      <c r="K1166" s="143">
        <v>59.07</v>
      </c>
      <c r="L1166" s="429">
        <f t="shared" si="66"/>
        <v>513.42000000000007</v>
      </c>
      <c r="M1166" s="245">
        <v>51220200001</v>
      </c>
      <c r="O1166" s="152" t="s">
        <v>148</v>
      </c>
      <c r="P1166" s="78">
        <v>51000200002</v>
      </c>
      <c r="Q1166" s="142" t="s">
        <v>56</v>
      </c>
      <c r="R1166" s="429">
        <f t="shared" si="65"/>
        <v>0</v>
      </c>
      <c r="U1166" s="109"/>
      <c r="Z1166" s="144"/>
    </row>
    <row r="1167" spans="2:26" x14ac:dyDescent="0.2">
      <c r="B1167" s="141">
        <v>43881</v>
      </c>
      <c r="C1167" s="138" t="s">
        <v>680</v>
      </c>
      <c r="D1167" s="138" t="s">
        <v>459</v>
      </c>
      <c r="E1167" s="217" t="str">
        <f>+VLOOKUP(F1167,[16]bd!A:B,2,0)</f>
        <v>CITIBANK, N.A. SUCURSAL EL SALVADOR</v>
      </c>
      <c r="F1167" s="217" t="s">
        <v>329</v>
      </c>
      <c r="G1167" s="217"/>
      <c r="H1167" s="219"/>
      <c r="I1167" s="219"/>
      <c r="J1167" s="219">
        <v>340.96</v>
      </c>
      <c r="K1167" s="246">
        <v>44.32</v>
      </c>
      <c r="L1167" s="219">
        <f t="shared" si="66"/>
        <v>385.28</v>
      </c>
      <c r="O1167" s="152" t="s">
        <v>148</v>
      </c>
      <c r="P1167" s="227">
        <v>51220200001</v>
      </c>
      <c r="Q1167" s="217" t="s">
        <v>460</v>
      </c>
      <c r="R1167" s="429">
        <f t="shared" si="65"/>
        <v>2353.11</v>
      </c>
      <c r="U1167" s="109"/>
    </row>
    <row r="1168" spans="2:26" x14ac:dyDescent="0.2">
      <c r="O1168" s="152" t="s">
        <v>148</v>
      </c>
      <c r="P1168" s="78">
        <v>51220200001</v>
      </c>
      <c r="Q1168" s="142" t="s">
        <v>351</v>
      </c>
      <c r="R1168" s="429">
        <f t="shared" si="65"/>
        <v>0</v>
      </c>
    </row>
    <row r="1169" spans="2:25" x14ac:dyDescent="0.2">
      <c r="B1169" s="141"/>
      <c r="C1169" s="138" t="s">
        <v>50</v>
      </c>
      <c r="D1169" s="138"/>
      <c r="E1169" s="142" t="s">
        <v>537</v>
      </c>
      <c r="F1169" s="114"/>
      <c r="G1169" s="157"/>
      <c r="H1169" s="157"/>
      <c r="I1169" s="157"/>
      <c r="J1169" s="157"/>
      <c r="K1169" s="243">
        <v>-1457.19</v>
      </c>
      <c r="L1169" s="429">
        <f>+J1169+K1169</f>
        <v>-1457.19</v>
      </c>
      <c r="O1169" s="152" t="s">
        <v>148</v>
      </c>
      <c r="P1169" s="78">
        <v>51220200001</v>
      </c>
      <c r="Q1169" s="142" t="s">
        <v>56</v>
      </c>
      <c r="R1169" s="429">
        <f t="shared" si="65"/>
        <v>0</v>
      </c>
    </row>
    <row r="1170" spans="2:25" x14ac:dyDescent="0.2">
      <c r="B1170" s="141"/>
      <c r="C1170" s="138"/>
      <c r="D1170" s="138"/>
      <c r="E1170" s="142"/>
      <c r="F1170" s="114"/>
      <c r="G1170" s="157"/>
      <c r="H1170" s="157"/>
      <c r="I1170" s="157"/>
      <c r="J1170" s="157"/>
      <c r="K1170" s="143"/>
      <c r="L1170" s="429">
        <f>+J1170+K1170</f>
        <v>0</v>
      </c>
      <c r="O1170" s="152" t="s">
        <v>148</v>
      </c>
      <c r="P1170" s="78">
        <v>52200000001</v>
      </c>
      <c r="Q1170" s="142" t="s">
        <v>460</v>
      </c>
      <c r="R1170" s="429">
        <f t="shared" si="65"/>
        <v>0</v>
      </c>
      <c r="W1170" s="106" t="s">
        <v>478</v>
      </c>
      <c r="X1170" s="144">
        <f>+X1155+X1156+X1157+X1158+X1159</f>
        <v>-18525.57</v>
      </c>
    </row>
    <row r="1171" spans="2:25" x14ac:dyDescent="0.2">
      <c r="B1171" s="141"/>
      <c r="C1171" s="138"/>
      <c r="D1171" s="138"/>
      <c r="E1171" s="142"/>
      <c r="F1171" s="114"/>
      <c r="G1171" s="157"/>
      <c r="H1171" s="157"/>
      <c r="I1171" s="157"/>
      <c r="J1171" s="157"/>
      <c r="K1171" s="143"/>
      <c r="L1171" s="429"/>
      <c r="O1171" s="152" t="s">
        <v>148</v>
      </c>
      <c r="P1171" s="78">
        <v>52200000001</v>
      </c>
      <c r="Q1171" s="142" t="s">
        <v>351</v>
      </c>
      <c r="R1171" s="429">
        <f t="shared" si="65"/>
        <v>0</v>
      </c>
      <c r="W1171" s="97" t="s">
        <v>480</v>
      </c>
      <c r="X1171" s="144">
        <f>+R1175</f>
        <v>3862.2400000000002</v>
      </c>
    </row>
    <row r="1172" spans="2:25" x14ac:dyDescent="0.2">
      <c r="B1172" s="141"/>
      <c r="C1172" s="138"/>
      <c r="D1172" s="138"/>
      <c r="E1172" s="142"/>
      <c r="F1172" s="114"/>
      <c r="G1172" s="157"/>
      <c r="H1172" s="157"/>
      <c r="I1172" s="157"/>
      <c r="J1172" s="157"/>
      <c r="K1172" s="143"/>
      <c r="L1172" s="429"/>
      <c r="O1172" s="152" t="s">
        <v>148</v>
      </c>
      <c r="P1172" s="78">
        <v>52200000001</v>
      </c>
      <c r="Q1172" s="142" t="s">
        <v>56</v>
      </c>
      <c r="R1172" s="429">
        <f t="shared" si="65"/>
        <v>0</v>
      </c>
      <c r="W1172" s="97" t="s">
        <v>486</v>
      </c>
      <c r="X1172" s="167">
        <f>+J1157+J1158+J1159+J1160+J1167</f>
        <v>14661.640000000001</v>
      </c>
    </row>
    <row r="1173" spans="2:25" x14ac:dyDescent="0.2">
      <c r="B1173" s="114"/>
      <c r="C1173" s="115"/>
      <c r="D1173" s="115"/>
      <c r="E1173" s="142"/>
      <c r="F1173" s="114"/>
      <c r="G1173" s="157"/>
      <c r="H1173" s="157"/>
      <c r="I1173" s="157"/>
      <c r="J1173" s="157"/>
      <c r="K1173" s="157"/>
      <c r="L1173" s="157"/>
      <c r="O1173" s="152" t="s">
        <v>148</v>
      </c>
      <c r="P1173" s="78">
        <v>52200000001</v>
      </c>
      <c r="Q1173" s="142" t="s">
        <v>460</v>
      </c>
      <c r="R1173" s="429">
        <f t="shared" si="65"/>
        <v>0</v>
      </c>
      <c r="X1173" s="324">
        <f>X1170+X1171+X1172</f>
        <v>-1.6899999999986903</v>
      </c>
      <c r="Y1173" s="97" t="s">
        <v>500</v>
      </c>
    </row>
    <row r="1174" spans="2:25" x14ac:dyDescent="0.2">
      <c r="B1174" s="163"/>
      <c r="C1174" s="164"/>
      <c r="D1174" s="164"/>
      <c r="E1174" s="142"/>
      <c r="F1174" s="163"/>
      <c r="G1174" s="165"/>
      <c r="H1174" s="165"/>
      <c r="I1174" s="165"/>
      <c r="J1174" s="165"/>
      <c r="K1174" s="165"/>
      <c r="L1174" s="165"/>
      <c r="O1174" s="152" t="s">
        <v>148</v>
      </c>
      <c r="P1174" s="227">
        <v>51220200001</v>
      </c>
      <c r="Q1174" s="217" t="s">
        <v>496</v>
      </c>
      <c r="R1174" s="429">
        <f t="shared" si="65"/>
        <v>454.35</v>
      </c>
    </row>
    <row r="1175" spans="2:25" ht="13.5" thickBot="1" x14ac:dyDescent="0.25">
      <c r="B1175" s="114"/>
      <c r="C1175" s="115"/>
      <c r="D1175" s="115"/>
      <c r="E1175" s="114"/>
      <c r="F1175" s="114"/>
      <c r="G1175" s="166" t="e">
        <f>SUM(G1128:G1174)</f>
        <v>#REF!</v>
      </c>
      <c r="H1175" s="166">
        <f>SUM(H1128:H1174)</f>
        <v>0</v>
      </c>
      <c r="I1175" s="166">
        <f>SUM(I1128:I1174)</f>
        <v>0</v>
      </c>
      <c r="J1175" s="166">
        <f>SUM(J1157:J1174)</f>
        <v>18523.879999999997</v>
      </c>
      <c r="K1175" s="166">
        <f>SUM(K1157:K1174)</f>
        <v>950.90000000000055</v>
      </c>
      <c r="L1175" s="166">
        <f>SUM(L1157:L1174)</f>
        <v>19474.780000000002</v>
      </c>
      <c r="O1175" s="427"/>
      <c r="P1175" s="427"/>
      <c r="R1175" s="244">
        <f>SUM(R1155:R1174)</f>
        <v>3862.2400000000002</v>
      </c>
      <c r="X1175" s="144"/>
    </row>
    <row r="1176" spans="2:25" ht="13.5" thickTop="1" x14ac:dyDescent="0.2">
      <c r="B1176" s="114"/>
      <c r="C1176" s="115"/>
      <c r="D1176" s="115"/>
      <c r="E1176" s="114"/>
      <c r="F1176" s="114"/>
      <c r="G1176" s="208"/>
      <c r="H1176" s="208"/>
      <c r="I1176" s="208"/>
      <c r="J1176" s="208"/>
      <c r="K1176" s="208"/>
      <c r="L1176" s="208"/>
      <c r="O1176" s="427"/>
      <c r="P1176" s="427"/>
      <c r="W1176" s="109"/>
    </row>
    <row r="1177" spans="2:25" x14ac:dyDescent="0.2">
      <c r="B1177" s="114"/>
      <c r="C1177" s="115"/>
      <c r="D1177" s="115"/>
      <c r="E1177" s="114"/>
      <c r="F1177" s="114"/>
      <c r="G1177" s="208"/>
      <c r="H1177" s="208"/>
      <c r="I1177" s="208"/>
      <c r="J1177" s="208"/>
      <c r="K1177" s="208"/>
      <c r="L1177" s="208"/>
    </row>
    <row r="1178" spans="2:25" x14ac:dyDescent="0.2">
      <c r="B1178" s="114"/>
      <c r="C1178" s="115"/>
      <c r="D1178" s="115"/>
      <c r="E1178" s="114"/>
      <c r="F1178" s="114"/>
      <c r="G1178" s="208"/>
      <c r="H1178" s="208"/>
      <c r="I1178" s="208"/>
      <c r="J1178" s="208"/>
      <c r="K1178" s="208"/>
      <c r="L1178" s="208"/>
    </row>
    <row r="1179" spans="2:25" x14ac:dyDescent="0.2">
      <c r="B1179" s="114"/>
      <c r="C1179" s="115"/>
      <c r="D1179" s="115"/>
      <c r="E1179" s="114"/>
      <c r="F1179" s="114"/>
      <c r="G1179" s="208"/>
      <c r="H1179" s="208"/>
      <c r="I1179" s="208"/>
      <c r="J1179" s="208"/>
      <c r="K1179" s="208"/>
      <c r="L1179" s="208"/>
    </row>
    <row r="1180" spans="2:25" x14ac:dyDescent="0.2">
      <c r="B1180" s="114"/>
      <c r="C1180" s="115"/>
      <c r="D1180" s="115"/>
      <c r="E1180" s="114"/>
      <c r="F1180" s="114"/>
      <c r="G1180" s="208"/>
      <c r="H1180" s="208"/>
      <c r="I1180" s="208"/>
      <c r="J1180" s="208"/>
      <c r="K1180" s="208"/>
      <c r="L1180" s="208"/>
    </row>
    <row r="1181" spans="2:25" x14ac:dyDescent="0.2">
      <c r="B1181" s="114"/>
      <c r="C1181" s="115"/>
      <c r="D1181" s="115"/>
      <c r="E1181" s="114"/>
      <c r="F1181" s="114"/>
      <c r="G1181" s="114"/>
      <c r="H1181" s="114"/>
      <c r="I1181" s="114"/>
      <c r="J1181" s="114"/>
      <c r="K1181" s="114"/>
      <c r="L1181" s="114"/>
    </row>
    <row r="1182" spans="2:25" x14ac:dyDescent="0.2">
      <c r="B1182" s="114"/>
      <c r="C1182" s="117" t="s">
        <v>587</v>
      </c>
      <c r="D1182" s="115"/>
      <c r="E1182" s="115"/>
      <c r="F1182" s="114"/>
      <c r="G1182" s="114"/>
      <c r="H1182" s="114"/>
      <c r="I1182" s="117" t="s">
        <v>588</v>
      </c>
      <c r="J1182" s="114"/>
      <c r="K1182" s="114"/>
      <c r="L1182" s="114"/>
    </row>
    <row r="1183" spans="2:25" x14ac:dyDescent="0.2">
      <c r="B1183" s="114"/>
      <c r="C1183" s="117"/>
      <c r="D1183" s="115"/>
      <c r="E1183" s="115"/>
      <c r="F1183" s="114"/>
      <c r="G1183" s="114"/>
      <c r="H1183" s="114"/>
      <c r="I1183" s="117"/>
      <c r="J1183" s="114"/>
      <c r="K1183" s="114"/>
      <c r="L1183" s="114"/>
    </row>
    <row r="1184" spans="2:25" x14ac:dyDescent="0.2">
      <c r="B1184" s="114"/>
      <c r="C1184" s="114" t="s">
        <v>140</v>
      </c>
      <c r="D1184" s="115"/>
      <c r="E1184" s="115"/>
      <c r="F1184" s="114"/>
      <c r="G1184" s="214">
        <v>0</v>
      </c>
      <c r="H1184" s="114"/>
      <c r="I1184" s="114" t="s">
        <v>140</v>
      </c>
      <c r="J1184" s="114"/>
      <c r="K1184" s="114"/>
      <c r="L1184" s="214">
        <v>0</v>
      </c>
    </row>
    <row r="1185" spans="2:12" x14ac:dyDescent="0.2">
      <c r="B1185" s="114"/>
      <c r="C1185" s="114"/>
      <c r="D1185" s="115"/>
      <c r="E1185" s="115"/>
      <c r="F1185" s="114"/>
      <c r="G1185" s="114"/>
      <c r="H1185" s="114"/>
      <c r="I1185" s="114"/>
      <c r="J1185" s="114"/>
      <c r="K1185" s="114"/>
      <c r="L1185" s="114"/>
    </row>
    <row r="1186" spans="2:12" x14ac:dyDescent="0.2">
      <c r="B1186" s="114"/>
      <c r="C1186" s="114" t="s">
        <v>589</v>
      </c>
      <c r="D1186" s="115"/>
      <c r="E1186" s="115"/>
      <c r="F1186" s="114"/>
      <c r="G1186" s="214">
        <v>0</v>
      </c>
      <c r="H1186" s="114"/>
      <c r="I1186" s="114" t="s">
        <v>589</v>
      </c>
      <c r="J1186" s="114"/>
      <c r="K1186" s="114"/>
      <c r="L1186" s="214">
        <v>0</v>
      </c>
    </row>
    <row r="1187" spans="2:12" x14ac:dyDescent="0.2">
      <c r="B1187" s="114"/>
      <c r="C1187" s="114"/>
      <c r="D1187" s="115"/>
      <c r="E1187" s="115"/>
      <c r="F1187" s="114"/>
      <c r="G1187" s="214"/>
      <c r="H1187" s="114"/>
      <c r="I1187" s="114"/>
      <c r="J1187" s="114"/>
      <c r="K1187" s="114"/>
      <c r="L1187" s="214"/>
    </row>
    <row r="1188" spans="2:12" x14ac:dyDescent="0.2">
      <c r="B1188" s="114"/>
      <c r="C1188" s="114"/>
      <c r="D1188" s="115"/>
      <c r="E1188" s="115"/>
      <c r="F1188" s="114"/>
      <c r="G1188" s="214"/>
      <c r="H1188" s="114"/>
      <c r="I1188" s="114"/>
      <c r="J1188" s="114"/>
      <c r="K1188" s="114"/>
      <c r="L1188" s="214"/>
    </row>
    <row r="1189" spans="2:12" x14ac:dyDescent="0.2">
      <c r="B1189" s="114"/>
      <c r="C1189" s="114" t="s">
        <v>590</v>
      </c>
      <c r="D1189" s="115"/>
      <c r="E1189" s="115"/>
      <c r="F1189" s="114"/>
      <c r="G1189" s="214"/>
      <c r="H1189" s="114"/>
      <c r="I1189" s="114" t="s">
        <v>590</v>
      </c>
      <c r="J1189" s="114"/>
      <c r="K1189" s="114"/>
      <c r="L1189" s="214"/>
    </row>
    <row r="1190" spans="2:12" x14ac:dyDescent="0.2">
      <c r="B1190" s="114"/>
      <c r="C1190" s="114" t="s">
        <v>141</v>
      </c>
      <c r="D1190" s="115"/>
      <c r="E1190" s="115"/>
      <c r="F1190" s="114"/>
      <c r="G1190" s="214">
        <f>+'[16]reportes consumidor final'!I1152</f>
        <v>0</v>
      </c>
      <c r="H1190" s="114"/>
      <c r="I1190" s="114" t="s">
        <v>141</v>
      </c>
      <c r="J1190" s="114"/>
      <c r="K1190" s="114"/>
      <c r="L1190" s="214">
        <f>+J1175</f>
        <v>18523.879999999997</v>
      </c>
    </row>
    <row r="1191" spans="2:12" x14ac:dyDescent="0.2">
      <c r="B1191" s="114"/>
      <c r="C1191" s="114" t="s">
        <v>591</v>
      </c>
      <c r="D1191" s="115"/>
      <c r="E1191" s="115"/>
      <c r="F1191" s="114"/>
      <c r="G1191" s="215">
        <f>+G1190*0.13</f>
        <v>0</v>
      </c>
      <c r="H1191" s="114"/>
      <c r="I1191" s="114" t="s">
        <v>591</v>
      </c>
      <c r="J1191" s="114"/>
      <c r="K1191" s="114"/>
      <c r="L1191" s="215">
        <f>+K1175</f>
        <v>950.90000000000055</v>
      </c>
    </row>
    <row r="1192" spans="2:12" x14ac:dyDescent="0.2">
      <c r="B1192" s="114"/>
      <c r="C1192" s="114"/>
      <c r="D1192" s="115"/>
      <c r="E1192" s="115"/>
      <c r="F1192" s="114"/>
      <c r="G1192" s="214"/>
      <c r="H1192" s="114"/>
      <c r="I1192" s="114"/>
      <c r="J1192" s="114"/>
      <c r="K1192" s="114"/>
      <c r="L1192" s="214"/>
    </row>
    <row r="1193" spans="2:12" ht="13.5" thickBot="1" x14ac:dyDescent="0.25">
      <c r="B1193" s="114"/>
      <c r="C1193" s="114" t="s">
        <v>592</v>
      </c>
      <c r="D1193" s="115"/>
      <c r="E1193" s="115"/>
      <c r="F1193" s="114"/>
      <c r="G1193" s="216">
        <f>SUM(G1184:G1191)</f>
        <v>0</v>
      </c>
      <c r="H1193" s="114"/>
      <c r="I1193" s="114" t="s">
        <v>592</v>
      </c>
      <c r="J1193" s="114"/>
      <c r="K1193" s="114"/>
      <c r="L1193" s="216">
        <f>SUM(L1190:L1192)</f>
        <v>19474.78</v>
      </c>
    </row>
    <row r="1194" spans="2:12" ht="13.5" thickTop="1" x14ac:dyDescent="0.2"/>
    <row r="1199" spans="2:12" x14ac:dyDescent="0.2">
      <c r="B1199" s="225" t="s">
        <v>355</v>
      </c>
      <c r="C1199" s="114"/>
      <c r="D1199" s="114"/>
      <c r="E1199" s="121"/>
      <c r="F1199" s="122"/>
      <c r="G1199" s="114"/>
      <c r="H1199" s="114"/>
      <c r="I1199" s="114"/>
      <c r="J1199" s="114"/>
      <c r="K1199" s="114"/>
      <c r="L1199" s="114"/>
    </row>
    <row r="1200" spans="2:12" x14ac:dyDescent="0.2">
      <c r="B1200" s="226" t="s">
        <v>252</v>
      </c>
      <c r="C1200" s="114"/>
      <c r="D1200" s="114"/>
      <c r="E1200" s="226"/>
      <c r="F1200" s="122"/>
      <c r="G1200" s="114"/>
      <c r="H1200" s="114"/>
      <c r="I1200" s="114"/>
      <c r="J1200" s="114"/>
      <c r="K1200" s="114"/>
      <c r="L1200" s="114"/>
    </row>
    <row r="1201" spans="2:26" x14ac:dyDescent="0.2">
      <c r="B1201" s="231" t="s">
        <v>253</v>
      </c>
      <c r="C1201" s="114"/>
      <c r="D1201" s="114"/>
      <c r="E1201" s="121"/>
      <c r="F1201" s="230"/>
      <c r="G1201" s="114"/>
      <c r="H1201" s="114"/>
      <c r="I1201" s="114"/>
      <c r="J1201" s="114"/>
      <c r="K1201" s="114"/>
      <c r="L1201" s="114"/>
    </row>
    <row r="1202" spans="2:26" x14ac:dyDescent="0.2">
      <c r="B1202" s="231" t="s">
        <v>356</v>
      </c>
      <c r="C1202" s="114"/>
      <c r="D1202" s="114"/>
      <c r="E1202" s="121"/>
      <c r="F1202" s="122"/>
      <c r="G1202" s="114"/>
      <c r="H1202" s="114"/>
      <c r="I1202" s="114"/>
      <c r="J1202" s="114"/>
      <c r="K1202" s="114"/>
      <c r="L1202" s="114"/>
    </row>
    <row r="1203" spans="2:26" x14ac:dyDescent="0.2">
      <c r="B1203" s="229"/>
      <c r="C1203" s="114"/>
      <c r="D1203" s="114"/>
      <c r="E1203" s="121"/>
      <c r="F1203" s="122"/>
      <c r="G1203" s="114"/>
      <c r="H1203" s="114"/>
      <c r="I1203" s="114"/>
      <c r="J1203" s="114"/>
      <c r="K1203" s="114"/>
      <c r="L1203" s="114"/>
    </row>
    <row r="1204" spans="2:26" ht="18" x14ac:dyDescent="0.25">
      <c r="B1204" s="113" t="s">
        <v>458</v>
      </c>
      <c r="C1204" s="114"/>
      <c r="D1204" s="115"/>
      <c r="E1204" s="116" t="s">
        <v>149</v>
      </c>
      <c r="F1204" s="117" t="s">
        <v>179</v>
      </c>
      <c r="G1204" s="118">
        <v>2017</v>
      </c>
      <c r="H1204" s="119" t="s">
        <v>41</v>
      </c>
      <c r="I1204" s="119"/>
      <c r="J1204" s="114"/>
      <c r="K1204" s="114"/>
      <c r="L1204" s="114"/>
    </row>
    <row r="1205" spans="2:26" x14ac:dyDescent="0.2">
      <c r="B1205" s="120" t="s">
        <v>42</v>
      </c>
      <c r="C1205" s="114"/>
      <c r="D1205" s="114"/>
      <c r="E1205" s="121"/>
      <c r="F1205" s="122"/>
      <c r="G1205" s="114"/>
      <c r="H1205" s="123"/>
      <c r="I1205" s="123"/>
      <c r="J1205" s="114"/>
      <c r="K1205" s="114"/>
      <c r="L1205" s="114"/>
    </row>
    <row r="1206" spans="2:26" x14ac:dyDescent="0.2">
      <c r="B1206" s="124"/>
      <c r="C1206" s="124"/>
      <c r="D1206" s="124"/>
      <c r="E1206" s="124"/>
      <c r="F1206" s="124"/>
      <c r="G1206" s="124"/>
      <c r="H1206" s="124"/>
      <c r="I1206" s="124"/>
      <c r="J1206" s="124"/>
      <c r="K1206" s="124"/>
      <c r="L1206" s="124"/>
    </row>
    <row r="1207" spans="2:26" x14ac:dyDescent="0.2">
      <c r="B1207" s="124"/>
      <c r="C1207" s="124"/>
      <c r="D1207" s="124"/>
      <c r="E1207" s="124"/>
      <c r="F1207" s="124"/>
      <c r="G1207" s="124"/>
      <c r="H1207" s="117"/>
      <c r="I1207" s="117"/>
      <c r="J1207" s="117"/>
      <c r="K1207" s="117"/>
      <c r="L1207" s="124"/>
    </row>
    <row r="1208" spans="2:26" ht="14.25" x14ac:dyDescent="0.2">
      <c r="B1208" s="125"/>
      <c r="C1208" s="126" t="s">
        <v>255</v>
      </c>
      <c r="D1208" s="127" t="s">
        <v>43</v>
      </c>
      <c r="E1208" s="127"/>
      <c r="F1208" s="127" t="s">
        <v>135</v>
      </c>
      <c r="G1208" s="127"/>
      <c r="H1208" s="128" t="s">
        <v>136</v>
      </c>
      <c r="I1208" s="129"/>
      <c r="J1208" s="129"/>
      <c r="K1208" s="129"/>
      <c r="L1208" s="146"/>
      <c r="O1208" s="1206" t="s">
        <v>1037</v>
      </c>
      <c r="P1208" s="1206"/>
      <c r="Q1208" s="1206"/>
      <c r="R1208" s="1206"/>
      <c r="U1208" s="106" t="s">
        <v>465</v>
      </c>
      <c r="Y1208" s="97" t="s">
        <v>479</v>
      </c>
      <c r="Z1208" s="97" t="s">
        <v>340</v>
      </c>
    </row>
    <row r="1209" spans="2:26" x14ac:dyDescent="0.2">
      <c r="B1209" s="130" t="s">
        <v>137</v>
      </c>
      <c r="C1209" s="131" t="s">
        <v>138</v>
      </c>
      <c r="D1209" s="131" t="s">
        <v>258</v>
      </c>
      <c r="E1209" s="131" t="s">
        <v>139</v>
      </c>
      <c r="F1209" s="131" t="s">
        <v>259</v>
      </c>
      <c r="G1209" s="131" t="s">
        <v>140</v>
      </c>
      <c r="H1209" s="132" t="s">
        <v>94</v>
      </c>
      <c r="I1209" s="129"/>
      <c r="J1209" s="132" t="s">
        <v>141</v>
      </c>
      <c r="K1209" s="129"/>
      <c r="L1209" s="147" t="s">
        <v>325</v>
      </c>
      <c r="O1209" s="152" t="s">
        <v>149</v>
      </c>
      <c r="P1209" s="78">
        <v>51000000001</v>
      </c>
      <c r="Q1209" s="142" t="s">
        <v>460</v>
      </c>
      <c r="R1209" s="429">
        <f>SUMIFS($J$1211:$J$1225,$E$1211:$E$1225,Q1209,$M$1211:$M$1225,P1209)</f>
        <v>0</v>
      </c>
      <c r="T1209" s="97">
        <v>51000200001</v>
      </c>
      <c r="U1209" s="97" t="s">
        <v>382</v>
      </c>
      <c r="X1209" s="109">
        <v>-687.69</v>
      </c>
      <c r="Y1209" s="109">
        <f>R1212</f>
        <v>0</v>
      </c>
      <c r="Z1209" s="144">
        <v>0</v>
      </c>
    </row>
    <row r="1210" spans="2:26" x14ac:dyDescent="0.2">
      <c r="B1210" s="133"/>
      <c r="C1210" s="134"/>
      <c r="D1210" s="134"/>
      <c r="E1210" s="133"/>
      <c r="F1210" s="133"/>
      <c r="G1210" s="133"/>
      <c r="H1210" s="135" t="s">
        <v>326</v>
      </c>
      <c r="I1210" s="136" t="s">
        <v>327</v>
      </c>
      <c r="J1210" s="148" t="s">
        <v>328</v>
      </c>
      <c r="K1210" s="148" t="s">
        <v>89</v>
      </c>
      <c r="L1210" s="149" t="s">
        <v>94</v>
      </c>
      <c r="O1210" s="152" t="s">
        <v>149</v>
      </c>
      <c r="P1210" s="78">
        <v>51000000002</v>
      </c>
      <c r="Q1210" s="142" t="s">
        <v>460</v>
      </c>
      <c r="R1210" s="429">
        <f t="shared" ref="R1210:R1228" si="67">SUMIFS($J$1211:$J$1225,$E$1211:$E$1225,Q1210,$M$1211:$M$1225,P1210)</f>
        <v>0</v>
      </c>
      <c r="T1210" s="97">
        <v>51000200002</v>
      </c>
      <c r="U1210" s="97" t="s">
        <v>383</v>
      </c>
      <c r="X1210" s="109">
        <v>-687.69</v>
      </c>
      <c r="Y1210" s="109">
        <f>R1214</f>
        <v>0</v>
      </c>
      <c r="Z1210" s="144">
        <v>0</v>
      </c>
    </row>
    <row r="1211" spans="2:26" x14ac:dyDescent="0.2">
      <c r="B1211" s="693">
        <v>43894</v>
      </c>
      <c r="C1211" s="345" t="s">
        <v>502</v>
      </c>
      <c r="D1211" s="345" t="s">
        <v>459</v>
      </c>
      <c r="E1211" s="217" t="str">
        <f>+VLOOKUP(F1211,[17]bd!A:B,2,0)</f>
        <v>CITIBANK, N.A. SUCURSAL EL SALVADOR</v>
      </c>
      <c r="F1211" s="217" t="s">
        <v>329</v>
      </c>
      <c r="G1211" s="217"/>
      <c r="H1211" s="219"/>
      <c r="I1211" s="219"/>
      <c r="J1211" s="219">
        <v>4428.22</v>
      </c>
      <c r="K1211" s="246">
        <v>575.66999999999996</v>
      </c>
      <c r="L1211" s="219">
        <f t="shared" ref="L1211:L1225" si="68">+J1211+K1211</f>
        <v>5003.8900000000003</v>
      </c>
      <c r="O1211" s="152" t="s">
        <v>149</v>
      </c>
      <c r="P1211" s="78">
        <v>51000100001</v>
      </c>
      <c r="Q1211" s="142" t="s">
        <v>460</v>
      </c>
      <c r="R1211" s="429">
        <f t="shared" si="67"/>
        <v>0</v>
      </c>
      <c r="T1211" s="97">
        <v>51000100001</v>
      </c>
      <c r="U1211" s="109" t="s">
        <v>12</v>
      </c>
      <c r="X1211" s="109">
        <v>-7749.25</v>
      </c>
    </row>
    <row r="1212" spans="2:26" x14ac:dyDescent="0.2">
      <c r="B1212" s="693">
        <v>43894</v>
      </c>
      <c r="C1212" s="345" t="s">
        <v>1562</v>
      </c>
      <c r="D1212" s="345" t="s">
        <v>459</v>
      </c>
      <c r="E1212" s="217" t="str">
        <f>+VLOOKUP(F1212,[17]bd!A:B,2,0)</f>
        <v>CITIBANK, N.A. SUCURSAL EL SALVADOR</v>
      </c>
      <c r="F1212" s="217" t="s">
        <v>329</v>
      </c>
      <c r="G1212" s="217"/>
      <c r="H1212" s="219"/>
      <c r="I1212" s="219"/>
      <c r="J1212" s="219">
        <v>7741.48</v>
      </c>
      <c r="K1212" s="246">
        <v>1006.39</v>
      </c>
      <c r="L1212" s="219">
        <f t="shared" si="68"/>
        <v>8747.869999999999</v>
      </c>
      <c r="O1212" s="152" t="s">
        <v>149</v>
      </c>
      <c r="P1212" s="78">
        <v>51000100001</v>
      </c>
      <c r="Q1212" s="142" t="s">
        <v>496</v>
      </c>
      <c r="R1212" s="429">
        <f t="shared" si="67"/>
        <v>0</v>
      </c>
      <c r="T1212" s="97">
        <v>51000100002</v>
      </c>
      <c r="U1212" s="109" t="s">
        <v>380</v>
      </c>
      <c r="X1212" s="109">
        <v>-4433.08</v>
      </c>
    </row>
    <row r="1213" spans="2:26" x14ac:dyDescent="0.2">
      <c r="B1213" s="448">
        <v>43903</v>
      </c>
      <c r="C1213" s="138" t="s">
        <v>1563</v>
      </c>
      <c r="D1213" s="138" t="s">
        <v>459</v>
      </c>
      <c r="E1213" s="142" t="str">
        <f>+VLOOKUP(F1213,[17]bd!A:B,2,0)</f>
        <v>BANCO CUSCATLAN DE EL SALVADOR S.A.</v>
      </c>
      <c r="F1213" s="142" t="s">
        <v>90</v>
      </c>
      <c r="G1213" s="142"/>
      <c r="H1213" s="429"/>
      <c r="I1213" s="429"/>
      <c r="J1213" s="429">
        <v>102.74</v>
      </c>
      <c r="K1213" s="143">
        <v>13.36</v>
      </c>
      <c r="L1213" s="429">
        <f t="shared" si="68"/>
        <v>116.1</v>
      </c>
      <c r="M1213" s="245">
        <v>51000200002</v>
      </c>
      <c r="O1213" s="152" t="s">
        <v>149</v>
      </c>
      <c r="P1213" s="78">
        <v>51000100002</v>
      </c>
      <c r="Q1213" s="142" t="s">
        <v>460</v>
      </c>
      <c r="R1213" s="429">
        <f t="shared" si="67"/>
        <v>0</v>
      </c>
      <c r="T1213" s="97">
        <v>51220200001</v>
      </c>
      <c r="U1213" s="97" t="s">
        <v>55</v>
      </c>
      <c r="X1213" s="109">
        <v>-2269.62</v>
      </c>
      <c r="Y1213" s="109">
        <f>R1221+R1228</f>
        <v>1773.6999999999998</v>
      </c>
      <c r="Z1213" s="144">
        <f>X1214+Y1213</f>
        <v>1773.6999999999998</v>
      </c>
    </row>
    <row r="1214" spans="2:26" x14ac:dyDescent="0.2">
      <c r="B1214" s="448">
        <v>43903</v>
      </c>
      <c r="C1214" s="138" t="s">
        <v>1564</v>
      </c>
      <c r="D1214" s="138" t="s">
        <v>459</v>
      </c>
      <c r="E1214" s="142" t="str">
        <f>+VLOOKUP(F1214,[17]bd!A:B,2,0)</f>
        <v>BANCO CUSCATLAN DE EL SALVADOR S.A.</v>
      </c>
      <c r="F1214" s="142" t="s">
        <v>90</v>
      </c>
      <c r="G1214" s="142"/>
      <c r="H1214" s="429"/>
      <c r="I1214" s="429"/>
      <c r="J1214" s="429">
        <v>102.74</v>
      </c>
      <c r="K1214" s="143">
        <v>13.36</v>
      </c>
      <c r="L1214" s="429">
        <f t="shared" si="68"/>
        <v>116.1</v>
      </c>
      <c r="M1214" s="245">
        <v>51000200001</v>
      </c>
      <c r="O1214" s="152" t="s">
        <v>149</v>
      </c>
      <c r="P1214" s="78">
        <v>51000100002</v>
      </c>
      <c r="Q1214" s="142" t="s">
        <v>496</v>
      </c>
      <c r="R1214" s="429">
        <f t="shared" si="67"/>
        <v>0</v>
      </c>
      <c r="T1214" s="195">
        <v>52200000001</v>
      </c>
      <c r="U1214" s="195" t="s">
        <v>33</v>
      </c>
      <c r="V1214" s="195"/>
      <c r="W1214" s="195"/>
      <c r="X1214" s="109"/>
      <c r="Y1214" s="109">
        <v>0</v>
      </c>
      <c r="Z1214" s="144">
        <v>0</v>
      </c>
    </row>
    <row r="1215" spans="2:26" x14ac:dyDescent="0.2">
      <c r="B1215" s="448">
        <v>43906</v>
      </c>
      <c r="C1215" s="138" t="s">
        <v>1565</v>
      </c>
      <c r="D1215" s="138" t="s">
        <v>459</v>
      </c>
      <c r="E1215" s="142" t="str">
        <f>+VLOOKUP(F1215,[17]bd!A:B,2,0)</f>
        <v>BANCO CUSCATLAN DE EL SALVADOR S.A.</v>
      </c>
      <c r="F1215" s="142" t="s">
        <v>90</v>
      </c>
      <c r="G1215" s="142"/>
      <c r="H1215" s="429"/>
      <c r="I1215" s="429"/>
      <c r="J1215" s="429">
        <v>68.5</v>
      </c>
      <c r="K1215" s="143">
        <v>8.9</v>
      </c>
      <c r="L1215" s="429">
        <f t="shared" si="68"/>
        <v>77.400000000000006</v>
      </c>
      <c r="M1215" s="245">
        <v>51000200002</v>
      </c>
      <c r="O1215" s="152" t="s">
        <v>149</v>
      </c>
      <c r="P1215" s="227">
        <v>51000200001</v>
      </c>
      <c r="Q1215" s="217" t="s">
        <v>460</v>
      </c>
      <c r="R1215" s="429">
        <f t="shared" si="67"/>
        <v>669.19</v>
      </c>
      <c r="T1215" s="97">
        <v>51000000001</v>
      </c>
      <c r="U1215" s="97" t="s">
        <v>132</v>
      </c>
      <c r="X1215" s="109"/>
    </row>
    <row r="1216" spans="2:26" x14ac:dyDescent="0.2">
      <c r="B1216" s="448">
        <v>43906</v>
      </c>
      <c r="C1216" s="138" t="s">
        <v>1566</v>
      </c>
      <c r="D1216" s="138" t="s">
        <v>459</v>
      </c>
      <c r="E1216" s="142" t="str">
        <f>+VLOOKUP(F1216,[17]bd!A:B,2,0)</f>
        <v>BANCO CUSCATLAN DE EL SALVADOR S.A.</v>
      </c>
      <c r="F1216" s="142" t="s">
        <v>90</v>
      </c>
      <c r="G1216" s="142"/>
      <c r="H1216" s="429"/>
      <c r="I1216" s="429"/>
      <c r="J1216" s="429">
        <v>68.5</v>
      </c>
      <c r="K1216" s="143">
        <v>8.9</v>
      </c>
      <c r="L1216" s="429">
        <f t="shared" si="68"/>
        <v>77.400000000000006</v>
      </c>
      <c r="M1216" s="245">
        <v>51000200001</v>
      </c>
      <c r="O1216" s="152" t="s">
        <v>149</v>
      </c>
      <c r="P1216" s="78">
        <v>51000200001</v>
      </c>
      <c r="Q1216" s="142" t="s">
        <v>351</v>
      </c>
      <c r="R1216" s="429">
        <f t="shared" si="67"/>
        <v>0</v>
      </c>
      <c r="T1216" s="97">
        <v>51000000002</v>
      </c>
      <c r="U1216" s="97" t="s">
        <v>10</v>
      </c>
      <c r="X1216" s="109"/>
    </row>
    <row r="1217" spans="2:26" x14ac:dyDescent="0.2">
      <c r="B1217" s="448">
        <v>43906</v>
      </c>
      <c r="C1217" s="138" t="s">
        <v>1567</v>
      </c>
      <c r="D1217" s="138" t="s">
        <v>459</v>
      </c>
      <c r="E1217" s="142" t="str">
        <f>+VLOOKUP(F1217,[17]bd!A:B,2,0)</f>
        <v>INVERSIONES FINANCIERAS IMPERIA CUSCATLAN, SA</v>
      </c>
      <c r="F1217" s="142" t="s">
        <v>497</v>
      </c>
      <c r="G1217" s="428"/>
      <c r="H1217" s="429"/>
      <c r="I1217" s="429"/>
      <c r="J1217" s="429">
        <v>354.35</v>
      </c>
      <c r="K1217" s="143">
        <v>46.07</v>
      </c>
      <c r="L1217" s="429">
        <f t="shared" si="68"/>
        <v>400.42</v>
      </c>
      <c r="M1217" s="245">
        <v>51220200001</v>
      </c>
      <c r="O1217" s="152" t="s">
        <v>149</v>
      </c>
      <c r="P1217" s="78">
        <v>51000200001</v>
      </c>
      <c r="Q1217" s="142" t="s">
        <v>56</v>
      </c>
      <c r="R1217" s="429">
        <f t="shared" si="67"/>
        <v>0</v>
      </c>
      <c r="T1217" s="97">
        <v>53000100001</v>
      </c>
      <c r="U1217" s="97" t="s">
        <v>134</v>
      </c>
      <c r="X1217" s="198"/>
      <c r="Y1217" s="109">
        <v>0</v>
      </c>
      <c r="Z1217" s="144">
        <v>0</v>
      </c>
    </row>
    <row r="1218" spans="2:26" x14ac:dyDescent="0.2">
      <c r="B1218" s="448">
        <v>43906</v>
      </c>
      <c r="C1218" s="138" t="s">
        <v>503</v>
      </c>
      <c r="D1218" s="138" t="s">
        <v>459</v>
      </c>
      <c r="E1218" s="142" t="str">
        <f>+VLOOKUP(F1218,[17]bd!A:B,2,0)</f>
        <v>BANCO CUSCATLAN DE EL SALVADOR S.A.</v>
      </c>
      <c r="F1218" s="142" t="s">
        <v>90</v>
      </c>
      <c r="G1218" s="428"/>
      <c r="H1218" s="429"/>
      <c r="I1218" s="429"/>
      <c r="J1218" s="429">
        <v>1419.35</v>
      </c>
      <c r="K1218" s="143">
        <v>184.52</v>
      </c>
      <c r="L1218" s="429">
        <f t="shared" si="68"/>
        <v>1603.87</v>
      </c>
      <c r="M1218" s="245">
        <v>51220200001</v>
      </c>
      <c r="O1218" s="152" t="s">
        <v>149</v>
      </c>
      <c r="P1218" s="227">
        <v>51000200002</v>
      </c>
      <c r="Q1218" s="217" t="s">
        <v>460</v>
      </c>
      <c r="R1218" s="429">
        <f t="shared" si="67"/>
        <v>669.19</v>
      </c>
      <c r="X1218" s="171">
        <v>0</v>
      </c>
      <c r="Y1218" s="171"/>
      <c r="Z1218" s="167">
        <v>0</v>
      </c>
    </row>
    <row r="1219" spans="2:26" x14ac:dyDescent="0.2">
      <c r="B1219" s="692">
        <v>43906</v>
      </c>
      <c r="C1219" s="345" t="s">
        <v>1568</v>
      </c>
      <c r="D1219" s="345" t="s">
        <v>459</v>
      </c>
      <c r="E1219" s="217" t="str">
        <f>+VLOOKUP(F1219,[17]bd!A:B,2,0)</f>
        <v>CITIBANK, N.A. SUCURSAL EL SALVADOR</v>
      </c>
      <c r="F1219" s="217" t="s">
        <v>329</v>
      </c>
      <c r="G1219" s="217"/>
      <c r="H1219" s="219"/>
      <c r="I1219" s="219"/>
      <c r="J1219" s="219">
        <v>481.47</v>
      </c>
      <c r="K1219" s="246">
        <v>62.59</v>
      </c>
      <c r="L1219" s="219">
        <f t="shared" si="68"/>
        <v>544.06000000000006</v>
      </c>
      <c r="M1219" s="336"/>
      <c r="O1219" s="152" t="s">
        <v>149</v>
      </c>
      <c r="P1219" s="78">
        <v>51000200002</v>
      </c>
      <c r="Q1219" s="142" t="s">
        <v>351</v>
      </c>
      <c r="R1219" s="429">
        <f t="shared" si="67"/>
        <v>0</v>
      </c>
      <c r="X1219" s="158">
        <f>SUM(X1209:X1217)</f>
        <v>-15827.330000000002</v>
      </c>
      <c r="Y1219" s="158">
        <f>SUM(Y1209:Y1218)</f>
        <v>1773.6999999999998</v>
      </c>
      <c r="Z1219" s="158">
        <f>SUM(Z1209:Z1218)</f>
        <v>1773.6999999999998</v>
      </c>
    </row>
    <row r="1220" spans="2:26" x14ac:dyDescent="0.2">
      <c r="B1220" s="457">
        <v>43907</v>
      </c>
      <c r="C1220" s="138" t="s">
        <v>1569</v>
      </c>
      <c r="D1220" s="138" t="s">
        <v>459</v>
      </c>
      <c r="E1220" s="142" t="str">
        <f>+VLOOKUP(F1220,[17]bd!A:B,2,0)</f>
        <v>BANCO CUSCATLAN DE EL SALVADOR S.A.</v>
      </c>
      <c r="F1220" s="142" t="s">
        <v>90</v>
      </c>
      <c r="G1220" s="142"/>
      <c r="H1220" s="429"/>
      <c r="I1220" s="429"/>
      <c r="J1220" s="429">
        <v>479.45</v>
      </c>
      <c r="K1220" s="143">
        <v>62.33</v>
      </c>
      <c r="L1220" s="429">
        <f t="shared" si="68"/>
        <v>541.78</v>
      </c>
      <c r="M1220" s="245">
        <v>51000200002</v>
      </c>
      <c r="O1220" s="152" t="s">
        <v>149</v>
      </c>
      <c r="P1220" s="78">
        <v>51000200002</v>
      </c>
      <c r="Q1220" s="142" t="s">
        <v>56</v>
      </c>
      <c r="R1220" s="429">
        <f t="shared" si="67"/>
        <v>0</v>
      </c>
      <c r="U1220" s="109"/>
      <c r="Z1220" s="144"/>
    </row>
    <row r="1221" spans="2:26" x14ac:dyDescent="0.2">
      <c r="B1221" s="457">
        <v>43907</v>
      </c>
      <c r="C1221" s="138" t="s">
        <v>1570</v>
      </c>
      <c r="D1221" s="138" t="s">
        <v>459</v>
      </c>
      <c r="E1221" s="142" t="str">
        <f>+VLOOKUP(F1221,[17]bd!A:B,2,0)</f>
        <v>BANCO CUSCATLAN DE EL SALVADOR S.A.</v>
      </c>
      <c r="F1221" s="142" t="s">
        <v>90</v>
      </c>
      <c r="G1221" s="142"/>
      <c r="H1221" s="429"/>
      <c r="I1221" s="429"/>
      <c r="J1221" s="429">
        <v>479.45</v>
      </c>
      <c r="K1221" s="143">
        <v>62.33</v>
      </c>
      <c r="L1221" s="429">
        <f t="shared" si="68"/>
        <v>541.78</v>
      </c>
      <c r="M1221" s="245">
        <v>51000200001</v>
      </c>
      <c r="O1221" s="152" t="s">
        <v>149</v>
      </c>
      <c r="P1221" s="227">
        <v>51220200001</v>
      </c>
      <c r="Q1221" s="217" t="s">
        <v>460</v>
      </c>
      <c r="R1221" s="429">
        <f t="shared" si="67"/>
        <v>1419.35</v>
      </c>
      <c r="U1221" s="109"/>
    </row>
    <row r="1222" spans="2:26" x14ac:dyDescent="0.2">
      <c r="B1222" s="141">
        <v>43914</v>
      </c>
      <c r="C1222" s="138" t="s">
        <v>1571</v>
      </c>
      <c r="D1222" s="138" t="s">
        <v>459</v>
      </c>
      <c r="E1222" s="217" t="str">
        <f>+VLOOKUP(F1222,[17]bd!A:B,2,0)</f>
        <v>CITIBANK, N.A. SUCURSAL EL SALVADOR</v>
      </c>
      <c r="F1222" s="217" t="s">
        <v>329</v>
      </c>
      <c r="G1222" s="217"/>
      <c r="H1222" s="219"/>
      <c r="I1222" s="219"/>
      <c r="J1222" s="219">
        <v>18.5</v>
      </c>
      <c r="K1222" s="246">
        <v>2.4</v>
      </c>
      <c r="L1222" s="219">
        <f t="shared" si="68"/>
        <v>20.9</v>
      </c>
      <c r="M1222" s="224"/>
      <c r="O1222" s="152" t="s">
        <v>149</v>
      </c>
      <c r="P1222" s="78">
        <v>51220200001</v>
      </c>
      <c r="Q1222" s="142" t="s">
        <v>351</v>
      </c>
      <c r="R1222" s="429">
        <f t="shared" si="67"/>
        <v>0</v>
      </c>
    </row>
    <row r="1223" spans="2:26" x14ac:dyDescent="0.2">
      <c r="B1223" s="141">
        <v>43914</v>
      </c>
      <c r="C1223" s="138" t="s">
        <v>1572</v>
      </c>
      <c r="D1223" s="138" t="s">
        <v>459</v>
      </c>
      <c r="E1223" s="217" t="str">
        <f>+VLOOKUP(F1223,[17]bd!A:B,2,0)</f>
        <v>CITIBANK, N.A. SUCURSAL EL SALVADOR</v>
      </c>
      <c r="F1223" s="217" t="s">
        <v>329</v>
      </c>
      <c r="G1223" s="217"/>
      <c r="H1223" s="219"/>
      <c r="I1223" s="219"/>
      <c r="J1223" s="219">
        <v>18.5</v>
      </c>
      <c r="K1223" s="246">
        <v>2.4</v>
      </c>
      <c r="L1223" s="219">
        <f t="shared" si="68"/>
        <v>20.9</v>
      </c>
      <c r="M1223" s="224"/>
      <c r="O1223" s="152" t="s">
        <v>149</v>
      </c>
      <c r="P1223" s="78">
        <v>51220200001</v>
      </c>
      <c r="Q1223" s="142" t="s">
        <v>56</v>
      </c>
      <c r="R1223" s="429">
        <f t="shared" si="67"/>
        <v>0</v>
      </c>
    </row>
    <row r="1224" spans="2:26" x14ac:dyDescent="0.2">
      <c r="B1224" s="141">
        <v>43914</v>
      </c>
      <c r="C1224" s="138" t="s">
        <v>1573</v>
      </c>
      <c r="D1224" s="138" t="s">
        <v>459</v>
      </c>
      <c r="E1224" s="142" t="str">
        <f>+VLOOKUP(F1224,[17]bd!A:B,2,0)</f>
        <v>BANCO CUSCATLAN DE EL SALVADOR S.A.</v>
      </c>
      <c r="F1224" s="142" t="s">
        <v>90</v>
      </c>
      <c r="G1224" s="142"/>
      <c r="H1224" s="429"/>
      <c r="I1224" s="429"/>
      <c r="J1224" s="429">
        <v>18.5</v>
      </c>
      <c r="K1224" s="143">
        <v>2.4</v>
      </c>
      <c r="L1224" s="429">
        <f t="shared" si="68"/>
        <v>20.9</v>
      </c>
      <c r="M1224" s="245">
        <v>51000200002</v>
      </c>
      <c r="O1224" s="152" t="s">
        <v>149</v>
      </c>
      <c r="P1224" s="78">
        <v>52200000001</v>
      </c>
      <c r="Q1224" s="142" t="s">
        <v>460</v>
      </c>
      <c r="R1224" s="429">
        <f t="shared" si="67"/>
        <v>0</v>
      </c>
      <c r="W1224" s="106" t="s">
        <v>478</v>
      </c>
      <c r="X1224" s="144">
        <f>+X1209+X1210+X1211+X1212+X1213</f>
        <v>-15827.330000000002</v>
      </c>
    </row>
    <row r="1225" spans="2:26" x14ac:dyDescent="0.2">
      <c r="B1225" s="141">
        <v>43914</v>
      </c>
      <c r="C1225" s="138" t="s">
        <v>1574</v>
      </c>
      <c r="D1225" s="138" t="s">
        <v>459</v>
      </c>
      <c r="E1225" s="142" t="str">
        <f>+VLOOKUP(F1225,[17]bd!A:B,2,0)</f>
        <v>BANCO CUSCATLAN DE EL SALVADOR S.A.</v>
      </c>
      <c r="F1225" s="142" t="s">
        <v>90</v>
      </c>
      <c r="G1225" s="428"/>
      <c r="H1225" s="429"/>
      <c r="I1225" s="429"/>
      <c r="J1225" s="429">
        <v>18.5</v>
      </c>
      <c r="K1225" s="143">
        <v>2.4</v>
      </c>
      <c r="L1225" s="429">
        <f t="shared" si="68"/>
        <v>20.9</v>
      </c>
      <c r="M1225" s="245">
        <v>51000200001</v>
      </c>
      <c r="O1225" s="152" t="s">
        <v>149</v>
      </c>
      <c r="P1225" s="78">
        <v>52200000001</v>
      </c>
      <c r="Q1225" s="142" t="s">
        <v>351</v>
      </c>
      <c r="R1225" s="429">
        <f t="shared" si="67"/>
        <v>0</v>
      </c>
      <c r="W1225" s="97" t="s">
        <v>480</v>
      </c>
      <c r="X1225" s="144">
        <f>+R1229</f>
        <v>3112.08</v>
      </c>
    </row>
    <row r="1226" spans="2:26" x14ac:dyDescent="0.2">
      <c r="O1226" s="152" t="s">
        <v>149</v>
      </c>
      <c r="P1226" s="78">
        <v>52200000001</v>
      </c>
      <c r="Q1226" s="142" t="s">
        <v>56</v>
      </c>
      <c r="R1226" s="429">
        <f t="shared" si="67"/>
        <v>0</v>
      </c>
      <c r="W1226" s="97" t="s">
        <v>486</v>
      </c>
      <c r="X1226" s="167">
        <f>+J1211+J1212+J1219+J1222+J1223</f>
        <v>12688.17</v>
      </c>
    </row>
    <row r="1227" spans="2:26" x14ac:dyDescent="0.2">
      <c r="O1227" s="152" t="s">
        <v>149</v>
      </c>
      <c r="P1227" s="78">
        <v>52200000001</v>
      </c>
      <c r="Q1227" s="142" t="s">
        <v>460</v>
      </c>
      <c r="R1227" s="429">
        <f t="shared" si="67"/>
        <v>0</v>
      </c>
      <c r="X1227" s="324">
        <f>X1224+X1225+X1226</f>
        <v>-27.080000000001746</v>
      </c>
      <c r="Y1227" s="97" t="s">
        <v>500</v>
      </c>
    </row>
    <row r="1228" spans="2:26" x14ac:dyDescent="0.2">
      <c r="O1228" s="152" t="s">
        <v>149</v>
      </c>
      <c r="P1228" s="227">
        <v>51220200001</v>
      </c>
      <c r="Q1228" s="217" t="s">
        <v>496</v>
      </c>
      <c r="R1228" s="429">
        <f t="shared" si="67"/>
        <v>354.35</v>
      </c>
    </row>
    <row r="1229" spans="2:26" ht="13.5" thickBot="1" x14ac:dyDescent="0.25">
      <c r="R1229" s="244">
        <f>SUM(R1209:R1228)</f>
        <v>3112.08</v>
      </c>
    </row>
    <row r="1230" spans="2:26" ht="17.25" thickTop="1" x14ac:dyDescent="0.25">
      <c r="E1230" s="116" t="s">
        <v>150</v>
      </c>
    </row>
    <row r="1232" spans="2:26" ht="14.25" x14ac:dyDescent="0.2">
      <c r="B1232" s="125"/>
      <c r="C1232" s="126" t="s">
        <v>255</v>
      </c>
      <c r="D1232" s="127" t="s">
        <v>43</v>
      </c>
      <c r="E1232" s="127"/>
      <c r="F1232" s="127" t="s">
        <v>135</v>
      </c>
      <c r="G1232" s="127"/>
      <c r="H1232" s="128" t="s">
        <v>136</v>
      </c>
      <c r="I1232" s="129"/>
      <c r="J1232" s="129"/>
      <c r="K1232" s="129"/>
      <c r="L1232" s="146"/>
      <c r="O1232" s="1206" t="s">
        <v>1037</v>
      </c>
      <c r="P1232" s="1206"/>
      <c r="Q1232" s="1206"/>
      <c r="R1232" s="1206"/>
      <c r="U1232" s="106" t="s">
        <v>465</v>
      </c>
      <c r="Y1232" s="97" t="s">
        <v>479</v>
      </c>
      <c r="Z1232" s="97" t="s">
        <v>340</v>
      </c>
    </row>
    <row r="1233" spans="2:26" x14ac:dyDescent="0.2">
      <c r="B1233" s="130" t="s">
        <v>137</v>
      </c>
      <c r="C1233" s="131" t="s">
        <v>138</v>
      </c>
      <c r="D1233" s="131" t="s">
        <v>258</v>
      </c>
      <c r="E1233" s="131" t="s">
        <v>139</v>
      </c>
      <c r="F1233" s="131" t="s">
        <v>259</v>
      </c>
      <c r="G1233" s="131" t="s">
        <v>140</v>
      </c>
      <c r="H1233" s="132" t="s">
        <v>94</v>
      </c>
      <c r="I1233" s="129"/>
      <c r="J1233" s="132" t="s">
        <v>141</v>
      </c>
      <c r="K1233" s="129"/>
      <c r="L1233" s="147" t="s">
        <v>325</v>
      </c>
      <c r="O1233" s="152" t="s">
        <v>150</v>
      </c>
      <c r="P1233" s="78">
        <v>51000000001</v>
      </c>
      <c r="Q1233" s="142" t="s">
        <v>460</v>
      </c>
      <c r="R1233" s="429">
        <f>SUMIFS($J$1235:$J$1237,$E$1235:$E$1237,Q1233,$M$1235:$M$1237,P1233)</f>
        <v>0</v>
      </c>
      <c r="T1233" s="97">
        <v>51000200001</v>
      </c>
      <c r="U1233" s="97" t="s">
        <v>382</v>
      </c>
      <c r="X1233" s="109"/>
      <c r="Y1233" s="109">
        <f>R1236</f>
        <v>0</v>
      </c>
      <c r="Z1233" s="144">
        <v>0</v>
      </c>
    </row>
    <row r="1234" spans="2:26" x14ac:dyDescent="0.2">
      <c r="B1234" s="133"/>
      <c r="C1234" s="134"/>
      <c r="D1234" s="134"/>
      <c r="E1234" s="133"/>
      <c r="F1234" s="133"/>
      <c r="G1234" s="133"/>
      <c r="H1234" s="135" t="s">
        <v>326</v>
      </c>
      <c r="I1234" s="136" t="s">
        <v>327</v>
      </c>
      <c r="J1234" s="148" t="s">
        <v>328</v>
      </c>
      <c r="K1234" s="148" t="s">
        <v>89</v>
      </c>
      <c r="L1234" s="149" t="s">
        <v>94</v>
      </c>
      <c r="O1234" s="152" t="s">
        <v>150</v>
      </c>
      <c r="P1234" s="78">
        <v>51000000002</v>
      </c>
      <c r="Q1234" s="142" t="s">
        <v>460</v>
      </c>
      <c r="R1234" s="429">
        <f t="shared" ref="R1234:R1252" si="69">SUMIFS($J$1235:$J$1237,$E$1235:$E$1237,Q1234,$M$1235:$M$1237,P1234)</f>
        <v>0</v>
      </c>
      <c r="T1234" s="97">
        <v>51000200002</v>
      </c>
      <c r="U1234" s="97" t="s">
        <v>383</v>
      </c>
      <c r="X1234" s="109"/>
      <c r="Y1234" s="109">
        <f>R1238</f>
        <v>0</v>
      </c>
      <c r="Z1234" s="144">
        <v>0</v>
      </c>
    </row>
    <row r="1235" spans="2:26" x14ac:dyDescent="0.2">
      <c r="B1235" s="703" t="s">
        <v>1589</v>
      </c>
      <c r="C1235" s="138" t="s">
        <v>1590</v>
      </c>
      <c r="D1235" s="138" t="s">
        <v>459</v>
      </c>
      <c r="E1235" s="142" t="str">
        <f>+VLOOKUP(F1235,[18]bd!A:B,2,0)</f>
        <v>INVERSIONES FINANCIERAS IMPERIA CUSCATLAN, SA</v>
      </c>
      <c r="F1235" s="142" t="s">
        <v>497</v>
      </c>
      <c r="G1235" s="142"/>
      <c r="H1235" s="429"/>
      <c r="I1235" s="429"/>
      <c r="J1235" s="429">
        <v>354.35</v>
      </c>
      <c r="K1235" s="143">
        <v>46.07</v>
      </c>
      <c r="L1235" s="429">
        <f>+J1235+K1235</f>
        <v>400.42</v>
      </c>
      <c r="M1235" s="245">
        <v>51220200001</v>
      </c>
      <c r="O1235" s="152" t="s">
        <v>150</v>
      </c>
      <c r="P1235" s="78">
        <v>51000100001</v>
      </c>
      <c r="Q1235" s="142" t="s">
        <v>460</v>
      </c>
      <c r="R1235" s="429">
        <f t="shared" si="69"/>
        <v>0</v>
      </c>
      <c r="T1235" s="97">
        <v>51000100001</v>
      </c>
      <c r="U1235" s="109" t="s">
        <v>12</v>
      </c>
      <c r="X1235" s="109"/>
    </row>
    <row r="1236" spans="2:26" x14ac:dyDescent="0.2">
      <c r="B1236" s="448">
        <v>43943</v>
      </c>
      <c r="C1236" s="138" t="s">
        <v>1591</v>
      </c>
      <c r="D1236" s="138" t="s">
        <v>459</v>
      </c>
      <c r="E1236" s="142" t="str">
        <f>+VLOOKUP(F1236,[18]bd!A:B,2,0)</f>
        <v>BANCO CUSCATLAN DE EL SALVADOR S.A.</v>
      </c>
      <c r="F1236" s="142" t="s">
        <v>90</v>
      </c>
      <c r="G1236" s="142"/>
      <c r="H1236" s="429"/>
      <c r="I1236" s="429"/>
      <c r="J1236" s="429">
        <v>1794.66</v>
      </c>
      <c r="K1236" s="143">
        <v>233.31</v>
      </c>
      <c r="L1236" s="429">
        <f>+J1236+K1236</f>
        <v>2027.97</v>
      </c>
      <c r="M1236" s="245">
        <v>51220200001</v>
      </c>
      <c r="O1236" s="152" t="s">
        <v>150</v>
      </c>
      <c r="P1236" s="78">
        <v>51000100001</v>
      </c>
      <c r="Q1236" s="142" t="s">
        <v>496</v>
      </c>
      <c r="R1236" s="429">
        <f t="shared" si="69"/>
        <v>0</v>
      </c>
      <c r="T1236" s="97">
        <v>51000100002</v>
      </c>
      <c r="U1236" s="109" t="s">
        <v>380</v>
      </c>
      <c r="X1236" s="109"/>
    </row>
    <row r="1237" spans="2:26" x14ac:dyDescent="0.2">
      <c r="B1237" s="693">
        <v>43943</v>
      </c>
      <c r="C1237" s="345" t="s">
        <v>1592</v>
      </c>
      <c r="D1237" s="345" t="s">
        <v>459</v>
      </c>
      <c r="E1237" s="217" t="str">
        <f>+VLOOKUP(F1237,[18]bd!A:B,2,0)</f>
        <v>CITIBANK, N.A. SUCURSAL EL SALVADOR</v>
      </c>
      <c r="F1237" s="217" t="s">
        <v>329</v>
      </c>
      <c r="G1237" s="217"/>
      <c r="H1237" s="219"/>
      <c r="I1237" s="219"/>
      <c r="J1237" s="219">
        <v>253.82</v>
      </c>
      <c r="K1237" s="246">
        <v>33</v>
      </c>
      <c r="L1237" s="219">
        <f>+J1237+K1237</f>
        <v>286.82</v>
      </c>
      <c r="M1237" s="245">
        <v>51220200001</v>
      </c>
      <c r="O1237" s="152" t="s">
        <v>150</v>
      </c>
      <c r="P1237" s="78">
        <v>51000100002</v>
      </c>
      <c r="Q1237" s="142" t="s">
        <v>460</v>
      </c>
      <c r="R1237" s="429">
        <f t="shared" si="69"/>
        <v>0</v>
      </c>
      <c r="T1237" s="97">
        <v>51220200001</v>
      </c>
      <c r="U1237" s="97" t="s">
        <v>55</v>
      </c>
      <c r="X1237" s="109">
        <v>-2414.75</v>
      </c>
      <c r="Y1237" s="109">
        <f>R1245+R1252</f>
        <v>2149.0100000000002</v>
      </c>
      <c r="Z1237" s="144">
        <f>X1238+Y1237</f>
        <v>2035.3000000000002</v>
      </c>
    </row>
    <row r="1238" spans="2:26" x14ac:dyDescent="0.2">
      <c r="E1238" s="142"/>
      <c r="O1238" s="152" t="s">
        <v>150</v>
      </c>
      <c r="P1238" s="78">
        <v>51000100002</v>
      </c>
      <c r="Q1238" s="142" t="s">
        <v>496</v>
      </c>
      <c r="R1238" s="429">
        <f t="shared" si="69"/>
        <v>0</v>
      </c>
      <c r="T1238" s="195">
        <v>52200000001</v>
      </c>
      <c r="U1238" s="195" t="s">
        <v>33</v>
      </c>
      <c r="V1238" s="195"/>
      <c r="W1238" s="195"/>
      <c r="X1238" s="109">
        <v>-113.71000000000004</v>
      </c>
      <c r="Y1238" s="109">
        <v>0</v>
      </c>
      <c r="Z1238" s="144">
        <v>0</v>
      </c>
    </row>
    <row r="1239" spans="2:26" x14ac:dyDescent="0.2">
      <c r="O1239" s="152" t="s">
        <v>150</v>
      </c>
      <c r="P1239" s="227">
        <v>51000200001</v>
      </c>
      <c r="Q1239" s="217" t="s">
        <v>460</v>
      </c>
      <c r="R1239" s="429">
        <f t="shared" si="69"/>
        <v>0</v>
      </c>
      <c r="T1239" s="97">
        <v>51000000001</v>
      </c>
      <c r="U1239" s="97" t="s">
        <v>132</v>
      </c>
      <c r="X1239" s="109"/>
    </row>
    <row r="1240" spans="2:26" x14ac:dyDescent="0.2">
      <c r="M1240" s="427"/>
      <c r="N1240" s="427"/>
      <c r="O1240" s="152" t="s">
        <v>150</v>
      </c>
      <c r="P1240" s="78">
        <v>51000200001</v>
      </c>
      <c r="Q1240" s="142" t="s">
        <v>351</v>
      </c>
      <c r="R1240" s="429">
        <f t="shared" si="69"/>
        <v>0</v>
      </c>
      <c r="T1240" s="97">
        <v>51000000002</v>
      </c>
      <c r="U1240" s="97" t="s">
        <v>10</v>
      </c>
      <c r="X1240" s="109"/>
    </row>
    <row r="1241" spans="2:26" x14ac:dyDescent="0.2">
      <c r="M1241" s="427"/>
      <c r="N1241" s="427"/>
      <c r="O1241" s="152" t="s">
        <v>150</v>
      </c>
      <c r="P1241" s="78">
        <v>51000200001</v>
      </c>
      <c r="Q1241" s="142" t="s">
        <v>56</v>
      </c>
      <c r="R1241" s="429">
        <f t="shared" si="69"/>
        <v>0</v>
      </c>
      <c r="T1241" s="97">
        <v>53000100001</v>
      </c>
      <c r="U1241" s="97" t="s">
        <v>134</v>
      </c>
      <c r="X1241" s="198"/>
      <c r="Y1241" s="109">
        <v>0</v>
      </c>
      <c r="Z1241" s="144">
        <v>0</v>
      </c>
    </row>
    <row r="1242" spans="2:26" x14ac:dyDescent="0.2">
      <c r="M1242" s="427"/>
      <c r="N1242" s="427"/>
      <c r="O1242" s="152" t="s">
        <v>150</v>
      </c>
      <c r="P1242" s="227">
        <v>51000200002</v>
      </c>
      <c r="Q1242" s="217" t="s">
        <v>460</v>
      </c>
      <c r="R1242" s="429">
        <f t="shared" si="69"/>
        <v>0</v>
      </c>
      <c r="X1242" s="171">
        <v>0</v>
      </c>
      <c r="Y1242" s="171"/>
      <c r="Z1242" s="167">
        <v>0</v>
      </c>
    </row>
    <row r="1243" spans="2:26" x14ac:dyDescent="0.2">
      <c r="M1243" s="427"/>
      <c r="N1243" s="427"/>
      <c r="O1243" s="152" t="s">
        <v>150</v>
      </c>
      <c r="P1243" s="78">
        <v>51000200002</v>
      </c>
      <c r="Q1243" s="142" t="s">
        <v>351</v>
      </c>
      <c r="R1243" s="429">
        <f t="shared" si="69"/>
        <v>0</v>
      </c>
      <c r="X1243" s="158">
        <f>SUM(X1233:X1241)</f>
        <v>-2528.46</v>
      </c>
      <c r="Y1243" s="158">
        <f>SUM(Y1233:Y1242)</f>
        <v>2149.0100000000002</v>
      </c>
      <c r="Z1243" s="158">
        <f>SUM(Z1233:Z1242)</f>
        <v>2035.3000000000002</v>
      </c>
    </row>
    <row r="1244" spans="2:26" x14ac:dyDescent="0.2">
      <c r="M1244" s="427"/>
      <c r="N1244" s="427"/>
      <c r="O1244" s="152" t="s">
        <v>150</v>
      </c>
      <c r="P1244" s="78">
        <v>51000200002</v>
      </c>
      <c r="Q1244" s="142" t="s">
        <v>56</v>
      </c>
      <c r="R1244" s="429">
        <f t="shared" si="69"/>
        <v>0</v>
      </c>
      <c r="U1244" s="109"/>
      <c r="Z1244" s="144"/>
    </row>
    <row r="1245" spans="2:26" x14ac:dyDescent="0.2">
      <c r="M1245" s="427"/>
      <c r="N1245" s="427"/>
      <c r="O1245" s="152" t="s">
        <v>150</v>
      </c>
      <c r="P1245" s="227">
        <v>51220200001</v>
      </c>
      <c r="Q1245" s="217" t="s">
        <v>460</v>
      </c>
      <c r="R1245" s="429">
        <f t="shared" si="69"/>
        <v>1794.66</v>
      </c>
      <c r="U1245" s="109"/>
    </row>
    <row r="1246" spans="2:26" x14ac:dyDescent="0.2">
      <c r="M1246" s="427"/>
      <c r="N1246" s="427"/>
      <c r="O1246" s="152" t="s">
        <v>150</v>
      </c>
      <c r="P1246" s="78">
        <v>51220200001</v>
      </c>
      <c r="Q1246" s="142" t="s">
        <v>351</v>
      </c>
      <c r="R1246" s="429">
        <f t="shared" si="69"/>
        <v>0</v>
      </c>
    </row>
    <row r="1247" spans="2:26" x14ac:dyDescent="0.2">
      <c r="M1247" s="427"/>
      <c r="N1247" s="427"/>
      <c r="O1247" s="152" t="s">
        <v>150</v>
      </c>
      <c r="P1247" s="78">
        <v>51220200001</v>
      </c>
      <c r="Q1247" s="142" t="s">
        <v>56</v>
      </c>
      <c r="R1247" s="429">
        <f t="shared" si="69"/>
        <v>0</v>
      </c>
    </row>
    <row r="1248" spans="2:26" x14ac:dyDescent="0.2">
      <c r="M1248" s="427"/>
      <c r="N1248" s="427"/>
      <c r="O1248" s="152" t="s">
        <v>150</v>
      </c>
      <c r="P1248" s="78">
        <v>52200000001</v>
      </c>
      <c r="Q1248" s="142" t="s">
        <v>460</v>
      </c>
      <c r="R1248" s="429">
        <f t="shared" si="69"/>
        <v>0</v>
      </c>
      <c r="W1248" s="106" t="s">
        <v>478</v>
      </c>
      <c r="X1248" s="144">
        <f>+X1233+X1234+X1235+X1236+X1237</f>
        <v>-2414.75</v>
      </c>
    </row>
    <row r="1249" spans="2:26" x14ac:dyDescent="0.2">
      <c r="M1249" s="427"/>
      <c r="N1249" s="427"/>
      <c r="O1249" s="152" t="s">
        <v>150</v>
      </c>
      <c r="P1249" s="78">
        <v>52200000001</v>
      </c>
      <c r="Q1249" s="142" t="s">
        <v>351</v>
      </c>
      <c r="R1249" s="429">
        <f t="shared" si="69"/>
        <v>0</v>
      </c>
      <c r="W1249" s="97" t="s">
        <v>480</v>
      </c>
      <c r="X1249" s="144">
        <f>+R1253</f>
        <v>2149.0100000000002</v>
      </c>
    </row>
    <row r="1250" spans="2:26" x14ac:dyDescent="0.2">
      <c r="M1250" s="427"/>
      <c r="N1250" s="427"/>
      <c r="O1250" s="152" t="s">
        <v>150</v>
      </c>
      <c r="P1250" s="78">
        <v>52200000001</v>
      </c>
      <c r="Q1250" s="142" t="s">
        <v>56</v>
      </c>
      <c r="R1250" s="429">
        <f t="shared" si="69"/>
        <v>0</v>
      </c>
      <c r="W1250" s="97" t="s">
        <v>486</v>
      </c>
      <c r="X1250" s="167">
        <f>+J1237</f>
        <v>253.82</v>
      </c>
    </row>
    <row r="1251" spans="2:26" x14ac:dyDescent="0.2">
      <c r="M1251" s="427"/>
      <c r="N1251" s="427"/>
      <c r="O1251" s="152" t="s">
        <v>150</v>
      </c>
      <c r="P1251" s="78">
        <v>52200000001</v>
      </c>
      <c r="Q1251" s="142" t="s">
        <v>460</v>
      </c>
      <c r="R1251" s="429">
        <f t="shared" si="69"/>
        <v>0</v>
      </c>
      <c r="X1251" s="324">
        <f>X1248+X1249+X1250</f>
        <v>-11.919999999999789</v>
      </c>
      <c r="Y1251" s="97" t="s">
        <v>500</v>
      </c>
    </row>
    <row r="1252" spans="2:26" x14ac:dyDescent="0.2">
      <c r="M1252" s="427"/>
      <c r="N1252" s="427"/>
      <c r="O1252" s="152" t="s">
        <v>150</v>
      </c>
      <c r="P1252" s="227">
        <v>51220200001</v>
      </c>
      <c r="Q1252" s="217" t="s">
        <v>496</v>
      </c>
      <c r="R1252" s="429">
        <f t="shared" si="69"/>
        <v>354.35</v>
      </c>
    </row>
    <row r="1253" spans="2:26" ht="13.5" thickBot="1" x14ac:dyDescent="0.25">
      <c r="M1253" s="427"/>
      <c r="N1253" s="427"/>
      <c r="O1253" s="427"/>
      <c r="P1253" s="427"/>
      <c r="R1253" s="244">
        <f>SUM(R1233:R1252)</f>
        <v>2149.0100000000002</v>
      </c>
    </row>
    <row r="1254" spans="2:26" ht="13.5" thickTop="1" x14ac:dyDescent="0.2">
      <c r="M1254" s="427"/>
      <c r="N1254" s="427"/>
      <c r="O1254" s="427"/>
      <c r="P1254" s="427"/>
    </row>
    <row r="1255" spans="2:26" x14ac:dyDescent="0.2">
      <c r="E1255" s="730" t="s">
        <v>151</v>
      </c>
      <c r="M1255" s="427"/>
      <c r="N1255" s="427"/>
      <c r="O1255" s="427"/>
      <c r="P1255" s="427"/>
    </row>
    <row r="1256" spans="2:26" x14ac:dyDescent="0.2">
      <c r="M1256" s="427"/>
      <c r="N1256" s="427"/>
      <c r="O1256" s="427"/>
      <c r="P1256" s="427"/>
    </row>
    <row r="1257" spans="2:26" ht="14.25" x14ac:dyDescent="0.2">
      <c r="B1257" s="125"/>
      <c r="C1257" s="126" t="s">
        <v>255</v>
      </c>
      <c r="D1257" s="127" t="s">
        <v>43</v>
      </c>
      <c r="E1257" s="127"/>
      <c r="F1257" s="127" t="s">
        <v>135</v>
      </c>
      <c r="G1257" s="127"/>
      <c r="H1257" s="128" t="s">
        <v>136</v>
      </c>
      <c r="I1257" s="129"/>
      <c r="J1257" s="129"/>
      <c r="K1257" s="129"/>
      <c r="L1257" s="146"/>
      <c r="M1257" s="233"/>
      <c r="N1257" s="427"/>
      <c r="O1257" s="1206" t="s">
        <v>1037</v>
      </c>
      <c r="P1257" s="1206"/>
      <c r="Q1257" s="1206"/>
      <c r="R1257" s="1206"/>
      <c r="U1257" s="106" t="s">
        <v>465</v>
      </c>
      <c r="Y1257" s="97" t="s">
        <v>479</v>
      </c>
      <c r="Z1257" s="97" t="s">
        <v>340</v>
      </c>
    </row>
    <row r="1258" spans="2:26" x14ac:dyDescent="0.2">
      <c r="B1258" s="130" t="s">
        <v>137</v>
      </c>
      <c r="C1258" s="131" t="s">
        <v>138</v>
      </c>
      <c r="D1258" s="131" t="s">
        <v>258</v>
      </c>
      <c r="E1258" s="131" t="s">
        <v>139</v>
      </c>
      <c r="F1258" s="131" t="s">
        <v>259</v>
      </c>
      <c r="G1258" s="131" t="s">
        <v>140</v>
      </c>
      <c r="H1258" s="132" t="s">
        <v>94</v>
      </c>
      <c r="I1258" s="129"/>
      <c r="J1258" s="132" t="s">
        <v>141</v>
      </c>
      <c r="K1258" s="129"/>
      <c r="L1258" s="147" t="s">
        <v>325</v>
      </c>
      <c r="M1258" s="233"/>
      <c r="N1258" s="427"/>
      <c r="O1258" s="152" t="s">
        <v>151</v>
      </c>
      <c r="P1258" s="78">
        <v>51000000001</v>
      </c>
      <c r="Q1258" s="142" t="s">
        <v>460</v>
      </c>
      <c r="R1258" s="429">
        <f>SUMIFS($J$1260:$J$1264,$E$1260:$E$1264,Q1258,$M$1260:$M$1264,P1258)</f>
        <v>0</v>
      </c>
      <c r="T1258" s="97">
        <v>51000200001</v>
      </c>
      <c r="U1258" s="97" t="s">
        <v>382</v>
      </c>
      <c r="X1258" s="109"/>
      <c r="Y1258" s="109">
        <f>R1261</f>
        <v>0</v>
      </c>
      <c r="Z1258" s="144">
        <v>0</v>
      </c>
    </row>
    <row r="1259" spans="2:26" x14ac:dyDescent="0.2">
      <c r="B1259" s="133"/>
      <c r="C1259" s="134"/>
      <c r="D1259" s="134"/>
      <c r="E1259" s="133"/>
      <c r="F1259" s="133"/>
      <c r="G1259" s="133"/>
      <c r="H1259" s="135" t="s">
        <v>326</v>
      </c>
      <c r="I1259" s="136" t="s">
        <v>327</v>
      </c>
      <c r="J1259" s="148" t="s">
        <v>328</v>
      </c>
      <c r="K1259" s="148" t="s">
        <v>89</v>
      </c>
      <c r="L1259" s="149" t="s">
        <v>94</v>
      </c>
      <c r="M1259" s="233"/>
      <c r="N1259" s="427"/>
      <c r="O1259" s="152" t="s">
        <v>151</v>
      </c>
      <c r="P1259" s="78">
        <v>51000000002</v>
      </c>
      <c r="Q1259" s="142" t="s">
        <v>460</v>
      </c>
      <c r="R1259" s="429">
        <f t="shared" ref="R1259:R1277" si="70">SUMIFS($J$1260:$J$1264,$E$1260:$E$1264,Q1259,$M$1260:$M$1264,P1259)</f>
        <v>0</v>
      </c>
      <c r="T1259" s="97">
        <v>51000200002</v>
      </c>
      <c r="U1259" s="97" t="s">
        <v>383</v>
      </c>
      <c r="X1259" s="109"/>
      <c r="Y1259" s="109">
        <f>R1263</f>
        <v>0</v>
      </c>
      <c r="Z1259" s="144">
        <v>0</v>
      </c>
    </row>
    <row r="1260" spans="2:26" x14ac:dyDescent="0.2">
      <c r="B1260" s="705">
        <v>43955</v>
      </c>
      <c r="C1260" s="345" t="s">
        <v>1596</v>
      </c>
      <c r="D1260" s="345" t="s">
        <v>459</v>
      </c>
      <c r="E1260" s="217" t="s">
        <v>539</v>
      </c>
      <c r="F1260" s="217" t="s">
        <v>329</v>
      </c>
      <c r="G1260" s="217"/>
      <c r="H1260" s="219"/>
      <c r="I1260" s="219"/>
      <c r="J1260" s="219">
        <f>K1260/0.13</f>
        <v>1375.5384615384614</v>
      </c>
      <c r="K1260" s="246">
        <v>178.82</v>
      </c>
      <c r="L1260" s="219">
        <f>+J1260+K1260</f>
        <v>1554.3584615384614</v>
      </c>
      <c r="M1260" s="236"/>
      <c r="N1260" s="427"/>
      <c r="O1260" s="152" t="s">
        <v>151</v>
      </c>
      <c r="P1260" s="78">
        <v>51000100001</v>
      </c>
      <c r="Q1260" s="142" t="s">
        <v>460</v>
      </c>
      <c r="R1260" s="429">
        <f t="shared" si="70"/>
        <v>0</v>
      </c>
      <c r="T1260" s="97">
        <v>51000100001</v>
      </c>
      <c r="U1260" s="109" t="s">
        <v>12</v>
      </c>
      <c r="X1260" s="109">
        <v>-1375.5099999999984</v>
      </c>
    </row>
    <row r="1261" spans="2:26" x14ac:dyDescent="0.2">
      <c r="B1261" s="693">
        <v>43955</v>
      </c>
      <c r="C1261" s="345" t="s">
        <v>1597</v>
      </c>
      <c r="D1261" s="345" t="s">
        <v>459</v>
      </c>
      <c r="E1261" s="217" t="s">
        <v>539</v>
      </c>
      <c r="F1261" s="217" t="s">
        <v>329</v>
      </c>
      <c r="G1261" s="217"/>
      <c r="H1261" s="219"/>
      <c r="I1261" s="219"/>
      <c r="J1261" s="219">
        <f>K1261/0.13</f>
        <v>791.07692307692309</v>
      </c>
      <c r="K1261" s="246">
        <v>102.84</v>
      </c>
      <c r="L1261" s="219">
        <f>+J1261+K1261</f>
        <v>893.91692307692313</v>
      </c>
      <c r="M1261" s="236"/>
      <c r="N1261" s="427"/>
      <c r="O1261" s="152" t="s">
        <v>151</v>
      </c>
      <c r="P1261" s="78">
        <v>51000100001</v>
      </c>
      <c r="Q1261" s="142" t="s">
        <v>496</v>
      </c>
      <c r="R1261" s="429">
        <f t="shared" si="70"/>
        <v>0</v>
      </c>
      <c r="T1261" s="97">
        <v>51000100002</v>
      </c>
      <c r="U1261" s="109" t="s">
        <v>380</v>
      </c>
      <c r="X1261" s="109">
        <v>-791.09000000000015</v>
      </c>
    </row>
    <row r="1262" spans="2:26" x14ac:dyDescent="0.2">
      <c r="B1262" s="448">
        <v>43959</v>
      </c>
      <c r="C1262" s="184"/>
      <c r="D1262" s="184" t="s">
        <v>459</v>
      </c>
      <c r="E1262" s="185" t="s">
        <v>496</v>
      </c>
      <c r="F1262" s="185"/>
      <c r="G1262" s="185"/>
      <c r="H1262" s="186"/>
      <c r="I1262" s="186" t="s">
        <v>1598</v>
      </c>
      <c r="J1262" s="186">
        <f>K1262/0.13</f>
        <v>354.38461538461536</v>
      </c>
      <c r="K1262" s="187">
        <v>46.07</v>
      </c>
      <c r="L1262" s="186">
        <f>+J1262+K1262</f>
        <v>400.45461538461535</v>
      </c>
      <c r="M1262" s="245">
        <v>51220200001</v>
      </c>
      <c r="N1262" s="427"/>
      <c r="O1262" s="152" t="s">
        <v>151</v>
      </c>
      <c r="P1262" s="78">
        <v>51000100002</v>
      </c>
      <c r="Q1262" s="142" t="s">
        <v>460</v>
      </c>
      <c r="R1262" s="429">
        <f t="shared" si="70"/>
        <v>0</v>
      </c>
      <c r="T1262" s="97">
        <v>51220200001</v>
      </c>
      <c r="U1262" s="97" t="s">
        <v>55</v>
      </c>
      <c r="X1262" s="109">
        <v>-2737.7800000000007</v>
      </c>
      <c r="Y1262" s="109">
        <f>R1270+R1277</f>
        <v>2526.5384615384614</v>
      </c>
      <c r="Z1262" s="144">
        <f>X1263+Y1262</f>
        <v>2526.5384615384614</v>
      </c>
    </row>
    <row r="1263" spans="2:26" x14ac:dyDescent="0.2">
      <c r="B1263" s="448">
        <v>43959</v>
      </c>
      <c r="C1263" s="184"/>
      <c r="D1263" s="184" t="s">
        <v>459</v>
      </c>
      <c r="E1263" s="185" t="s">
        <v>460</v>
      </c>
      <c r="F1263" s="185"/>
      <c r="G1263" s="185"/>
      <c r="H1263" s="186"/>
      <c r="I1263" s="186" t="s">
        <v>1598</v>
      </c>
      <c r="J1263" s="186">
        <f>K1263/0.13</f>
        <v>2172.1538461538462</v>
      </c>
      <c r="K1263" s="187">
        <v>282.38</v>
      </c>
      <c r="L1263" s="186">
        <f>+J1263+K1263</f>
        <v>2454.5338461538463</v>
      </c>
      <c r="M1263" s="245">
        <v>51220200001</v>
      </c>
      <c r="N1263" s="427"/>
      <c r="O1263" s="152" t="s">
        <v>151</v>
      </c>
      <c r="P1263" s="78">
        <v>51000100002</v>
      </c>
      <c r="Q1263" s="142" t="s">
        <v>496</v>
      </c>
      <c r="R1263" s="429">
        <f t="shared" si="70"/>
        <v>0</v>
      </c>
      <c r="T1263" s="195">
        <v>52200000001</v>
      </c>
      <c r="U1263" s="195" t="s">
        <v>33</v>
      </c>
      <c r="V1263" s="195"/>
      <c r="W1263" s="195"/>
      <c r="X1263" s="109"/>
      <c r="Y1263" s="109">
        <v>0</v>
      </c>
      <c r="Z1263" s="144">
        <v>0</v>
      </c>
    </row>
    <row r="1264" spans="2:26" x14ac:dyDescent="0.2">
      <c r="B1264" s="448">
        <v>43959</v>
      </c>
      <c r="C1264" s="345"/>
      <c r="D1264" s="345" t="s">
        <v>459</v>
      </c>
      <c r="E1264" s="217" t="s">
        <v>460</v>
      </c>
      <c r="F1264" s="217"/>
      <c r="G1264" s="217"/>
      <c r="H1264" s="219"/>
      <c r="I1264" s="219" t="s">
        <v>1598</v>
      </c>
      <c r="J1264" s="219">
        <f>K1264/0.13</f>
        <v>180.61538461538461</v>
      </c>
      <c r="K1264" s="246">
        <v>23.48</v>
      </c>
      <c r="L1264" s="219">
        <f>+J1264+K1264</f>
        <v>204.0953846153846</v>
      </c>
      <c r="M1264" s="224"/>
      <c r="N1264" s="427"/>
      <c r="O1264" s="152" t="s">
        <v>151</v>
      </c>
      <c r="P1264" s="227">
        <v>51000200001</v>
      </c>
      <c r="Q1264" s="217" t="s">
        <v>460</v>
      </c>
      <c r="R1264" s="429">
        <f t="shared" si="70"/>
        <v>0</v>
      </c>
      <c r="T1264" s="97">
        <v>51000000001</v>
      </c>
      <c r="U1264" s="97" t="s">
        <v>132</v>
      </c>
      <c r="X1264" s="109"/>
    </row>
    <row r="1265" spans="5:26" x14ac:dyDescent="0.2">
      <c r="M1265" s="427"/>
      <c r="N1265" s="427"/>
      <c r="O1265" s="152" t="s">
        <v>151</v>
      </c>
      <c r="P1265" s="78">
        <v>51000200001</v>
      </c>
      <c r="Q1265" s="142" t="s">
        <v>351</v>
      </c>
      <c r="R1265" s="429">
        <f t="shared" si="70"/>
        <v>0</v>
      </c>
      <c r="T1265" s="97">
        <v>51000000002</v>
      </c>
      <c r="U1265" s="97" t="s">
        <v>10</v>
      </c>
      <c r="X1265" s="109"/>
    </row>
    <row r="1266" spans="5:26" x14ac:dyDescent="0.2">
      <c r="M1266" s="427"/>
      <c r="N1266" s="427"/>
      <c r="O1266" s="152" t="s">
        <v>151</v>
      </c>
      <c r="P1266" s="78">
        <v>51000200001</v>
      </c>
      <c r="Q1266" s="142" t="s">
        <v>56</v>
      </c>
      <c r="R1266" s="429">
        <f t="shared" si="70"/>
        <v>0</v>
      </c>
      <c r="T1266" s="97">
        <v>53000100001</v>
      </c>
      <c r="U1266" s="97" t="s">
        <v>134</v>
      </c>
      <c r="X1266" s="198"/>
      <c r="Y1266" s="109">
        <v>0</v>
      </c>
      <c r="Z1266" s="144">
        <v>0</v>
      </c>
    </row>
    <row r="1267" spans="5:26" x14ac:dyDescent="0.2">
      <c r="M1267" s="427"/>
      <c r="N1267" s="427"/>
      <c r="O1267" s="152" t="s">
        <v>151</v>
      </c>
      <c r="P1267" s="227">
        <v>51000200002</v>
      </c>
      <c r="Q1267" s="217" t="s">
        <v>460</v>
      </c>
      <c r="R1267" s="429">
        <f t="shared" si="70"/>
        <v>0</v>
      </c>
      <c r="X1267" s="171">
        <v>0</v>
      </c>
      <c r="Y1267" s="171"/>
      <c r="Z1267" s="167">
        <v>0</v>
      </c>
    </row>
    <row r="1268" spans="5:26" x14ac:dyDescent="0.2">
      <c r="M1268" s="427"/>
      <c r="N1268" s="427"/>
      <c r="O1268" s="152" t="s">
        <v>151</v>
      </c>
      <c r="P1268" s="78">
        <v>51000200002</v>
      </c>
      <c r="Q1268" s="142" t="s">
        <v>351</v>
      </c>
      <c r="R1268" s="429">
        <f t="shared" si="70"/>
        <v>0</v>
      </c>
      <c r="X1268" s="158">
        <f>SUM(X1258:X1266)</f>
        <v>-4904.3799999999992</v>
      </c>
      <c r="Y1268" s="158">
        <f>SUM(Y1258:Y1267)</f>
        <v>2526.5384615384614</v>
      </c>
      <c r="Z1268" s="158">
        <f>SUM(Z1258:Z1267)</f>
        <v>2526.5384615384614</v>
      </c>
    </row>
    <row r="1269" spans="5:26" x14ac:dyDescent="0.2">
      <c r="M1269" s="427"/>
      <c r="N1269" s="427"/>
      <c r="O1269" s="152" t="s">
        <v>151</v>
      </c>
      <c r="P1269" s="78">
        <v>51000200002</v>
      </c>
      <c r="Q1269" s="142" t="s">
        <v>56</v>
      </c>
      <c r="R1269" s="429">
        <f t="shared" si="70"/>
        <v>0</v>
      </c>
      <c r="U1269" s="109"/>
      <c r="Z1269" s="144"/>
    </row>
    <row r="1270" spans="5:26" x14ac:dyDescent="0.2">
      <c r="M1270" s="427"/>
      <c r="N1270" s="427"/>
      <c r="O1270" s="152" t="s">
        <v>151</v>
      </c>
      <c r="P1270" s="227">
        <v>51220200001</v>
      </c>
      <c r="Q1270" s="217" t="s">
        <v>460</v>
      </c>
      <c r="R1270" s="429">
        <f t="shared" si="70"/>
        <v>2172.1538461538462</v>
      </c>
      <c r="U1270" s="109"/>
    </row>
    <row r="1271" spans="5:26" x14ac:dyDescent="0.2">
      <c r="M1271" s="427"/>
      <c r="N1271" s="427"/>
      <c r="O1271" s="152" t="s">
        <v>151</v>
      </c>
      <c r="P1271" s="78">
        <v>51220200001</v>
      </c>
      <c r="Q1271" s="142" t="s">
        <v>351</v>
      </c>
      <c r="R1271" s="429">
        <f t="shared" si="70"/>
        <v>0</v>
      </c>
    </row>
    <row r="1272" spans="5:26" x14ac:dyDescent="0.2">
      <c r="M1272" s="427"/>
      <c r="N1272" s="427"/>
      <c r="O1272" s="152" t="s">
        <v>151</v>
      </c>
      <c r="P1272" s="78">
        <v>51220200001</v>
      </c>
      <c r="Q1272" s="142" t="s">
        <v>56</v>
      </c>
      <c r="R1272" s="429">
        <f t="shared" si="70"/>
        <v>0</v>
      </c>
    </row>
    <row r="1273" spans="5:26" x14ac:dyDescent="0.2">
      <c r="M1273" s="427"/>
      <c r="N1273" s="427"/>
      <c r="O1273" s="152" t="s">
        <v>151</v>
      </c>
      <c r="P1273" s="78">
        <v>52200000001</v>
      </c>
      <c r="Q1273" s="142" t="s">
        <v>460</v>
      </c>
      <c r="R1273" s="429">
        <f t="shared" si="70"/>
        <v>0</v>
      </c>
      <c r="W1273" s="106" t="s">
        <v>478</v>
      </c>
      <c r="X1273" s="144">
        <f>+X1258+X1259+X1260+X1261+X1262</f>
        <v>-4904.3799999999992</v>
      </c>
    </row>
    <row r="1274" spans="5:26" x14ac:dyDescent="0.2">
      <c r="M1274" s="427"/>
      <c r="N1274" s="427"/>
      <c r="O1274" s="152" t="s">
        <v>151</v>
      </c>
      <c r="P1274" s="78">
        <v>52200000001</v>
      </c>
      <c r="Q1274" s="142" t="s">
        <v>351</v>
      </c>
      <c r="R1274" s="429">
        <f t="shared" si="70"/>
        <v>0</v>
      </c>
      <c r="W1274" s="97" t="s">
        <v>480</v>
      </c>
      <c r="X1274" s="144">
        <f>+R1278</f>
        <v>2526.5384615384614</v>
      </c>
    </row>
    <row r="1275" spans="5:26" x14ac:dyDescent="0.2">
      <c r="M1275" s="427"/>
      <c r="N1275" s="427"/>
      <c r="O1275" s="152" t="s">
        <v>151</v>
      </c>
      <c r="P1275" s="78">
        <v>52200000001</v>
      </c>
      <c r="Q1275" s="142" t="s">
        <v>56</v>
      </c>
      <c r="R1275" s="429">
        <f t="shared" si="70"/>
        <v>0</v>
      </c>
      <c r="W1275" s="97" t="s">
        <v>486</v>
      </c>
      <c r="X1275" s="167">
        <f>+J1260+J1261+J1264</f>
        <v>2347.2307692307695</v>
      </c>
    </row>
    <row r="1276" spans="5:26" x14ac:dyDescent="0.2">
      <c r="O1276" s="152" t="s">
        <v>151</v>
      </c>
      <c r="P1276" s="78">
        <v>52200000001</v>
      </c>
      <c r="Q1276" s="142" t="s">
        <v>460</v>
      </c>
      <c r="R1276" s="429">
        <f t="shared" si="70"/>
        <v>0</v>
      </c>
      <c r="X1276" s="324">
        <f>X1273+X1274+X1275</f>
        <v>-30.610769230768256</v>
      </c>
      <c r="Y1276" s="97" t="s">
        <v>500</v>
      </c>
    </row>
    <row r="1277" spans="5:26" x14ac:dyDescent="0.2">
      <c r="O1277" s="152" t="s">
        <v>151</v>
      </c>
      <c r="P1277" s="227">
        <v>51220200001</v>
      </c>
      <c r="Q1277" s="217" t="s">
        <v>496</v>
      </c>
      <c r="R1277" s="429">
        <f t="shared" si="70"/>
        <v>354.38461538461536</v>
      </c>
    </row>
    <row r="1278" spans="5:26" ht="13.5" thickBot="1" x14ac:dyDescent="0.25">
      <c r="O1278" s="427"/>
      <c r="P1278" s="427"/>
      <c r="R1278" s="244">
        <f>SUM(R1258:R1277)</f>
        <v>2526.5384615384614</v>
      </c>
    </row>
    <row r="1279" spans="5:26" ht="13.5" thickTop="1" x14ac:dyDescent="0.2">
      <c r="E1279" s="730" t="s">
        <v>152</v>
      </c>
      <c r="M1279" s="427"/>
      <c r="N1279" s="427"/>
      <c r="O1279" s="427"/>
      <c r="P1279" s="427"/>
    </row>
    <row r="1280" spans="5:26" x14ac:dyDescent="0.2">
      <c r="O1280" s="427"/>
      <c r="P1280" s="427"/>
    </row>
    <row r="1281" spans="2:26" x14ac:dyDescent="0.2">
      <c r="O1281" s="427"/>
      <c r="P1281" s="427"/>
    </row>
    <row r="1282" spans="2:26" ht="14.25" x14ac:dyDescent="0.2">
      <c r="B1282" s="130" t="s">
        <v>137</v>
      </c>
      <c r="C1282" s="131" t="s">
        <v>138</v>
      </c>
      <c r="D1282" s="131" t="s">
        <v>258</v>
      </c>
      <c r="E1282" s="131" t="s">
        <v>139</v>
      </c>
      <c r="F1282" s="131" t="s">
        <v>259</v>
      </c>
      <c r="G1282" s="131" t="s">
        <v>140</v>
      </c>
      <c r="H1282" s="132" t="s">
        <v>94</v>
      </c>
      <c r="I1282" s="129"/>
      <c r="J1282" s="132" t="s">
        <v>141</v>
      </c>
      <c r="K1282" s="129"/>
      <c r="L1282" s="147" t="s">
        <v>325</v>
      </c>
      <c r="O1282" s="1206" t="s">
        <v>1037</v>
      </c>
      <c r="P1282" s="1206"/>
      <c r="Q1282" s="1206"/>
      <c r="R1282" s="1206"/>
      <c r="U1282" s="106" t="s">
        <v>465</v>
      </c>
      <c r="Y1282" s="97" t="s">
        <v>479</v>
      </c>
      <c r="Z1282" s="97" t="s">
        <v>340</v>
      </c>
    </row>
    <row r="1283" spans="2:26" x14ac:dyDescent="0.2">
      <c r="B1283" s="133"/>
      <c r="C1283" s="134"/>
      <c r="D1283" s="134"/>
      <c r="E1283" s="133"/>
      <c r="F1283" s="133"/>
      <c r="G1283" s="133"/>
      <c r="H1283" s="135" t="s">
        <v>326</v>
      </c>
      <c r="I1283" s="136" t="s">
        <v>327</v>
      </c>
      <c r="J1283" s="148" t="s">
        <v>328</v>
      </c>
      <c r="K1283" s="148" t="s">
        <v>89</v>
      </c>
      <c r="L1283" s="149" t="s">
        <v>94</v>
      </c>
      <c r="O1283" s="152" t="s">
        <v>152</v>
      </c>
      <c r="P1283" s="78">
        <v>51000000001</v>
      </c>
      <c r="Q1283" s="142" t="s">
        <v>460</v>
      </c>
      <c r="R1283" s="429">
        <f t="shared" ref="R1283:R1302" si="71">SUMIFS($J$1284:$J$1311,$E$1284:$E$1311,Q1283,$M$1284:$M$1311,P1283)</f>
        <v>0</v>
      </c>
      <c r="T1283" s="97">
        <v>51000200001</v>
      </c>
      <c r="U1283" s="97" t="s">
        <v>382</v>
      </c>
      <c r="X1283" s="109">
        <v>-27.399999999999864</v>
      </c>
      <c r="Y1283" s="109">
        <f>R1286</f>
        <v>0</v>
      </c>
      <c r="Z1283" s="144">
        <v>0</v>
      </c>
    </row>
    <row r="1284" spans="2:26" x14ac:dyDescent="0.2">
      <c r="B1284" s="694">
        <v>44006</v>
      </c>
      <c r="C1284" s="138" t="s">
        <v>1581</v>
      </c>
      <c r="D1284" s="138" t="s">
        <v>459</v>
      </c>
      <c r="E1284" s="142" t="str">
        <f>+VLOOKUP(F1284,[19]bd!A:B,2,0)</f>
        <v>BANCO CUSCATLAN DE EL SALVADOR S.A.</v>
      </c>
      <c r="F1284" s="142" t="s">
        <v>90</v>
      </c>
      <c r="G1284" s="142"/>
      <c r="H1284" s="429"/>
      <c r="I1284" s="429"/>
      <c r="J1284" s="429">
        <v>13.7</v>
      </c>
      <c r="K1284" s="143">
        <v>1.78</v>
      </c>
      <c r="L1284" s="429">
        <f t="shared" ref="L1284:L1290" si="72">+J1284+K1284</f>
        <v>15.479999999999999</v>
      </c>
      <c r="M1284" s="245">
        <v>51000200002</v>
      </c>
      <c r="O1284" s="152" t="s">
        <v>152</v>
      </c>
      <c r="P1284" s="78">
        <v>51000000002</v>
      </c>
      <c r="Q1284" s="142" t="s">
        <v>460</v>
      </c>
      <c r="R1284" s="429">
        <f t="shared" si="71"/>
        <v>0</v>
      </c>
      <c r="T1284" s="97">
        <v>51000200002</v>
      </c>
      <c r="U1284" s="97" t="s">
        <v>383</v>
      </c>
      <c r="X1284" s="109">
        <v>-27.399999999999864</v>
      </c>
      <c r="Y1284" s="109">
        <f>R1288</f>
        <v>0</v>
      </c>
      <c r="Z1284" s="144">
        <v>0</v>
      </c>
    </row>
    <row r="1285" spans="2:26" x14ac:dyDescent="0.2">
      <c r="B1285" s="448">
        <v>44006</v>
      </c>
      <c r="C1285" s="138" t="s">
        <v>1582</v>
      </c>
      <c r="D1285" s="138" t="s">
        <v>459</v>
      </c>
      <c r="E1285" s="142" t="str">
        <f>+VLOOKUP(F1285,[19]bd!A:B,2,0)</f>
        <v>BANCO CUSCATLAN DE EL SALVADOR S.A.</v>
      </c>
      <c r="F1285" s="142" t="s">
        <v>90</v>
      </c>
      <c r="G1285" s="142"/>
      <c r="H1285" s="429"/>
      <c r="I1285" s="429"/>
      <c r="J1285" s="429">
        <v>13.7</v>
      </c>
      <c r="K1285" s="143">
        <v>1.78</v>
      </c>
      <c r="L1285" s="429">
        <f t="shared" si="72"/>
        <v>15.479999999999999</v>
      </c>
      <c r="M1285" s="245">
        <v>51000200001</v>
      </c>
      <c r="O1285" s="152" t="s">
        <v>152</v>
      </c>
      <c r="P1285" s="78">
        <v>51000100001</v>
      </c>
      <c r="Q1285" s="142" t="s">
        <v>460</v>
      </c>
      <c r="R1285" s="429">
        <f t="shared" si="71"/>
        <v>0</v>
      </c>
      <c r="T1285" s="97">
        <v>51000100001</v>
      </c>
      <c r="U1285" s="109" t="s">
        <v>12</v>
      </c>
      <c r="X1285" s="109"/>
    </row>
    <row r="1286" spans="2:26" x14ac:dyDescent="0.2">
      <c r="B1286" s="448">
        <v>44006</v>
      </c>
      <c r="C1286" s="138" t="s">
        <v>1583</v>
      </c>
      <c r="D1286" s="138" t="s">
        <v>459</v>
      </c>
      <c r="E1286" s="217" t="str">
        <f>+VLOOKUP(F1286,[19]bd!A:B,2,0)</f>
        <v>CITIBANK, N.A. SUCURSAL EL SALVADOR</v>
      </c>
      <c r="F1286" s="217" t="s">
        <v>329</v>
      </c>
      <c r="G1286" s="217"/>
      <c r="H1286" s="219"/>
      <c r="I1286" s="219"/>
      <c r="J1286" s="219">
        <v>13.7</v>
      </c>
      <c r="K1286" s="246">
        <v>1.78</v>
      </c>
      <c r="L1286" s="219">
        <f t="shared" si="72"/>
        <v>15.479999999999999</v>
      </c>
      <c r="M1286" s="224"/>
      <c r="O1286" s="152" t="s">
        <v>152</v>
      </c>
      <c r="P1286" s="78">
        <v>51000100001</v>
      </c>
      <c r="Q1286" s="142" t="s">
        <v>496</v>
      </c>
      <c r="R1286" s="429">
        <f t="shared" si="71"/>
        <v>0</v>
      </c>
      <c r="T1286" s="97">
        <v>51000100002</v>
      </c>
      <c r="U1286" s="109" t="s">
        <v>380</v>
      </c>
      <c r="X1286" s="109"/>
    </row>
    <row r="1287" spans="2:26" x14ac:dyDescent="0.2">
      <c r="B1287" s="448">
        <v>44006</v>
      </c>
      <c r="C1287" s="138" t="s">
        <v>1584</v>
      </c>
      <c r="D1287" s="138" t="s">
        <v>459</v>
      </c>
      <c r="E1287" s="217" t="str">
        <f>+VLOOKUP(F1287,[19]bd!A:B,2,0)</f>
        <v>CITIBANK, N.A. SUCURSAL EL SALVADOR</v>
      </c>
      <c r="F1287" s="217" t="s">
        <v>329</v>
      </c>
      <c r="G1287" s="217"/>
      <c r="H1287" s="219"/>
      <c r="I1287" s="219"/>
      <c r="J1287" s="219">
        <v>13.7</v>
      </c>
      <c r="K1287" s="246">
        <v>1.78</v>
      </c>
      <c r="L1287" s="219">
        <f t="shared" si="72"/>
        <v>15.479999999999999</v>
      </c>
      <c r="M1287" s="224"/>
      <c r="O1287" s="152" t="s">
        <v>152</v>
      </c>
      <c r="P1287" s="78">
        <v>51000100002</v>
      </c>
      <c r="Q1287" s="142" t="s">
        <v>460</v>
      </c>
      <c r="R1287" s="429">
        <f t="shared" si="71"/>
        <v>0</v>
      </c>
      <c r="T1287" s="97">
        <v>51220200001</v>
      </c>
      <c r="U1287" s="97" t="s">
        <v>55</v>
      </c>
      <c r="X1287" s="109">
        <v>-2733.83</v>
      </c>
      <c r="Y1287" s="109">
        <f>R1295+R1302</f>
        <v>2664.58</v>
      </c>
      <c r="Z1287" s="144">
        <f>X1288+Y1287</f>
        <v>-5966.8700000000008</v>
      </c>
    </row>
    <row r="1288" spans="2:26" x14ac:dyDescent="0.2">
      <c r="B1288" s="695">
        <v>43994</v>
      </c>
      <c r="C1288" s="138" t="s">
        <v>1585</v>
      </c>
      <c r="D1288" s="138" t="s">
        <v>459</v>
      </c>
      <c r="E1288" s="142" t="str">
        <f>+VLOOKUP(F1288,[19]bd!A:B,2,0)</f>
        <v>BANCO CUSCATLAN DE EL SALVADOR S.A.</v>
      </c>
      <c r="F1288" s="142" t="s">
        <v>90</v>
      </c>
      <c r="G1288" s="142"/>
      <c r="H1288" s="429"/>
      <c r="I1288" s="429"/>
      <c r="J1288" s="429">
        <v>1955.88</v>
      </c>
      <c r="K1288" s="162">
        <v>254.26</v>
      </c>
      <c r="L1288" s="429">
        <f t="shared" si="72"/>
        <v>2210.1400000000003</v>
      </c>
      <c r="M1288" s="245">
        <v>51220200001</v>
      </c>
      <c r="O1288" s="152" t="s">
        <v>152</v>
      </c>
      <c r="P1288" s="78">
        <v>51000100002</v>
      </c>
      <c r="Q1288" s="142" t="s">
        <v>496</v>
      </c>
      <c r="R1288" s="429">
        <f t="shared" si="71"/>
        <v>0</v>
      </c>
      <c r="T1288" s="195">
        <v>52200000001</v>
      </c>
      <c r="U1288" s="195" t="s">
        <v>33</v>
      </c>
      <c r="V1288" s="195"/>
      <c r="W1288" s="195"/>
      <c r="X1288" s="109">
        <v>-8631.4500000000007</v>
      </c>
      <c r="Y1288" s="109">
        <v>0</v>
      </c>
      <c r="Z1288" s="144">
        <v>0</v>
      </c>
    </row>
    <row r="1289" spans="2:26" x14ac:dyDescent="0.2">
      <c r="B1289" s="695">
        <v>43994</v>
      </c>
      <c r="C1289" s="138" t="s">
        <v>1586</v>
      </c>
      <c r="D1289" s="138" t="s">
        <v>459</v>
      </c>
      <c r="E1289" s="142" t="str">
        <f>+VLOOKUP(F1289,[19]bd!A:B,2,0)</f>
        <v>INVERSIONES FINANCIERAS IMPERIA CUSCATLAN, SA</v>
      </c>
      <c r="F1289" s="142" t="s">
        <v>497</v>
      </c>
      <c r="G1289" s="142"/>
      <c r="H1289" s="429"/>
      <c r="I1289" s="429"/>
      <c r="J1289" s="429">
        <v>354.35</v>
      </c>
      <c r="K1289" s="162">
        <v>46.07</v>
      </c>
      <c r="L1289" s="429">
        <f t="shared" si="72"/>
        <v>400.42</v>
      </c>
      <c r="M1289" s="245">
        <v>51220200001</v>
      </c>
      <c r="O1289" s="152" t="s">
        <v>152</v>
      </c>
      <c r="P1289" s="227">
        <v>51000200001</v>
      </c>
      <c r="Q1289" s="217" t="s">
        <v>460</v>
      </c>
      <c r="R1289" s="429">
        <f t="shared" si="71"/>
        <v>13.7</v>
      </c>
      <c r="T1289" s="97">
        <v>51000000001</v>
      </c>
      <c r="U1289" s="97" t="s">
        <v>132</v>
      </c>
      <c r="X1289" s="109"/>
    </row>
    <row r="1290" spans="2:26" x14ac:dyDescent="0.2">
      <c r="B1290" s="693">
        <v>43994</v>
      </c>
      <c r="C1290" s="345" t="s">
        <v>1587</v>
      </c>
      <c r="D1290" s="345" t="s">
        <v>459</v>
      </c>
      <c r="E1290" s="217" t="str">
        <f>+VLOOKUP(F1290,[19]bd!A:B,2,0)</f>
        <v>CITIBANK, N.A. SUCURSAL EL SALVADOR</v>
      </c>
      <c r="F1290" s="217" t="s">
        <v>329</v>
      </c>
      <c r="G1290" s="218"/>
      <c r="H1290" s="219"/>
      <c r="I1290" s="219"/>
      <c r="J1290" s="219">
        <f>K1290/0.13</f>
        <v>414.07692307692304</v>
      </c>
      <c r="K1290" s="246">
        <v>53.83</v>
      </c>
      <c r="L1290" s="219">
        <f t="shared" si="72"/>
        <v>467.90692307692302</v>
      </c>
      <c r="M1290" s="336"/>
      <c r="O1290" s="152" t="s">
        <v>152</v>
      </c>
      <c r="P1290" s="78">
        <v>51000200001</v>
      </c>
      <c r="Q1290" s="142" t="s">
        <v>351</v>
      </c>
      <c r="R1290" s="429">
        <f t="shared" si="71"/>
        <v>0</v>
      </c>
      <c r="T1290" s="97">
        <v>51000000002</v>
      </c>
      <c r="U1290" s="97" t="s">
        <v>10</v>
      </c>
      <c r="X1290" s="109"/>
    </row>
    <row r="1291" spans="2:26" x14ac:dyDescent="0.2">
      <c r="O1291" s="152" t="s">
        <v>152</v>
      </c>
      <c r="P1291" s="78">
        <v>51000200001</v>
      </c>
      <c r="Q1291" s="142" t="s">
        <v>56</v>
      </c>
      <c r="R1291" s="429">
        <f t="shared" si="71"/>
        <v>0</v>
      </c>
      <c r="T1291" s="97">
        <v>53000100001</v>
      </c>
      <c r="U1291" s="97" t="s">
        <v>134</v>
      </c>
      <c r="X1291" s="198"/>
      <c r="Y1291" s="109">
        <v>0</v>
      </c>
      <c r="Z1291" s="144">
        <v>0</v>
      </c>
    </row>
    <row r="1292" spans="2:26" x14ac:dyDescent="0.2">
      <c r="O1292" s="152" t="s">
        <v>152</v>
      </c>
      <c r="P1292" s="227">
        <v>51000200002</v>
      </c>
      <c r="Q1292" s="217" t="s">
        <v>460</v>
      </c>
      <c r="R1292" s="429">
        <f t="shared" si="71"/>
        <v>13.7</v>
      </c>
      <c r="X1292" s="171">
        <v>0</v>
      </c>
      <c r="Y1292" s="171"/>
      <c r="Z1292" s="167">
        <v>0</v>
      </c>
    </row>
    <row r="1293" spans="2:26" x14ac:dyDescent="0.2">
      <c r="O1293" s="152" t="s">
        <v>152</v>
      </c>
      <c r="P1293" s="78">
        <v>51000200002</v>
      </c>
      <c r="Q1293" s="142" t="s">
        <v>351</v>
      </c>
      <c r="R1293" s="429">
        <f t="shared" si="71"/>
        <v>0</v>
      </c>
      <c r="X1293" s="158">
        <f>SUM(X1283:X1291)</f>
        <v>-11420.08</v>
      </c>
      <c r="Y1293" s="158">
        <f>SUM(Y1283:Y1292)</f>
        <v>2664.58</v>
      </c>
      <c r="Z1293" s="158">
        <f>SUM(Z1283:Z1292)</f>
        <v>-5966.8700000000008</v>
      </c>
    </row>
    <row r="1294" spans="2:26" x14ac:dyDescent="0.2">
      <c r="O1294" s="152" t="s">
        <v>152</v>
      </c>
      <c r="P1294" s="78">
        <v>51000200002</v>
      </c>
      <c r="Q1294" s="142" t="s">
        <v>56</v>
      </c>
      <c r="R1294" s="429">
        <f t="shared" si="71"/>
        <v>0</v>
      </c>
      <c r="U1294" s="109"/>
      <c r="Z1294" s="144"/>
    </row>
    <row r="1295" spans="2:26" x14ac:dyDescent="0.2">
      <c r="O1295" s="152" t="s">
        <v>152</v>
      </c>
      <c r="P1295" s="227">
        <v>51220200001</v>
      </c>
      <c r="Q1295" s="217" t="s">
        <v>460</v>
      </c>
      <c r="R1295" s="429">
        <f t="shared" si="71"/>
        <v>1955.88</v>
      </c>
      <c r="U1295" s="109"/>
    </row>
    <row r="1296" spans="2:26" x14ac:dyDescent="0.2">
      <c r="O1296" s="152" t="s">
        <v>152</v>
      </c>
      <c r="P1296" s="78">
        <v>51220200001</v>
      </c>
      <c r="Q1296" s="142" t="s">
        <v>351</v>
      </c>
      <c r="R1296" s="429">
        <f t="shared" si="71"/>
        <v>0</v>
      </c>
    </row>
    <row r="1297" spans="2:26" x14ac:dyDescent="0.2">
      <c r="O1297" s="152" t="s">
        <v>152</v>
      </c>
      <c r="P1297" s="78">
        <v>51220200001</v>
      </c>
      <c r="Q1297" s="142" t="s">
        <v>56</v>
      </c>
      <c r="R1297" s="429">
        <f t="shared" si="71"/>
        <v>0</v>
      </c>
    </row>
    <row r="1298" spans="2:26" x14ac:dyDescent="0.2">
      <c r="O1298" s="152" t="s">
        <v>152</v>
      </c>
      <c r="P1298" s="78">
        <v>52200000001</v>
      </c>
      <c r="Q1298" s="142" t="s">
        <v>460</v>
      </c>
      <c r="R1298" s="429">
        <f t="shared" si="71"/>
        <v>0</v>
      </c>
      <c r="W1298" s="106" t="s">
        <v>478</v>
      </c>
      <c r="X1298" s="144">
        <f>+X1283+X1284+X1285+X1286+X1287</f>
        <v>-2788.6299999999997</v>
      </c>
    </row>
    <row r="1299" spans="2:26" x14ac:dyDescent="0.2">
      <c r="O1299" s="152" t="s">
        <v>152</v>
      </c>
      <c r="P1299" s="78">
        <v>52200000001</v>
      </c>
      <c r="Q1299" s="142" t="s">
        <v>351</v>
      </c>
      <c r="R1299" s="429">
        <f t="shared" si="71"/>
        <v>0</v>
      </c>
      <c r="W1299" s="97" t="s">
        <v>480</v>
      </c>
      <c r="X1299" s="144">
        <f>+R1303</f>
        <v>2691.9800000000005</v>
      </c>
    </row>
    <row r="1300" spans="2:26" x14ac:dyDescent="0.2">
      <c r="O1300" s="152" t="s">
        <v>152</v>
      </c>
      <c r="P1300" s="78">
        <v>52200000001</v>
      </c>
      <c r="Q1300" s="142" t="s">
        <v>56</v>
      </c>
      <c r="R1300" s="429">
        <f t="shared" si="71"/>
        <v>0</v>
      </c>
      <c r="W1300" s="97" t="s">
        <v>486</v>
      </c>
      <c r="X1300" s="167">
        <f>+J1286+J1287+J1290</f>
        <v>441.47692307692301</v>
      </c>
    </row>
    <row r="1301" spans="2:26" x14ac:dyDescent="0.2">
      <c r="O1301" s="152" t="s">
        <v>152</v>
      </c>
      <c r="P1301" s="78">
        <v>52200000001</v>
      </c>
      <c r="Q1301" s="142" t="s">
        <v>460</v>
      </c>
      <c r="R1301" s="429">
        <f t="shared" si="71"/>
        <v>0</v>
      </c>
      <c r="X1301" s="324">
        <f>X1298+X1299+X1300</f>
        <v>344.82692307692383</v>
      </c>
      <c r="Y1301" s="97" t="s">
        <v>500</v>
      </c>
    </row>
    <row r="1302" spans="2:26" x14ac:dyDescent="0.2">
      <c r="O1302" s="152" t="s">
        <v>152</v>
      </c>
      <c r="P1302" s="227">
        <v>51220200001</v>
      </c>
      <c r="Q1302" s="217" t="s">
        <v>496</v>
      </c>
      <c r="R1302" s="429">
        <f t="shared" si="71"/>
        <v>708.7</v>
      </c>
    </row>
    <row r="1303" spans="2:26" ht="13.5" thickBot="1" x14ac:dyDescent="0.25">
      <c r="O1303" s="427"/>
      <c r="P1303" s="427"/>
      <c r="R1303" s="244">
        <f>SUM(R1283:R1302)</f>
        <v>2691.9800000000005</v>
      </c>
    </row>
    <row r="1304" spans="2:26" ht="13.5" thickTop="1" x14ac:dyDescent="0.2">
      <c r="O1304" s="427"/>
      <c r="P1304" s="427"/>
    </row>
    <row r="1305" spans="2:26" ht="14.25" x14ac:dyDescent="0.2">
      <c r="E1305" s="792" t="s">
        <v>153</v>
      </c>
    </row>
    <row r="1308" spans="2:26" ht="14.25" x14ac:dyDescent="0.2">
      <c r="B1308" s="125"/>
      <c r="C1308" s="126" t="s">
        <v>255</v>
      </c>
      <c r="D1308" s="127" t="s">
        <v>43</v>
      </c>
      <c r="E1308" s="127"/>
      <c r="F1308" s="127" t="s">
        <v>135</v>
      </c>
      <c r="G1308" s="127"/>
      <c r="H1308" s="128" t="s">
        <v>136</v>
      </c>
      <c r="I1308" s="129"/>
      <c r="J1308" s="129"/>
      <c r="K1308" s="129"/>
      <c r="L1308" s="146"/>
      <c r="O1308" s="1206" t="s">
        <v>1037</v>
      </c>
      <c r="P1308" s="1206"/>
      <c r="Q1308" s="1206"/>
      <c r="R1308" s="1206"/>
      <c r="U1308" s="106" t="s">
        <v>465</v>
      </c>
      <c r="Y1308" s="97" t="s">
        <v>479</v>
      </c>
      <c r="Z1308" s="97" t="s">
        <v>340</v>
      </c>
    </row>
    <row r="1309" spans="2:26" x14ac:dyDescent="0.2">
      <c r="B1309" s="130" t="s">
        <v>137</v>
      </c>
      <c r="C1309" s="131" t="s">
        <v>138</v>
      </c>
      <c r="D1309" s="131" t="s">
        <v>258</v>
      </c>
      <c r="E1309" s="131" t="s">
        <v>139</v>
      </c>
      <c r="F1309" s="131" t="s">
        <v>259</v>
      </c>
      <c r="G1309" s="131" t="s">
        <v>140</v>
      </c>
      <c r="H1309" s="132" t="s">
        <v>94</v>
      </c>
      <c r="I1309" s="129"/>
      <c r="J1309" s="132" t="s">
        <v>141</v>
      </c>
      <c r="K1309" s="129"/>
      <c r="L1309" s="147" t="s">
        <v>325</v>
      </c>
      <c r="O1309" s="152" t="s">
        <v>153</v>
      </c>
      <c r="P1309" s="78">
        <v>51000000001</v>
      </c>
      <c r="Q1309" s="142" t="s">
        <v>460</v>
      </c>
      <c r="R1309" s="429">
        <f>SUMIFS($J$1311:$J$1313,$E$1311:$E$1313,Q1309,$M$1311:$M$1313,P1309)</f>
        <v>0</v>
      </c>
      <c r="T1309" s="97">
        <v>51000200001</v>
      </c>
      <c r="U1309" s="97" t="s">
        <v>382</v>
      </c>
      <c r="X1309" s="109"/>
      <c r="Y1309" s="109">
        <f>R1312</f>
        <v>0</v>
      </c>
      <c r="Z1309" s="144">
        <v>0</v>
      </c>
    </row>
    <row r="1310" spans="2:26" x14ac:dyDescent="0.2">
      <c r="B1310" s="133"/>
      <c r="C1310" s="134"/>
      <c r="D1310" s="134"/>
      <c r="E1310" s="133"/>
      <c r="F1310" s="133"/>
      <c r="G1310" s="133"/>
      <c r="H1310" s="135" t="s">
        <v>326</v>
      </c>
      <c r="I1310" s="136" t="s">
        <v>327</v>
      </c>
      <c r="J1310" s="148" t="s">
        <v>328</v>
      </c>
      <c r="K1310" s="148" t="s">
        <v>89</v>
      </c>
      <c r="L1310" s="149" t="s">
        <v>94</v>
      </c>
      <c r="O1310" s="152" t="s">
        <v>153</v>
      </c>
      <c r="P1310" s="78">
        <v>51000000002</v>
      </c>
      <c r="Q1310" s="142" t="s">
        <v>460</v>
      </c>
      <c r="R1310" s="429">
        <f t="shared" ref="R1310:R1328" si="73">SUMIFS($J$1311:$J$1313,$E$1311:$E$1313,Q1310,$M$1311:$M$1313,P1310)</f>
        <v>0</v>
      </c>
      <c r="T1310" s="97">
        <v>51000200002</v>
      </c>
      <c r="U1310" s="97" t="s">
        <v>383</v>
      </c>
      <c r="X1310" s="109"/>
      <c r="Y1310" s="109">
        <f>R1314</f>
        <v>0</v>
      </c>
      <c r="Z1310" s="144">
        <v>0</v>
      </c>
    </row>
    <row r="1311" spans="2:26" x14ac:dyDescent="0.2">
      <c r="B1311" s="694">
        <v>44019</v>
      </c>
      <c r="C1311" s="138" t="s">
        <v>1603</v>
      </c>
      <c r="D1311" s="138" t="s">
        <v>459</v>
      </c>
      <c r="E1311" s="142" t="str">
        <f>+VLOOKUP(F1311,[20]bd!A:B,2,0)</f>
        <v>INVERSIONES FINANCIERAS IMPERIA CUSCATLAN, SA</v>
      </c>
      <c r="F1311" s="142" t="s">
        <v>497</v>
      </c>
      <c r="G1311" s="142"/>
      <c r="H1311" s="429"/>
      <c r="I1311" s="429"/>
      <c r="J1311" s="429">
        <v>354.35</v>
      </c>
      <c r="K1311" s="143">
        <v>46.07</v>
      </c>
      <c r="L1311" s="429">
        <f>+J1311+K1311</f>
        <v>400.42</v>
      </c>
      <c r="M1311" s="245">
        <v>51220200001</v>
      </c>
      <c r="O1311" s="152" t="s">
        <v>153</v>
      </c>
      <c r="P1311" s="78">
        <v>51000100001</v>
      </c>
      <c r="Q1311" s="142" t="s">
        <v>460</v>
      </c>
      <c r="R1311" s="429">
        <f t="shared" si="73"/>
        <v>0</v>
      </c>
      <c r="T1311" s="97">
        <v>51000100001</v>
      </c>
      <c r="U1311" s="109" t="s">
        <v>12</v>
      </c>
      <c r="X1311" s="109"/>
    </row>
    <row r="1312" spans="2:26" x14ac:dyDescent="0.2">
      <c r="B1312" s="448">
        <v>44019</v>
      </c>
      <c r="C1312" s="138" t="s">
        <v>1604</v>
      </c>
      <c r="D1312" s="138" t="s">
        <v>459</v>
      </c>
      <c r="E1312" s="142" t="str">
        <f>+VLOOKUP(F1312,[20]bd!A:B,2,0)</f>
        <v>BANCO CUSCATLAN DE EL SALVADOR S.A.</v>
      </c>
      <c r="F1312" s="142" t="s">
        <v>90</v>
      </c>
      <c r="G1312" s="142"/>
      <c r="H1312" s="429"/>
      <c r="I1312" s="429"/>
      <c r="J1312" s="429">
        <v>2201.5300000000002</v>
      </c>
      <c r="K1312" s="143">
        <v>286.2</v>
      </c>
      <c r="L1312" s="429">
        <f>+J1312+K1312</f>
        <v>2487.73</v>
      </c>
      <c r="M1312" s="245">
        <v>51220200001</v>
      </c>
      <c r="O1312" s="152" t="s">
        <v>153</v>
      </c>
      <c r="P1312" s="78">
        <v>51000100001</v>
      </c>
      <c r="Q1312" s="142" t="s">
        <v>496</v>
      </c>
      <c r="R1312" s="429">
        <f t="shared" si="73"/>
        <v>0</v>
      </c>
      <c r="T1312" s="97">
        <v>51000100002</v>
      </c>
      <c r="U1312" s="109" t="s">
        <v>380</v>
      </c>
      <c r="X1312" s="109"/>
    </row>
    <row r="1313" spans="2:26" x14ac:dyDescent="0.2">
      <c r="B1313" s="448">
        <v>44019</v>
      </c>
      <c r="C1313" s="138" t="s">
        <v>1605</v>
      </c>
      <c r="D1313" s="138" t="s">
        <v>459</v>
      </c>
      <c r="E1313" s="142" t="str">
        <f>+VLOOKUP(F1313,[20]bd!A:B,2,0)</f>
        <v>CITIBANK, N.A. SUCURSAL EL SALVADOR</v>
      </c>
      <c r="F1313" s="142" t="s">
        <v>329</v>
      </c>
      <c r="G1313" s="142"/>
      <c r="H1313" s="429"/>
      <c r="I1313" s="429"/>
      <c r="J1313" s="429">
        <v>335.6</v>
      </c>
      <c r="K1313" s="143">
        <v>43.63</v>
      </c>
      <c r="L1313" s="429">
        <f>+J1313+K1313</f>
        <v>379.23</v>
      </c>
      <c r="O1313" s="152" t="s">
        <v>153</v>
      </c>
      <c r="P1313" s="78">
        <v>51000100002</v>
      </c>
      <c r="Q1313" s="142" t="s">
        <v>460</v>
      </c>
      <c r="R1313" s="429">
        <f t="shared" si="73"/>
        <v>0</v>
      </c>
      <c r="T1313" s="97">
        <v>51220200001</v>
      </c>
      <c r="U1313" s="97" t="s">
        <v>55</v>
      </c>
      <c r="X1313" s="109">
        <v>-2918.2299999999977</v>
      </c>
      <c r="Y1313" s="109">
        <f>R1321+R1328</f>
        <v>2555.88</v>
      </c>
      <c r="Z1313" s="144">
        <f>X1314+Y1313</f>
        <v>-8509.6999999999971</v>
      </c>
    </row>
    <row r="1314" spans="2:26" x14ac:dyDescent="0.2">
      <c r="O1314" s="152" t="s">
        <v>153</v>
      </c>
      <c r="P1314" s="78">
        <v>51000100002</v>
      </c>
      <c r="Q1314" s="142" t="s">
        <v>496</v>
      </c>
      <c r="R1314" s="429">
        <f t="shared" si="73"/>
        <v>0</v>
      </c>
      <c r="T1314" s="195">
        <v>52200000001</v>
      </c>
      <c r="U1314" s="195" t="s">
        <v>33</v>
      </c>
      <c r="V1314" s="195"/>
      <c r="W1314" s="195"/>
      <c r="X1314" s="109">
        <v>-11065.579999999998</v>
      </c>
      <c r="Y1314" s="109">
        <v>0</v>
      </c>
      <c r="Z1314" s="144">
        <v>0</v>
      </c>
    </row>
    <row r="1315" spans="2:26" x14ac:dyDescent="0.2">
      <c r="O1315" s="152" t="s">
        <v>153</v>
      </c>
      <c r="P1315" s="227">
        <v>51000200001</v>
      </c>
      <c r="Q1315" s="217" t="s">
        <v>460</v>
      </c>
      <c r="R1315" s="429">
        <f t="shared" si="73"/>
        <v>0</v>
      </c>
      <c r="T1315" s="97">
        <v>51000000001</v>
      </c>
      <c r="U1315" s="97" t="s">
        <v>132</v>
      </c>
      <c r="X1315" s="109"/>
    </row>
    <row r="1316" spans="2:26" x14ac:dyDescent="0.2">
      <c r="O1316" s="152" t="s">
        <v>153</v>
      </c>
      <c r="P1316" s="78">
        <v>51000200001</v>
      </c>
      <c r="Q1316" s="142" t="s">
        <v>351</v>
      </c>
      <c r="R1316" s="429">
        <f t="shared" si="73"/>
        <v>0</v>
      </c>
      <c r="T1316" s="97">
        <v>51000000002</v>
      </c>
      <c r="U1316" s="97" t="s">
        <v>10</v>
      </c>
      <c r="X1316" s="109"/>
    </row>
    <row r="1317" spans="2:26" x14ac:dyDescent="0.2">
      <c r="O1317" s="152" t="s">
        <v>153</v>
      </c>
      <c r="P1317" s="78">
        <v>51000200001</v>
      </c>
      <c r="Q1317" s="142" t="s">
        <v>56</v>
      </c>
      <c r="R1317" s="429">
        <f t="shared" si="73"/>
        <v>0</v>
      </c>
      <c r="T1317" s="97">
        <v>53000100001</v>
      </c>
      <c r="U1317" s="97" t="s">
        <v>134</v>
      </c>
      <c r="X1317" s="198"/>
      <c r="Y1317" s="109">
        <v>0</v>
      </c>
      <c r="Z1317" s="144">
        <v>0</v>
      </c>
    </row>
    <row r="1318" spans="2:26" x14ac:dyDescent="0.2">
      <c r="O1318" s="152" t="s">
        <v>153</v>
      </c>
      <c r="P1318" s="227">
        <v>51000200002</v>
      </c>
      <c r="Q1318" s="217" t="s">
        <v>460</v>
      </c>
      <c r="R1318" s="429">
        <f t="shared" si="73"/>
        <v>0</v>
      </c>
      <c r="X1318" s="171">
        <v>0</v>
      </c>
      <c r="Y1318" s="171"/>
      <c r="Z1318" s="167">
        <v>0</v>
      </c>
    </row>
    <row r="1319" spans="2:26" x14ac:dyDescent="0.2">
      <c r="O1319" s="152" t="s">
        <v>153</v>
      </c>
      <c r="P1319" s="78">
        <v>51000200002</v>
      </c>
      <c r="Q1319" s="142" t="s">
        <v>351</v>
      </c>
      <c r="R1319" s="429">
        <f t="shared" si="73"/>
        <v>0</v>
      </c>
      <c r="X1319" s="158">
        <f>SUM(X1309:X1317)</f>
        <v>-13983.809999999996</v>
      </c>
      <c r="Y1319" s="158">
        <f>SUM(Y1309:Y1318)</f>
        <v>2555.88</v>
      </c>
      <c r="Z1319" s="158">
        <f>SUM(Z1309:Z1318)</f>
        <v>-8509.6999999999971</v>
      </c>
    </row>
    <row r="1320" spans="2:26" x14ac:dyDescent="0.2">
      <c r="O1320" s="152" t="s">
        <v>153</v>
      </c>
      <c r="P1320" s="78">
        <v>51000200002</v>
      </c>
      <c r="Q1320" s="142" t="s">
        <v>56</v>
      </c>
      <c r="R1320" s="429">
        <f t="shared" si="73"/>
        <v>0</v>
      </c>
      <c r="U1320" s="109"/>
      <c r="Z1320" s="144"/>
    </row>
    <row r="1321" spans="2:26" x14ac:dyDescent="0.2">
      <c r="O1321" s="152" t="s">
        <v>153</v>
      </c>
      <c r="P1321" s="227">
        <v>51220200001</v>
      </c>
      <c r="Q1321" s="217" t="s">
        <v>460</v>
      </c>
      <c r="R1321" s="429">
        <f t="shared" si="73"/>
        <v>2201.5300000000002</v>
      </c>
      <c r="U1321" s="109"/>
    </row>
    <row r="1322" spans="2:26" x14ac:dyDescent="0.2">
      <c r="O1322" s="152" t="s">
        <v>153</v>
      </c>
      <c r="P1322" s="78">
        <v>51220200001</v>
      </c>
      <c r="Q1322" s="142" t="s">
        <v>351</v>
      </c>
      <c r="R1322" s="429">
        <f t="shared" si="73"/>
        <v>0</v>
      </c>
    </row>
    <row r="1323" spans="2:26" x14ac:dyDescent="0.2">
      <c r="O1323" s="152" t="s">
        <v>153</v>
      </c>
      <c r="P1323" s="78">
        <v>51220200001</v>
      </c>
      <c r="Q1323" s="142" t="s">
        <v>56</v>
      </c>
      <c r="R1323" s="429">
        <f t="shared" si="73"/>
        <v>0</v>
      </c>
    </row>
    <row r="1324" spans="2:26" x14ac:dyDescent="0.2">
      <c r="O1324" s="152" t="s">
        <v>153</v>
      </c>
      <c r="P1324" s="78">
        <v>52200000001</v>
      </c>
      <c r="Q1324" s="142" t="s">
        <v>460</v>
      </c>
      <c r="R1324" s="429">
        <f t="shared" si="73"/>
        <v>0</v>
      </c>
      <c r="W1324" s="106" t="s">
        <v>478</v>
      </c>
      <c r="X1324" s="144">
        <f>+X1309+X1310+X1311+X1312+X1313</f>
        <v>-2918.2299999999977</v>
      </c>
    </row>
    <row r="1325" spans="2:26" x14ac:dyDescent="0.2">
      <c r="O1325" s="152" t="s">
        <v>153</v>
      </c>
      <c r="P1325" s="78">
        <v>52200000001</v>
      </c>
      <c r="Q1325" s="142" t="s">
        <v>351</v>
      </c>
      <c r="R1325" s="429">
        <f t="shared" si="73"/>
        <v>0</v>
      </c>
      <c r="W1325" s="97" t="s">
        <v>480</v>
      </c>
      <c r="X1325" s="144">
        <f>+R1329</f>
        <v>2555.88</v>
      </c>
    </row>
    <row r="1326" spans="2:26" x14ac:dyDescent="0.2">
      <c r="O1326" s="152" t="s">
        <v>153</v>
      </c>
      <c r="P1326" s="78">
        <v>52200000001</v>
      </c>
      <c r="Q1326" s="142" t="s">
        <v>56</v>
      </c>
      <c r="R1326" s="429">
        <f t="shared" si="73"/>
        <v>0</v>
      </c>
      <c r="W1326" s="97" t="s">
        <v>486</v>
      </c>
      <c r="X1326" s="167">
        <f>+J1313</f>
        <v>335.6</v>
      </c>
    </row>
    <row r="1327" spans="2:26" x14ac:dyDescent="0.2">
      <c r="O1327" s="152" t="s">
        <v>153</v>
      </c>
      <c r="P1327" s="78">
        <v>52200000001</v>
      </c>
      <c r="Q1327" s="142" t="s">
        <v>460</v>
      </c>
      <c r="R1327" s="429">
        <f t="shared" si="73"/>
        <v>0</v>
      </c>
      <c r="X1327" s="324">
        <f>X1324+X1325+X1326</f>
        <v>-26.749999999997613</v>
      </c>
      <c r="Y1327" s="97" t="s">
        <v>500</v>
      </c>
    </row>
    <row r="1328" spans="2:26" x14ac:dyDescent="0.2">
      <c r="O1328" s="152" t="s">
        <v>153</v>
      </c>
      <c r="P1328" s="227">
        <v>51220200001</v>
      </c>
      <c r="Q1328" s="217" t="s">
        <v>496</v>
      </c>
      <c r="R1328" s="429">
        <f t="shared" si="73"/>
        <v>354.35</v>
      </c>
    </row>
    <row r="1329" spans="2:26" ht="13.5" thickBot="1" x14ac:dyDescent="0.25">
      <c r="O1329" s="427"/>
      <c r="P1329" s="427"/>
      <c r="R1329" s="244">
        <f>SUM(R1309:R1328)</f>
        <v>2555.88</v>
      </c>
    </row>
    <row r="1330" spans="2:26" ht="15" thickTop="1" x14ac:dyDescent="0.2">
      <c r="E1330" s="793" t="s">
        <v>154</v>
      </c>
    </row>
    <row r="1332" spans="2:26" ht="14.25" x14ac:dyDescent="0.2">
      <c r="B1332" s="714"/>
      <c r="C1332" s="715" t="s">
        <v>255</v>
      </c>
      <c r="D1332" s="716" t="s">
        <v>43</v>
      </c>
      <c r="E1332" s="716"/>
      <c r="F1332" s="716" t="s">
        <v>135</v>
      </c>
      <c r="G1332" s="716"/>
      <c r="H1332" s="717" t="s">
        <v>136</v>
      </c>
      <c r="I1332" s="718"/>
      <c r="J1332" s="718"/>
      <c r="K1332" s="718"/>
      <c r="L1332" s="719"/>
      <c r="O1332" s="1206" t="s">
        <v>1037</v>
      </c>
      <c r="P1332" s="1206"/>
      <c r="Q1332" s="1206"/>
      <c r="R1332" s="1206"/>
      <c r="U1332" s="106" t="s">
        <v>465</v>
      </c>
      <c r="Y1332" s="97" t="s">
        <v>479</v>
      </c>
      <c r="Z1332" s="97" t="s">
        <v>340</v>
      </c>
    </row>
    <row r="1333" spans="2:26" x14ac:dyDescent="0.2">
      <c r="B1333" s="720" t="s">
        <v>137</v>
      </c>
      <c r="C1333" s="721" t="s">
        <v>138</v>
      </c>
      <c r="D1333" s="721" t="s">
        <v>258</v>
      </c>
      <c r="E1333" s="721" t="s">
        <v>139</v>
      </c>
      <c r="F1333" s="721" t="s">
        <v>259</v>
      </c>
      <c r="G1333" s="721" t="s">
        <v>140</v>
      </c>
      <c r="H1333" s="722" t="s">
        <v>94</v>
      </c>
      <c r="I1333" s="718"/>
      <c r="J1333" s="722" t="s">
        <v>141</v>
      </c>
      <c r="K1333" s="718"/>
      <c r="L1333" s="723" t="s">
        <v>325</v>
      </c>
      <c r="O1333" s="152" t="s">
        <v>154</v>
      </c>
      <c r="P1333" s="78">
        <v>51000000001</v>
      </c>
      <c r="Q1333" s="142" t="s">
        <v>460</v>
      </c>
      <c r="R1333" s="429">
        <f>SUMIFS($J$1335:$J$1337,$E$1335:$E$1337,Q1333,$M$1335:$M$1337,P1333)</f>
        <v>0</v>
      </c>
      <c r="T1333" s="97">
        <v>51000200001</v>
      </c>
      <c r="U1333" s="97" t="s">
        <v>382</v>
      </c>
      <c r="X1333" s="109"/>
      <c r="Y1333" s="109">
        <f>R1336</f>
        <v>0</v>
      </c>
      <c r="Z1333" s="144">
        <v>0</v>
      </c>
    </row>
    <row r="1334" spans="2:26" x14ac:dyDescent="0.2">
      <c r="B1334" s="724"/>
      <c r="C1334" s="725"/>
      <c r="D1334" s="725"/>
      <c r="E1334" s="724"/>
      <c r="F1334" s="724"/>
      <c r="G1334" s="724"/>
      <c r="H1334" s="726" t="s">
        <v>326</v>
      </c>
      <c r="I1334" s="727" t="s">
        <v>327</v>
      </c>
      <c r="J1334" s="728" t="s">
        <v>328</v>
      </c>
      <c r="K1334" s="728" t="s">
        <v>89</v>
      </c>
      <c r="L1334" s="729" t="s">
        <v>94</v>
      </c>
      <c r="O1334" s="152" t="s">
        <v>154</v>
      </c>
      <c r="P1334" s="78">
        <v>51000000002</v>
      </c>
      <c r="Q1334" s="142" t="s">
        <v>460</v>
      </c>
      <c r="R1334" s="429">
        <f t="shared" ref="R1334:R1352" si="74">SUMIFS($J$1335:$J$1337,$E$1335:$E$1337,Q1334,$M$1335:$M$1337,P1334)</f>
        <v>0</v>
      </c>
      <c r="T1334" s="97">
        <v>51000200002</v>
      </c>
      <c r="U1334" s="97" t="s">
        <v>383</v>
      </c>
      <c r="X1334" s="109"/>
      <c r="Y1334" s="109">
        <f>R1338</f>
        <v>0</v>
      </c>
      <c r="Z1334" s="144">
        <v>0</v>
      </c>
    </row>
    <row r="1335" spans="2:26" x14ac:dyDescent="0.2">
      <c r="B1335" s="731">
        <v>44070</v>
      </c>
      <c r="C1335" s="732" t="s">
        <v>1607</v>
      </c>
      <c r="D1335" s="732" t="s">
        <v>459</v>
      </c>
      <c r="E1335" s="733" t="s">
        <v>539</v>
      </c>
      <c r="F1335" s="733" t="s">
        <v>329</v>
      </c>
      <c r="G1335" s="734">
        <v>0</v>
      </c>
      <c r="H1335" s="734">
        <v>0</v>
      </c>
      <c r="I1335" s="734">
        <v>0</v>
      </c>
      <c r="J1335" s="736">
        <v>284.08999999999997</v>
      </c>
      <c r="K1335" s="737">
        <v>36.93</v>
      </c>
      <c r="L1335" s="736">
        <v>321.02</v>
      </c>
      <c r="N1335" s="734">
        <v>321.02</v>
      </c>
      <c r="O1335" s="152" t="s">
        <v>154</v>
      </c>
      <c r="P1335" s="78">
        <v>51000100001</v>
      </c>
      <c r="Q1335" s="142" t="s">
        <v>460</v>
      </c>
      <c r="R1335" s="429">
        <f t="shared" si="74"/>
        <v>0</v>
      </c>
      <c r="T1335" s="97">
        <v>51000100001</v>
      </c>
      <c r="U1335" s="109" t="s">
        <v>12</v>
      </c>
      <c r="X1335" s="109"/>
    </row>
    <row r="1336" spans="2:26" x14ac:dyDescent="0.2">
      <c r="B1336" s="735">
        <v>44070</v>
      </c>
      <c r="C1336" s="732" t="s">
        <v>1608</v>
      </c>
      <c r="D1336" s="732" t="s">
        <v>459</v>
      </c>
      <c r="E1336" s="733" t="s">
        <v>460</v>
      </c>
      <c r="F1336" s="733" t="s">
        <v>90</v>
      </c>
      <c r="G1336" s="734">
        <v>0</v>
      </c>
      <c r="H1336" s="734">
        <v>0</v>
      </c>
      <c r="I1336" s="734">
        <v>0</v>
      </c>
      <c r="J1336" s="736">
        <v>3347.12</v>
      </c>
      <c r="K1336" s="737">
        <v>435.13</v>
      </c>
      <c r="L1336" s="736">
        <v>3782.25</v>
      </c>
      <c r="M1336" s="245">
        <v>51220200001</v>
      </c>
      <c r="N1336" s="734">
        <v>3782.25</v>
      </c>
      <c r="O1336" s="152" t="s">
        <v>154</v>
      </c>
      <c r="P1336" s="78">
        <v>51000100001</v>
      </c>
      <c r="Q1336" s="142" t="s">
        <v>496</v>
      </c>
      <c r="R1336" s="429">
        <f t="shared" si="74"/>
        <v>0</v>
      </c>
      <c r="T1336" s="97">
        <v>51000100002</v>
      </c>
      <c r="U1336" s="109" t="s">
        <v>380</v>
      </c>
      <c r="X1336" s="109"/>
    </row>
    <row r="1337" spans="2:26" x14ac:dyDescent="0.2">
      <c r="B1337" s="735">
        <v>44070</v>
      </c>
      <c r="C1337" s="732" t="s">
        <v>1609</v>
      </c>
      <c r="D1337" s="732" t="s">
        <v>459</v>
      </c>
      <c r="E1337" s="733" t="s">
        <v>496</v>
      </c>
      <c r="F1337" s="733" t="s">
        <v>497</v>
      </c>
      <c r="G1337" s="734">
        <v>0</v>
      </c>
      <c r="H1337" s="734">
        <v>0</v>
      </c>
      <c r="I1337" s="734">
        <v>0</v>
      </c>
      <c r="J1337" s="736">
        <v>354.35</v>
      </c>
      <c r="K1337" s="737">
        <v>46.07</v>
      </c>
      <c r="L1337" s="736">
        <v>400.42</v>
      </c>
      <c r="M1337" s="245">
        <v>51220200001</v>
      </c>
      <c r="N1337" s="734">
        <v>400.42</v>
      </c>
      <c r="O1337" s="152" t="s">
        <v>154</v>
      </c>
      <c r="P1337" s="78">
        <v>51000100002</v>
      </c>
      <c r="Q1337" s="142" t="s">
        <v>460</v>
      </c>
      <c r="R1337" s="429">
        <f t="shared" si="74"/>
        <v>0</v>
      </c>
      <c r="T1337" s="97">
        <v>51220200001</v>
      </c>
      <c r="U1337" s="97" t="s">
        <v>55</v>
      </c>
      <c r="X1337" s="109">
        <v>-3996.5500000000029</v>
      </c>
      <c r="Y1337" s="109">
        <f>R1345+R1352</f>
        <v>3701.47</v>
      </c>
      <c r="Z1337" s="144">
        <f>X1338+Y1337</f>
        <v>-7364.1100000000024</v>
      </c>
    </row>
    <row r="1338" spans="2:26" x14ac:dyDescent="0.2">
      <c r="O1338" s="152" t="s">
        <v>154</v>
      </c>
      <c r="P1338" s="78">
        <v>51000100002</v>
      </c>
      <c r="Q1338" s="142" t="s">
        <v>496</v>
      </c>
      <c r="R1338" s="429">
        <f t="shared" si="74"/>
        <v>0</v>
      </c>
      <c r="T1338" s="195">
        <v>52200000001</v>
      </c>
      <c r="U1338" s="195" t="s">
        <v>33</v>
      </c>
      <c r="V1338" s="195"/>
      <c r="W1338" s="195"/>
      <c r="X1338" s="109">
        <v>-11065.580000000002</v>
      </c>
      <c r="Y1338" s="109">
        <v>0</v>
      </c>
      <c r="Z1338" s="144">
        <v>0</v>
      </c>
    </row>
    <row r="1339" spans="2:26" x14ac:dyDescent="0.2">
      <c r="O1339" s="152" t="s">
        <v>154</v>
      </c>
      <c r="P1339" s="227">
        <v>51000200001</v>
      </c>
      <c r="Q1339" s="217" t="s">
        <v>460</v>
      </c>
      <c r="R1339" s="429">
        <f t="shared" si="74"/>
        <v>0</v>
      </c>
      <c r="T1339" s="97">
        <v>51000000001</v>
      </c>
      <c r="U1339" s="97" t="s">
        <v>132</v>
      </c>
      <c r="X1339" s="109"/>
    </row>
    <row r="1340" spans="2:26" x14ac:dyDescent="0.2">
      <c r="O1340" s="152" t="s">
        <v>154</v>
      </c>
      <c r="P1340" s="78">
        <v>51000200001</v>
      </c>
      <c r="Q1340" s="142" t="s">
        <v>351</v>
      </c>
      <c r="R1340" s="429">
        <f t="shared" si="74"/>
        <v>0</v>
      </c>
      <c r="T1340" s="97">
        <v>51000000002</v>
      </c>
      <c r="U1340" s="97" t="s">
        <v>10</v>
      </c>
      <c r="X1340" s="109"/>
    </row>
    <row r="1341" spans="2:26" x14ac:dyDescent="0.2">
      <c r="O1341" s="152" t="s">
        <v>154</v>
      </c>
      <c r="P1341" s="78">
        <v>51000200001</v>
      </c>
      <c r="Q1341" s="142" t="s">
        <v>56</v>
      </c>
      <c r="R1341" s="429">
        <f t="shared" si="74"/>
        <v>0</v>
      </c>
      <c r="T1341" s="97">
        <v>53000100001</v>
      </c>
      <c r="U1341" s="97" t="s">
        <v>134</v>
      </c>
      <c r="X1341" s="198"/>
      <c r="Y1341" s="109">
        <v>0</v>
      </c>
      <c r="Z1341" s="144">
        <v>0</v>
      </c>
    </row>
    <row r="1342" spans="2:26" x14ac:dyDescent="0.2">
      <c r="O1342" s="152" t="s">
        <v>154</v>
      </c>
      <c r="P1342" s="227">
        <v>51000200002</v>
      </c>
      <c r="Q1342" s="217" t="s">
        <v>460</v>
      </c>
      <c r="R1342" s="429">
        <f t="shared" si="74"/>
        <v>0</v>
      </c>
      <c r="X1342" s="171">
        <v>0</v>
      </c>
      <c r="Y1342" s="171"/>
      <c r="Z1342" s="167">
        <v>0</v>
      </c>
    </row>
    <row r="1343" spans="2:26" x14ac:dyDescent="0.2">
      <c r="O1343" s="152" t="s">
        <v>154</v>
      </c>
      <c r="P1343" s="78">
        <v>51000200002</v>
      </c>
      <c r="Q1343" s="142" t="s">
        <v>351</v>
      </c>
      <c r="R1343" s="429">
        <f t="shared" si="74"/>
        <v>0</v>
      </c>
      <c r="X1343" s="158">
        <f>SUM(X1333:X1341)</f>
        <v>-15062.130000000005</v>
      </c>
      <c r="Y1343" s="158">
        <f>SUM(Y1333:Y1342)</f>
        <v>3701.47</v>
      </c>
      <c r="Z1343" s="158">
        <f>SUM(Z1333:Z1342)</f>
        <v>-7364.1100000000024</v>
      </c>
    </row>
    <row r="1344" spans="2:26" x14ac:dyDescent="0.2">
      <c r="O1344" s="152" t="s">
        <v>154</v>
      </c>
      <c r="P1344" s="78">
        <v>51000200002</v>
      </c>
      <c r="Q1344" s="142" t="s">
        <v>56</v>
      </c>
      <c r="R1344" s="429">
        <f t="shared" si="74"/>
        <v>0</v>
      </c>
      <c r="U1344" s="109"/>
      <c r="Z1344" s="144"/>
    </row>
    <row r="1345" spans="2:32" x14ac:dyDescent="0.2">
      <c r="O1345" s="152" t="s">
        <v>154</v>
      </c>
      <c r="P1345" s="227">
        <v>51220200001</v>
      </c>
      <c r="Q1345" s="217" t="s">
        <v>460</v>
      </c>
      <c r="R1345" s="429">
        <f t="shared" si="74"/>
        <v>3347.12</v>
      </c>
      <c r="U1345" s="109"/>
    </row>
    <row r="1346" spans="2:32" x14ac:dyDescent="0.2">
      <c r="O1346" s="152" t="s">
        <v>154</v>
      </c>
      <c r="P1346" s="78">
        <v>51220200001</v>
      </c>
      <c r="Q1346" s="142" t="s">
        <v>351</v>
      </c>
      <c r="R1346" s="429">
        <f t="shared" si="74"/>
        <v>0</v>
      </c>
    </row>
    <row r="1347" spans="2:32" x14ac:dyDescent="0.2">
      <c r="O1347" s="152" t="s">
        <v>154</v>
      </c>
      <c r="P1347" s="78">
        <v>51220200001</v>
      </c>
      <c r="Q1347" s="142" t="s">
        <v>56</v>
      </c>
      <c r="R1347" s="429">
        <f t="shared" si="74"/>
        <v>0</v>
      </c>
    </row>
    <row r="1348" spans="2:32" x14ac:dyDescent="0.2">
      <c r="O1348" s="152" t="s">
        <v>154</v>
      </c>
      <c r="P1348" s="78">
        <v>52200000001</v>
      </c>
      <c r="Q1348" s="142" t="s">
        <v>460</v>
      </c>
      <c r="R1348" s="429">
        <f t="shared" si="74"/>
        <v>0</v>
      </c>
      <c r="W1348" s="106" t="s">
        <v>478</v>
      </c>
      <c r="X1348" s="144">
        <f>+X1333+X1334+X1335+X1336+X1337</f>
        <v>-3996.5500000000029</v>
      </c>
    </row>
    <row r="1349" spans="2:32" x14ac:dyDescent="0.2">
      <c r="O1349" s="152" t="s">
        <v>154</v>
      </c>
      <c r="P1349" s="78">
        <v>52200000001</v>
      </c>
      <c r="Q1349" s="142" t="s">
        <v>351</v>
      </c>
      <c r="R1349" s="429">
        <f t="shared" si="74"/>
        <v>0</v>
      </c>
      <c r="W1349" s="97" t="s">
        <v>480</v>
      </c>
      <c r="X1349" s="144">
        <f>+R1353</f>
        <v>3701.47</v>
      </c>
    </row>
    <row r="1350" spans="2:32" x14ac:dyDescent="0.2">
      <c r="O1350" s="152" t="s">
        <v>154</v>
      </c>
      <c r="P1350" s="78">
        <v>52200000001</v>
      </c>
      <c r="Q1350" s="142" t="s">
        <v>56</v>
      </c>
      <c r="R1350" s="429">
        <f t="shared" si="74"/>
        <v>0</v>
      </c>
      <c r="W1350" s="97" t="s">
        <v>486</v>
      </c>
      <c r="X1350" s="167">
        <f>+J1335</f>
        <v>284.08999999999997</v>
      </c>
    </row>
    <row r="1351" spans="2:32" x14ac:dyDescent="0.2">
      <c r="O1351" s="152" t="s">
        <v>154</v>
      </c>
      <c r="P1351" s="78">
        <v>52200000001</v>
      </c>
      <c r="Q1351" s="142" t="s">
        <v>460</v>
      </c>
      <c r="R1351" s="429">
        <f t="shared" si="74"/>
        <v>0</v>
      </c>
      <c r="X1351" s="324">
        <f>X1348+X1349+X1350</f>
        <v>-10.990000000003135</v>
      </c>
      <c r="Y1351" s="97" t="s">
        <v>500</v>
      </c>
    </row>
    <row r="1352" spans="2:32" x14ac:dyDescent="0.2">
      <c r="O1352" s="152" t="s">
        <v>154</v>
      </c>
      <c r="P1352" s="227">
        <v>51220200001</v>
      </c>
      <c r="Q1352" s="217" t="s">
        <v>496</v>
      </c>
      <c r="R1352" s="429">
        <f t="shared" si="74"/>
        <v>354.35</v>
      </c>
    </row>
    <row r="1353" spans="2:32" ht="13.5" thickBot="1" x14ac:dyDescent="0.25">
      <c r="O1353" s="427"/>
      <c r="P1353" s="427"/>
      <c r="R1353" s="244">
        <f>SUM(R1333:R1352)</f>
        <v>3701.47</v>
      </c>
    </row>
    <row r="1354" spans="2:32" ht="13.5" thickTop="1" x14ac:dyDescent="0.2"/>
    <row r="1358" spans="2:32" ht="14.25" x14ac:dyDescent="0.2">
      <c r="E1358" s="793" t="s">
        <v>582</v>
      </c>
      <c r="M1358" s="427"/>
      <c r="N1358" s="427"/>
      <c r="O1358" s="427"/>
      <c r="P1358" s="427"/>
      <c r="AD1358" s="346"/>
      <c r="AE1358" s="346"/>
      <c r="AF1358" s="346"/>
    </row>
    <row r="1359" spans="2:32" x14ac:dyDescent="0.2">
      <c r="M1359" s="427"/>
      <c r="N1359" s="427"/>
      <c r="O1359" s="427"/>
      <c r="P1359" s="427"/>
      <c r="AD1359" s="346"/>
      <c r="AE1359" s="346"/>
      <c r="AF1359" s="346"/>
    </row>
    <row r="1360" spans="2:32" ht="14.25" x14ac:dyDescent="0.2">
      <c r="B1360" s="714"/>
      <c r="C1360" s="715" t="s">
        <v>255</v>
      </c>
      <c r="D1360" s="716" t="s">
        <v>43</v>
      </c>
      <c r="E1360" s="716"/>
      <c r="F1360" s="716" t="s">
        <v>135</v>
      </c>
      <c r="G1360" s="716"/>
      <c r="H1360" s="717" t="s">
        <v>136</v>
      </c>
      <c r="I1360" s="718"/>
      <c r="J1360" s="718"/>
      <c r="K1360" s="718"/>
      <c r="L1360" s="719"/>
      <c r="M1360" s="427"/>
      <c r="N1360" s="427"/>
      <c r="O1360" s="1206" t="s">
        <v>1037</v>
      </c>
      <c r="P1360" s="1206"/>
      <c r="Q1360" s="1206"/>
      <c r="R1360" s="1206"/>
      <c r="U1360" s="106" t="s">
        <v>465</v>
      </c>
      <c r="Y1360" s="97" t="s">
        <v>479</v>
      </c>
      <c r="Z1360" s="97" t="s">
        <v>340</v>
      </c>
      <c r="AD1360" s="346"/>
      <c r="AE1360" s="346"/>
      <c r="AF1360" s="346"/>
    </row>
    <row r="1361" spans="2:32" x14ac:dyDescent="0.2">
      <c r="B1361" s="720" t="s">
        <v>137</v>
      </c>
      <c r="C1361" s="721" t="s">
        <v>138</v>
      </c>
      <c r="D1361" s="721" t="s">
        <v>258</v>
      </c>
      <c r="E1361" s="721" t="s">
        <v>139</v>
      </c>
      <c r="F1361" s="721" t="s">
        <v>259</v>
      </c>
      <c r="G1361" s="721" t="s">
        <v>140</v>
      </c>
      <c r="H1361" s="722" t="s">
        <v>94</v>
      </c>
      <c r="I1361" s="718"/>
      <c r="J1361" s="722" t="s">
        <v>141</v>
      </c>
      <c r="K1361" s="718"/>
      <c r="L1361" s="723" t="s">
        <v>325</v>
      </c>
      <c r="M1361" s="427"/>
      <c r="N1361" s="427"/>
      <c r="O1361" s="152" t="s">
        <v>582</v>
      </c>
      <c r="P1361" s="78">
        <v>51000000001</v>
      </c>
      <c r="Q1361" s="142" t="s">
        <v>460</v>
      </c>
      <c r="R1361" s="429">
        <f>SUMIFS($J$1363:$J$1375,$E$1363:$E$1375,Q1361,$M$1363:$M$1375,P1361)</f>
        <v>0</v>
      </c>
      <c r="T1361" s="97">
        <v>51000200001</v>
      </c>
      <c r="U1361" s="97" t="s">
        <v>382</v>
      </c>
      <c r="X1361" s="109">
        <v>-479.46000000000004</v>
      </c>
      <c r="Y1361" s="109">
        <f>R1364</f>
        <v>0</v>
      </c>
      <c r="Z1361" s="144">
        <v>0</v>
      </c>
      <c r="AD1361" s="346"/>
      <c r="AE1361" s="346"/>
      <c r="AF1361" s="346"/>
    </row>
    <row r="1362" spans="2:32" x14ac:dyDescent="0.2">
      <c r="B1362" s="724"/>
      <c r="C1362" s="725"/>
      <c r="D1362" s="725"/>
      <c r="E1362" s="724"/>
      <c r="F1362" s="724"/>
      <c r="G1362" s="724"/>
      <c r="H1362" s="726" t="s">
        <v>326</v>
      </c>
      <c r="I1362" s="727" t="s">
        <v>327</v>
      </c>
      <c r="J1362" s="728" t="s">
        <v>328</v>
      </c>
      <c r="K1362" s="728" t="s">
        <v>89</v>
      </c>
      <c r="L1362" s="729" t="s">
        <v>94</v>
      </c>
      <c r="M1362" s="427"/>
      <c r="N1362" s="427"/>
      <c r="O1362" s="152" t="s">
        <v>582</v>
      </c>
      <c r="P1362" s="78">
        <v>51000000002</v>
      </c>
      <c r="Q1362" s="142" t="s">
        <v>460</v>
      </c>
      <c r="R1362" s="429">
        <f t="shared" ref="R1362:R1380" si="75">SUMIFS($J$1363:$J$1375,$E$1363:$E$1375,Q1362,$M$1363:$M$1375,P1362)</f>
        <v>0</v>
      </c>
      <c r="T1362" s="97">
        <v>51000200002</v>
      </c>
      <c r="U1362" s="97" t="s">
        <v>383</v>
      </c>
      <c r="X1362" s="109">
        <v>-479.46000000000004</v>
      </c>
      <c r="Y1362" s="109">
        <f>R1366</f>
        <v>0</v>
      </c>
      <c r="Z1362" s="144">
        <v>0</v>
      </c>
      <c r="AD1362" s="346"/>
      <c r="AE1362" s="346"/>
      <c r="AF1362" s="346"/>
    </row>
    <row r="1363" spans="2:32" x14ac:dyDescent="0.2">
      <c r="B1363" s="694">
        <v>44092</v>
      </c>
      <c r="C1363" s="138" t="s">
        <v>1621</v>
      </c>
      <c r="D1363" s="138" t="s">
        <v>459</v>
      </c>
      <c r="E1363" s="217" t="s">
        <v>539</v>
      </c>
      <c r="F1363" s="217" t="s">
        <v>329</v>
      </c>
      <c r="G1363" s="802">
        <v>0</v>
      </c>
      <c r="H1363" s="802">
        <v>0</v>
      </c>
      <c r="I1363" s="802">
        <v>0</v>
      </c>
      <c r="J1363" s="802">
        <v>1085.31</v>
      </c>
      <c r="K1363" s="336">
        <v>141.09</v>
      </c>
      <c r="L1363" s="802">
        <f t="shared" ref="L1363:L1375" si="76">+J1363+K1363</f>
        <v>1226.3999999999999</v>
      </c>
      <c r="M1363" s="427"/>
      <c r="N1363" s="736">
        <v>321.02</v>
      </c>
      <c r="O1363" s="152" t="s">
        <v>582</v>
      </c>
      <c r="P1363" s="78">
        <v>51000100001</v>
      </c>
      <c r="Q1363" s="142" t="s">
        <v>460</v>
      </c>
      <c r="R1363" s="429">
        <f t="shared" si="75"/>
        <v>0</v>
      </c>
      <c r="T1363" s="97">
        <v>51000100001</v>
      </c>
      <c r="U1363" s="109" t="s">
        <v>12</v>
      </c>
      <c r="X1363" s="109"/>
      <c r="AD1363" s="346"/>
      <c r="AE1363" s="346"/>
      <c r="AF1363" s="346"/>
    </row>
    <row r="1364" spans="2:32" x14ac:dyDescent="0.2">
      <c r="B1364" s="448">
        <v>44092</v>
      </c>
      <c r="C1364" s="138" t="s">
        <v>1622</v>
      </c>
      <c r="D1364" s="138" t="s">
        <v>459</v>
      </c>
      <c r="E1364" s="217" t="s">
        <v>539</v>
      </c>
      <c r="F1364" s="217" t="s">
        <v>329</v>
      </c>
      <c r="G1364" s="802">
        <v>0</v>
      </c>
      <c r="H1364" s="802">
        <v>0</v>
      </c>
      <c r="I1364" s="802">
        <v>0</v>
      </c>
      <c r="J1364" s="802">
        <v>637.91999999999996</v>
      </c>
      <c r="K1364" s="336">
        <v>82.93</v>
      </c>
      <c r="L1364" s="802">
        <f t="shared" si="76"/>
        <v>720.84999999999991</v>
      </c>
      <c r="M1364" s="427"/>
      <c r="N1364" s="736">
        <v>3782.25</v>
      </c>
      <c r="O1364" s="152" t="s">
        <v>582</v>
      </c>
      <c r="P1364" s="78">
        <v>51000100001</v>
      </c>
      <c r="Q1364" s="142" t="s">
        <v>496</v>
      </c>
      <c r="R1364" s="429">
        <f t="shared" si="75"/>
        <v>0</v>
      </c>
      <c r="T1364" s="97">
        <v>51000100002</v>
      </c>
      <c r="U1364" s="109" t="s">
        <v>380</v>
      </c>
      <c r="X1364" s="109"/>
      <c r="AD1364" s="346"/>
      <c r="AE1364" s="346"/>
      <c r="AF1364" s="346"/>
    </row>
    <row r="1365" spans="2:32" x14ac:dyDescent="0.2">
      <c r="B1365" s="448">
        <v>44096</v>
      </c>
      <c r="C1365" s="138" t="s">
        <v>1623</v>
      </c>
      <c r="D1365" s="138" t="s">
        <v>459</v>
      </c>
      <c r="E1365" s="217" t="s">
        <v>539</v>
      </c>
      <c r="F1365" s="217" t="s">
        <v>329</v>
      </c>
      <c r="G1365" s="802">
        <v>0</v>
      </c>
      <c r="H1365" s="802">
        <v>0</v>
      </c>
      <c r="I1365" s="802">
        <v>0</v>
      </c>
      <c r="J1365" s="802">
        <v>423.25</v>
      </c>
      <c r="K1365" s="336">
        <v>55.02</v>
      </c>
      <c r="L1365" s="802">
        <f t="shared" si="76"/>
        <v>478.27</v>
      </c>
      <c r="M1365" s="427"/>
      <c r="N1365" s="736">
        <v>400.42</v>
      </c>
      <c r="O1365" s="152" t="s">
        <v>582</v>
      </c>
      <c r="P1365" s="78">
        <v>51000100002</v>
      </c>
      <c r="Q1365" s="142" t="s">
        <v>460</v>
      </c>
      <c r="R1365" s="429">
        <f t="shared" si="75"/>
        <v>0</v>
      </c>
      <c r="T1365" s="97">
        <v>51220200001</v>
      </c>
      <c r="U1365" s="97" t="s">
        <v>55</v>
      </c>
      <c r="X1365" s="109">
        <v>-3461</v>
      </c>
      <c r="Y1365" s="109">
        <f>R1373+R1380</f>
        <v>4197.37</v>
      </c>
      <c r="Z1365" s="144">
        <f>X1366+Y1365</f>
        <v>-30654.670000000009</v>
      </c>
    </row>
    <row r="1366" spans="2:32" x14ac:dyDescent="0.2">
      <c r="B1366" s="448">
        <v>44096</v>
      </c>
      <c r="C1366" s="138" t="s">
        <v>504</v>
      </c>
      <c r="D1366" s="138" t="s">
        <v>459</v>
      </c>
      <c r="E1366" s="217" t="s">
        <v>539</v>
      </c>
      <c r="F1366" s="217" t="s">
        <v>329</v>
      </c>
      <c r="G1366" s="802">
        <v>0</v>
      </c>
      <c r="H1366" s="802">
        <v>0</v>
      </c>
      <c r="I1366" s="802">
        <v>0</v>
      </c>
      <c r="J1366" s="802">
        <v>238.08</v>
      </c>
      <c r="K1366" s="336">
        <v>30.95</v>
      </c>
      <c r="L1366" s="802">
        <f t="shared" si="76"/>
        <v>269.03000000000003</v>
      </c>
      <c r="M1366" s="427"/>
      <c r="N1366" s="427"/>
      <c r="O1366" s="152" t="s">
        <v>582</v>
      </c>
      <c r="P1366" s="78">
        <v>51000100002</v>
      </c>
      <c r="Q1366" s="142" t="s">
        <v>496</v>
      </c>
      <c r="R1366" s="429">
        <f t="shared" si="75"/>
        <v>0</v>
      </c>
      <c r="T1366" s="195">
        <v>52200000001</v>
      </c>
      <c r="U1366" s="195" t="s">
        <v>33</v>
      </c>
      <c r="V1366" s="195"/>
      <c r="W1366" s="195"/>
      <c r="X1366" s="109">
        <v>-34852.040000000008</v>
      </c>
      <c r="Y1366" s="109">
        <v>0</v>
      </c>
      <c r="Z1366" s="144">
        <v>0</v>
      </c>
    </row>
    <row r="1367" spans="2:32" x14ac:dyDescent="0.2">
      <c r="B1367" s="448">
        <v>44097</v>
      </c>
      <c r="C1367" s="138" t="s">
        <v>1624</v>
      </c>
      <c r="D1367" s="138" t="s">
        <v>459</v>
      </c>
      <c r="E1367" s="142" t="s">
        <v>496</v>
      </c>
      <c r="F1367" s="142" t="s">
        <v>497</v>
      </c>
      <c r="G1367" s="799">
        <v>0</v>
      </c>
      <c r="H1367" s="799">
        <v>0</v>
      </c>
      <c r="I1367" s="799">
        <v>0</v>
      </c>
      <c r="J1367" s="799">
        <v>354.35</v>
      </c>
      <c r="K1367" s="800">
        <v>46.07</v>
      </c>
      <c r="L1367" s="799">
        <f t="shared" si="76"/>
        <v>400.42</v>
      </c>
      <c r="M1367" s="245">
        <v>51220200001</v>
      </c>
      <c r="N1367" s="427"/>
      <c r="O1367" s="152" t="s">
        <v>582</v>
      </c>
      <c r="P1367" s="227">
        <v>51000200001</v>
      </c>
      <c r="Q1367" s="217" t="s">
        <v>460</v>
      </c>
      <c r="R1367" s="429">
        <f t="shared" si="75"/>
        <v>0</v>
      </c>
      <c r="T1367" s="97">
        <v>51000000001</v>
      </c>
      <c r="U1367" s="97" t="s">
        <v>132</v>
      </c>
      <c r="X1367" s="109">
        <v>-2102.6800000000003</v>
      </c>
    </row>
    <row r="1368" spans="2:32" x14ac:dyDescent="0.2">
      <c r="B1368" s="448">
        <v>44097</v>
      </c>
      <c r="C1368" s="138" t="s">
        <v>1625</v>
      </c>
      <c r="D1368" s="138" t="s">
        <v>459</v>
      </c>
      <c r="E1368" s="142" t="s">
        <v>460</v>
      </c>
      <c r="F1368" s="142" t="s">
        <v>90</v>
      </c>
      <c r="G1368" s="799">
        <v>0</v>
      </c>
      <c r="H1368" s="799">
        <v>0</v>
      </c>
      <c r="I1368" s="799">
        <v>0</v>
      </c>
      <c r="J1368" s="799">
        <v>2884.1</v>
      </c>
      <c r="K1368" s="800">
        <v>374.93</v>
      </c>
      <c r="L1368" s="799">
        <f t="shared" si="76"/>
        <v>3259.0299999999997</v>
      </c>
      <c r="M1368" s="245">
        <v>51220200001</v>
      </c>
      <c r="N1368" s="427"/>
      <c r="O1368" s="152" t="s">
        <v>582</v>
      </c>
      <c r="P1368" s="78">
        <v>51000200001</v>
      </c>
      <c r="Q1368" s="142" t="s">
        <v>351</v>
      </c>
      <c r="R1368" s="429">
        <f t="shared" si="75"/>
        <v>0</v>
      </c>
      <c r="T1368" s="97">
        <v>51000000002</v>
      </c>
      <c r="U1368" s="97" t="s">
        <v>10</v>
      </c>
      <c r="X1368" s="109">
        <v>-1210.1899999999987</v>
      </c>
    </row>
    <row r="1369" spans="2:32" x14ac:dyDescent="0.2">
      <c r="B1369" s="448">
        <v>44097</v>
      </c>
      <c r="C1369" s="138" t="s">
        <v>1626</v>
      </c>
      <c r="D1369" s="138" t="s">
        <v>459</v>
      </c>
      <c r="E1369" s="217" t="s">
        <v>539</v>
      </c>
      <c r="F1369" s="217" t="s">
        <v>329</v>
      </c>
      <c r="G1369" s="802">
        <v>0</v>
      </c>
      <c r="H1369" s="802">
        <v>0</v>
      </c>
      <c r="I1369" s="802">
        <v>0</v>
      </c>
      <c r="J1369" s="802">
        <v>211.03</v>
      </c>
      <c r="K1369" s="336">
        <v>27.43</v>
      </c>
      <c r="L1369" s="802">
        <f t="shared" si="76"/>
        <v>238.46</v>
      </c>
      <c r="M1369" s="427"/>
      <c r="N1369" s="427"/>
      <c r="O1369" s="152" t="s">
        <v>582</v>
      </c>
      <c r="P1369" s="78">
        <v>51000200001</v>
      </c>
      <c r="Q1369" s="142" t="s">
        <v>56</v>
      </c>
      <c r="R1369" s="429">
        <f t="shared" si="75"/>
        <v>0</v>
      </c>
      <c r="T1369" s="97">
        <v>53000100001</v>
      </c>
      <c r="U1369" s="97" t="s">
        <v>134</v>
      </c>
      <c r="X1369" s="198"/>
      <c r="Y1369" s="109">
        <v>0</v>
      </c>
      <c r="Z1369" s="144">
        <v>0</v>
      </c>
    </row>
    <row r="1370" spans="2:32" x14ac:dyDescent="0.2">
      <c r="B1370" s="448">
        <v>44098</v>
      </c>
      <c r="C1370" s="138" t="s">
        <v>1627</v>
      </c>
      <c r="D1370" s="138" t="s">
        <v>459</v>
      </c>
      <c r="E1370" s="142" t="s">
        <v>460</v>
      </c>
      <c r="F1370" s="142" t="s">
        <v>90</v>
      </c>
      <c r="G1370" s="799">
        <v>0</v>
      </c>
      <c r="H1370" s="799">
        <v>0</v>
      </c>
      <c r="I1370" s="799">
        <v>0</v>
      </c>
      <c r="J1370" s="799">
        <v>239.73</v>
      </c>
      <c r="K1370" s="800">
        <v>31.16</v>
      </c>
      <c r="L1370" s="799">
        <f t="shared" si="76"/>
        <v>270.89</v>
      </c>
      <c r="M1370" s="245">
        <v>51220200001</v>
      </c>
      <c r="N1370" s="427"/>
      <c r="O1370" s="152" t="s">
        <v>582</v>
      </c>
      <c r="P1370" s="227">
        <v>51000200002</v>
      </c>
      <c r="Q1370" s="217" t="s">
        <v>460</v>
      </c>
      <c r="R1370" s="429">
        <f t="shared" si="75"/>
        <v>0</v>
      </c>
      <c r="X1370" s="171">
        <v>0</v>
      </c>
      <c r="Y1370" s="171"/>
      <c r="Z1370" s="167">
        <v>0</v>
      </c>
    </row>
    <row r="1371" spans="2:32" x14ac:dyDescent="0.2">
      <c r="B1371" s="448">
        <v>44098</v>
      </c>
      <c r="C1371" s="138" t="s">
        <v>1628</v>
      </c>
      <c r="D1371" s="138" t="s">
        <v>459</v>
      </c>
      <c r="E1371" s="142" t="s">
        <v>460</v>
      </c>
      <c r="F1371" s="142" t="s">
        <v>90</v>
      </c>
      <c r="G1371" s="799">
        <v>0</v>
      </c>
      <c r="H1371" s="799">
        <v>0</v>
      </c>
      <c r="I1371" s="799">
        <v>0</v>
      </c>
      <c r="J1371" s="799">
        <v>239.73</v>
      </c>
      <c r="K1371" s="800">
        <v>31.16</v>
      </c>
      <c r="L1371" s="799">
        <f t="shared" si="76"/>
        <v>270.89</v>
      </c>
      <c r="M1371" s="245">
        <v>51220200001</v>
      </c>
      <c r="N1371" s="427"/>
      <c r="O1371" s="152" t="s">
        <v>582</v>
      </c>
      <c r="P1371" s="78">
        <v>51000200002</v>
      </c>
      <c r="Q1371" s="142" t="s">
        <v>351</v>
      </c>
      <c r="R1371" s="429">
        <f t="shared" si="75"/>
        <v>0</v>
      </c>
      <c r="X1371" s="158">
        <f>SUM(X1361:X1369)</f>
        <v>-42584.83</v>
      </c>
      <c r="Y1371" s="158">
        <f>SUM(Y1361:Y1370)</f>
        <v>4197.37</v>
      </c>
      <c r="Z1371" s="158">
        <f>SUM(Z1361:Z1370)</f>
        <v>-30654.670000000009</v>
      </c>
    </row>
    <row r="1372" spans="2:32" x14ac:dyDescent="0.2">
      <c r="B1372" s="448">
        <v>44099</v>
      </c>
      <c r="C1372" s="138" t="s">
        <v>1629</v>
      </c>
      <c r="D1372" s="138" t="s">
        <v>459</v>
      </c>
      <c r="E1372" s="142" t="s">
        <v>460</v>
      </c>
      <c r="F1372" s="142" t="s">
        <v>90</v>
      </c>
      <c r="G1372" s="799">
        <v>0</v>
      </c>
      <c r="H1372" s="799">
        <v>0</v>
      </c>
      <c r="I1372" s="799">
        <v>0</v>
      </c>
      <c r="J1372" s="799">
        <v>239.73</v>
      </c>
      <c r="K1372" s="800">
        <v>31.16</v>
      </c>
      <c r="L1372" s="799">
        <f t="shared" si="76"/>
        <v>270.89</v>
      </c>
      <c r="M1372" s="245">
        <v>51220200001</v>
      </c>
      <c r="N1372" s="427"/>
      <c r="O1372" s="152" t="s">
        <v>582</v>
      </c>
      <c r="P1372" s="78">
        <v>51000200002</v>
      </c>
      <c r="Q1372" s="142" t="s">
        <v>56</v>
      </c>
      <c r="R1372" s="429">
        <f t="shared" si="75"/>
        <v>0</v>
      </c>
      <c r="U1372" s="109"/>
      <c r="Z1372" s="144"/>
    </row>
    <row r="1373" spans="2:32" x14ac:dyDescent="0.2">
      <c r="B1373" s="448">
        <v>44099</v>
      </c>
      <c r="C1373" s="138" t="s">
        <v>1630</v>
      </c>
      <c r="D1373" s="138" t="s">
        <v>459</v>
      </c>
      <c r="E1373" s="142" t="s">
        <v>460</v>
      </c>
      <c r="F1373" s="142" t="s">
        <v>90</v>
      </c>
      <c r="G1373" s="799">
        <v>0</v>
      </c>
      <c r="H1373" s="799">
        <v>0</v>
      </c>
      <c r="I1373" s="799">
        <v>0</v>
      </c>
      <c r="J1373" s="799">
        <v>239.73</v>
      </c>
      <c r="K1373" s="800">
        <v>31.16</v>
      </c>
      <c r="L1373" s="799">
        <f t="shared" si="76"/>
        <v>270.89</v>
      </c>
      <c r="M1373" s="245">
        <v>51220200001</v>
      </c>
      <c r="N1373" s="427"/>
      <c r="O1373" s="152" t="s">
        <v>582</v>
      </c>
      <c r="P1373" s="227">
        <v>51220200001</v>
      </c>
      <c r="Q1373" s="217" t="s">
        <v>460</v>
      </c>
      <c r="R1373" s="429">
        <f t="shared" si="75"/>
        <v>3843.02</v>
      </c>
      <c r="U1373" s="109"/>
    </row>
    <row r="1374" spans="2:32" x14ac:dyDescent="0.2">
      <c r="B1374" s="448">
        <v>44099</v>
      </c>
      <c r="C1374" s="138" t="s">
        <v>1631</v>
      </c>
      <c r="D1374" s="138" t="s">
        <v>459</v>
      </c>
      <c r="E1374" s="217" t="s">
        <v>539</v>
      </c>
      <c r="F1374" s="217" t="s">
        <v>329</v>
      </c>
      <c r="G1374" s="802">
        <v>0</v>
      </c>
      <c r="H1374" s="802">
        <v>0</v>
      </c>
      <c r="I1374" s="802">
        <v>0</v>
      </c>
      <c r="J1374" s="802">
        <v>594.12</v>
      </c>
      <c r="K1374" s="336">
        <v>77.23</v>
      </c>
      <c r="L1374" s="802">
        <f t="shared" si="76"/>
        <v>671.35</v>
      </c>
      <c r="M1374" s="427"/>
      <c r="N1374" s="427"/>
      <c r="O1374" s="152" t="s">
        <v>582</v>
      </c>
      <c r="P1374" s="78">
        <v>51220200001</v>
      </c>
      <c r="Q1374" s="142" t="s">
        <v>351</v>
      </c>
      <c r="R1374" s="429">
        <f t="shared" si="75"/>
        <v>0</v>
      </c>
    </row>
    <row r="1375" spans="2:32" x14ac:dyDescent="0.2">
      <c r="B1375" s="448">
        <v>44099</v>
      </c>
      <c r="C1375" s="138" t="s">
        <v>1632</v>
      </c>
      <c r="D1375" s="138" t="s">
        <v>459</v>
      </c>
      <c r="E1375" s="217" t="s">
        <v>539</v>
      </c>
      <c r="F1375" s="217" t="s">
        <v>329</v>
      </c>
      <c r="G1375" s="802">
        <v>0</v>
      </c>
      <c r="H1375" s="802">
        <v>0</v>
      </c>
      <c r="I1375" s="802">
        <v>0</v>
      </c>
      <c r="J1375" s="802">
        <v>334.19</v>
      </c>
      <c r="K1375" s="336">
        <v>43.45</v>
      </c>
      <c r="L1375" s="802">
        <f t="shared" si="76"/>
        <v>377.64</v>
      </c>
      <c r="M1375" s="427"/>
      <c r="N1375" s="427"/>
      <c r="O1375" s="152" t="s">
        <v>582</v>
      </c>
      <c r="P1375" s="78">
        <v>51220200001</v>
      </c>
      <c r="Q1375" s="142" t="s">
        <v>56</v>
      </c>
      <c r="R1375" s="429">
        <f t="shared" si="75"/>
        <v>0</v>
      </c>
      <c r="Y1375" s="439"/>
    </row>
    <row r="1376" spans="2:32" x14ac:dyDescent="0.2">
      <c r="M1376" s="427"/>
      <c r="N1376" s="427"/>
      <c r="O1376" s="152" t="s">
        <v>582</v>
      </c>
      <c r="P1376" s="78">
        <v>52200000001</v>
      </c>
      <c r="Q1376" s="142" t="s">
        <v>460</v>
      </c>
      <c r="R1376" s="429">
        <f t="shared" si="75"/>
        <v>0</v>
      </c>
      <c r="W1376" s="106" t="s">
        <v>478</v>
      </c>
      <c r="X1376" s="144">
        <f>+X1361+X1362+X1363+X1364+X1365+X1367+X1368</f>
        <v>-7732.7899999999991</v>
      </c>
    </row>
    <row r="1377" spans="2:25" x14ac:dyDescent="0.2">
      <c r="M1377" s="427"/>
      <c r="N1377" s="427"/>
      <c r="O1377" s="152" t="s">
        <v>582</v>
      </c>
      <c r="P1377" s="78">
        <v>52200000001</v>
      </c>
      <c r="Q1377" s="142" t="s">
        <v>351</v>
      </c>
      <c r="R1377" s="429">
        <f t="shared" si="75"/>
        <v>0</v>
      </c>
      <c r="W1377" s="97" t="s">
        <v>480</v>
      </c>
      <c r="X1377" s="144">
        <f>+R1381</f>
        <v>4197.37</v>
      </c>
    </row>
    <row r="1378" spans="2:25" x14ac:dyDescent="0.2">
      <c r="J1378" s="801">
        <f>SUM(J1363:J1377)</f>
        <v>7721.2699999999977</v>
      </c>
      <c r="K1378" s="801">
        <f>SUM(K1363:K1377)</f>
        <v>1003.7399999999999</v>
      </c>
      <c r="L1378" s="801">
        <f>SUM(L1363:L1377)</f>
        <v>8725.01</v>
      </c>
      <c r="M1378" s="427"/>
      <c r="N1378" s="427"/>
      <c r="O1378" s="152" t="s">
        <v>582</v>
      </c>
      <c r="P1378" s="78">
        <v>52200000001</v>
      </c>
      <c r="Q1378" s="142" t="s">
        <v>56</v>
      </c>
      <c r="R1378" s="429">
        <f t="shared" si="75"/>
        <v>0</v>
      </c>
      <c r="W1378" s="97" t="s">
        <v>486</v>
      </c>
      <c r="X1378" s="167">
        <f>+J1363+J1364+J1365+J1366+J1369+J1374+J1375</f>
        <v>3523.9</v>
      </c>
    </row>
    <row r="1379" spans="2:25" x14ac:dyDescent="0.2">
      <c r="M1379" s="427"/>
      <c r="N1379" s="427"/>
      <c r="O1379" s="152" t="s">
        <v>582</v>
      </c>
      <c r="P1379" s="78">
        <v>52200000001</v>
      </c>
      <c r="Q1379" s="142" t="s">
        <v>460</v>
      </c>
      <c r="R1379" s="429">
        <f t="shared" si="75"/>
        <v>0</v>
      </c>
      <c r="X1379" s="324">
        <f>X1376+X1377+X1378</f>
        <v>-11.519999999999072</v>
      </c>
      <c r="Y1379" s="97" t="s">
        <v>500</v>
      </c>
    </row>
    <row r="1380" spans="2:25" x14ac:dyDescent="0.2">
      <c r="M1380" s="427"/>
      <c r="N1380" s="427"/>
      <c r="O1380" s="152" t="s">
        <v>582</v>
      </c>
      <c r="P1380" s="227">
        <v>51220200001</v>
      </c>
      <c r="Q1380" s="217" t="s">
        <v>496</v>
      </c>
      <c r="R1380" s="429">
        <f t="shared" si="75"/>
        <v>354.35</v>
      </c>
    </row>
    <row r="1381" spans="2:25" ht="13.5" thickBot="1" x14ac:dyDescent="0.25">
      <c r="M1381" s="427"/>
      <c r="N1381" s="427"/>
      <c r="O1381" s="427"/>
      <c r="P1381" s="427"/>
      <c r="R1381" s="244">
        <f>SUM(R1361:R1380)</f>
        <v>4197.37</v>
      </c>
    </row>
    <row r="1382" spans="2:25" ht="13.5" thickTop="1" x14ac:dyDescent="0.2"/>
    <row r="1384" spans="2:25" x14ac:dyDescent="0.2">
      <c r="B1384" s="225" t="s">
        <v>355</v>
      </c>
      <c r="C1384" s="225"/>
      <c r="D1384" s="225"/>
      <c r="E1384" s="114"/>
      <c r="F1384" s="114"/>
      <c r="G1384" s="121"/>
      <c r="H1384" s="122"/>
      <c r="I1384" s="114"/>
      <c r="J1384" s="114"/>
      <c r="K1384" s="114"/>
      <c r="L1384" s="114"/>
      <c r="M1384" s="114"/>
      <c r="N1384" s="114"/>
    </row>
    <row r="1385" spans="2:25" x14ac:dyDescent="0.2">
      <c r="B1385" s="226" t="s">
        <v>252</v>
      </c>
      <c r="C1385" s="226"/>
      <c r="D1385" s="226"/>
      <c r="E1385" s="114"/>
      <c r="F1385" s="114"/>
      <c r="G1385" s="226"/>
      <c r="H1385" s="122"/>
      <c r="I1385" s="114"/>
      <c r="J1385" s="114"/>
      <c r="K1385" s="114"/>
      <c r="L1385" s="114"/>
      <c r="M1385" s="114"/>
      <c r="N1385" s="114"/>
    </row>
    <row r="1386" spans="2:25" x14ac:dyDescent="0.2">
      <c r="B1386" s="231" t="s">
        <v>253</v>
      </c>
      <c r="C1386" s="231"/>
      <c r="D1386" s="231"/>
      <c r="E1386" s="114"/>
      <c r="F1386" s="114"/>
      <c r="G1386" s="121"/>
      <c r="H1386" s="230"/>
      <c r="I1386" s="114"/>
      <c r="J1386" s="114"/>
      <c r="K1386" s="114"/>
      <c r="L1386" s="114"/>
      <c r="M1386" s="114"/>
      <c r="N1386" s="114"/>
    </row>
    <row r="1387" spans="2:25" x14ac:dyDescent="0.2">
      <c r="B1387" s="231" t="s">
        <v>356</v>
      </c>
      <c r="C1387" s="231"/>
      <c r="D1387" s="231"/>
      <c r="E1387" s="114"/>
      <c r="F1387" s="114"/>
      <c r="G1387" s="121"/>
      <c r="H1387" s="122"/>
      <c r="I1387" s="114"/>
      <c r="J1387" s="114"/>
      <c r="K1387" s="114"/>
      <c r="L1387" s="114"/>
      <c r="M1387" s="114"/>
      <c r="N1387" s="114"/>
    </row>
    <row r="1388" spans="2:25" x14ac:dyDescent="0.2">
      <c r="B1388" s="229"/>
      <c r="C1388" s="229"/>
      <c r="D1388" s="229"/>
      <c r="E1388" s="114"/>
      <c r="F1388" s="114"/>
      <c r="G1388" s="121"/>
      <c r="H1388" s="122"/>
      <c r="I1388" s="114"/>
      <c r="J1388" s="114"/>
      <c r="K1388" s="114"/>
      <c r="L1388" s="114"/>
      <c r="M1388" s="114"/>
      <c r="N1388" s="114"/>
    </row>
    <row r="1389" spans="2:25" ht="18" x14ac:dyDescent="0.25">
      <c r="B1389" s="113" t="s">
        <v>458</v>
      </c>
      <c r="C1389" s="113"/>
      <c r="D1389" s="113"/>
      <c r="E1389" s="114" t="s">
        <v>639</v>
      </c>
      <c r="F1389" s="115"/>
      <c r="G1389" s="116">
        <f>'[21]Compras '!C1387</f>
        <v>0</v>
      </c>
      <c r="H1389" s="117" t="s">
        <v>179</v>
      </c>
      <c r="I1389" s="118">
        <v>2017</v>
      </c>
      <c r="J1389" s="119" t="s">
        <v>41</v>
      </c>
      <c r="K1389" s="119"/>
      <c r="L1389" s="114"/>
      <c r="M1389" s="114"/>
      <c r="N1389" s="114"/>
    </row>
    <row r="1390" spans="2:25" x14ac:dyDescent="0.2">
      <c r="B1390" s="120" t="s">
        <v>42</v>
      </c>
      <c r="C1390" s="120"/>
      <c r="D1390" s="120"/>
      <c r="E1390" s="114"/>
      <c r="F1390" s="114"/>
      <c r="G1390" s="121"/>
      <c r="H1390" s="122"/>
      <c r="I1390" s="114"/>
      <c r="J1390" s="123"/>
      <c r="K1390" s="123"/>
      <c r="L1390" s="114"/>
      <c r="M1390" s="114"/>
      <c r="N1390" s="114"/>
    </row>
    <row r="1391" spans="2:25" x14ac:dyDescent="0.2">
      <c r="B1391" s="124"/>
      <c r="C1391" s="124"/>
      <c r="D1391" s="124"/>
      <c r="E1391" s="124"/>
      <c r="F1391" s="124"/>
      <c r="G1391" s="124"/>
      <c r="H1391" s="124"/>
      <c r="I1391" s="124"/>
      <c r="J1391" s="124"/>
      <c r="K1391" s="124"/>
      <c r="L1391" s="124"/>
      <c r="M1391" s="124"/>
      <c r="N1391" s="124"/>
    </row>
    <row r="1392" spans="2:25" x14ac:dyDescent="0.2">
      <c r="B1392" s="124"/>
      <c r="C1392" s="124"/>
      <c r="D1392" s="124"/>
      <c r="E1392" s="124"/>
      <c r="F1392" s="124"/>
      <c r="G1392" s="124"/>
      <c r="H1392" s="124"/>
      <c r="I1392" s="124"/>
      <c r="J1392" s="117"/>
      <c r="K1392" s="117"/>
      <c r="L1392" s="117"/>
      <c r="M1392" s="117"/>
      <c r="N1392" s="124"/>
    </row>
    <row r="1393" spans="2:26" ht="14.25" x14ac:dyDescent="0.2">
      <c r="B1393" s="125"/>
      <c r="C1393" s="126" t="s">
        <v>255</v>
      </c>
      <c r="D1393" s="127" t="s">
        <v>43</v>
      </c>
      <c r="E1393" s="127"/>
      <c r="F1393" s="127" t="s">
        <v>135</v>
      </c>
      <c r="G1393" s="127"/>
      <c r="H1393" s="128" t="s">
        <v>136</v>
      </c>
      <c r="I1393" s="129"/>
      <c r="J1393" s="129"/>
      <c r="K1393" s="129"/>
      <c r="L1393" s="146"/>
      <c r="O1393" s="1206" t="s">
        <v>1037</v>
      </c>
      <c r="P1393" s="1206"/>
      <c r="Q1393" s="1206"/>
      <c r="R1393" s="1206"/>
      <c r="U1393" s="106" t="s">
        <v>465</v>
      </c>
      <c r="Y1393" s="97" t="s">
        <v>479</v>
      </c>
      <c r="Z1393" s="97" t="s">
        <v>340</v>
      </c>
    </row>
    <row r="1394" spans="2:26" x14ac:dyDescent="0.2">
      <c r="B1394" s="130" t="s">
        <v>137</v>
      </c>
      <c r="C1394" s="131" t="s">
        <v>138</v>
      </c>
      <c r="D1394" s="131" t="s">
        <v>258</v>
      </c>
      <c r="E1394" s="131" t="s">
        <v>139</v>
      </c>
      <c r="F1394" s="131" t="s">
        <v>259</v>
      </c>
      <c r="G1394" s="131" t="s">
        <v>140</v>
      </c>
      <c r="H1394" s="132" t="s">
        <v>94</v>
      </c>
      <c r="I1394" s="129"/>
      <c r="J1394" s="132" t="s">
        <v>141</v>
      </c>
      <c r="K1394" s="129"/>
      <c r="L1394" s="147" t="s">
        <v>325</v>
      </c>
      <c r="O1394" s="152" t="s">
        <v>639</v>
      </c>
      <c r="P1394" s="78">
        <v>51000000001</v>
      </c>
      <c r="Q1394" s="142" t="s">
        <v>460</v>
      </c>
      <c r="R1394" s="429">
        <f>SUMIFS($J$1396:$J$1408,$E$1396:$E$1408,Q1394,$M$1396:$M$1408,P1394)</f>
        <v>0</v>
      </c>
      <c r="T1394" s="97">
        <v>51000200001</v>
      </c>
      <c r="U1394" s="97" t="s">
        <v>382</v>
      </c>
      <c r="X1394" s="109"/>
      <c r="Y1394" s="109">
        <f>R1397</f>
        <v>0</v>
      </c>
      <c r="Z1394" s="144">
        <v>0</v>
      </c>
    </row>
    <row r="1395" spans="2:26" x14ac:dyDescent="0.2">
      <c r="B1395" s="133"/>
      <c r="C1395" s="134"/>
      <c r="D1395" s="134"/>
      <c r="E1395" s="133"/>
      <c r="F1395" s="133"/>
      <c r="G1395" s="133"/>
      <c r="H1395" s="135" t="s">
        <v>326</v>
      </c>
      <c r="I1395" s="136" t="s">
        <v>327</v>
      </c>
      <c r="J1395" s="148" t="s">
        <v>328</v>
      </c>
      <c r="K1395" s="148" t="s">
        <v>89</v>
      </c>
      <c r="L1395" s="149" t="s">
        <v>94</v>
      </c>
      <c r="O1395" s="152" t="s">
        <v>639</v>
      </c>
      <c r="P1395" s="78">
        <v>51000000002</v>
      </c>
      <c r="Q1395" s="142" t="s">
        <v>460</v>
      </c>
      <c r="R1395" s="429">
        <f t="shared" ref="R1395:R1413" si="77">SUMIFS($J$1396:$J$1408,$E$1396:$E$1408,Q1395,$M$1396:$M$1408,P1395)</f>
        <v>0</v>
      </c>
      <c r="T1395" s="97">
        <v>51000200002</v>
      </c>
      <c r="U1395" s="97" t="s">
        <v>383</v>
      </c>
      <c r="X1395" s="109"/>
      <c r="Y1395" s="109">
        <f>R1399</f>
        <v>0</v>
      </c>
      <c r="Z1395" s="144">
        <v>0</v>
      </c>
    </row>
    <row r="1396" spans="2:26" x14ac:dyDescent="0.2">
      <c r="B1396" s="694">
        <v>44125</v>
      </c>
      <c r="C1396" s="138" t="s">
        <v>1646</v>
      </c>
      <c r="D1396" s="138" t="s">
        <v>459</v>
      </c>
      <c r="E1396" s="217" t="str">
        <f>+VLOOKUP(F1396,[21]bd!A:B,2,0)</f>
        <v>CITIBANK, N.A. SUCURSAL EL SALVADOR</v>
      </c>
      <c r="F1396" s="217" t="s">
        <v>329</v>
      </c>
      <c r="G1396" s="802">
        <v>0</v>
      </c>
      <c r="H1396" s="802">
        <v>0</v>
      </c>
      <c r="I1396" s="802">
        <v>0</v>
      </c>
      <c r="J1396" s="802">
        <v>237.55</v>
      </c>
      <c r="K1396" s="336">
        <v>30.88</v>
      </c>
      <c r="L1396" s="802">
        <f t="shared" ref="L1396:L1402" si="78">+J1396+K1396</f>
        <v>268.43</v>
      </c>
      <c r="O1396" s="152" t="s">
        <v>639</v>
      </c>
      <c r="P1396" s="78">
        <v>51000100001</v>
      </c>
      <c r="Q1396" s="142" t="s">
        <v>460</v>
      </c>
      <c r="R1396" s="429">
        <f t="shared" si="77"/>
        <v>0</v>
      </c>
      <c r="T1396" s="97">
        <v>51000100001</v>
      </c>
      <c r="U1396" s="109" t="s">
        <v>12</v>
      </c>
      <c r="X1396" s="97">
        <v>-771.95999999999913</v>
      </c>
    </row>
    <row r="1397" spans="2:26" x14ac:dyDescent="0.2">
      <c r="B1397" s="448">
        <v>44125</v>
      </c>
      <c r="C1397" s="138" t="s">
        <v>1647</v>
      </c>
      <c r="D1397" s="138" t="s">
        <v>459</v>
      </c>
      <c r="E1397" s="142" t="str">
        <f>+VLOOKUP(F1397,[21]bd!A:B,2,0)</f>
        <v>INVERSIONES FINANCIERAS IMPERIA CUSCATLAN, SA</v>
      </c>
      <c r="F1397" s="142" t="s">
        <v>497</v>
      </c>
      <c r="G1397" s="799">
        <v>0</v>
      </c>
      <c r="H1397" s="799">
        <v>0</v>
      </c>
      <c r="I1397" s="799">
        <v>0</v>
      </c>
      <c r="J1397" s="799">
        <v>354.35</v>
      </c>
      <c r="K1397" s="800">
        <v>46.07</v>
      </c>
      <c r="L1397" s="799">
        <f t="shared" si="78"/>
        <v>400.42</v>
      </c>
      <c r="M1397" s="245">
        <v>51220200001</v>
      </c>
      <c r="O1397" s="152" t="s">
        <v>639</v>
      </c>
      <c r="P1397" s="78">
        <v>51000100001</v>
      </c>
      <c r="Q1397" s="142" t="s">
        <v>496</v>
      </c>
      <c r="R1397" s="429">
        <f t="shared" si="77"/>
        <v>0</v>
      </c>
      <c r="T1397" s="97">
        <v>51000100002</v>
      </c>
      <c r="U1397" s="109" t="s">
        <v>380</v>
      </c>
      <c r="X1397" s="97">
        <v>-453.67000000000007</v>
      </c>
    </row>
    <row r="1398" spans="2:26" x14ac:dyDescent="0.2">
      <c r="B1398" s="448">
        <v>44125</v>
      </c>
      <c r="C1398" s="138" t="s">
        <v>1648</v>
      </c>
      <c r="D1398" s="138" t="s">
        <v>459</v>
      </c>
      <c r="E1398" s="142" t="str">
        <f>+VLOOKUP(F1398,[21]bd!A:B,2,0)</f>
        <v>BANCO CUSCATLAN DE EL SALVADOR S.A.</v>
      </c>
      <c r="F1398" s="142" t="s">
        <v>90</v>
      </c>
      <c r="G1398" s="799">
        <v>0</v>
      </c>
      <c r="H1398" s="799">
        <v>0</v>
      </c>
      <c r="I1398" s="799">
        <v>0</v>
      </c>
      <c r="J1398" s="799">
        <v>2338.2199999999998</v>
      </c>
      <c r="K1398" s="800">
        <v>303.97000000000003</v>
      </c>
      <c r="L1398" s="799">
        <f t="shared" si="78"/>
        <v>2642.1899999999996</v>
      </c>
      <c r="M1398" s="245">
        <v>51220200001</v>
      </c>
      <c r="O1398" s="152" t="s">
        <v>639</v>
      </c>
      <c r="P1398" s="78">
        <v>51000100002</v>
      </c>
      <c r="Q1398" s="142" t="s">
        <v>460</v>
      </c>
      <c r="R1398" s="429">
        <f t="shared" si="77"/>
        <v>0</v>
      </c>
      <c r="T1398" s="97">
        <v>51220200001</v>
      </c>
      <c r="U1398" s="97" t="s">
        <v>55</v>
      </c>
      <c r="X1398" s="109">
        <v>-2941.7700000000004</v>
      </c>
      <c r="Y1398" s="109">
        <f>R1406+R1413</f>
        <v>5192.57</v>
      </c>
      <c r="Z1398" s="144">
        <f>X1399+Y1398</f>
        <v>5187.9200000000055</v>
      </c>
    </row>
    <row r="1399" spans="2:26" x14ac:dyDescent="0.2">
      <c r="B1399" s="448">
        <v>44118</v>
      </c>
      <c r="C1399" s="138" t="s">
        <v>594</v>
      </c>
      <c r="D1399" s="138" t="s">
        <v>459</v>
      </c>
      <c r="E1399" s="217" t="str">
        <f>+VLOOKUP(F1399,[21]bd!A:B,2,0)</f>
        <v>CITIBANK, N.A. SUCURSAL EL SALVADOR</v>
      </c>
      <c r="F1399" s="217" t="s">
        <v>329</v>
      </c>
      <c r="G1399" s="802">
        <v>0</v>
      </c>
      <c r="H1399" s="802">
        <v>0</v>
      </c>
      <c r="I1399" s="802">
        <v>0</v>
      </c>
      <c r="J1399" s="802">
        <v>771.96</v>
      </c>
      <c r="K1399" s="336">
        <v>100.35</v>
      </c>
      <c r="L1399" s="802">
        <f t="shared" si="78"/>
        <v>872.31000000000006</v>
      </c>
      <c r="O1399" s="152" t="s">
        <v>639</v>
      </c>
      <c r="P1399" s="78">
        <v>51000100002</v>
      </c>
      <c r="Q1399" s="142" t="s">
        <v>496</v>
      </c>
      <c r="R1399" s="429">
        <f t="shared" si="77"/>
        <v>0</v>
      </c>
      <c r="T1399" s="195">
        <v>52200000001</v>
      </c>
      <c r="U1399" s="195" t="s">
        <v>33</v>
      </c>
      <c r="V1399" s="195"/>
      <c r="W1399" s="195"/>
      <c r="X1399" s="109">
        <v>-4.6499999999941792</v>
      </c>
      <c r="Y1399" s="109">
        <v>0</v>
      </c>
      <c r="Z1399" s="144">
        <v>0</v>
      </c>
    </row>
    <row r="1400" spans="2:26" x14ac:dyDescent="0.2">
      <c r="B1400" s="448">
        <v>44118</v>
      </c>
      <c r="C1400" s="138" t="s">
        <v>593</v>
      </c>
      <c r="D1400" s="138" t="s">
        <v>459</v>
      </c>
      <c r="E1400" s="217" t="str">
        <f>+VLOOKUP(F1400,[21]bd!A:B,2,0)</f>
        <v>CITIBANK, N.A. SUCURSAL EL SALVADOR</v>
      </c>
      <c r="F1400" s="217" t="s">
        <v>329</v>
      </c>
      <c r="G1400" s="802">
        <v>0</v>
      </c>
      <c r="H1400" s="802">
        <v>0</v>
      </c>
      <c r="I1400" s="802">
        <v>0</v>
      </c>
      <c r="J1400" s="802">
        <v>453.67</v>
      </c>
      <c r="K1400" s="336">
        <v>58.98</v>
      </c>
      <c r="L1400" s="802">
        <f t="shared" si="78"/>
        <v>512.65</v>
      </c>
      <c r="O1400" s="152" t="s">
        <v>639</v>
      </c>
      <c r="P1400" s="227">
        <v>51000200001</v>
      </c>
      <c r="Q1400" s="217" t="s">
        <v>460</v>
      </c>
      <c r="R1400" s="429">
        <f t="shared" si="77"/>
        <v>0</v>
      </c>
      <c r="T1400" s="97">
        <v>51000000001</v>
      </c>
      <c r="U1400" s="97" t="s">
        <v>132</v>
      </c>
      <c r="X1400" s="109">
        <v>-1250</v>
      </c>
    </row>
    <row r="1401" spans="2:26" x14ac:dyDescent="0.2">
      <c r="B1401" s="448">
        <v>44111</v>
      </c>
      <c r="C1401" s="138" t="s">
        <v>1649</v>
      </c>
      <c r="D1401" s="138" t="s">
        <v>459</v>
      </c>
      <c r="E1401" s="142" t="str">
        <f>+VLOOKUP(F1401,[21]bd!A:B,2,0)</f>
        <v>BANCO CUSCATLAN DE EL SALVADOR S.A.</v>
      </c>
      <c r="F1401" s="142" t="s">
        <v>90</v>
      </c>
      <c r="G1401" s="799">
        <v>0</v>
      </c>
      <c r="H1401" s="799">
        <v>0</v>
      </c>
      <c r="I1401" s="799">
        <v>0</v>
      </c>
      <c r="J1401" s="799">
        <v>1250</v>
      </c>
      <c r="K1401" s="800">
        <v>162.5</v>
      </c>
      <c r="L1401" s="799">
        <f t="shared" si="78"/>
        <v>1412.5</v>
      </c>
      <c r="M1401" s="245">
        <v>51220200001</v>
      </c>
      <c r="O1401" s="152" t="s">
        <v>639</v>
      </c>
      <c r="P1401" s="78">
        <v>51000200001</v>
      </c>
      <c r="Q1401" s="142" t="s">
        <v>351</v>
      </c>
      <c r="R1401" s="429">
        <f t="shared" si="77"/>
        <v>0</v>
      </c>
      <c r="T1401" s="97">
        <v>51000000002</v>
      </c>
      <c r="U1401" s="97" t="s">
        <v>10</v>
      </c>
      <c r="X1401" s="109">
        <v>-1250</v>
      </c>
    </row>
    <row r="1402" spans="2:26" x14ac:dyDescent="0.2">
      <c r="B1402" s="448">
        <v>44111</v>
      </c>
      <c r="C1402" s="138" t="s">
        <v>1650</v>
      </c>
      <c r="D1402" s="138" t="s">
        <v>459</v>
      </c>
      <c r="E1402" s="142" t="str">
        <f>+VLOOKUP(F1402,[21]bd!A:B,2,0)</f>
        <v>BANCO CUSCATLAN DE EL SALVADOR S.A.</v>
      </c>
      <c r="F1402" s="142" t="s">
        <v>90</v>
      </c>
      <c r="G1402" s="799">
        <v>0</v>
      </c>
      <c r="H1402" s="799">
        <v>0</v>
      </c>
      <c r="I1402" s="799">
        <v>0</v>
      </c>
      <c r="J1402" s="799">
        <v>1250</v>
      </c>
      <c r="K1402" s="800">
        <v>162.5</v>
      </c>
      <c r="L1402" s="799">
        <f t="shared" si="78"/>
        <v>1412.5</v>
      </c>
      <c r="M1402" s="245">
        <v>51220200001</v>
      </c>
      <c r="O1402" s="152" t="s">
        <v>639</v>
      </c>
      <c r="P1402" s="78">
        <v>51000200001</v>
      </c>
      <c r="Q1402" s="142" t="s">
        <v>56</v>
      </c>
      <c r="R1402" s="429">
        <f t="shared" si="77"/>
        <v>0</v>
      </c>
      <c r="T1402" s="97">
        <v>53000100001</v>
      </c>
      <c r="U1402" s="97" t="s">
        <v>134</v>
      </c>
      <c r="X1402" s="198"/>
      <c r="Y1402" s="109">
        <v>0</v>
      </c>
      <c r="Z1402" s="144">
        <v>0</v>
      </c>
    </row>
    <row r="1403" spans="2:26" x14ac:dyDescent="0.2">
      <c r="C1403" s="95"/>
      <c r="D1403" s="95"/>
      <c r="K1403" s="96"/>
      <c r="L1403" s="96"/>
      <c r="O1403" s="152" t="s">
        <v>639</v>
      </c>
      <c r="P1403" s="227">
        <v>51000200002</v>
      </c>
      <c r="Q1403" s="217" t="s">
        <v>460</v>
      </c>
      <c r="R1403" s="429">
        <f t="shared" si="77"/>
        <v>0</v>
      </c>
      <c r="X1403" s="171">
        <v>0</v>
      </c>
      <c r="Y1403" s="171"/>
      <c r="Z1403" s="167">
        <v>0</v>
      </c>
    </row>
    <row r="1404" spans="2:26" x14ac:dyDescent="0.2">
      <c r="C1404" s="95"/>
      <c r="D1404" s="95"/>
      <c r="K1404" s="96"/>
      <c r="L1404" s="96"/>
      <c r="O1404" s="152" t="s">
        <v>639</v>
      </c>
      <c r="P1404" s="78">
        <v>51000200002</v>
      </c>
      <c r="Q1404" s="142" t="s">
        <v>351</v>
      </c>
      <c r="R1404" s="429">
        <f t="shared" si="77"/>
        <v>0</v>
      </c>
      <c r="X1404" s="158">
        <f>SUM(X1394:X1402)</f>
        <v>-6672.0499999999938</v>
      </c>
      <c r="Y1404" s="158">
        <f>SUM(Y1394:Y1403)</f>
        <v>5192.57</v>
      </c>
      <c r="Z1404" s="158">
        <f>SUM(Z1394:Z1403)</f>
        <v>5187.9200000000055</v>
      </c>
    </row>
    <row r="1405" spans="2:26" x14ac:dyDescent="0.2">
      <c r="C1405" s="95"/>
      <c r="D1405" s="95"/>
      <c r="K1405" s="96"/>
      <c r="L1405" s="96"/>
      <c r="O1405" s="152" t="s">
        <v>639</v>
      </c>
      <c r="P1405" s="78">
        <v>51000200002</v>
      </c>
      <c r="Q1405" s="142" t="s">
        <v>56</v>
      </c>
      <c r="R1405" s="429">
        <f t="shared" si="77"/>
        <v>0</v>
      </c>
      <c r="U1405" s="109"/>
      <c r="Z1405" s="144"/>
    </row>
    <row r="1406" spans="2:26" x14ac:dyDescent="0.2">
      <c r="C1406" s="95"/>
      <c r="D1406" s="95"/>
      <c r="K1406" s="96"/>
      <c r="L1406" s="96"/>
      <c r="O1406" s="152" t="s">
        <v>639</v>
      </c>
      <c r="P1406" s="227">
        <v>51220200001</v>
      </c>
      <c r="Q1406" s="217" t="s">
        <v>460</v>
      </c>
      <c r="R1406" s="429">
        <f t="shared" si="77"/>
        <v>4838.2199999999993</v>
      </c>
      <c r="U1406" s="109"/>
    </row>
    <row r="1407" spans="2:26" x14ac:dyDescent="0.2">
      <c r="C1407" s="95"/>
      <c r="D1407" s="95"/>
      <c r="K1407" s="96"/>
      <c r="L1407" s="96"/>
      <c r="O1407" s="152" t="s">
        <v>639</v>
      </c>
      <c r="P1407" s="78">
        <v>51220200001</v>
      </c>
      <c r="Q1407" s="142" t="s">
        <v>351</v>
      </c>
      <c r="R1407" s="429">
        <f t="shared" si="77"/>
        <v>0</v>
      </c>
    </row>
    <row r="1408" spans="2:26" x14ac:dyDescent="0.2">
      <c r="C1408" s="95"/>
      <c r="D1408" s="95"/>
      <c r="K1408" s="96"/>
      <c r="L1408" s="96"/>
      <c r="O1408" s="152" t="s">
        <v>639</v>
      </c>
      <c r="P1408" s="78">
        <v>51220200001</v>
      </c>
      <c r="Q1408" s="142" t="s">
        <v>56</v>
      </c>
      <c r="R1408" s="429">
        <f t="shared" si="77"/>
        <v>0</v>
      </c>
      <c r="Y1408" s="439"/>
    </row>
    <row r="1409" spans="2:26" x14ac:dyDescent="0.2">
      <c r="C1409" s="95"/>
      <c r="D1409" s="95"/>
      <c r="K1409" s="96"/>
      <c r="L1409" s="96"/>
      <c r="O1409" s="152" t="s">
        <v>639</v>
      </c>
      <c r="P1409" s="78">
        <v>52200000001</v>
      </c>
      <c r="Q1409" s="142" t="s">
        <v>460</v>
      </c>
      <c r="R1409" s="429">
        <f t="shared" si="77"/>
        <v>0</v>
      </c>
      <c r="W1409" s="106" t="s">
        <v>478</v>
      </c>
      <c r="X1409" s="144">
        <f>+X1394+X1395+X1396+X1397+X1398+X1400+X1401</f>
        <v>-6667.4</v>
      </c>
    </row>
    <row r="1410" spans="2:26" x14ac:dyDescent="0.2">
      <c r="M1410" s="867"/>
      <c r="N1410" s="867"/>
      <c r="O1410" s="867"/>
      <c r="P1410" s="78">
        <v>52200000001</v>
      </c>
      <c r="Q1410" s="142" t="s">
        <v>351</v>
      </c>
      <c r="R1410" s="429">
        <f t="shared" si="77"/>
        <v>0</v>
      </c>
      <c r="W1410" s="97" t="s">
        <v>480</v>
      </c>
      <c r="X1410" s="144">
        <f>+R1414</f>
        <v>5192.57</v>
      </c>
    </row>
    <row r="1411" spans="2:26" x14ac:dyDescent="0.2">
      <c r="M1411" s="867"/>
      <c r="N1411" s="867"/>
      <c r="O1411" s="867"/>
      <c r="P1411" s="78">
        <v>52200000001</v>
      </c>
      <c r="Q1411" s="142" t="s">
        <v>56</v>
      </c>
      <c r="R1411" s="429">
        <f t="shared" si="77"/>
        <v>0</v>
      </c>
      <c r="W1411" s="97" t="s">
        <v>486</v>
      </c>
      <c r="X1411" s="167">
        <f>+J1396+J1399+J1400</f>
        <v>1463.18</v>
      </c>
    </row>
    <row r="1412" spans="2:26" x14ac:dyDescent="0.2">
      <c r="M1412" s="867"/>
      <c r="N1412" s="867"/>
      <c r="O1412" s="867"/>
      <c r="P1412" s="78">
        <v>52200000001</v>
      </c>
      <c r="Q1412" s="142" t="s">
        <v>460</v>
      </c>
      <c r="R1412" s="429">
        <f t="shared" si="77"/>
        <v>0</v>
      </c>
      <c r="X1412" s="324">
        <f>X1409+X1410+X1411</f>
        <v>-11.649999999999864</v>
      </c>
      <c r="Y1412" s="97" t="s">
        <v>500</v>
      </c>
    </row>
    <row r="1413" spans="2:26" x14ac:dyDescent="0.2">
      <c r="B1413" s="865" t="s">
        <v>1653</v>
      </c>
      <c r="C1413" s="866"/>
      <c r="D1413" s="865"/>
      <c r="E1413" s="865"/>
      <c r="F1413" s="867"/>
      <c r="G1413" s="867"/>
      <c r="H1413" s="868"/>
      <c r="I1413" s="869" t="s">
        <v>1654</v>
      </c>
      <c r="J1413" s="867"/>
      <c r="K1413" s="867"/>
      <c r="L1413" s="867"/>
      <c r="M1413" s="867"/>
      <c r="N1413" s="867"/>
      <c r="O1413" s="867"/>
      <c r="P1413" s="227">
        <v>51220200001</v>
      </c>
      <c r="Q1413" s="217" t="s">
        <v>496</v>
      </c>
      <c r="R1413" s="429">
        <f t="shared" si="77"/>
        <v>354.35</v>
      </c>
    </row>
    <row r="1414" spans="2:26" ht="13.5" thickBot="1" x14ac:dyDescent="0.25">
      <c r="B1414" s="865" t="s">
        <v>253</v>
      </c>
      <c r="C1414" s="866"/>
      <c r="D1414" s="865"/>
      <c r="E1414" s="865"/>
      <c r="F1414" s="867"/>
      <c r="G1414" s="867"/>
      <c r="H1414" s="868"/>
      <c r="I1414" s="867"/>
      <c r="J1414" s="867"/>
      <c r="K1414" s="867"/>
      <c r="L1414" s="867"/>
      <c r="M1414" s="237"/>
      <c r="N1414" s="869"/>
      <c r="O1414" s="237"/>
      <c r="P1414" s="427"/>
      <c r="R1414" s="244">
        <f>SUM(R1394:R1413)</f>
        <v>5192.57</v>
      </c>
    </row>
    <row r="1415" spans="2:26" ht="13.5" thickTop="1" x14ac:dyDescent="0.2">
      <c r="B1415" s="865" t="s">
        <v>1655</v>
      </c>
      <c r="C1415" s="866"/>
      <c r="D1415" s="865"/>
      <c r="E1415" s="865"/>
      <c r="F1415" s="867"/>
      <c r="G1415" s="867"/>
      <c r="H1415" s="868"/>
      <c r="I1415" s="869" t="s">
        <v>1656</v>
      </c>
      <c r="J1415" s="867"/>
      <c r="K1415" s="867"/>
      <c r="L1415" s="867"/>
      <c r="M1415" s="237"/>
      <c r="N1415" s="876"/>
      <c r="O1415" s="237"/>
    </row>
    <row r="1416" spans="2:26" x14ac:dyDescent="0.2">
      <c r="B1416" s="113" t="s">
        <v>458</v>
      </c>
      <c r="C1416" s="113"/>
      <c r="D1416" s="113"/>
      <c r="E1416" s="114" t="s">
        <v>677</v>
      </c>
      <c r="F1416" s="867"/>
      <c r="G1416" s="867"/>
      <c r="H1416" s="868"/>
      <c r="I1416" s="870"/>
      <c r="J1416" s="867"/>
      <c r="K1416" s="867"/>
      <c r="L1416" s="867"/>
      <c r="M1416" s="237"/>
      <c r="N1416" s="876"/>
      <c r="O1416" s="237"/>
    </row>
    <row r="1417" spans="2:26" ht="14.25" x14ac:dyDescent="0.2">
      <c r="B1417" s="871" t="s">
        <v>254</v>
      </c>
      <c r="C1417" s="872" t="s">
        <v>1657</v>
      </c>
      <c r="D1417" s="871" t="s">
        <v>1658</v>
      </c>
      <c r="E1417" s="871" t="s">
        <v>139</v>
      </c>
      <c r="F1417" s="872" t="s">
        <v>1658</v>
      </c>
      <c r="G1417" s="871" t="s">
        <v>139</v>
      </c>
      <c r="H1417" s="871" t="s">
        <v>1659</v>
      </c>
      <c r="I1417" s="871" t="s">
        <v>140</v>
      </c>
      <c r="J1417" s="871" t="s">
        <v>645</v>
      </c>
      <c r="K1417" s="871" t="s">
        <v>1660</v>
      </c>
      <c r="L1417" s="871" t="s">
        <v>1661</v>
      </c>
      <c r="M1417" s="237"/>
      <c r="N1417" s="876"/>
      <c r="O1417" s="1206" t="s">
        <v>1037</v>
      </c>
      <c r="P1417" s="1206"/>
      <c r="Q1417" s="1206"/>
      <c r="R1417" s="1206"/>
      <c r="U1417" s="106" t="s">
        <v>465</v>
      </c>
      <c r="Y1417" s="97" t="s">
        <v>479</v>
      </c>
      <c r="Z1417" s="97" t="s">
        <v>340</v>
      </c>
    </row>
    <row r="1418" spans="2:26" x14ac:dyDescent="0.2">
      <c r="B1418" s="874">
        <v>44153</v>
      </c>
      <c r="C1418" s="875" t="s">
        <v>1662</v>
      </c>
      <c r="D1418" s="874" t="s">
        <v>1667</v>
      </c>
      <c r="E1418" s="95" t="s">
        <v>460</v>
      </c>
      <c r="F1418" s="873" t="str">
        <f>CONCATENATE(D1418,C1418)</f>
        <v>18SD000C395395</v>
      </c>
      <c r="G1418" s="867" t="e">
        <f>+VLOOKUP(H1418,[22]bd!B:C,2,0)</f>
        <v>#N/A</v>
      </c>
      <c r="H1418" s="867" t="s">
        <v>90</v>
      </c>
      <c r="I1418" s="876">
        <v>0</v>
      </c>
      <c r="J1418" s="876">
        <v>10206.52</v>
      </c>
      <c r="K1418" s="877">
        <v>1326.85</v>
      </c>
      <c r="L1418" s="877">
        <f>SUM(I1418:K1418)</f>
        <v>11533.37</v>
      </c>
      <c r="M1418" s="245">
        <v>51220200001</v>
      </c>
      <c r="N1418" s="876"/>
      <c r="O1418" s="152" t="s">
        <v>677</v>
      </c>
      <c r="P1418" s="78">
        <v>51000000001</v>
      </c>
      <c r="Q1418" s="142" t="s">
        <v>460</v>
      </c>
      <c r="R1418" s="429">
        <f>SUMIFS($J$1418:$J$1430,$E$1418:$E$1430,Q1418,$M$1418:$M$1430,P1418)</f>
        <v>0</v>
      </c>
      <c r="T1418" s="97">
        <v>51000200001</v>
      </c>
      <c r="U1418" s="97" t="s">
        <v>382</v>
      </c>
      <c r="X1418" s="109"/>
      <c r="Y1418" s="109">
        <f>R1421</f>
        <v>0</v>
      </c>
      <c r="Z1418" s="144">
        <v>0</v>
      </c>
    </row>
    <row r="1419" spans="2:26" x14ac:dyDescent="0.2">
      <c r="B1419" s="878">
        <v>44153</v>
      </c>
      <c r="C1419" s="875" t="s">
        <v>1663</v>
      </c>
      <c r="D1419" s="878" t="s">
        <v>1668</v>
      </c>
      <c r="E1419" s="95" t="s">
        <v>460</v>
      </c>
      <c r="F1419" s="873" t="str">
        <f>CONCATENATE(D1419,C1419)</f>
        <v>18SD000C396396</v>
      </c>
      <c r="G1419" s="867" t="e">
        <f>+VLOOKUP(H1419,[22]bd!B:C,2,0)</f>
        <v>#N/A</v>
      </c>
      <c r="H1419" s="867" t="s">
        <v>90</v>
      </c>
      <c r="I1419" s="876">
        <v>0</v>
      </c>
      <c r="J1419" s="876">
        <v>8061.7</v>
      </c>
      <c r="K1419" s="877">
        <v>1048.02</v>
      </c>
      <c r="L1419" s="877">
        <f>SUM(I1419:K1419)</f>
        <v>9109.7199999999993</v>
      </c>
      <c r="M1419" s="245">
        <v>51220200001</v>
      </c>
      <c r="N1419" s="876"/>
      <c r="O1419" s="152" t="s">
        <v>677</v>
      </c>
      <c r="P1419" s="78">
        <v>51000000002</v>
      </c>
      <c r="Q1419" s="142" t="s">
        <v>460</v>
      </c>
      <c r="R1419" s="429">
        <f t="shared" ref="R1419:R1437" si="79">SUMIFS($J$1418:$J$1430,$E$1418:$E$1430,Q1419,$M$1418:$M$1430,P1419)</f>
        <v>0</v>
      </c>
      <c r="T1419" s="97">
        <v>51000200002</v>
      </c>
      <c r="U1419" s="97" t="s">
        <v>383</v>
      </c>
      <c r="X1419" s="109"/>
      <c r="Y1419" s="109">
        <f>R1423</f>
        <v>0</v>
      </c>
      <c r="Z1419" s="144">
        <v>0</v>
      </c>
    </row>
    <row r="1420" spans="2:26" x14ac:dyDescent="0.2">
      <c r="B1420" s="878">
        <v>44162</v>
      </c>
      <c r="C1420" s="875" t="s">
        <v>1664</v>
      </c>
      <c r="D1420" s="878" t="s">
        <v>1669</v>
      </c>
      <c r="E1420" s="95" t="s">
        <v>460</v>
      </c>
      <c r="F1420" s="873" t="str">
        <f>CONCATENATE(D1420,C1420)</f>
        <v>18SD000C398398</v>
      </c>
      <c r="G1420" s="867" t="e">
        <f>+VLOOKUP(H1420,[22]bd!B:C,2,0)</f>
        <v>#N/A</v>
      </c>
      <c r="H1420" s="867" t="s">
        <v>90</v>
      </c>
      <c r="I1420" s="876">
        <v>0</v>
      </c>
      <c r="J1420" s="876">
        <v>2253.29</v>
      </c>
      <c r="K1420" s="877">
        <v>292.93</v>
      </c>
      <c r="L1420" s="877">
        <f>SUM(I1420:K1420)</f>
        <v>2546.2199999999998</v>
      </c>
      <c r="M1420" s="245">
        <v>51220200001</v>
      </c>
      <c r="N1420" s="876"/>
      <c r="O1420" s="152" t="s">
        <v>677</v>
      </c>
      <c r="P1420" s="78">
        <v>51000100001</v>
      </c>
      <c r="Q1420" s="142" t="s">
        <v>460</v>
      </c>
      <c r="R1420" s="429">
        <f t="shared" si="79"/>
        <v>0</v>
      </c>
      <c r="T1420" s="97">
        <v>51000100001</v>
      </c>
      <c r="U1420" s="109" t="s">
        <v>12</v>
      </c>
      <c r="X1420" s="97">
        <v>-10206.52</v>
      </c>
    </row>
    <row r="1421" spans="2:26" x14ac:dyDescent="0.2">
      <c r="B1421" s="878">
        <v>44162</v>
      </c>
      <c r="C1421" s="875" t="s">
        <v>477</v>
      </c>
      <c r="D1421" s="889" t="s">
        <v>1670</v>
      </c>
      <c r="E1421" s="890" t="s">
        <v>539</v>
      </c>
      <c r="F1421" s="891" t="str">
        <f>CONCATENATE(D1421,C1421)</f>
        <v>18SD000C399399</v>
      </c>
      <c r="G1421" s="892" t="e">
        <f>+VLOOKUP(H1421,[22]bd!B:C,2,0)</f>
        <v>#N/A</v>
      </c>
      <c r="H1421" s="892" t="s">
        <v>329</v>
      </c>
      <c r="I1421" s="893">
        <v>0</v>
      </c>
      <c r="J1421" s="893">
        <v>193.45</v>
      </c>
      <c r="K1421" s="894">
        <v>25.15</v>
      </c>
      <c r="L1421" s="894">
        <f>SUM(I1421:K1421)</f>
        <v>218.6</v>
      </c>
      <c r="M1421" s="237"/>
      <c r="N1421" s="876"/>
      <c r="O1421" s="152" t="s">
        <v>677</v>
      </c>
      <c r="P1421" s="78">
        <v>51000100001</v>
      </c>
      <c r="Q1421" s="142" t="s">
        <v>496</v>
      </c>
      <c r="R1421" s="429">
        <f t="shared" si="79"/>
        <v>0</v>
      </c>
      <c r="T1421" s="97">
        <v>51000100002</v>
      </c>
      <c r="U1421" s="109" t="s">
        <v>380</v>
      </c>
      <c r="X1421" s="97">
        <v>-8061.7000000000025</v>
      </c>
    </row>
    <row r="1422" spans="2:26" x14ac:dyDescent="0.2">
      <c r="B1422" s="878">
        <v>44162</v>
      </c>
      <c r="C1422" s="875" t="s">
        <v>1665</v>
      </c>
      <c r="D1422" s="878" t="s">
        <v>1671</v>
      </c>
      <c r="E1422" s="95" t="s">
        <v>496</v>
      </c>
      <c r="F1422" s="873" t="str">
        <f>CONCATENATE(D1422,C1422)</f>
        <v>18SD000C397397</v>
      </c>
      <c r="G1422" s="867" t="e">
        <f>+VLOOKUP(H1422,[22]bd!B:C,2,0)</f>
        <v>#N/A</v>
      </c>
      <c r="H1422" s="867" t="s">
        <v>497</v>
      </c>
      <c r="I1422" s="876">
        <v>0</v>
      </c>
      <c r="J1422" s="876">
        <v>354.35</v>
      </c>
      <c r="K1422" s="877">
        <v>46.07</v>
      </c>
      <c r="L1422" s="877">
        <f>SUM(I1422:K1422)</f>
        <v>400.42</v>
      </c>
      <c r="M1422" s="245">
        <v>51220200001</v>
      </c>
      <c r="N1422" s="883"/>
      <c r="O1422" s="152" t="s">
        <v>677</v>
      </c>
      <c r="P1422" s="78">
        <v>51000100002</v>
      </c>
      <c r="Q1422" s="142" t="s">
        <v>460</v>
      </c>
      <c r="R1422" s="429">
        <f t="shared" si="79"/>
        <v>0</v>
      </c>
      <c r="T1422" s="97">
        <v>51220200001</v>
      </c>
      <c r="U1422" s="97" t="s">
        <v>55</v>
      </c>
      <c r="X1422" s="109">
        <v>-2832.9799999999996</v>
      </c>
      <c r="Y1422" s="109">
        <f>R1430+R1437</f>
        <v>20875.86</v>
      </c>
      <c r="Z1422" s="144">
        <f>X1423+Y1422</f>
        <v>20875.86</v>
      </c>
    </row>
    <row r="1423" spans="2:26" x14ac:dyDescent="0.2">
      <c r="B1423" s="878"/>
      <c r="C1423" s="875"/>
      <c r="D1423" s="878"/>
      <c r="F1423" s="866"/>
      <c r="G1423" s="867"/>
      <c r="H1423" s="867"/>
      <c r="I1423" s="876"/>
      <c r="J1423" s="876"/>
      <c r="K1423" s="877"/>
      <c r="L1423" s="877"/>
      <c r="M1423" s="883"/>
      <c r="N1423" s="883"/>
      <c r="O1423" s="152" t="s">
        <v>677</v>
      </c>
      <c r="P1423" s="78">
        <v>51000100002</v>
      </c>
      <c r="Q1423" s="142" t="s">
        <v>496</v>
      </c>
      <c r="R1423" s="429">
        <f t="shared" si="79"/>
        <v>0</v>
      </c>
      <c r="T1423" s="195">
        <v>52200000001</v>
      </c>
      <c r="U1423" s="195" t="s">
        <v>33</v>
      </c>
      <c r="V1423" s="195"/>
      <c r="W1423" s="195"/>
      <c r="X1423" s="109"/>
      <c r="Y1423" s="109">
        <v>0</v>
      </c>
      <c r="Z1423" s="144">
        <v>0</v>
      </c>
    </row>
    <row r="1424" spans="2:26" x14ac:dyDescent="0.2">
      <c r="B1424" s="879"/>
      <c r="C1424" s="879"/>
      <c r="D1424" s="879"/>
      <c r="E1424" s="880"/>
      <c r="F1424" s="880"/>
      <c r="G1424" s="881"/>
      <c r="H1424" s="881"/>
      <c r="I1424" s="882">
        <f>SUM(I1418:I1422)</f>
        <v>0</v>
      </c>
      <c r="J1424" s="882">
        <f>SUM(J1418:J1422)</f>
        <v>21069.31</v>
      </c>
      <c r="K1424" s="882">
        <f>SUM(K1418:K1422)</f>
        <v>2739.02</v>
      </c>
      <c r="L1424" s="882"/>
      <c r="M1424" s="867"/>
      <c r="N1424" s="867"/>
      <c r="O1424" s="152" t="s">
        <v>677</v>
      </c>
      <c r="P1424" s="227">
        <v>51000200001</v>
      </c>
      <c r="Q1424" s="217" t="s">
        <v>460</v>
      </c>
      <c r="R1424" s="429">
        <f t="shared" si="79"/>
        <v>0</v>
      </c>
      <c r="T1424" s="97">
        <v>51000000001</v>
      </c>
      <c r="U1424" s="97" t="s">
        <v>132</v>
      </c>
      <c r="X1424" s="109"/>
    </row>
    <row r="1425" spans="2:26" x14ac:dyDescent="0.2">
      <c r="B1425" s="867"/>
      <c r="C1425" s="867"/>
      <c r="D1425" s="867"/>
      <c r="E1425" s="884"/>
      <c r="F1425" s="884"/>
      <c r="G1425" s="885" t="s">
        <v>589</v>
      </c>
      <c r="H1425" s="887">
        <v>0</v>
      </c>
      <c r="I1425" s="885"/>
      <c r="J1425" s="883"/>
      <c r="K1425" s="883"/>
      <c r="L1425" s="883"/>
      <c r="M1425" s="867"/>
      <c r="N1425" s="867"/>
      <c r="O1425" s="152" t="s">
        <v>677</v>
      </c>
      <c r="P1425" s="78">
        <v>51000200001</v>
      </c>
      <c r="Q1425" s="142" t="s">
        <v>351</v>
      </c>
      <c r="R1425" s="429">
        <f t="shared" si="79"/>
        <v>0</v>
      </c>
      <c r="T1425" s="97">
        <v>51000000002</v>
      </c>
      <c r="U1425" s="97" t="s">
        <v>10</v>
      </c>
      <c r="X1425" s="109"/>
    </row>
    <row r="1426" spans="2:26" x14ac:dyDescent="0.2">
      <c r="B1426" s="867"/>
      <c r="C1426" s="867"/>
      <c r="D1426" s="867"/>
      <c r="E1426" s="884"/>
      <c r="F1426" s="884"/>
      <c r="G1426" s="885" t="s">
        <v>1666</v>
      </c>
      <c r="H1426" s="887">
        <v>0</v>
      </c>
      <c r="I1426" s="885"/>
      <c r="J1426" s="883"/>
      <c r="K1426" s="883"/>
      <c r="L1426" s="883"/>
      <c r="M1426" s="867"/>
      <c r="N1426" s="867"/>
      <c r="O1426" s="152" t="s">
        <v>677</v>
      </c>
      <c r="P1426" s="78">
        <v>51000200001</v>
      </c>
      <c r="Q1426" s="142" t="s">
        <v>56</v>
      </c>
      <c r="R1426" s="429">
        <f t="shared" si="79"/>
        <v>0</v>
      </c>
      <c r="T1426" s="97">
        <v>53000100001</v>
      </c>
      <c r="U1426" s="97" t="s">
        <v>134</v>
      </c>
      <c r="X1426" s="198"/>
      <c r="Y1426" s="109">
        <v>0</v>
      </c>
      <c r="Z1426" s="144">
        <v>0</v>
      </c>
    </row>
    <row r="1427" spans="2:26" x14ac:dyDescent="0.2">
      <c r="B1427" s="867"/>
      <c r="C1427" s="867"/>
      <c r="D1427" s="867"/>
      <c r="E1427" s="884"/>
      <c r="F1427" s="884"/>
      <c r="G1427" s="885" t="s">
        <v>140</v>
      </c>
      <c r="H1427" s="887">
        <v>0</v>
      </c>
      <c r="I1427" s="885"/>
      <c r="J1427" s="883"/>
      <c r="K1427" s="883"/>
      <c r="L1427" s="883"/>
      <c r="M1427" s="867"/>
      <c r="N1427" s="867"/>
      <c r="O1427" s="152" t="s">
        <v>677</v>
      </c>
      <c r="P1427" s="227">
        <v>51000200002</v>
      </c>
      <c r="Q1427" s="217" t="s">
        <v>460</v>
      </c>
      <c r="R1427" s="429">
        <f t="shared" si="79"/>
        <v>0</v>
      </c>
      <c r="X1427" s="171">
        <v>0</v>
      </c>
      <c r="Y1427" s="171"/>
      <c r="Z1427" s="167">
        <v>0</v>
      </c>
    </row>
    <row r="1428" spans="2:26" x14ac:dyDescent="0.2">
      <c r="B1428" s="867"/>
      <c r="C1428" s="867"/>
      <c r="D1428" s="867"/>
      <c r="E1428" s="884"/>
      <c r="F1428" s="884"/>
      <c r="G1428" s="885" t="s">
        <v>141</v>
      </c>
      <c r="H1428" s="887">
        <f>J1424</f>
        <v>21069.31</v>
      </c>
      <c r="I1428" s="885"/>
      <c r="J1428" s="883"/>
      <c r="K1428" s="883"/>
      <c r="L1428" s="883"/>
      <c r="M1428" s="867"/>
      <c r="N1428" s="867"/>
      <c r="O1428" s="152" t="s">
        <v>677</v>
      </c>
      <c r="P1428" s="78">
        <v>51000200002</v>
      </c>
      <c r="Q1428" s="142" t="s">
        <v>351</v>
      </c>
      <c r="R1428" s="429">
        <f t="shared" si="79"/>
        <v>0</v>
      </c>
      <c r="X1428" s="158">
        <f>SUM(X1418:X1426)</f>
        <v>-21101.200000000001</v>
      </c>
      <c r="Y1428" s="158">
        <f>SUM(Y1418:Y1427)</f>
        <v>20875.86</v>
      </c>
      <c r="Z1428" s="158">
        <f>SUM(Z1418:Z1427)</f>
        <v>20875.86</v>
      </c>
    </row>
    <row r="1429" spans="2:26" x14ac:dyDescent="0.2">
      <c r="B1429" s="867"/>
      <c r="C1429" s="867"/>
      <c r="D1429" s="867"/>
      <c r="E1429" s="884"/>
      <c r="F1429" s="884"/>
      <c r="G1429" s="885" t="s">
        <v>1660</v>
      </c>
      <c r="H1429" s="887">
        <f>K1424</f>
        <v>2739.02</v>
      </c>
      <c r="I1429" s="885"/>
      <c r="J1429" s="883"/>
      <c r="K1429" s="883"/>
      <c r="L1429" s="883"/>
      <c r="M1429" s="867"/>
      <c r="N1429" s="867"/>
      <c r="O1429" s="152" t="s">
        <v>677</v>
      </c>
      <c r="P1429" s="78">
        <v>51000200002</v>
      </c>
      <c r="Q1429" s="142" t="s">
        <v>56</v>
      </c>
      <c r="R1429" s="429">
        <f t="shared" si="79"/>
        <v>0</v>
      </c>
      <c r="U1429" s="109"/>
      <c r="Z1429" s="144"/>
    </row>
    <row r="1430" spans="2:26" x14ac:dyDescent="0.2">
      <c r="B1430" s="867"/>
      <c r="C1430" s="867"/>
      <c r="D1430" s="867"/>
      <c r="E1430" s="884"/>
      <c r="F1430" s="884"/>
      <c r="G1430" s="886" t="s">
        <v>1661</v>
      </c>
      <c r="H1430" s="888">
        <f>SUM(H1425:H1429)</f>
        <v>23808.33</v>
      </c>
      <c r="I1430" s="886"/>
      <c r="J1430" s="883"/>
      <c r="K1430" s="883"/>
      <c r="L1430" s="883"/>
      <c r="M1430" s="867"/>
      <c r="N1430" s="867"/>
      <c r="O1430" s="152" t="s">
        <v>677</v>
      </c>
      <c r="P1430" s="227">
        <v>51220200001</v>
      </c>
      <c r="Q1430" s="217" t="s">
        <v>460</v>
      </c>
      <c r="R1430" s="429">
        <f t="shared" si="79"/>
        <v>20521.510000000002</v>
      </c>
      <c r="U1430" s="109"/>
    </row>
    <row r="1431" spans="2:26" x14ac:dyDescent="0.2">
      <c r="B1431" s="105"/>
      <c r="D1431" s="95"/>
      <c r="J1431" s="883"/>
      <c r="K1431" s="883"/>
      <c r="L1431" s="883"/>
      <c r="O1431" s="152" t="s">
        <v>677</v>
      </c>
      <c r="P1431" s="78">
        <v>51220200001</v>
      </c>
      <c r="Q1431" s="142" t="s">
        <v>351</v>
      </c>
      <c r="R1431" s="429">
        <f t="shared" si="79"/>
        <v>0</v>
      </c>
    </row>
    <row r="1432" spans="2:26" x14ac:dyDescent="0.2">
      <c r="B1432" s="105"/>
      <c r="D1432" s="95"/>
      <c r="J1432" s="883"/>
      <c r="K1432" s="883"/>
      <c r="L1432" s="883"/>
      <c r="O1432" s="152" t="s">
        <v>677</v>
      </c>
      <c r="P1432" s="78">
        <v>51220200001</v>
      </c>
      <c r="Q1432" s="142" t="s">
        <v>56</v>
      </c>
      <c r="R1432" s="429">
        <f t="shared" si="79"/>
        <v>0</v>
      </c>
      <c r="Y1432" s="439"/>
    </row>
    <row r="1433" spans="2:26" x14ac:dyDescent="0.2">
      <c r="J1433" s="883"/>
      <c r="K1433" s="883"/>
      <c r="L1433" s="883"/>
      <c r="O1433" s="152" t="s">
        <v>677</v>
      </c>
      <c r="P1433" s="78">
        <v>52200000001</v>
      </c>
      <c r="Q1433" s="142" t="s">
        <v>460</v>
      </c>
      <c r="R1433" s="429">
        <f t="shared" si="79"/>
        <v>0</v>
      </c>
      <c r="W1433" s="106" t="s">
        <v>478</v>
      </c>
      <c r="X1433" s="144">
        <f>+X1418+X1419+X1420+X1421+X1422+X1424+X1425</f>
        <v>-21101.200000000001</v>
      </c>
    </row>
    <row r="1434" spans="2:26" x14ac:dyDescent="0.2">
      <c r="J1434" s="883"/>
      <c r="K1434" s="883"/>
      <c r="L1434" s="883"/>
      <c r="O1434" s="152" t="s">
        <v>677</v>
      </c>
      <c r="P1434" s="78">
        <v>52200000001</v>
      </c>
      <c r="Q1434" s="142" t="s">
        <v>351</v>
      </c>
      <c r="R1434" s="429">
        <f t="shared" si="79"/>
        <v>0</v>
      </c>
      <c r="W1434" s="97" t="s">
        <v>480</v>
      </c>
      <c r="X1434" s="144">
        <f>+R1438</f>
        <v>20875.86</v>
      </c>
    </row>
    <row r="1435" spans="2:26" x14ac:dyDescent="0.2">
      <c r="J1435" s="883"/>
      <c r="K1435" s="883"/>
      <c r="L1435" s="883"/>
      <c r="O1435" s="152" t="s">
        <v>677</v>
      </c>
      <c r="P1435" s="78">
        <v>52200000001</v>
      </c>
      <c r="Q1435" s="142" t="s">
        <v>56</v>
      </c>
      <c r="R1435" s="429">
        <f t="shared" si="79"/>
        <v>0</v>
      </c>
      <c r="W1435" s="97" t="s">
        <v>486</v>
      </c>
      <c r="X1435" s="167">
        <f>+J1421</f>
        <v>193.45</v>
      </c>
    </row>
    <row r="1436" spans="2:26" x14ac:dyDescent="0.2">
      <c r="J1436" s="883"/>
      <c r="K1436" s="883"/>
      <c r="L1436" s="883"/>
      <c r="O1436" s="152" t="s">
        <v>677</v>
      </c>
      <c r="P1436" s="78">
        <v>52200000001</v>
      </c>
      <c r="Q1436" s="142" t="s">
        <v>460</v>
      </c>
      <c r="R1436" s="429">
        <f t="shared" si="79"/>
        <v>0</v>
      </c>
      <c r="X1436" s="324">
        <f>X1433+X1434+X1435</f>
        <v>-31.890000000000157</v>
      </c>
      <c r="Y1436" s="97" t="s">
        <v>500</v>
      </c>
    </row>
    <row r="1437" spans="2:26" x14ac:dyDescent="0.2">
      <c r="O1437" s="867"/>
      <c r="P1437" s="227">
        <v>51220200001</v>
      </c>
      <c r="Q1437" s="217" t="s">
        <v>496</v>
      </c>
      <c r="R1437" s="429">
        <f t="shared" si="79"/>
        <v>354.35</v>
      </c>
    </row>
    <row r="1438" spans="2:26" ht="13.5" thickBot="1" x14ac:dyDescent="0.25">
      <c r="O1438" s="237"/>
      <c r="P1438" s="427"/>
      <c r="R1438" s="244">
        <f>SUM(R1418:R1437)</f>
        <v>20875.86</v>
      </c>
    </row>
    <row r="1439" spans="2:26" ht="13.5" thickTop="1" x14ac:dyDescent="0.2">
      <c r="B1439" s="225" t="s">
        <v>355</v>
      </c>
      <c r="C1439" s="225"/>
      <c r="D1439" s="225"/>
      <c r="E1439" s="114"/>
      <c r="F1439" s="114"/>
      <c r="G1439" s="121"/>
      <c r="H1439" s="122"/>
      <c r="I1439" s="114"/>
      <c r="J1439" s="114"/>
      <c r="K1439" s="114"/>
      <c r="L1439" s="114"/>
      <c r="M1439" s="114"/>
      <c r="N1439" s="114"/>
    </row>
    <row r="1440" spans="2:26" x14ac:dyDescent="0.2">
      <c r="B1440" s="226" t="s">
        <v>252</v>
      </c>
      <c r="C1440" s="226"/>
      <c r="D1440" s="226"/>
      <c r="E1440" s="114"/>
      <c r="F1440" s="114"/>
      <c r="G1440" s="226"/>
      <c r="H1440" s="122"/>
      <c r="I1440" s="114"/>
      <c r="J1440" s="114"/>
      <c r="K1440" s="114"/>
      <c r="L1440" s="114"/>
      <c r="M1440" s="114"/>
      <c r="N1440" s="114"/>
      <c r="W1440" s="895"/>
      <c r="X1440" s="823"/>
      <c r="Y1440" s="346"/>
      <c r="Z1440" s="897"/>
    </row>
    <row r="1441" spans="2:26" x14ac:dyDescent="0.2">
      <c r="B1441" s="231" t="s">
        <v>253</v>
      </c>
      <c r="C1441" s="231"/>
      <c r="D1441" s="231"/>
      <c r="E1441" s="114"/>
      <c r="F1441" s="114"/>
      <c r="G1441" s="121"/>
      <c r="H1441" s="230"/>
      <c r="I1441" s="114"/>
      <c r="J1441" s="114"/>
      <c r="K1441" s="114"/>
      <c r="L1441" s="114"/>
      <c r="M1441" s="114"/>
      <c r="N1441" s="114"/>
      <c r="W1441" s="895"/>
      <c r="X1441" s="823"/>
      <c r="Y1441" s="346"/>
      <c r="Z1441" s="897"/>
    </row>
    <row r="1442" spans="2:26" x14ac:dyDescent="0.2">
      <c r="B1442" s="231" t="s">
        <v>356</v>
      </c>
      <c r="C1442" s="231"/>
      <c r="D1442" s="231"/>
      <c r="E1442" s="114"/>
      <c r="F1442" s="114"/>
      <c r="G1442" s="121"/>
      <c r="H1442" s="122"/>
      <c r="I1442" s="114"/>
      <c r="J1442" s="114"/>
      <c r="K1442" s="114"/>
      <c r="L1442" s="114"/>
      <c r="M1442" s="114"/>
      <c r="N1442" s="114"/>
      <c r="W1442" s="895"/>
      <c r="X1442" s="823"/>
      <c r="Y1442" s="346"/>
      <c r="Z1442" s="897"/>
    </row>
    <row r="1443" spans="2:26" x14ac:dyDescent="0.2">
      <c r="B1443" s="229"/>
      <c r="C1443" s="229"/>
      <c r="D1443" s="229"/>
      <c r="E1443" s="114"/>
      <c r="F1443" s="114"/>
      <c r="G1443" s="121"/>
      <c r="H1443" s="122"/>
      <c r="I1443" s="114"/>
      <c r="J1443" s="114"/>
      <c r="K1443" s="114"/>
      <c r="L1443" s="114"/>
      <c r="M1443" s="114"/>
      <c r="N1443" s="114"/>
      <c r="W1443" s="895"/>
      <c r="X1443" s="823"/>
      <c r="Y1443" s="346"/>
      <c r="Z1443" s="897"/>
    </row>
    <row r="1444" spans="2:26" ht="18" x14ac:dyDescent="0.25">
      <c r="B1444" s="113" t="s">
        <v>458</v>
      </c>
      <c r="C1444" s="113"/>
      <c r="D1444" s="113"/>
      <c r="E1444" s="114" t="s">
        <v>681</v>
      </c>
      <c r="F1444" s="115"/>
      <c r="G1444" s="116" t="s">
        <v>681</v>
      </c>
      <c r="H1444" s="117" t="s">
        <v>179</v>
      </c>
      <c r="I1444" s="118">
        <v>2020</v>
      </c>
      <c r="J1444" s="119" t="s">
        <v>41</v>
      </c>
      <c r="K1444" s="119"/>
      <c r="L1444" s="114"/>
      <c r="M1444" s="114"/>
      <c r="N1444" s="114"/>
      <c r="W1444" s="895"/>
      <c r="X1444" s="823"/>
      <c r="Y1444" s="346"/>
      <c r="Z1444" s="897"/>
    </row>
    <row r="1445" spans="2:26" x14ac:dyDescent="0.2">
      <c r="B1445" s="120" t="s">
        <v>42</v>
      </c>
      <c r="C1445" s="120"/>
      <c r="D1445" s="120"/>
      <c r="E1445" s="114"/>
      <c r="F1445" s="114"/>
      <c r="G1445" s="121"/>
      <c r="H1445" s="122"/>
      <c r="I1445" s="114"/>
      <c r="J1445" s="123"/>
      <c r="K1445" s="123"/>
      <c r="L1445" s="114"/>
      <c r="M1445" s="114"/>
      <c r="N1445" s="114"/>
    </row>
    <row r="1446" spans="2:26" x14ac:dyDescent="0.2">
      <c r="B1446" s="124"/>
      <c r="C1446" s="124"/>
      <c r="D1446" s="124"/>
      <c r="E1446" s="124"/>
      <c r="F1446" s="124"/>
      <c r="G1446" s="124"/>
      <c r="H1446" s="124"/>
      <c r="I1446" s="124"/>
      <c r="J1446" s="124"/>
      <c r="K1446" s="124"/>
      <c r="L1446" s="124"/>
      <c r="M1446" s="124"/>
      <c r="N1446" s="124"/>
    </row>
    <row r="1447" spans="2:26" x14ac:dyDescent="0.2">
      <c r="B1447" s="124"/>
      <c r="C1447" s="124"/>
      <c r="D1447" s="124"/>
      <c r="E1447" s="124"/>
      <c r="F1447" s="124"/>
      <c r="G1447" s="124"/>
      <c r="H1447" s="124"/>
      <c r="I1447" s="124"/>
      <c r="J1447" s="117"/>
      <c r="K1447" s="117"/>
      <c r="L1447" s="117"/>
      <c r="M1447" s="117"/>
      <c r="N1447" s="124"/>
      <c r="O1447" s="237"/>
      <c r="P1447" s="237"/>
    </row>
    <row r="1448" spans="2:26" x14ac:dyDescent="0.2">
      <c r="B1448" s="125"/>
      <c r="C1448" s="126" t="s">
        <v>255</v>
      </c>
      <c r="D1448" s="127" t="s">
        <v>43</v>
      </c>
      <c r="E1448" s="127"/>
      <c r="F1448" s="127" t="s">
        <v>135</v>
      </c>
      <c r="G1448" s="127"/>
      <c r="H1448" s="128" t="s">
        <v>136</v>
      </c>
      <c r="I1448" s="129"/>
      <c r="J1448" s="129"/>
      <c r="K1448" s="129"/>
      <c r="L1448" s="146"/>
      <c r="M1448" s="237"/>
      <c r="N1448" s="124"/>
      <c r="O1448" s="237"/>
      <c r="P1448" s="237"/>
    </row>
    <row r="1449" spans="2:26" x14ac:dyDescent="0.2">
      <c r="B1449" s="130" t="s">
        <v>137</v>
      </c>
      <c r="C1449" s="131" t="s">
        <v>138</v>
      </c>
      <c r="D1449" s="131" t="s">
        <v>258</v>
      </c>
      <c r="E1449" s="131" t="s">
        <v>139</v>
      </c>
      <c r="F1449" s="131" t="s">
        <v>259</v>
      </c>
      <c r="G1449" s="131" t="s">
        <v>140</v>
      </c>
      <c r="H1449" s="132" t="s">
        <v>94</v>
      </c>
      <c r="I1449" s="129"/>
      <c r="J1449" s="132" t="s">
        <v>141</v>
      </c>
      <c r="K1449" s="129"/>
      <c r="L1449" s="147" t="s">
        <v>325</v>
      </c>
      <c r="M1449" s="237"/>
      <c r="N1449" s="124"/>
      <c r="O1449" s="237"/>
      <c r="P1449" s="237"/>
    </row>
    <row r="1450" spans="2:26" ht="14.25" x14ac:dyDescent="0.2">
      <c r="B1450" s="133"/>
      <c r="C1450" s="134"/>
      <c r="D1450" s="134"/>
      <c r="E1450" s="133"/>
      <c r="F1450" s="133"/>
      <c r="G1450" s="133"/>
      <c r="H1450" s="135" t="s">
        <v>326</v>
      </c>
      <c r="I1450" s="136" t="s">
        <v>327</v>
      </c>
      <c r="J1450" s="148" t="s">
        <v>328</v>
      </c>
      <c r="K1450" s="148" t="s">
        <v>89</v>
      </c>
      <c r="L1450" s="149" t="s">
        <v>94</v>
      </c>
      <c r="M1450" s="237"/>
      <c r="N1450" s="124"/>
      <c r="O1450" s="1206" t="s">
        <v>1037</v>
      </c>
      <c r="P1450" s="1206"/>
      <c r="Q1450" s="1206"/>
      <c r="R1450" s="1206"/>
      <c r="U1450" s="106" t="s">
        <v>465</v>
      </c>
      <c r="Y1450" s="97" t="s">
        <v>479</v>
      </c>
      <c r="Z1450" s="97" t="s">
        <v>340</v>
      </c>
    </row>
    <row r="1451" spans="2:26" x14ac:dyDescent="0.2">
      <c r="B1451" s="694">
        <v>44167</v>
      </c>
      <c r="C1451" s="138" t="s">
        <v>1681</v>
      </c>
      <c r="D1451" s="138" t="s">
        <v>459</v>
      </c>
      <c r="E1451" s="142" t="str">
        <f>+VLOOKUP(F1451,[23]bd!A:B,2,0)</f>
        <v>BANCO CUSCATLAN DE EL SALVADOR S.A.</v>
      </c>
      <c r="F1451" s="142" t="s">
        <v>90</v>
      </c>
      <c r="G1451" s="799">
        <v>0</v>
      </c>
      <c r="H1451" s="799">
        <v>0</v>
      </c>
      <c r="I1451" s="799">
        <v>0</v>
      </c>
      <c r="J1451" s="799">
        <v>88.35</v>
      </c>
      <c r="K1451" s="800">
        <v>11.49</v>
      </c>
      <c r="L1451" s="799">
        <f t="shared" ref="L1451:L1466" si="80">+J1451+K1451</f>
        <v>99.839999999999989</v>
      </c>
      <c r="M1451" s="245">
        <v>51000200002</v>
      </c>
      <c r="N1451" s="124"/>
      <c r="O1451" s="152" t="s">
        <v>681</v>
      </c>
      <c r="P1451" s="78">
        <v>51000000001</v>
      </c>
      <c r="Q1451" s="142" t="s">
        <v>460</v>
      </c>
      <c r="R1451" s="429">
        <f>SUMIFS($J$1451:$J$1466,$E$1451:$E$1466,Q1451,$M$1451:$M$1466,P1451)</f>
        <v>0</v>
      </c>
      <c r="T1451" s="97">
        <v>51000200001</v>
      </c>
      <c r="U1451" s="97" t="s">
        <v>382</v>
      </c>
      <c r="X1451" s="109">
        <v>-417.13000000000011</v>
      </c>
      <c r="Y1451" s="109">
        <f>R1454</f>
        <v>0</v>
      </c>
      <c r="Z1451" s="144">
        <v>0</v>
      </c>
    </row>
    <row r="1452" spans="2:26" x14ac:dyDescent="0.2">
      <c r="B1452" s="448">
        <v>44167</v>
      </c>
      <c r="C1452" s="138" t="s">
        <v>1682</v>
      </c>
      <c r="D1452" s="138" t="s">
        <v>459</v>
      </c>
      <c r="E1452" s="142" t="str">
        <f>+VLOOKUP(F1452,[23]bd!A:B,2,0)</f>
        <v>BANCO CUSCATLAN DE EL SALVADOR S.A.</v>
      </c>
      <c r="F1452" s="142" t="s">
        <v>90</v>
      </c>
      <c r="G1452" s="799">
        <v>0</v>
      </c>
      <c r="H1452" s="799">
        <v>0</v>
      </c>
      <c r="I1452" s="799">
        <v>0</v>
      </c>
      <c r="J1452" s="799">
        <v>88.35</v>
      </c>
      <c r="K1452" s="800">
        <v>11.49</v>
      </c>
      <c r="L1452" s="799">
        <f t="shared" si="80"/>
        <v>99.839999999999989</v>
      </c>
      <c r="M1452" s="245">
        <v>51000200001</v>
      </c>
      <c r="N1452" s="124"/>
      <c r="O1452" s="152" t="s">
        <v>681</v>
      </c>
      <c r="P1452" s="78">
        <v>51000000002</v>
      </c>
      <c r="Q1452" s="142" t="s">
        <v>460</v>
      </c>
      <c r="R1452" s="429">
        <f t="shared" ref="R1452:R1470" si="81">SUMIFS($J$1451:$J$1466,$E$1451:$E$1466,Q1452,$M$1451:$M$1466,P1452)</f>
        <v>0</v>
      </c>
      <c r="T1452" s="97">
        <v>51000200002</v>
      </c>
      <c r="U1452" s="97" t="s">
        <v>383</v>
      </c>
      <c r="X1452" s="109">
        <v>-383.84000000000015</v>
      </c>
      <c r="Y1452" s="109">
        <f>R1456</f>
        <v>0</v>
      </c>
      <c r="Z1452" s="144">
        <v>0</v>
      </c>
    </row>
    <row r="1453" spans="2:26" x14ac:dyDescent="0.2">
      <c r="B1453" s="448">
        <v>44173</v>
      </c>
      <c r="C1453" s="138" t="s">
        <v>1683</v>
      </c>
      <c r="D1453" s="138" t="s">
        <v>459</v>
      </c>
      <c r="E1453" s="142" t="str">
        <f>+VLOOKUP(F1453,[23]bd!A:B,2,0)</f>
        <v>BANCO CUSCATLAN DE EL SALVADOR S.A.</v>
      </c>
      <c r="F1453" s="142" t="s">
        <v>90</v>
      </c>
      <c r="G1453" s="799">
        <v>0</v>
      </c>
      <c r="H1453" s="799">
        <v>0</v>
      </c>
      <c r="I1453" s="799">
        <v>0</v>
      </c>
      <c r="J1453" s="799">
        <v>11.65</v>
      </c>
      <c r="K1453" s="800">
        <v>1.51</v>
      </c>
      <c r="L1453" s="799">
        <f t="shared" si="80"/>
        <v>13.16</v>
      </c>
      <c r="M1453" s="245">
        <v>51000200002</v>
      </c>
      <c r="N1453" s="799">
        <f t="shared" ref="N1453:N1466" si="82">+J1453+K1453</f>
        <v>13.16</v>
      </c>
      <c r="O1453" s="152" t="s">
        <v>681</v>
      </c>
      <c r="P1453" s="78">
        <v>51000100001</v>
      </c>
      <c r="Q1453" s="142" t="s">
        <v>460</v>
      </c>
      <c r="R1453" s="429">
        <f t="shared" si="81"/>
        <v>0</v>
      </c>
      <c r="T1453" s="97">
        <v>51000100001</v>
      </c>
      <c r="U1453" s="109" t="s">
        <v>12</v>
      </c>
      <c r="X1453" s="97">
        <v>-2003.2800000000025</v>
      </c>
    </row>
    <row r="1454" spans="2:26" x14ac:dyDescent="0.2">
      <c r="B1454" s="448">
        <v>44173</v>
      </c>
      <c r="C1454" s="138" t="s">
        <v>1684</v>
      </c>
      <c r="D1454" s="138" t="s">
        <v>459</v>
      </c>
      <c r="E1454" s="142" t="str">
        <f>+VLOOKUP(F1454,[23]bd!A:B,2,0)</f>
        <v>BANCO CUSCATLAN DE EL SALVADOR S.A.</v>
      </c>
      <c r="F1454" s="142" t="s">
        <v>90</v>
      </c>
      <c r="G1454" s="799">
        <v>0</v>
      </c>
      <c r="H1454" s="799">
        <v>0</v>
      </c>
      <c r="I1454" s="799">
        <v>0</v>
      </c>
      <c r="J1454" s="799">
        <v>11.65</v>
      </c>
      <c r="K1454" s="800">
        <v>1.51</v>
      </c>
      <c r="L1454" s="799">
        <f t="shared" si="80"/>
        <v>13.16</v>
      </c>
      <c r="M1454" s="245">
        <v>51000200001</v>
      </c>
      <c r="N1454" s="799">
        <f t="shared" si="82"/>
        <v>13.16</v>
      </c>
      <c r="O1454" s="152" t="s">
        <v>681</v>
      </c>
      <c r="P1454" s="78">
        <v>51000100001</v>
      </c>
      <c r="Q1454" s="142" t="s">
        <v>496</v>
      </c>
      <c r="R1454" s="429">
        <f t="shared" si="81"/>
        <v>0</v>
      </c>
      <c r="T1454" s="97">
        <v>51000100002</v>
      </c>
      <c r="U1454" s="109" t="s">
        <v>380</v>
      </c>
      <c r="X1454" s="97">
        <v>-1334.1799999999967</v>
      </c>
    </row>
    <row r="1455" spans="2:26" x14ac:dyDescent="0.2">
      <c r="B1455" s="448">
        <v>44173</v>
      </c>
      <c r="C1455" s="138" t="s">
        <v>1685</v>
      </c>
      <c r="D1455" s="138" t="s">
        <v>459</v>
      </c>
      <c r="E1455" s="142" t="str">
        <f>+VLOOKUP(F1455,[23]bd!A:B,2,0)</f>
        <v>INVERSIONES FINANCIERAS IMPERIA CUSCATLAN, SA</v>
      </c>
      <c r="F1455" s="142" t="s">
        <v>497</v>
      </c>
      <c r="G1455" s="799">
        <v>0</v>
      </c>
      <c r="H1455" s="799">
        <v>0</v>
      </c>
      <c r="I1455" s="799">
        <v>0</v>
      </c>
      <c r="J1455" s="799">
        <v>459.48</v>
      </c>
      <c r="K1455" s="800">
        <v>59.73</v>
      </c>
      <c r="L1455" s="799">
        <f t="shared" si="80"/>
        <v>519.21</v>
      </c>
      <c r="M1455" s="245">
        <v>51220200001</v>
      </c>
      <c r="N1455" s="799">
        <f t="shared" si="82"/>
        <v>519.21</v>
      </c>
      <c r="O1455" s="152" t="s">
        <v>681</v>
      </c>
      <c r="P1455" s="78">
        <v>51000100002</v>
      </c>
      <c r="Q1455" s="142" t="s">
        <v>460</v>
      </c>
      <c r="R1455" s="429">
        <f t="shared" si="81"/>
        <v>0</v>
      </c>
      <c r="T1455" s="97">
        <v>51220200001</v>
      </c>
      <c r="U1455" s="97" t="s">
        <v>55</v>
      </c>
      <c r="X1455" s="109">
        <v>-4889.8899999999958</v>
      </c>
      <c r="Y1455" s="109">
        <f>R1463+R1470</f>
        <v>4879.4500000000007</v>
      </c>
      <c r="Z1455" s="144">
        <f>X1456+Y1455</f>
        <v>-28119.919999999995</v>
      </c>
    </row>
    <row r="1456" spans="2:26" x14ac:dyDescent="0.2">
      <c r="B1456" s="448">
        <v>44173</v>
      </c>
      <c r="C1456" s="138" t="s">
        <v>1686</v>
      </c>
      <c r="D1456" s="138" t="s">
        <v>459</v>
      </c>
      <c r="E1456" s="142" t="str">
        <f>+VLOOKUP(F1456,[23]bd!A:B,2,0)</f>
        <v>BANCO CUSCATLAN DE EL SALVADOR S.A.</v>
      </c>
      <c r="F1456" s="142" t="s">
        <v>90</v>
      </c>
      <c r="G1456" s="799">
        <v>0</v>
      </c>
      <c r="H1456" s="799">
        <v>0</v>
      </c>
      <c r="I1456" s="799">
        <v>0</v>
      </c>
      <c r="J1456" s="799">
        <v>4419.97</v>
      </c>
      <c r="K1456" s="800">
        <v>574.6</v>
      </c>
      <c r="L1456" s="799">
        <f t="shared" si="80"/>
        <v>4994.5700000000006</v>
      </c>
      <c r="M1456" s="245">
        <v>51220200001</v>
      </c>
      <c r="N1456" s="799">
        <f t="shared" si="82"/>
        <v>4994.5700000000006</v>
      </c>
      <c r="O1456" s="152" t="s">
        <v>681</v>
      </c>
      <c r="P1456" s="78">
        <v>51000100002</v>
      </c>
      <c r="Q1456" s="142" t="s">
        <v>496</v>
      </c>
      <c r="R1456" s="429">
        <f t="shared" si="81"/>
        <v>0</v>
      </c>
      <c r="T1456" s="195">
        <v>52200000001</v>
      </c>
      <c r="U1456" s="195" t="s">
        <v>33</v>
      </c>
      <c r="V1456" s="195"/>
      <c r="W1456" s="195"/>
      <c r="X1456" s="109">
        <v>-32999.369999999995</v>
      </c>
      <c r="Y1456" s="109">
        <v>0</v>
      </c>
      <c r="Z1456" s="144">
        <v>0</v>
      </c>
    </row>
    <row r="1457" spans="2:26" x14ac:dyDescent="0.2">
      <c r="B1457" s="448">
        <v>44174</v>
      </c>
      <c r="C1457" s="138" t="s">
        <v>1687</v>
      </c>
      <c r="D1457" s="138" t="s">
        <v>459</v>
      </c>
      <c r="E1457" s="142" t="str">
        <f>+VLOOKUP(F1457,[23]bd!A:B,2,0)</f>
        <v>BANCO CUSCATLAN DE EL SALVADOR S.A.</v>
      </c>
      <c r="F1457" s="142" t="s">
        <v>90</v>
      </c>
      <c r="G1457" s="799">
        <v>0</v>
      </c>
      <c r="H1457" s="799">
        <v>0</v>
      </c>
      <c r="I1457" s="799">
        <v>0</v>
      </c>
      <c r="J1457" s="799">
        <v>206.17</v>
      </c>
      <c r="K1457" s="800">
        <v>26.8</v>
      </c>
      <c r="L1457" s="799">
        <f t="shared" si="80"/>
        <v>232.97</v>
      </c>
      <c r="M1457" s="245">
        <v>51000200002</v>
      </c>
      <c r="N1457" s="799">
        <f t="shared" si="82"/>
        <v>232.97</v>
      </c>
      <c r="O1457" s="152" t="s">
        <v>681</v>
      </c>
      <c r="P1457" s="227">
        <v>51000200001</v>
      </c>
      <c r="Q1457" s="217" t="s">
        <v>460</v>
      </c>
      <c r="R1457" s="429">
        <f t="shared" si="81"/>
        <v>807</v>
      </c>
      <c r="T1457" s="97">
        <v>51000000001</v>
      </c>
      <c r="U1457" s="97" t="s">
        <v>132</v>
      </c>
      <c r="X1457" s="109"/>
    </row>
    <row r="1458" spans="2:26" x14ac:dyDescent="0.2">
      <c r="B1458" s="448">
        <v>44174</v>
      </c>
      <c r="C1458" s="138" t="s">
        <v>1688</v>
      </c>
      <c r="D1458" s="138" t="s">
        <v>459</v>
      </c>
      <c r="E1458" s="142" t="str">
        <f>+VLOOKUP(F1458,[23]bd!A:B,2,0)</f>
        <v>BANCO CUSCATLAN DE EL SALVADOR S.A.</v>
      </c>
      <c r="F1458" s="142" t="s">
        <v>90</v>
      </c>
      <c r="G1458" s="799">
        <v>0</v>
      </c>
      <c r="H1458" s="799">
        <v>0</v>
      </c>
      <c r="I1458" s="799">
        <v>0</v>
      </c>
      <c r="J1458" s="799">
        <v>206.17</v>
      </c>
      <c r="K1458" s="800">
        <v>26.8</v>
      </c>
      <c r="L1458" s="799">
        <f t="shared" si="80"/>
        <v>232.97</v>
      </c>
      <c r="M1458" s="245">
        <v>51000200001</v>
      </c>
      <c r="N1458" s="799">
        <f t="shared" si="82"/>
        <v>232.97</v>
      </c>
      <c r="O1458" s="152" t="s">
        <v>681</v>
      </c>
      <c r="P1458" s="78">
        <v>51000200001</v>
      </c>
      <c r="Q1458" s="142" t="s">
        <v>351</v>
      </c>
      <c r="R1458" s="429">
        <f t="shared" si="81"/>
        <v>0</v>
      </c>
      <c r="T1458" s="97">
        <v>51000000002</v>
      </c>
      <c r="U1458" s="97" t="s">
        <v>10</v>
      </c>
      <c r="X1458" s="109"/>
    </row>
    <row r="1459" spans="2:26" x14ac:dyDescent="0.2">
      <c r="B1459" s="693">
        <v>44176</v>
      </c>
      <c r="C1459" s="345" t="s">
        <v>1689</v>
      </c>
      <c r="D1459" s="345" t="s">
        <v>459</v>
      </c>
      <c r="E1459" s="217" t="str">
        <f>+VLOOKUP(F1459,[23]bd!A:B,2,0)</f>
        <v>CITIBANK, N.A. SUCURSAL EL SALVADOR</v>
      </c>
      <c r="F1459" s="217" t="s">
        <v>329</v>
      </c>
      <c r="G1459" s="802">
        <v>0</v>
      </c>
      <c r="H1459" s="802">
        <v>0</v>
      </c>
      <c r="I1459" s="802">
        <v>0</v>
      </c>
      <c r="J1459" s="802">
        <v>22.2</v>
      </c>
      <c r="K1459" s="336">
        <v>2.89</v>
      </c>
      <c r="L1459" s="802">
        <f t="shared" si="80"/>
        <v>25.09</v>
      </c>
      <c r="N1459" s="799">
        <f t="shared" si="82"/>
        <v>25.09</v>
      </c>
      <c r="O1459" s="152" t="s">
        <v>681</v>
      </c>
      <c r="P1459" s="78">
        <v>51000200001</v>
      </c>
      <c r="Q1459" s="142" t="s">
        <v>56</v>
      </c>
      <c r="R1459" s="429">
        <f t="shared" si="81"/>
        <v>0</v>
      </c>
      <c r="T1459" s="97">
        <v>53000100001</v>
      </c>
      <c r="U1459" s="97" t="s">
        <v>134</v>
      </c>
      <c r="X1459" s="198"/>
      <c r="Y1459" s="109">
        <v>0</v>
      </c>
      <c r="Z1459" s="144">
        <v>0</v>
      </c>
    </row>
    <row r="1460" spans="2:26" x14ac:dyDescent="0.2">
      <c r="B1460" s="693">
        <v>44176</v>
      </c>
      <c r="C1460" s="345" t="s">
        <v>1690</v>
      </c>
      <c r="D1460" s="345" t="s">
        <v>459</v>
      </c>
      <c r="E1460" s="217" t="str">
        <f>+VLOOKUP(F1460,[23]bd!A:B,2,0)</f>
        <v>CITIBANK, N.A. SUCURSAL EL SALVADOR</v>
      </c>
      <c r="F1460" s="217" t="s">
        <v>329</v>
      </c>
      <c r="G1460" s="802">
        <v>0</v>
      </c>
      <c r="H1460" s="802">
        <v>0</v>
      </c>
      <c r="I1460" s="802">
        <v>0</v>
      </c>
      <c r="J1460" s="802">
        <v>55.48</v>
      </c>
      <c r="K1460" s="336">
        <v>7.21</v>
      </c>
      <c r="L1460" s="802">
        <f t="shared" si="80"/>
        <v>62.69</v>
      </c>
      <c r="N1460" s="799">
        <f t="shared" si="82"/>
        <v>62.69</v>
      </c>
      <c r="O1460" s="152" t="s">
        <v>681</v>
      </c>
      <c r="P1460" s="227">
        <v>51000200002</v>
      </c>
      <c r="Q1460" s="217" t="s">
        <v>460</v>
      </c>
      <c r="R1460" s="429">
        <f t="shared" si="81"/>
        <v>807</v>
      </c>
      <c r="X1460" s="171">
        <v>0</v>
      </c>
      <c r="Y1460" s="171"/>
      <c r="Z1460" s="167">
        <v>0</v>
      </c>
    </row>
    <row r="1461" spans="2:26" x14ac:dyDescent="0.2">
      <c r="B1461" s="448">
        <v>44176</v>
      </c>
      <c r="C1461" s="138" t="s">
        <v>1691</v>
      </c>
      <c r="D1461" s="138" t="s">
        <v>459</v>
      </c>
      <c r="E1461" s="142" t="str">
        <f>+VLOOKUP(F1461,[23]bd!A:B,2,0)</f>
        <v>BANCO CUSCATLAN DE EL SALVADOR S.A.</v>
      </c>
      <c r="F1461" s="142" t="s">
        <v>90</v>
      </c>
      <c r="G1461" s="799">
        <v>0</v>
      </c>
      <c r="H1461" s="799">
        <v>0</v>
      </c>
      <c r="I1461" s="799">
        <v>0</v>
      </c>
      <c r="J1461" s="799">
        <v>55.48</v>
      </c>
      <c r="K1461" s="800">
        <v>7.21</v>
      </c>
      <c r="L1461" s="799">
        <f t="shared" si="80"/>
        <v>62.69</v>
      </c>
      <c r="M1461" s="245">
        <v>51000200002</v>
      </c>
      <c r="N1461" s="799">
        <f t="shared" si="82"/>
        <v>62.69</v>
      </c>
      <c r="O1461" s="152" t="s">
        <v>681</v>
      </c>
      <c r="P1461" s="78">
        <v>51000200002</v>
      </c>
      <c r="Q1461" s="142" t="s">
        <v>351</v>
      </c>
      <c r="R1461" s="429">
        <f t="shared" si="81"/>
        <v>0</v>
      </c>
      <c r="X1461" s="158">
        <f>SUM(X1451:X1459)</f>
        <v>-42027.689999999988</v>
      </c>
      <c r="Y1461" s="158">
        <f>SUM(Y1451:Y1460)</f>
        <v>4879.4500000000007</v>
      </c>
      <c r="Z1461" s="158">
        <f>SUM(Z1451:Z1460)</f>
        <v>-28119.919999999995</v>
      </c>
    </row>
    <row r="1462" spans="2:26" x14ac:dyDescent="0.2">
      <c r="B1462" s="448">
        <v>44176</v>
      </c>
      <c r="C1462" s="138" t="s">
        <v>1692</v>
      </c>
      <c r="D1462" s="138" t="s">
        <v>459</v>
      </c>
      <c r="E1462" s="142" t="str">
        <f>+VLOOKUP(F1462,[23]bd!A:B,2,0)</f>
        <v>BANCO CUSCATLAN DE EL SALVADOR S.A.</v>
      </c>
      <c r="F1462" s="142" t="s">
        <v>90</v>
      </c>
      <c r="G1462" s="799">
        <v>0</v>
      </c>
      <c r="H1462" s="799">
        <v>0</v>
      </c>
      <c r="I1462" s="799">
        <v>0</v>
      </c>
      <c r="J1462" s="799">
        <v>55.48</v>
      </c>
      <c r="K1462" s="800">
        <v>7.21</v>
      </c>
      <c r="L1462" s="799">
        <f t="shared" si="80"/>
        <v>62.69</v>
      </c>
      <c r="M1462" s="245">
        <v>51000200001</v>
      </c>
      <c r="N1462" s="799">
        <f t="shared" si="82"/>
        <v>62.69</v>
      </c>
      <c r="O1462" s="152" t="s">
        <v>681</v>
      </c>
      <c r="P1462" s="78">
        <v>51000200002</v>
      </c>
      <c r="Q1462" s="142" t="s">
        <v>56</v>
      </c>
      <c r="R1462" s="429">
        <f t="shared" si="81"/>
        <v>0</v>
      </c>
      <c r="U1462" s="109"/>
      <c r="Z1462" s="144"/>
    </row>
    <row r="1463" spans="2:26" x14ac:dyDescent="0.2">
      <c r="B1463" s="693">
        <v>44172</v>
      </c>
      <c r="C1463" s="345" t="s">
        <v>1693</v>
      </c>
      <c r="D1463" s="345" t="s">
        <v>459</v>
      </c>
      <c r="E1463" s="217" t="str">
        <f>+VLOOKUP(F1463,[23]bd!A:B,2,0)</f>
        <v>CITIBANK, N.A. SUCURSAL EL SALVADOR</v>
      </c>
      <c r="F1463" s="217" t="s">
        <v>329</v>
      </c>
      <c r="G1463" s="802">
        <v>0</v>
      </c>
      <c r="H1463" s="802">
        <v>0</v>
      </c>
      <c r="I1463" s="802">
        <v>0</v>
      </c>
      <c r="J1463" s="802">
        <v>1557.93</v>
      </c>
      <c r="K1463" s="336">
        <v>202.53</v>
      </c>
      <c r="L1463" s="802">
        <f t="shared" si="80"/>
        <v>1760.46</v>
      </c>
      <c r="N1463" s="799">
        <f t="shared" si="82"/>
        <v>1760.46</v>
      </c>
      <c r="O1463" s="152" t="s">
        <v>681</v>
      </c>
      <c r="P1463" s="227">
        <v>51220200001</v>
      </c>
      <c r="Q1463" s="217" t="s">
        <v>460</v>
      </c>
      <c r="R1463" s="429">
        <f t="shared" si="81"/>
        <v>4419.97</v>
      </c>
      <c r="U1463" s="109"/>
    </row>
    <row r="1464" spans="2:26" x14ac:dyDescent="0.2">
      <c r="B1464" s="693">
        <v>44172</v>
      </c>
      <c r="C1464" s="345" t="s">
        <v>1694</v>
      </c>
      <c r="D1464" s="345" t="s">
        <v>459</v>
      </c>
      <c r="E1464" s="217" t="str">
        <f>+VLOOKUP(F1464,[23]bd!A:B,2,0)</f>
        <v>CITIBANK, N.A. SUCURSAL EL SALVADOR</v>
      </c>
      <c r="F1464" s="217" t="s">
        <v>329</v>
      </c>
      <c r="G1464" s="802">
        <v>0</v>
      </c>
      <c r="H1464" s="802">
        <v>0</v>
      </c>
      <c r="I1464" s="802">
        <v>0</v>
      </c>
      <c r="J1464" s="802">
        <v>888.83</v>
      </c>
      <c r="K1464" s="336">
        <v>115.55</v>
      </c>
      <c r="L1464" s="802">
        <f t="shared" si="80"/>
        <v>1004.38</v>
      </c>
      <c r="N1464" s="799">
        <f t="shared" si="82"/>
        <v>1004.38</v>
      </c>
      <c r="O1464" s="152" t="s">
        <v>681</v>
      </c>
      <c r="P1464" s="78">
        <v>51220200001</v>
      </c>
      <c r="Q1464" s="142" t="s">
        <v>351</v>
      </c>
      <c r="R1464" s="429">
        <f t="shared" si="81"/>
        <v>0</v>
      </c>
    </row>
    <row r="1465" spans="2:26" x14ac:dyDescent="0.2">
      <c r="B1465" s="448">
        <v>44173</v>
      </c>
      <c r="C1465" s="138" t="s">
        <v>1695</v>
      </c>
      <c r="D1465" s="138" t="s">
        <v>459</v>
      </c>
      <c r="E1465" s="142" t="str">
        <f>+VLOOKUP(F1465,[23]bd!A:B,2,0)</f>
        <v>BANCO CUSCATLAN DE EL SALVADOR S.A.</v>
      </c>
      <c r="F1465" s="142" t="s">
        <v>90</v>
      </c>
      <c r="G1465" s="799">
        <v>0</v>
      </c>
      <c r="H1465" s="799">
        <v>0</v>
      </c>
      <c r="I1465" s="799">
        <v>0</v>
      </c>
      <c r="J1465" s="799">
        <v>445.35</v>
      </c>
      <c r="K1465" s="800">
        <v>57.9</v>
      </c>
      <c r="L1465" s="799">
        <f t="shared" si="80"/>
        <v>503.25</v>
      </c>
      <c r="M1465" s="245">
        <v>51000200002</v>
      </c>
      <c r="N1465" s="799">
        <f t="shared" si="82"/>
        <v>503.25</v>
      </c>
      <c r="O1465" s="152" t="s">
        <v>681</v>
      </c>
      <c r="P1465" s="78">
        <v>51220200001</v>
      </c>
      <c r="Q1465" s="142" t="s">
        <v>56</v>
      </c>
      <c r="R1465" s="429">
        <f t="shared" si="81"/>
        <v>0</v>
      </c>
      <c r="Y1465" s="439"/>
    </row>
    <row r="1466" spans="2:26" x14ac:dyDescent="0.2">
      <c r="B1466" s="448">
        <v>44173</v>
      </c>
      <c r="C1466" s="138" t="s">
        <v>1696</v>
      </c>
      <c r="D1466" s="138" t="s">
        <v>459</v>
      </c>
      <c r="E1466" s="142" t="str">
        <f>+VLOOKUP(F1466,[23]bd!A:B,2,0)</f>
        <v>BANCO CUSCATLAN DE EL SALVADOR S.A.</v>
      </c>
      <c r="F1466" s="142" t="s">
        <v>90</v>
      </c>
      <c r="G1466" s="799">
        <v>0</v>
      </c>
      <c r="H1466" s="799">
        <v>0</v>
      </c>
      <c r="I1466" s="799">
        <v>0</v>
      </c>
      <c r="J1466" s="799">
        <v>445.35</v>
      </c>
      <c r="K1466" s="800">
        <v>57.9</v>
      </c>
      <c r="L1466" s="799">
        <f t="shared" si="80"/>
        <v>503.25</v>
      </c>
      <c r="M1466" s="245">
        <v>51000200001</v>
      </c>
      <c r="N1466" s="799">
        <f t="shared" si="82"/>
        <v>503.25</v>
      </c>
      <c r="O1466" s="152" t="s">
        <v>681</v>
      </c>
      <c r="P1466" s="78">
        <v>52200000001</v>
      </c>
      <c r="Q1466" s="142" t="s">
        <v>460</v>
      </c>
      <c r="R1466" s="429">
        <f t="shared" si="81"/>
        <v>0</v>
      </c>
      <c r="W1466" s="106" t="s">
        <v>478</v>
      </c>
      <c r="X1466" s="144">
        <f>+X1451+X1452+X1453+X1454+X1455+X1457+X1458</f>
        <v>-9028.3199999999961</v>
      </c>
    </row>
    <row r="1467" spans="2:26" x14ac:dyDescent="0.2">
      <c r="B1467" s="448"/>
      <c r="C1467" s="448"/>
      <c r="D1467" s="448"/>
      <c r="E1467" s="138"/>
      <c r="F1467" s="138"/>
      <c r="G1467" s="142"/>
      <c r="H1467" s="142"/>
      <c r="I1467" s="799"/>
      <c r="J1467" s="799"/>
      <c r="K1467" s="799"/>
      <c r="L1467" s="799"/>
      <c r="M1467" s="800"/>
      <c r="N1467" s="799"/>
      <c r="O1467" s="152" t="s">
        <v>681</v>
      </c>
      <c r="P1467" s="78">
        <v>52200000001</v>
      </c>
      <c r="Q1467" s="142" t="s">
        <v>351</v>
      </c>
      <c r="R1467" s="429">
        <f t="shared" si="81"/>
        <v>0</v>
      </c>
      <c r="W1467" s="97" t="s">
        <v>480</v>
      </c>
      <c r="X1467" s="144">
        <f>+R1471</f>
        <v>6493.4500000000007</v>
      </c>
    </row>
    <row r="1468" spans="2:26" x14ac:dyDescent="0.2">
      <c r="B1468" s="141"/>
      <c r="C1468" s="141"/>
      <c r="D1468" s="141"/>
      <c r="E1468" s="138"/>
      <c r="F1468" s="138"/>
      <c r="G1468" s="142"/>
      <c r="H1468" s="142"/>
      <c r="I1468" s="799"/>
      <c r="J1468" s="799"/>
      <c r="K1468" s="799"/>
      <c r="L1468" s="799"/>
      <c r="M1468" s="800"/>
      <c r="N1468" s="799"/>
      <c r="O1468" s="152" t="s">
        <v>681</v>
      </c>
      <c r="P1468" s="78">
        <v>52200000001</v>
      </c>
      <c r="Q1468" s="142" t="s">
        <v>56</v>
      </c>
      <c r="R1468" s="429">
        <f t="shared" si="81"/>
        <v>0</v>
      </c>
      <c r="W1468" s="97" t="s">
        <v>486</v>
      </c>
      <c r="X1468" s="167">
        <f>+J1459+J1460+J1463+J1464</f>
        <v>2524.44</v>
      </c>
    </row>
    <row r="1469" spans="2:26" x14ac:dyDescent="0.2">
      <c r="B1469" s="141"/>
      <c r="C1469" s="141"/>
      <c r="D1469" s="141"/>
      <c r="E1469" s="138"/>
      <c r="F1469" s="138"/>
      <c r="G1469" s="142"/>
      <c r="H1469" s="142"/>
      <c r="I1469" s="799"/>
      <c r="J1469" s="799"/>
      <c r="K1469" s="799"/>
      <c r="L1469" s="799"/>
      <c r="M1469" s="800"/>
      <c r="N1469" s="799"/>
      <c r="O1469" s="152" t="s">
        <v>681</v>
      </c>
      <c r="P1469" s="78">
        <v>52200000001</v>
      </c>
      <c r="Q1469" s="142" t="s">
        <v>460</v>
      </c>
      <c r="R1469" s="429">
        <f t="shared" si="81"/>
        <v>0</v>
      </c>
      <c r="X1469" s="324">
        <f>X1466+X1467+X1468</f>
        <v>-10.429999999995289</v>
      </c>
      <c r="Y1469" s="97" t="s">
        <v>500</v>
      </c>
    </row>
    <row r="1470" spans="2:26" x14ac:dyDescent="0.2">
      <c r="O1470" s="152" t="s">
        <v>681</v>
      </c>
      <c r="P1470" s="227">
        <v>51220200001</v>
      </c>
      <c r="Q1470" s="217" t="s">
        <v>496</v>
      </c>
      <c r="R1470" s="429">
        <f t="shared" si="81"/>
        <v>459.48</v>
      </c>
    </row>
    <row r="1471" spans="2:26" ht="13.5" thickBot="1" x14ac:dyDescent="0.25">
      <c r="O1471" s="237"/>
      <c r="P1471" s="427"/>
      <c r="R1471" s="244">
        <f>SUM(R1451:R1470)</f>
        <v>6493.4500000000007</v>
      </c>
    </row>
    <row r="1472" spans="2:26" ht="13.5" thickTop="1" x14ac:dyDescent="0.2"/>
    <row r="1473" spans="2:26" x14ac:dyDescent="0.2">
      <c r="U1473" s="823"/>
      <c r="V1473" s="895"/>
      <c r="W1473" s="823"/>
      <c r="X1473" s="346"/>
    </row>
    <row r="1474" spans="2:26" x14ac:dyDescent="0.2">
      <c r="U1474" s="823"/>
      <c r="V1474" s="895"/>
      <c r="W1474" s="823"/>
      <c r="X1474" s="346"/>
    </row>
    <row r="1475" spans="2:26" x14ac:dyDescent="0.2">
      <c r="B1475" s="225" t="s">
        <v>355</v>
      </c>
      <c r="C1475" s="225"/>
      <c r="D1475" s="225"/>
      <c r="E1475" s="114"/>
      <c r="F1475" s="114"/>
      <c r="G1475" s="121"/>
      <c r="H1475" s="122"/>
      <c r="I1475" s="114"/>
      <c r="J1475" s="114"/>
      <c r="K1475" s="114"/>
      <c r="L1475" s="114"/>
      <c r="M1475" s="114"/>
      <c r="N1475" s="114"/>
      <c r="U1475" s="823"/>
      <c r="V1475" s="895"/>
      <c r="W1475" s="823"/>
      <c r="X1475" s="346"/>
    </row>
    <row r="1476" spans="2:26" x14ac:dyDescent="0.2">
      <c r="B1476" s="226" t="s">
        <v>252</v>
      </c>
      <c r="C1476" s="226"/>
      <c r="D1476" s="226"/>
      <c r="E1476" s="114"/>
      <c r="F1476" s="114"/>
      <c r="G1476" s="226"/>
      <c r="H1476" s="122"/>
      <c r="I1476" s="114"/>
      <c r="J1476" s="114"/>
      <c r="K1476" s="114"/>
      <c r="L1476" s="114"/>
      <c r="M1476" s="114"/>
      <c r="N1476" s="114"/>
      <c r="U1476" s="823"/>
      <c r="V1476" s="895"/>
      <c r="W1476" s="823"/>
      <c r="X1476" s="346"/>
    </row>
    <row r="1477" spans="2:26" x14ac:dyDescent="0.2">
      <c r="B1477" s="231" t="s">
        <v>253</v>
      </c>
      <c r="C1477" s="231"/>
      <c r="D1477" s="231"/>
      <c r="E1477" s="114"/>
      <c r="F1477" s="114"/>
      <c r="G1477" s="121"/>
      <c r="H1477" s="230"/>
      <c r="I1477" s="114"/>
      <c r="J1477" s="114"/>
      <c r="K1477" s="114"/>
      <c r="L1477" s="114"/>
      <c r="M1477" s="114"/>
      <c r="N1477" s="114"/>
      <c r="U1477" s="824"/>
      <c r="V1477" s="896"/>
      <c r="W1477" s="824"/>
      <c r="X1477" s="346"/>
    </row>
    <row r="1478" spans="2:26" x14ac:dyDescent="0.2">
      <c r="B1478" s="231" t="s">
        <v>356</v>
      </c>
      <c r="C1478" s="231"/>
      <c r="D1478" s="231"/>
      <c r="E1478" s="114"/>
      <c r="F1478" s="114"/>
      <c r="G1478" s="121"/>
      <c r="H1478" s="122"/>
      <c r="I1478" s="114"/>
      <c r="J1478" s="114"/>
      <c r="K1478" s="114"/>
      <c r="L1478" s="114"/>
      <c r="M1478" s="114"/>
      <c r="N1478" s="114"/>
      <c r="U1478" s="825"/>
      <c r="V1478" s="330"/>
      <c r="W1478" s="825"/>
      <c r="X1478" s="346"/>
    </row>
    <row r="1479" spans="2:26" x14ac:dyDescent="0.2">
      <c r="B1479" s="229"/>
      <c r="C1479" s="229"/>
      <c r="D1479" s="229"/>
      <c r="E1479" s="114"/>
      <c r="F1479" s="114"/>
      <c r="G1479" s="121"/>
      <c r="H1479" s="122"/>
      <c r="I1479" s="114"/>
      <c r="J1479" s="114"/>
      <c r="K1479" s="114"/>
      <c r="L1479" s="114"/>
      <c r="M1479" s="114"/>
      <c r="N1479" s="114"/>
      <c r="U1479" s="825"/>
      <c r="V1479" s="330"/>
      <c r="W1479" s="330"/>
      <c r="X1479" s="346"/>
    </row>
    <row r="1480" spans="2:26" ht="18" x14ac:dyDescent="0.25">
      <c r="B1480" s="113" t="s">
        <v>458</v>
      </c>
      <c r="C1480" s="113"/>
      <c r="D1480" s="113"/>
      <c r="E1480" s="1008" t="s">
        <v>1713</v>
      </c>
      <c r="F1480" s="115"/>
      <c r="G1480" s="116">
        <f>+'[24]Integracion '!C1478</f>
        <v>0</v>
      </c>
      <c r="H1480" s="117" t="s">
        <v>179</v>
      </c>
      <c r="I1480" s="118">
        <v>2021</v>
      </c>
      <c r="J1480" s="119" t="s">
        <v>41</v>
      </c>
      <c r="K1480" s="119"/>
      <c r="L1480" s="114"/>
      <c r="M1480" s="114"/>
      <c r="N1480" s="114"/>
    </row>
    <row r="1481" spans="2:26" x14ac:dyDescent="0.2">
      <c r="B1481" s="120" t="s">
        <v>42</v>
      </c>
      <c r="C1481" s="120"/>
      <c r="D1481" s="120"/>
      <c r="E1481" s="114"/>
      <c r="F1481" s="114"/>
      <c r="G1481" s="121"/>
      <c r="H1481" s="122"/>
      <c r="I1481" s="114"/>
      <c r="J1481" s="123"/>
      <c r="K1481" s="123"/>
      <c r="L1481" s="114"/>
      <c r="M1481" s="114"/>
      <c r="N1481" s="114"/>
    </row>
    <row r="1482" spans="2:26" x14ac:dyDescent="0.2">
      <c r="B1482" s="124"/>
      <c r="C1482" s="124"/>
      <c r="D1482" s="124"/>
      <c r="E1482" s="124"/>
      <c r="F1482" s="124"/>
      <c r="G1482" s="124"/>
      <c r="H1482" s="124"/>
      <c r="I1482" s="124"/>
      <c r="J1482" s="124"/>
      <c r="K1482" s="124"/>
      <c r="L1482" s="124"/>
      <c r="M1482" s="124"/>
      <c r="N1482" s="124"/>
    </row>
    <row r="1483" spans="2:26" x14ac:dyDescent="0.2">
      <c r="B1483" s="124"/>
      <c r="C1483" s="124"/>
      <c r="D1483" s="124"/>
      <c r="E1483" s="124"/>
      <c r="F1483" s="124"/>
      <c r="G1483" s="124"/>
      <c r="H1483" s="124"/>
      <c r="I1483" s="124"/>
      <c r="J1483" s="117"/>
      <c r="K1483" s="117"/>
      <c r="L1483" s="117"/>
      <c r="M1483" s="117"/>
      <c r="N1483" s="124"/>
    </row>
    <row r="1484" spans="2:26" x14ac:dyDescent="0.2">
      <c r="B1484" s="125"/>
      <c r="C1484" s="126" t="s">
        <v>255</v>
      </c>
      <c r="D1484" s="127" t="s">
        <v>43</v>
      </c>
      <c r="E1484" s="127"/>
      <c r="F1484" s="127" t="s">
        <v>135</v>
      </c>
      <c r="G1484" s="127"/>
      <c r="H1484" s="128" t="s">
        <v>136</v>
      </c>
      <c r="I1484" s="129"/>
      <c r="J1484" s="129"/>
      <c r="K1484" s="129"/>
      <c r="L1484" s="146"/>
    </row>
    <row r="1485" spans="2:26" x14ac:dyDescent="0.2">
      <c r="B1485" s="130" t="s">
        <v>137</v>
      </c>
      <c r="C1485" s="131" t="s">
        <v>138</v>
      </c>
      <c r="D1485" s="131" t="s">
        <v>258</v>
      </c>
      <c r="E1485" s="131" t="s">
        <v>139</v>
      </c>
      <c r="F1485" s="131" t="s">
        <v>259</v>
      </c>
      <c r="G1485" s="131" t="s">
        <v>140</v>
      </c>
      <c r="H1485" s="132" t="s">
        <v>94</v>
      </c>
      <c r="I1485" s="129"/>
      <c r="J1485" s="132" t="s">
        <v>141</v>
      </c>
      <c r="K1485" s="129"/>
      <c r="L1485" s="147" t="s">
        <v>325</v>
      </c>
    </row>
    <row r="1486" spans="2:26" ht="14.25" x14ac:dyDescent="0.2">
      <c r="B1486" s="133"/>
      <c r="C1486" s="134"/>
      <c r="D1486" s="134"/>
      <c r="E1486" s="133"/>
      <c r="F1486" s="133"/>
      <c r="G1486" s="133"/>
      <c r="H1486" s="135" t="s">
        <v>326</v>
      </c>
      <c r="I1486" s="136" t="s">
        <v>327</v>
      </c>
      <c r="J1486" s="148" t="s">
        <v>328</v>
      </c>
      <c r="K1486" s="148" t="s">
        <v>89</v>
      </c>
      <c r="L1486" s="149" t="s">
        <v>94</v>
      </c>
      <c r="O1486" s="1206" t="s">
        <v>1037</v>
      </c>
      <c r="P1486" s="1206"/>
      <c r="Q1486" s="1206"/>
      <c r="R1486" s="1206"/>
      <c r="U1486" s="106" t="s">
        <v>465</v>
      </c>
      <c r="Y1486" s="97" t="s">
        <v>479</v>
      </c>
      <c r="Z1486" s="97" t="s">
        <v>340</v>
      </c>
    </row>
    <row r="1487" spans="2:26" x14ac:dyDescent="0.2">
      <c r="B1487" s="694">
        <v>44202</v>
      </c>
      <c r="C1487" s="138" t="s">
        <v>1700</v>
      </c>
      <c r="D1487" s="138" t="s">
        <v>459</v>
      </c>
      <c r="E1487" s="142" t="str">
        <f>+VLOOKUP(F1487,[24]bd!A:B,2,0)</f>
        <v>BANCO CUSCATLAN DE EL SALVADOR S.A.</v>
      </c>
      <c r="F1487" s="142" t="s">
        <v>90</v>
      </c>
      <c r="G1487" s="799">
        <v>0</v>
      </c>
      <c r="H1487" s="799">
        <v>0</v>
      </c>
      <c r="I1487" s="799">
        <v>0</v>
      </c>
      <c r="J1487" s="799">
        <v>110.75</v>
      </c>
      <c r="K1487" s="800">
        <v>14.4</v>
      </c>
      <c r="L1487" s="799">
        <f t="shared" ref="L1487:L1493" si="83">+J1487+K1487</f>
        <v>125.15</v>
      </c>
      <c r="M1487" s="245">
        <v>51000200002</v>
      </c>
      <c r="O1487" s="152" t="s">
        <v>147</v>
      </c>
      <c r="P1487" s="78">
        <v>51000000001</v>
      </c>
      <c r="Q1487" s="142" t="s">
        <v>460</v>
      </c>
      <c r="R1487" s="429">
        <f>SUMIFS($J$1487:$J$1502,$E$1487:$E$1502,Q1487,$M$1487:$M$1502,P1487)</f>
        <v>0</v>
      </c>
      <c r="T1487" s="97">
        <v>51000200001</v>
      </c>
      <c r="U1487" s="97" t="s">
        <v>382</v>
      </c>
      <c r="X1487" s="109">
        <v>-110.75</v>
      </c>
      <c r="Y1487" s="109">
        <f>R1490</f>
        <v>0</v>
      </c>
      <c r="Z1487" s="144">
        <v>0</v>
      </c>
    </row>
    <row r="1488" spans="2:26" x14ac:dyDescent="0.2">
      <c r="B1488" s="448">
        <v>44202</v>
      </c>
      <c r="C1488" s="138" t="s">
        <v>1701</v>
      </c>
      <c r="D1488" s="138" t="s">
        <v>459</v>
      </c>
      <c r="E1488" s="142" t="str">
        <f>+VLOOKUP(F1488,[24]bd!A:B,2,0)</f>
        <v>BANCO CUSCATLAN DE EL SALVADOR S.A.</v>
      </c>
      <c r="F1488" s="142" t="s">
        <v>90</v>
      </c>
      <c r="G1488" s="799">
        <v>0</v>
      </c>
      <c r="H1488" s="799">
        <v>0</v>
      </c>
      <c r="I1488" s="799">
        <v>0</v>
      </c>
      <c r="J1488" s="799">
        <v>110.75</v>
      </c>
      <c r="K1488" s="800">
        <v>14.4</v>
      </c>
      <c r="L1488" s="799">
        <f t="shared" si="83"/>
        <v>125.15</v>
      </c>
      <c r="M1488" s="245">
        <v>51000200001</v>
      </c>
      <c r="O1488" s="152" t="s">
        <v>147</v>
      </c>
      <c r="P1488" s="78">
        <v>51000000002</v>
      </c>
      <c r="Q1488" s="142" t="s">
        <v>460</v>
      </c>
      <c r="R1488" s="429">
        <f t="shared" ref="R1488:R1506" si="84">SUMIFS($J$1487:$J$1502,$E$1487:$E$1502,Q1488,$M$1487:$M$1502,P1488)</f>
        <v>0</v>
      </c>
      <c r="T1488" s="97">
        <v>51000200002</v>
      </c>
      <c r="U1488" s="97" t="s">
        <v>383</v>
      </c>
      <c r="X1488" s="109">
        <v>-110.75</v>
      </c>
      <c r="Y1488" s="109">
        <f>R1492</f>
        <v>0</v>
      </c>
      <c r="Z1488" s="144">
        <v>0</v>
      </c>
    </row>
    <row r="1489" spans="2:26" x14ac:dyDescent="0.2">
      <c r="B1489" s="448">
        <v>44208</v>
      </c>
      <c r="C1489" s="138" t="s">
        <v>1008</v>
      </c>
      <c r="D1489" s="138" t="s">
        <v>459</v>
      </c>
      <c r="E1489" s="142" t="str">
        <f>+VLOOKUP(F1489,[24]bd!A:B,2,0)</f>
        <v>BANCO CUSCATLAN DE EL SALVADOR S.A.</v>
      </c>
      <c r="F1489" s="142" t="s">
        <v>90</v>
      </c>
      <c r="G1489" s="799">
        <v>0</v>
      </c>
      <c r="H1489" s="799">
        <v>0</v>
      </c>
      <c r="I1489" s="799">
        <v>0</v>
      </c>
      <c r="J1489" s="799">
        <v>1267.58</v>
      </c>
      <c r="K1489" s="800">
        <v>164.79</v>
      </c>
      <c r="L1489" s="799">
        <f t="shared" si="83"/>
        <v>1432.37</v>
      </c>
      <c r="M1489" s="245">
        <v>51220200001</v>
      </c>
      <c r="O1489" s="152" t="s">
        <v>147</v>
      </c>
      <c r="P1489" s="78">
        <v>51000100001</v>
      </c>
      <c r="Q1489" s="142" t="s">
        <v>460</v>
      </c>
      <c r="R1489" s="429">
        <f t="shared" si="84"/>
        <v>0</v>
      </c>
      <c r="T1489" s="97">
        <v>51000100001</v>
      </c>
      <c r="U1489" s="109" t="s">
        <v>12</v>
      </c>
      <c r="X1489" s="97">
        <v>-1267.58</v>
      </c>
    </row>
    <row r="1490" spans="2:26" x14ac:dyDescent="0.2">
      <c r="B1490" s="448">
        <v>44208</v>
      </c>
      <c r="C1490" s="138" t="s">
        <v>1702</v>
      </c>
      <c r="D1490" s="138" t="s">
        <v>459</v>
      </c>
      <c r="E1490" s="142" t="str">
        <f>+VLOOKUP(F1490,[24]bd!A:B,2,0)</f>
        <v>BANCO CUSCATLAN DE EL SALVADOR S.A.</v>
      </c>
      <c r="F1490" s="142" t="s">
        <v>90</v>
      </c>
      <c r="G1490" s="799">
        <v>0</v>
      </c>
      <c r="H1490" s="799">
        <v>0</v>
      </c>
      <c r="I1490" s="799">
        <v>0</v>
      </c>
      <c r="J1490" s="799">
        <v>1265.82</v>
      </c>
      <c r="K1490" s="800">
        <v>164.56</v>
      </c>
      <c r="L1490" s="799">
        <f t="shared" si="83"/>
        <v>1430.3799999999999</v>
      </c>
      <c r="M1490" s="245">
        <v>51220200001</v>
      </c>
      <c r="O1490" s="152" t="s">
        <v>147</v>
      </c>
      <c r="P1490" s="78">
        <v>51000100001</v>
      </c>
      <c r="Q1490" s="142" t="s">
        <v>496</v>
      </c>
      <c r="R1490" s="429">
        <f t="shared" si="84"/>
        <v>0</v>
      </c>
      <c r="T1490" s="97">
        <v>51000100002</v>
      </c>
      <c r="U1490" s="109" t="s">
        <v>380</v>
      </c>
      <c r="X1490" s="97">
        <v>-1265.82</v>
      </c>
    </row>
    <row r="1491" spans="2:26" x14ac:dyDescent="0.2">
      <c r="B1491" s="448">
        <v>44221</v>
      </c>
      <c r="C1491" s="138" t="s">
        <v>1703</v>
      </c>
      <c r="D1491" s="138" t="s">
        <v>459</v>
      </c>
      <c r="E1491" s="217" t="str">
        <f>+VLOOKUP(F1491,[24]bd!A:B,2,0)</f>
        <v>CITIBANK, N.A. SUCURSAL EL SALVADOR</v>
      </c>
      <c r="F1491" s="217" t="s">
        <v>329</v>
      </c>
      <c r="G1491" s="802">
        <v>0</v>
      </c>
      <c r="H1491" s="802">
        <v>0</v>
      </c>
      <c r="I1491" s="802">
        <v>0</v>
      </c>
      <c r="J1491" s="802">
        <v>501.64</v>
      </c>
      <c r="K1491" s="336">
        <v>65.209999999999994</v>
      </c>
      <c r="L1491" s="802">
        <f t="shared" si="83"/>
        <v>566.85</v>
      </c>
      <c r="O1491" s="152" t="s">
        <v>147</v>
      </c>
      <c r="P1491" s="78">
        <v>51000100002</v>
      </c>
      <c r="Q1491" s="142" t="s">
        <v>460</v>
      </c>
      <c r="R1491" s="429">
        <f t="shared" si="84"/>
        <v>0</v>
      </c>
      <c r="T1491" s="97">
        <v>51220200001</v>
      </c>
      <c r="U1491" s="97" t="s">
        <v>55</v>
      </c>
      <c r="X1491" s="109">
        <v>-4751.78</v>
      </c>
      <c r="Y1491" s="109">
        <f>R1499+R1506</f>
        <v>6755.9599999999991</v>
      </c>
      <c r="Z1491" s="144">
        <f>X1492+Y1491</f>
        <v>6755.9599999999991</v>
      </c>
    </row>
    <row r="1492" spans="2:26" x14ac:dyDescent="0.2">
      <c r="B1492" s="448">
        <v>44221</v>
      </c>
      <c r="C1492" s="138" t="s">
        <v>1704</v>
      </c>
      <c r="D1492" s="138" t="s">
        <v>459</v>
      </c>
      <c r="E1492" s="142" t="str">
        <f>+VLOOKUP(F1492,[24]bd!A:B,2,0)</f>
        <v>INVERSIONES FINANCIERAS IMPERIA CUSCATLAN, SA</v>
      </c>
      <c r="F1492" s="142" t="s">
        <v>497</v>
      </c>
      <c r="G1492" s="799">
        <v>0</v>
      </c>
      <c r="H1492" s="799">
        <v>0</v>
      </c>
      <c r="I1492" s="799">
        <v>0</v>
      </c>
      <c r="J1492" s="799">
        <v>368.33</v>
      </c>
      <c r="K1492" s="800">
        <v>47.88</v>
      </c>
      <c r="L1492" s="799">
        <f t="shared" si="83"/>
        <v>416.21</v>
      </c>
      <c r="M1492" s="245">
        <v>51220200001</v>
      </c>
      <c r="O1492" s="152" t="s">
        <v>147</v>
      </c>
      <c r="P1492" s="78">
        <v>51000100002</v>
      </c>
      <c r="Q1492" s="142" t="s">
        <v>496</v>
      </c>
      <c r="R1492" s="429">
        <f t="shared" si="84"/>
        <v>0</v>
      </c>
      <c r="T1492" s="195">
        <v>52200000001</v>
      </c>
      <c r="U1492" s="195" t="s">
        <v>33</v>
      </c>
      <c r="V1492" s="195"/>
      <c r="W1492" s="195"/>
      <c r="X1492" s="109"/>
      <c r="Y1492" s="109">
        <v>0</v>
      </c>
      <c r="Z1492" s="144">
        <v>0</v>
      </c>
    </row>
    <row r="1493" spans="2:26" x14ac:dyDescent="0.2">
      <c r="B1493" s="448">
        <v>44221</v>
      </c>
      <c r="C1493" s="138" t="s">
        <v>1705</v>
      </c>
      <c r="D1493" s="138" t="s">
        <v>459</v>
      </c>
      <c r="E1493" s="142" t="str">
        <f>+VLOOKUP(F1493,[24]bd!A:B,2,0)</f>
        <v>BANCO CUSCATLAN DE EL SALVADOR S.A.</v>
      </c>
      <c r="F1493" s="142" t="s">
        <v>90</v>
      </c>
      <c r="G1493" s="799">
        <v>0</v>
      </c>
      <c r="H1493" s="799">
        <v>0</v>
      </c>
      <c r="I1493" s="799">
        <v>0</v>
      </c>
      <c r="J1493" s="799">
        <v>3854.23</v>
      </c>
      <c r="K1493" s="800">
        <v>501.05</v>
      </c>
      <c r="L1493" s="799">
        <f t="shared" si="83"/>
        <v>4355.28</v>
      </c>
      <c r="M1493" s="245">
        <v>51220200001</v>
      </c>
      <c r="O1493" s="152" t="s">
        <v>147</v>
      </c>
      <c r="P1493" s="227">
        <v>51000200001</v>
      </c>
      <c r="Q1493" s="217" t="s">
        <v>460</v>
      </c>
      <c r="R1493" s="429">
        <f t="shared" si="84"/>
        <v>110.75</v>
      </c>
      <c r="T1493" s="97">
        <v>51000000001</v>
      </c>
      <c r="U1493" s="97" t="s">
        <v>132</v>
      </c>
      <c r="X1493" s="109"/>
    </row>
    <row r="1494" spans="2:26" x14ac:dyDescent="0.2">
      <c r="B1494" s="448">
        <v>44197</v>
      </c>
      <c r="C1494" s="138" t="s">
        <v>1706</v>
      </c>
      <c r="D1494" s="138" t="s">
        <v>459</v>
      </c>
      <c r="E1494" s="142" t="s">
        <v>482</v>
      </c>
      <c r="F1494" s="142"/>
      <c r="G1494" s="799">
        <v>0</v>
      </c>
      <c r="H1494" s="799">
        <v>0</v>
      </c>
      <c r="I1494" s="799">
        <v>0</v>
      </c>
      <c r="J1494" s="799">
        <v>0</v>
      </c>
      <c r="K1494" s="800">
        <v>0</v>
      </c>
      <c r="L1494" s="799">
        <v>0</v>
      </c>
      <c r="O1494" s="152" t="s">
        <v>147</v>
      </c>
      <c r="P1494" s="78">
        <v>51000200001</v>
      </c>
      <c r="Q1494" s="142" t="s">
        <v>351</v>
      </c>
      <c r="R1494" s="429">
        <f t="shared" si="84"/>
        <v>0</v>
      </c>
      <c r="T1494" s="97">
        <v>51000000002</v>
      </c>
      <c r="U1494" s="97" t="s">
        <v>10</v>
      </c>
      <c r="X1494" s="109"/>
    </row>
    <row r="1495" spans="2:26" x14ac:dyDescent="0.2">
      <c r="B1495" s="448"/>
      <c r="C1495" s="138"/>
      <c r="D1495" s="138"/>
      <c r="E1495" s="142"/>
      <c r="F1495" s="142"/>
      <c r="G1495" s="799"/>
      <c r="H1495" s="799"/>
      <c r="I1495" s="799"/>
      <c r="J1495" s="799"/>
      <c r="K1495" s="800"/>
      <c r="L1495" s="799"/>
      <c r="O1495" s="152" t="s">
        <v>147</v>
      </c>
      <c r="P1495" s="78">
        <v>51000200001</v>
      </c>
      <c r="Q1495" s="142" t="s">
        <v>56</v>
      </c>
      <c r="R1495" s="429">
        <f t="shared" si="84"/>
        <v>0</v>
      </c>
      <c r="T1495" s="97">
        <v>53000100001</v>
      </c>
      <c r="U1495" s="97" t="s">
        <v>134</v>
      </c>
      <c r="X1495" s="198"/>
      <c r="Y1495" s="109">
        <v>0</v>
      </c>
      <c r="Z1495" s="144">
        <v>0</v>
      </c>
    </row>
    <row r="1496" spans="2:26" x14ac:dyDescent="0.2">
      <c r="B1496" s="448"/>
      <c r="C1496" s="138"/>
      <c r="D1496" s="138"/>
      <c r="E1496" s="142"/>
      <c r="F1496" s="142"/>
      <c r="G1496" s="799"/>
      <c r="H1496" s="799"/>
      <c r="I1496" s="799"/>
      <c r="J1496" s="799"/>
      <c r="K1496" s="800"/>
      <c r="L1496" s="799"/>
      <c r="O1496" s="152" t="s">
        <v>147</v>
      </c>
      <c r="P1496" s="227">
        <v>51000200002</v>
      </c>
      <c r="Q1496" s="217" t="s">
        <v>460</v>
      </c>
      <c r="R1496" s="429">
        <f t="shared" si="84"/>
        <v>110.75</v>
      </c>
      <c r="X1496" s="171">
        <v>0</v>
      </c>
      <c r="Y1496" s="171"/>
      <c r="Z1496" s="167">
        <v>0</v>
      </c>
    </row>
    <row r="1497" spans="2:26" x14ac:dyDescent="0.2">
      <c r="B1497" s="448"/>
      <c r="C1497" s="138"/>
      <c r="D1497" s="138"/>
      <c r="E1497" s="142"/>
      <c r="F1497" s="142"/>
      <c r="G1497" s="799"/>
      <c r="H1497" s="799"/>
      <c r="I1497" s="799"/>
      <c r="J1497" s="799"/>
      <c r="K1497" s="800"/>
      <c r="L1497" s="799"/>
      <c r="O1497" s="152" t="s">
        <v>147</v>
      </c>
      <c r="P1497" s="78">
        <v>51000200002</v>
      </c>
      <c r="Q1497" s="142" t="s">
        <v>351</v>
      </c>
      <c r="R1497" s="429">
        <f t="shared" si="84"/>
        <v>0</v>
      </c>
      <c r="X1497" s="158">
        <f>SUM(X1487:X1495)</f>
        <v>-7506.6799999999994</v>
      </c>
      <c r="Y1497" s="158">
        <f>SUM(Y1487:Y1496)</f>
        <v>6755.9599999999991</v>
      </c>
      <c r="Z1497" s="158">
        <f>SUM(Z1487:Z1496)</f>
        <v>6755.9599999999991</v>
      </c>
    </row>
    <row r="1498" spans="2:26" x14ac:dyDescent="0.2">
      <c r="B1498" s="141"/>
      <c r="C1498" s="138"/>
      <c r="D1498" s="138"/>
      <c r="E1498" s="142"/>
      <c r="F1498" s="142"/>
      <c r="G1498" s="799"/>
      <c r="H1498" s="799"/>
      <c r="I1498" s="799"/>
      <c r="J1498" s="799"/>
      <c r="K1498" s="800"/>
      <c r="L1498" s="799"/>
      <c r="O1498" s="152" t="s">
        <v>147</v>
      </c>
      <c r="P1498" s="78">
        <v>51000200002</v>
      </c>
      <c r="Q1498" s="142" t="s">
        <v>56</v>
      </c>
      <c r="R1498" s="429">
        <f t="shared" si="84"/>
        <v>0</v>
      </c>
      <c r="U1498" s="109"/>
      <c r="Z1498" s="144"/>
    </row>
    <row r="1499" spans="2:26" x14ac:dyDescent="0.2">
      <c r="B1499" s="141"/>
      <c r="C1499" s="138"/>
      <c r="D1499" s="138"/>
      <c r="E1499" s="142"/>
      <c r="F1499" s="142"/>
      <c r="G1499" s="799"/>
      <c r="H1499" s="799"/>
      <c r="I1499" s="799"/>
      <c r="J1499" s="799"/>
      <c r="K1499" s="800"/>
      <c r="L1499" s="799"/>
      <c r="O1499" s="152" t="s">
        <v>147</v>
      </c>
      <c r="P1499" s="227">
        <v>51220200001</v>
      </c>
      <c r="Q1499" s="217" t="s">
        <v>460</v>
      </c>
      <c r="R1499" s="429">
        <f t="shared" si="84"/>
        <v>6387.6299999999992</v>
      </c>
      <c r="U1499" s="109"/>
    </row>
    <row r="1500" spans="2:26" x14ac:dyDescent="0.2">
      <c r="B1500" s="141"/>
      <c r="C1500" s="138" t="s">
        <v>50</v>
      </c>
      <c r="D1500" s="138"/>
      <c r="E1500" s="142" t="s">
        <v>537</v>
      </c>
      <c r="F1500" s="114"/>
      <c r="G1500" s="237"/>
      <c r="H1500" s="237"/>
      <c r="I1500" s="237"/>
      <c r="J1500" s="237"/>
      <c r="K1500" s="945">
        <v>-850.26</v>
      </c>
      <c r="L1500" s="799"/>
      <c r="O1500" s="152" t="s">
        <v>147</v>
      </c>
      <c r="P1500" s="78">
        <v>51220200001</v>
      </c>
      <c r="Q1500" s="142" t="s">
        <v>351</v>
      </c>
      <c r="R1500" s="429">
        <f t="shared" si="84"/>
        <v>0</v>
      </c>
    </row>
    <row r="1501" spans="2:26" x14ac:dyDescent="0.2">
      <c r="B1501" s="141"/>
      <c r="C1501" s="138"/>
      <c r="D1501" s="138"/>
      <c r="E1501" s="142"/>
      <c r="F1501" s="114"/>
      <c r="G1501" s="237"/>
      <c r="H1501" s="237"/>
      <c r="I1501" s="237"/>
      <c r="J1501" s="237"/>
      <c r="K1501" s="800"/>
      <c r="L1501" s="799"/>
      <c r="O1501" s="152" t="s">
        <v>147</v>
      </c>
      <c r="P1501" s="78">
        <v>51220200001</v>
      </c>
      <c r="Q1501" s="142" t="s">
        <v>56</v>
      </c>
      <c r="R1501" s="429">
        <f t="shared" si="84"/>
        <v>0</v>
      </c>
      <c r="Y1501" s="439"/>
    </row>
    <row r="1502" spans="2:26" x14ac:dyDescent="0.2">
      <c r="B1502" s="163"/>
      <c r="C1502" s="164"/>
      <c r="D1502" s="164"/>
      <c r="E1502" s="946"/>
      <c r="F1502" s="163"/>
      <c r="G1502" s="947"/>
      <c r="H1502" s="947"/>
      <c r="I1502" s="947"/>
      <c r="J1502" s="947"/>
      <c r="K1502" s="947"/>
      <c r="L1502" s="947"/>
      <c r="O1502" s="152" t="s">
        <v>147</v>
      </c>
      <c r="P1502" s="78">
        <v>52200000001</v>
      </c>
      <c r="Q1502" s="142" t="s">
        <v>460</v>
      </c>
      <c r="R1502" s="429">
        <f t="shared" si="84"/>
        <v>0</v>
      </c>
      <c r="W1502" s="106" t="s">
        <v>478</v>
      </c>
      <c r="X1502" s="144">
        <f>+X1487+X1488+X1489+X1490+X1491+X1493+X1494</f>
        <v>-7506.6799999999994</v>
      </c>
    </row>
    <row r="1503" spans="2:26" x14ac:dyDescent="0.2">
      <c r="B1503" s="114"/>
      <c r="C1503" s="115"/>
      <c r="D1503" s="115"/>
      <c r="E1503" s="114"/>
      <c r="F1503" s="114"/>
      <c r="G1503" s="948">
        <f t="shared" ref="G1503:L1503" si="85">SUM(G1487:G1502)</f>
        <v>0</v>
      </c>
      <c r="H1503" s="948">
        <f t="shared" si="85"/>
        <v>0</v>
      </c>
      <c r="I1503" s="948">
        <f t="shared" si="85"/>
        <v>0</v>
      </c>
      <c r="J1503" s="948">
        <f t="shared" si="85"/>
        <v>7479.0999999999995</v>
      </c>
      <c r="K1503" s="948">
        <f t="shared" si="85"/>
        <v>122.02999999999997</v>
      </c>
      <c r="L1503" s="948">
        <f t="shared" si="85"/>
        <v>8451.39</v>
      </c>
      <c r="O1503" s="152" t="s">
        <v>147</v>
      </c>
      <c r="P1503" s="78">
        <v>52200000001</v>
      </c>
      <c r="Q1503" s="142" t="s">
        <v>351</v>
      </c>
      <c r="R1503" s="429">
        <f t="shared" si="84"/>
        <v>0</v>
      </c>
      <c r="W1503" s="97" t="s">
        <v>480</v>
      </c>
      <c r="X1503" s="144">
        <f>+R1507</f>
        <v>6977.4599999999991</v>
      </c>
    </row>
    <row r="1504" spans="2:26" x14ac:dyDescent="0.2">
      <c r="C1504" s="95"/>
      <c r="D1504" s="95"/>
      <c r="K1504" s="96"/>
      <c r="L1504" s="96"/>
      <c r="O1504" s="152" t="s">
        <v>147</v>
      </c>
      <c r="P1504" s="78">
        <v>52200000001</v>
      </c>
      <c r="Q1504" s="142" t="s">
        <v>56</v>
      </c>
      <c r="R1504" s="429">
        <f t="shared" si="84"/>
        <v>0</v>
      </c>
      <c r="W1504" s="97" t="s">
        <v>486</v>
      </c>
      <c r="X1504" s="167">
        <f>J1491</f>
        <v>501.64</v>
      </c>
    </row>
    <row r="1505" spans="2:25" x14ac:dyDescent="0.2">
      <c r="O1505" s="152" t="s">
        <v>147</v>
      </c>
      <c r="P1505" s="78">
        <v>52200000001</v>
      </c>
      <c r="Q1505" s="142" t="s">
        <v>460</v>
      </c>
      <c r="R1505" s="429">
        <f t="shared" si="84"/>
        <v>0</v>
      </c>
      <c r="X1505" s="324">
        <f>X1502+X1503+X1504</f>
        <v>-27.580000000000268</v>
      </c>
      <c r="Y1505" s="97" t="s">
        <v>500</v>
      </c>
    </row>
    <row r="1506" spans="2:25" x14ac:dyDescent="0.2">
      <c r="O1506" s="152" t="s">
        <v>147</v>
      </c>
      <c r="P1506" s="227">
        <v>51220200001</v>
      </c>
      <c r="Q1506" s="217" t="s">
        <v>496</v>
      </c>
      <c r="R1506" s="429">
        <f t="shared" si="84"/>
        <v>368.33</v>
      </c>
    </row>
    <row r="1507" spans="2:25" ht="13.5" thickBot="1" x14ac:dyDescent="0.25">
      <c r="R1507" s="244">
        <f>SUM(R1487:R1506)</f>
        <v>6977.4599999999991</v>
      </c>
    </row>
    <row r="1508" spans="2:25" ht="13.5" thickTop="1" x14ac:dyDescent="0.2"/>
    <row r="1511" spans="2:25" x14ac:dyDescent="0.2">
      <c r="B1511" s="951" t="s">
        <v>355</v>
      </c>
      <c r="C1511" s="951"/>
      <c r="D1511" s="951"/>
      <c r="E1511" s="950"/>
      <c r="F1511" s="950"/>
      <c r="G1511" s="952"/>
      <c r="H1511" s="953"/>
      <c r="I1511" s="949"/>
      <c r="J1511" s="949"/>
      <c r="K1511" s="949"/>
      <c r="L1511" s="949"/>
      <c r="M1511" s="949"/>
      <c r="N1511" s="949"/>
    </row>
    <row r="1512" spans="2:25" x14ac:dyDescent="0.2">
      <c r="B1512" s="954" t="s">
        <v>252</v>
      </c>
      <c r="C1512" s="954"/>
      <c r="D1512" s="954"/>
      <c r="E1512" s="950"/>
      <c r="F1512" s="950"/>
      <c r="G1512" s="954"/>
      <c r="H1512" s="953"/>
      <c r="I1512" s="949"/>
      <c r="J1512" s="949"/>
      <c r="K1512" s="949"/>
      <c r="L1512" s="949"/>
      <c r="M1512" s="949"/>
      <c r="N1512" s="949"/>
    </row>
    <row r="1513" spans="2:25" x14ac:dyDescent="0.2">
      <c r="B1513" s="955" t="s">
        <v>253</v>
      </c>
      <c r="C1513" s="955"/>
      <c r="D1513" s="955"/>
      <c r="E1513" s="950"/>
      <c r="F1513" s="950"/>
      <c r="G1513" s="952"/>
      <c r="H1513" s="956"/>
      <c r="I1513" s="949"/>
      <c r="J1513" s="949"/>
      <c r="K1513" s="949"/>
      <c r="L1513" s="949"/>
      <c r="M1513" s="949"/>
      <c r="N1513" s="949"/>
    </row>
    <row r="1514" spans="2:25" x14ac:dyDescent="0.2">
      <c r="B1514" s="955" t="s">
        <v>356</v>
      </c>
      <c r="C1514" s="955"/>
      <c r="D1514" s="955"/>
      <c r="E1514" s="950"/>
      <c r="F1514" s="950"/>
      <c r="G1514" s="952"/>
      <c r="H1514" s="953"/>
      <c r="I1514" s="949"/>
      <c r="J1514" s="949"/>
      <c r="K1514" s="949"/>
      <c r="L1514" s="949"/>
      <c r="M1514" s="949"/>
      <c r="N1514" s="949"/>
    </row>
    <row r="1515" spans="2:25" x14ac:dyDescent="0.2">
      <c r="B1515" s="957"/>
      <c r="C1515" s="957"/>
      <c r="D1515" s="957"/>
      <c r="E1515" s="950"/>
      <c r="F1515" s="950"/>
      <c r="G1515" s="952"/>
      <c r="H1515" s="953"/>
      <c r="I1515" s="949"/>
      <c r="J1515" s="949"/>
      <c r="K1515" s="949"/>
      <c r="L1515" s="949"/>
      <c r="M1515" s="949"/>
      <c r="N1515" s="949"/>
    </row>
    <row r="1516" spans="2:25" ht="18" x14ac:dyDescent="0.25">
      <c r="B1516" s="958" t="s">
        <v>458</v>
      </c>
      <c r="C1516" s="958"/>
      <c r="D1516" s="958"/>
      <c r="E1516" s="1008" t="s">
        <v>1712</v>
      </c>
      <c r="F1516" s="949"/>
      <c r="G1516" s="960">
        <v>44255</v>
      </c>
      <c r="H1516" s="961" t="s">
        <v>179</v>
      </c>
      <c r="I1516" s="962"/>
      <c r="J1516" s="963" t="s">
        <v>41</v>
      </c>
      <c r="K1516" s="963"/>
      <c r="L1516" s="949"/>
      <c r="M1516" s="949"/>
      <c r="N1516" s="949"/>
    </row>
    <row r="1517" spans="2:25" x14ac:dyDescent="0.2">
      <c r="B1517" s="964" t="s">
        <v>42</v>
      </c>
      <c r="C1517" s="964"/>
      <c r="D1517" s="964"/>
      <c r="E1517" s="950"/>
      <c r="F1517" s="950"/>
      <c r="G1517" s="952"/>
      <c r="H1517" s="953"/>
      <c r="I1517" s="949"/>
      <c r="J1517" s="965"/>
      <c r="K1517" s="965"/>
      <c r="L1517" s="949"/>
      <c r="M1517" s="949"/>
      <c r="N1517" s="949"/>
    </row>
    <row r="1518" spans="2:25" x14ac:dyDescent="0.2">
      <c r="B1518" s="966"/>
      <c r="C1518" s="966"/>
      <c r="D1518" s="966"/>
      <c r="E1518" s="966"/>
      <c r="F1518" s="966"/>
      <c r="G1518" s="966"/>
      <c r="H1518" s="966"/>
      <c r="I1518" s="966"/>
      <c r="J1518" s="966"/>
      <c r="K1518" s="966"/>
      <c r="L1518" s="966"/>
      <c r="M1518" s="966"/>
      <c r="N1518" s="966"/>
    </row>
    <row r="1519" spans="2:25" x14ac:dyDescent="0.2">
      <c r="B1519" s="966"/>
      <c r="C1519" s="966"/>
      <c r="D1519" s="966"/>
      <c r="E1519" s="966"/>
      <c r="F1519" s="966"/>
      <c r="G1519" s="966"/>
      <c r="H1519" s="966"/>
      <c r="I1519" s="966"/>
      <c r="J1519" s="961"/>
      <c r="K1519" s="961"/>
      <c r="L1519" s="961"/>
      <c r="M1519" s="961"/>
      <c r="N1519" s="966"/>
    </row>
    <row r="1520" spans="2:25" x14ac:dyDescent="0.2">
      <c r="B1520" s="967"/>
      <c r="C1520" s="968" t="s">
        <v>255</v>
      </c>
      <c r="D1520" s="969" t="s">
        <v>43</v>
      </c>
      <c r="E1520" s="969"/>
      <c r="F1520" s="969" t="s">
        <v>135</v>
      </c>
      <c r="G1520" s="969"/>
      <c r="H1520" s="970" t="s">
        <v>136</v>
      </c>
      <c r="I1520" s="971"/>
      <c r="J1520" s="971"/>
      <c r="K1520" s="971"/>
      <c r="L1520" s="987"/>
    </row>
    <row r="1521" spans="2:26" x14ac:dyDescent="0.2">
      <c r="B1521" s="972" t="s">
        <v>137</v>
      </c>
      <c r="C1521" s="973" t="s">
        <v>138</v>
      </c>
      <c r="D1521" s="973" t="s">
        <v>258</v>
      </c>
      <c r="E1521" s="973" t="s">
        <v>139</v>
      </c>
      <c r="F1521" s="973" t="s">
        <v>259</v>
      </c>
      <c r="G1521" s="973" t="s">
        <v>140</v>
      </c>
      <c r="H1521" s="974" t="s">
        <v>94</v>
      </c>
      <c r="I1521" s="971"/>
      <c r="J1521" s="974" t="s">
        <v>141</v>
      </c>
      <c r="K1521" s="971"/>
      <c r="L1521" s="988" t="s">
        <v>325</v>
      </c>
    </row>
    <row r="1522" spans="2:26" x14ac:dyDescent="0.2">
      <c r="B1522" s="975"/>
      <c r="C1522" s="976"/>
      <c r="D1522" s="976"/>
      <c r="E1522" s="975"/>
      <c r="F1522" s="975"/>
      <c r="G1522" s="975"/>
      <c r="H1522" s="977" t="s">
        <v>326</v>
      </c>
      <c r="I1522" s="978" t="s">
        <v>327</v>
      </c>
      <c r="J1522" s="986" t="s">
        <v>328</v>
      </c>
      <c r="K1522" s="986" t="s">
        <v>89</v>
      </c>
      <c r="L1522" s="989" t="s">
        <v>94</v>
      </c>
    </row>
    <row r="1523" spans="2:26" ht="14.25" x14ac:dyDescent="0.2">
      <c r="B1523" s="999">
        <v>44250</v>
      </c>
      <c r="C1523" s="1000" t="s">
        <v>1707</v>
      </c>
      <c r="D1523" s="1000" t="s">
        <v>459</v>
      </c>
      <c r="E1523" s="1001" t="s">
        <v>539</v>
      </c>
      <c r="F1523" s="1001" t="s">
        <v>329</v>
      </c>
      <c r="G1523" s="1002">
        <v>0</v>
      </c>
      <c r="H1523" s="1002">
        <v>0</v>
      </c>
      <c r="I1523" s="1002">
        <v>0</v>
      </c>
      <c r="J1523" s="1002">
        <v>150</v>
      </c>
      <c r="K1523" s="1003">
        <v>19.5</v>
      </c>
      <c r="L1523" s="1002">
        <v>169.5</v>
      </c>
      <c r="O1523" s="1206" t="s">
        <v>1037</v>
      </c>
      <c r="P1523" s="1206"/>
      <c r="Q1523" s="1206"/>
      <c r="R1523" s="1206"/>
      <c r="U1523" s="106" t="s">
        <v>465</v>
      </c>
      <c r="Y1523" s="97" t="s">
        <v>479</v>
      </c>
      <c r="Z1523" s="97" t="s">
        <v>340</v>
      </c>
    </row>
    <row r="1524" spans="2:26" x14ac:dyDescent="0.2">
      <c r="B1524" s="990">
        <v>44250</v>
      </c>
      <c r="C1524" s="979" t="s">
        <v>1708</v>
      </c>
      <c r="D1524" s="979" t="s">
        <v>459</v>
      </c>
      <c r="E1524" s="981" t="s">
        <v>460</v>
      </c>
      <c r="F1524" s="981" t="s">
        <v>90</v>
      </c>
      <c r="G1524" s="991">
        <v>0</v>
      </c>
      <c r="H1524" s="991">
        <v>0</v>
      </c>
      <c r="I1524" s="991">
        <v>0</v>
      </c>
      <c r="J1524" s="991">
        <v>3958.08</v>
      </c>
      <c r="K1524" s="992">
        <v>514.54999999999995</v>
      </c>
      <c r="L1524" s="991">
        <v>4472.63</v>
      </c>
      <c r="M1524" s="245">
        <v>51220200001</v>
      </c>
      <c r="O1524" s="152" t="s">
        <v>148</v>
      </c>
      <c r="P1524" s="78">
        <v>51000000001</v>
      </c>
      <c r="Q1524" s="142" t="s">
        <v>460</v>
      </c>
      <c r="R1524" s="429">
        <f>SUMIFS($J$1524:$J$1525,$E$1524:$E$1525,Q1524,$M$1524:$M$1525,P1524)</f>
        <v>0</v>
      </c>
      <c r="T1524" s="97">
        <v>51000200001</v>
      </c>
      <c r="U1524" s="97" t="s">
        <v>382</v>
      </c>
      <c r="X1524" s="109"/>
      <c r="Y1524" s="109">
        <f>R1527</f>
        <v>0</v>
      </c>
      <c r="Z1524" s="144">
        <v>0</v>
      </c>
    </row>
    <row r="1525" spans="2:26" x14ac:dyDescent="0.2">
      <c r="B1525" s="990">
        <v>44250</v>
      </c>
      <c r="C1525" s="979" t="s">
        <v>1709</v>
      </c>
      <c r="D1525" s="979" t="s">
        <v>459</v>
      </c>
      <c r="E1525" s="981" t="s">
        <v>496</v>
      </c>
      <c r="F1525" s="981" t="s">
        <v>497</v>
      </c>
      <c r="G1525" s="991">
        <v>0</v>
      </c>
      <c r="H1525" s="991">
        <v>0</v>
      </c>
      <c r="I1525" s="991">
        <v>0</v>
      </c>
      <c r="J1525" s="991">
        <v>468.33</v>
      </c>
      <c r="K1525" s="992">
        <v>60.88</v>
      </c>
      <c r="L1525" s="991">
        <v>529.21</v>
      </c>
      <c r="M1525" s="245">
        <v>51220200001</v>
      </c>
      <c r="O1525" s="152" t="s">
        <v>148</v>
      </c>
      <c r="P1525" s="78">
        <v>51000000002</v>
      </c>
      <c r="Q1525" s="142" t="s">
        <v>460</v>
      </c>
      <c r="R1525" s="429">
        <f t="shared" ref="R1525:R1543" si="86">SUMIFS($J$1524:$J$1525,$E$1524:$E$1525,Q1525,$M$1524:$M$1525,P1525)</f>
        <v>0</v>
      </c>
      <c r="T1525" s="97">
        <v>51000200002</v>
      </c>
      <c r="U1525" s="97" t="s">
        <v>383</v>
      </c>
      <c r="X1525" s="109"/>
      <c r="Y1525" s="109">
        <f>R1529</f>
        <v>0</v>
      </c>
      <c r="Z1525" s="144">
        <v>0</v>
      </c>
    </row>
    <row r="1526" spans="2:26" x14ac:dyDescent="0.2">
      <c r="B1526" s="990">
        <v>44250</v>
      </c>
      <c r="C1526" s="979" t="s">
        <v>1710</v>
      </c>
      <c r="D1526" s="979" t="s">
        <v>459</v>
      </c>
      <c r="E1526" s="981" t="s">
        <v>482</v>
      </c>
      <c r="F1526" s="998">
        <v>0</v>
      </c>
      <c r="G1526" s="991">
        <v>0</v>
      </c>
      <c r="H1526" s="991">
        <v>0</v>
      </c>
      <c r="I1526" s="991">
        <v>0</v>
      </c>
      <c r="J1526" s="991">
        <v>0</v>
      </c>
      <c r="K1526" s="992">
        <v>0</v>
      </c>
      <c r="L1526" s="991">
        <v>0</v>
      </c>
      <c r="O1526" s="152" t="s">
        <v>148</v>
      </c>
      <c r="P1526" s="78">
        <v>51000100001</v>
      </c>
      <c r="Q1526" s="142" t="s">
        <v>460</v>
      </c>
      <c r="R1526" s="429">
        <f t="shared" si="86"/>
        <v>0</v>
      </c>
      <c r="T1526" s="97">
        <v>51000100001</v>
      </c>
      <c r="U1526" s="109" t="s">
        <v>12</v>
      </c>
    </row>
    <row r="1527" spans="2:26" x14ac:dyDescent="0.2">
      <c r="B1527" s="990">
        <v>44250</v>
      </c>
      <c r="C1527" s="979" t="s">
        <v>1711</v>
      </c>
      <c r="D1527" s="979" t="s">
        <v>459</v>
      </c>
      <c r="E1527" s="981" t="s">
        <v>482</v>
      </c>
      <c r="F1527" s="998">
        <v>0</v>
      </c>
      <c r="G1527" s="991">
        <v>0</v>
      </c>
      <c r="H1527" s="991">
        <v>0</v>
      </c>
      <c r="I1527" s="991">
        <v>0</v>
      </c>
      <c r="J1527" s="991">
        <v>0</v>
      </c>
      <c r="K1527" s="992">
        <v>0</v>
      </c>
      <c r="L1527" s="991">
        <v>0</v>
      </c>
      <c r="O1527" s="152" t="s">
        <v>148</v>
      </c>
      <c r="P1527" s="78">
        <v>51000100001</v>
      </c>
      <c r="Q1527" s="142" t="s">
        <v>496</v>
      </c>
      <c r="R1527" s="429">
        <f t="shared" si="86"/>
        <v>0</v>
      </c>
      <c r="T1527" s="97">
        <v>51000100002</v>
      </c>
      <c r="U1527" s="109" t="s">
        <v>380</v>
      </c>
    </row>
    <row r="1528" spans="2:26" x14ac:dyDescent="0.2">
      <c r="B1528" s="990"/>
      <c r="C1528" s="979"/>
      <c r="D1528" s="979"/>
      <c r="E1528" s="981"/>
      <c r="F1528" s="981"/>
      <c r="G1528" s="991"/>
      <c r="H1528" s="991"/>
      <c r="I1528" s="991"/>
      <c r="J1528" s="991"/>
      <c r="K1528" s="992"/>
      <c r="L1528" s="991"/>
      <c r="O1528" s="152" t="s">
        <v>148</v>
      </c>
      <c r="P1528" s="78">
        <v>51000100002</v>
      </c>
      <c r="Q1528" s="142" t="s">
        <v>460</v>
      </c>
      <c r="R1528" s="429">
        <f t="shared" si="86"/>
        <v>0</v>
      </c>
      <c r="T1528" s="97">
        <v>51220200001</v>
      </c>
      <c r="U1528" s="97" t="s">
        <v>55</v>
      </c>
      <c r="X1528" s="109">
        <v>-4587.9399999999996</v>
      </c>
      <c r="Y1528" s="109">
        <f>R1536+R1543</f>
        <v>4426.41</v>
      </c>
      <c r="Z1528" s="144">
        <f>X1529+Y1528</f>
        <v>4426.41</v>
      </c>
    </row>
    <row r="1529" spans="2:26" x14ac:dyDescent="0.2">
      <c r="B1529" s="990"/>
      <c r="C1529" s="979"/>
      <c r="D1529" s="979"/>
      <c r="E1529" s="981"/>
      <c r="F1529" s="981"/>
      <c r="G1529" s="991"/>
      <c r="H1529" s="991"/>
      <c r="I1529" s="991"/>
      <c r="J1529" s="991"/>
      <c r="K1529" s="992"/>
      <c r="L1529" s="991"/>
      <c r="O1529" s="152" t="s">
        <v>148</v>
      </c>
      <c r="P1529" s="78">
        <v>51000100002</v>
      </c>
      <c r="Q1529" s="142" t="s">
        <v>496</v>
      </c>
      <c r="R1529" s="429">
        <f t="shared" si="86"/>
        <v>0</v>
      </c>
      <c r="T1529" s="195">
        <v>52200000001</v>
      </c>
      <c r="U1529" s="195" t="s">
        <v>33</v>
      </c>
      <c r="V1529" s="195"/>
      <c r="W1529" s="195"/>
      <c r="X1529" s="109"/>
      <c r="Y1529" s="109">
        <v>0</v>
      </c>
      <c r="Z1529" s="144">
        <v>0</v>
      </c>
    </row>
    <row r="1530" spans="2:26" x14ac:dyDescent="0.2">
      <c r="B1530" s="990"/>
      <c r="C1530" s="979"/>
      <c r="D1530" s="979"/>
      <c r="E1530" s="981"/>
      <c r="F1530" s="981"/>
      <c r="G1530" s="991"/>
      <c r="H1530" s="991"/>
      <c r="I1530" s="991"/>
      <c r="J1530" s="991"/>
      <c r="K1530" s="992"/>
      <c r="L1530" s="991"/>
      <c r="O1530" s="152" t="s">
        <v>148</v>
      </c>
      <c r="P1530" s="227">
        <v>51000200001</v>
      </c>
      <c r="Q1530" s="217" t="s">
        <v>460</v>
      </c>
      <c r="R1530" s="429">
        <f t="shared" si="86"/>
        <v>0</v>
      </c>
      <c r="T1530" s="97">
        <v>51000000001</v>
      </c>
      <c r="U1530" s="97" t="s">
        <v>132</v>
      </c>
      <c r="X1530" s="109"/>
    </row>
    <row r="1531" spans="2:26" x14ac:dyDescent="0.2">
      <c r="B1531" s="990"/>
      <c r="C1531" s="990"/>
      <c r="D1531" s="990"/>
      <c r="E1531" s="979"/>
      <c r="F1531" s="979"/>
      <c r="G1531" s="981"/>
      <c r="H1531" s="981"/>
      <c r="I1531" s="991"/>
      <c r="J1531" s="991"/>
      <c r="K1531" s="991"/>
      <c r="L1531" s="991"/>
      <c r="M1531" s="992"/>
      <c r="N1531" s="991"/>
      <c r="O1531" s="152" t="s">
        <v>148</v>
      </c>
      <c r="P1531" s="78">
        <v>51000200001</v>
      </c>
      <c r="Q1531" s="142" t="s">
        <v>351</v>
      </c>
      <c r="R1531" s="429">
        <f t="shared" si="86"/>
        <v>0</v>
      </c>
      <c r="T1531" s="97">
        <v>51000000002</v>
      </c>
      <c r="U1531" s="97" t="s">
        <v>10</v>
      </c>
      <c r="X1531" s="109"/>
    </row>
    <row r="1532" spans="2:26" x14ac:dyDescent="0.2">
      <c r="B1532" s="990"/>
      <c r="C1532" s="990"/>
      <c r="D1532" s="990"/>
      <c r="E1532" s="979"/>
      <c r="F1532" s="979"/>
      <c r="G1532" s="981"/>
      <c r="H1532" s="981"/>
      <c r="I1532" s="991"/>
      <c r="J1532" s="991"/>
      <c r="K1532" s="991"/>
      <c r="L1532" s="991"/>
      <c r="M1532" s="992"/>
      <c r="N1532" s="991"/>
      <c r="O1532" s="152" t="s">
        <v>148</v>
      </c>
      <c r="P1532" s="78">
        <v>51000200001</v>
      </c>
      <c r="Q1532" s="142" t="s">
        <v>56</v>
      </c>
      <c r="R1532" s="429">
        <f t="shared" si="86"/>
        <v>0</v>
      </c>
      <c r="T1532" s="97">
        <v>53000100001</v>
      </c>
      <c r="U1532" s="97" t="s">
        <v>134</v>
      </c>
      <c r="X1532" s="198"/>
      <c r="Y1532" s="109">
        <v>0</v>
      </c>
      <c r="Z1532" s="144">
        <v>0</v>
      </c>
    </row>
    <row r="1533" spans="2:26" x14ac:dyDescent="0.2">
      <c r="B1533" s="990"/>
      <c r="C1533" s="990"/>
      <c r="D1533" s="990"/>
      <c r="E1533" s="979"/>
      <c r="F1533" s="979"/>
      <c r="G1533" s="981"/>
      <c r="H1533" s="981"/>
      <c r="I1533" s="991"/>
      <c r="J1533" s="991"/>
      <c r="K1533" s="991"/>
      <c r="L1533" s="991"/>
      <c r="M1533" s="992"/>
      <c r="N1533" s="991"/>
      <c r="O1533" s="152" t="s">
        <v>148</v>
      </c>
      <c r="P1533" s="227">
        <v>51000200002</v>
      </c>
      <c r="Q1533" s="217" t="s">
        <v>460</v>
      </c>
      <c r="R1533" s="429">
        <f t="shared" si="86"/>
        <v>0</v>
      </c>
      <c r="X1533" s="171">
        <v>0</v>
      </c>
      <c r="Y1533" s="171"/>
      <c r="Z1533" s="167">
        <v>0</v>
      </c>
    </row>
    <row r="1534" spans="2:26" x14ac:dyDescent="0.2">
      <c r="B1534" s="980"/>
      <c r="C1534" s="980"/>
      <c r="D1534" s="980"/>
      <c r="E1534" s="979"/>
      <c r="F1534" s="979"/>
      <c r="G1534" s="981"/>
      <c r="H1534" s="981"/>
      <c r="I1534" s="991"/>
      <c r="J1534" s="991"/>
      <c r="K1534" s="991"/>
      <c r="L1534" s="991"/>
      <c r="M1534" s="992"/>
      <c r="N1534" s="991"/>
      <c r="O1534" s="152" t="s">
        <v>148</v>
      </c>
      <c r="P1534" s="78">
        <v>51000200002</v>
      </c>
      <c r="Q1534" s="142" t="s">
        <v>351</v>
      </c>
      <c r="R1534" s="429">
        <f t="shared" si="86"/>
        <v>0</v>
      </c>
      <c r="X1534" s="158">
        <f>SUM(X1524:X1532)</f>
        <v>-4587.9399999999996</v>
      </c>
      <c r="Y1534" s="158">
        <f>SUM(Y1524:Y1533)</f>
        <v>4426.41</v>
      </c>
      <c r="Z1534" s="158">
        <f>SUM(Z1524:Z1533)</f>
        <v>4426.41</v>
      </c>
    </row>
    <row r="1535" spans="2:26" x14ac:dyDescent="0.2">
      <c r="B1535" s="980"/>
      <c r="C1535" s="980"/>
      <c r="D1535" s="980"/>
      <c r="E1535" s="979"/>
      <c r="F1535" s="979"/>
      <c r="G1535" s="981"/>
      <c r="H1535" s="981"/>
      <c r="I1535" s="991"/>
      <c r="J1535" s="991"/>
      <c r="K1535" s="991"/>
      <c r="L1535" s="991"/>
      <c r="M1535" s="992"/>
      <c r="N1535" s="991"/>
      <c r="O1535" s="152" t="s">
        <v>148</v>
      </c>
      <c r="P1535" s="78">
        <v>51000200002</v>
      </c>
      <c r="Q1535" s="142" t="s">
        <v>56</v>
      </c>
      <c r="R1535" s="429">
        <f t="shared" si="86"/>
        <v>0</v>
      </c>
      <c r="U1535" s="109"/>
      <c r="Z1535" s="144"/>
    </row>
    <row r="1536" spans="2:26" x14ac:dyDescent="0.2">
      <c r="B1536" s="980"/>
      <c r="C1536" s="980"/>
      <c r="D1536" s="980"/>
      <c r="E1536" s="979" t="s">
        <v>50</v>
      </c>
      <c r="F1536" s="979"/>
      <c r="G1536" s="981" t="s">
        <v>537</v>
      </c>
      <c r="H1536" s="950"/>
      <c r="I1536" s="985"/>
      <c r="J1536" s="985"/>
      <c r="K1536" s="985"/>
      <c r="L1536" s="985"/>
      <c r="M1536" s="993"/>
      <c r="N1536" s="991"/>
      <c r="O1536" s="152" t="s">
        <v>148</v>
      </c>
      <c r="P1536" s="227">
        <v>51220200001</v>
      </c>
      <c r="Q1536" s="217" t="s">
        <v>460</v>
      </c>
      <c r="R1536" s="429">
        <f t="shared" si="86"/>
        <v>3958.08</v>
      </c>
      <c r="U1536" s="109"/>
    </row>
    <row r="1537" spans="2:25" x14ac:dyDescent="0.2">
      <c r="B1537" s="980"/>
      <c r="C1537" s="980"/>
      <c r="D1537" s="980"/>
      <c r="E1537" s="979"/>
      <c r="F1537" s="979"/>
      <c r="G1537" s="981"/>
      <c r="H1537" s="950"/>
      <c r="I1537" s="985"/>
      <c r="J1537" s="985"/>
      <c r="K1537" s="985"/>
      <c r="L1537" s="985"/>
      <c r="M1537" s="992"/>
      <c r="N1537" s="991"/>
      <c r="O1537" s="152" t="s">
        <v>148</v>
      </c>
      <c r="P1537" s="78">
        <v>51220200001</v>
      </c>
      <c r="Q1537" s="142" t="s">
        <v>351</v>
      </c>
      <c r="R1537" s="429">
        <f t="shared" si="86"/>
        <v>0</v>
      </c>
    </row>
    <row r="1538" spans="2:25" x14ac:dyDescent="0.2">
      <c r="B1538" s="982"/>
      <c r="C1538" s="982"/>
      <c r="D1538" s="982"/>
      <c r="E1538" s="983"/>
      <c r="F1538" s="983"/>
      <c r="G1538" s="997"/>
      <c r="H1538" s="982"/>
      <c r="I1538" s="994"/>
      <c r="J1538" s="994"/>
      <c r="K1538" s="994"/>
      <c r="L1538" s="994"/>
      <c r="M1538" s="994"/>
      <c r="N1538" s="994"/>
      <c r="O1538" s="152" t="s">
        <v>148</v>
      </c>
      <c r="P1538" s="78">
        <v>51220200001</v>
      </c>
      <c r="Q1538" s="142" t="s">
        <v>56</v>
      </c>
      <c r="R1538" s="429">
        <f t="shared" si="86"/>
        <v>0</v>
      </c>
      <c r="Y1538" s="439"/>
    </row>
    <row r="1539" spans="2:25" x14ac:dyDescent="0.2">
      <c r="B1539" s="949"/>
      <c r="C1539" s="949"/>
      <c r="D1539" s="949"/>
      <c r="E1539" s="949"/>
      <c r="F1539" s="949"/>
      <c r="G1539" s="949"/>
      <c r="H1539" s="949"/>
      <c r="I1539" s="995">
        <v>0</v>
      </c>
      <c r="J1539" s="995">
        <f>SUM(J1523:J1538)</f>
        <v>4576.41</v>
      </c>
      <c r="K1539" s="1112">
        <f>SUM(K1523:K1538)</f>
        <v>594.92999999999995</v>
      </c>
      <c r="L1539" s="1112">
        <f>SUM(L1523:L1538)</f>
        <v>5171.34</v>
      </c>
      <c r="M1539" s="995"/>
      <c r="N1539" s="995"/>
      <c r="O1539" s="152" t="s">
        <v>148</v>
      </c>
      <c r="P1539" s="78">
        <v>52200000001</v>
      </c>
      <c r="Q1539" s="142" t="s">
        <v>460</v>
      </c>
      <c r="R1539" s="429">
        <f t="shared" si="86"/>
        <v>0</v>
      </c>
      <c r="W1539" s="106" t="s">
        <v>478</v>
      </c>
      <c r="X1539" s="144">
        <f>+X1524+X1525+X1526+X1527+X1528+X1530+X1531</f>
        <v>-4587.9399999999996</v>
      </c>
    </row>
    <row r="1540" spans="2:25" x14ac:dyDescent="0.2">
      <c r="B1540" s="949"/>
      <c r="C1540" s="949"/>
      <c r="D1540" s="949"/>
      <c r="E1540" s="949"/>
      <c r="F1540" s="949"/>
      <c r="G1540" s="949"/>
      <c r="H1540" s="949"/>
      <c r="I1540" s="984"/>
      <c r="J1540" s="984"/>
      <c r="K1540" s="984"/>
      <c r="L1540" s="984"/>
      <c r="M1540" s="984"/>
      <c r="N1540" s="984"/>
      <c r="O1540" s="152" t="s">
        <v>148</v>
      </c>
      <c r="P1540" s="78">
        <v>52200000001</v>
      </c>
      <c r="Q1540" s="142" t="s">
        <v>351</v>
      </c>
      <c r="R1540" s="429">
        <f t="shared" si="86"/>
        <v>0</v>
      </c>
      <c r="W1540" s="97" t="s">
        <v>480</v>
      </c>
      <c r="X1540" s="144">
        <f>+R1544</f>
        <v>4426.41</v>
      </c>
    </row>
    <row r="1541" spans="2:25" x14ac:dyDescent="0.2">
      <c r="B1541" s="949"/>
      <c r="C1541" s="949"/>
      <c r="D1541" s="949"/>
      <c r="E1541" s="949"/>
      <c r="F1541" s="949"/>
      <c r="G1541" s="949"/>
      <c r="H1541" s="949"/>
      <c r="I1541" s="984"/>
      <c r="J1541" s="984"/>
      <c r="K1541" s="984"/>
      <c r="L1541" s="984"/>
      <c r="M1541" s="984"/>
      <c r="N1541" s="984"/>
      <c r="O1541" s="152" t="s">
        <v>148</v>
      </c>
      <c r="P1541" s="78">
        <v>52200000001</v>
      </c>
      <c r="Q1541" s="142" t="s">
        <v>56</v>
      </c>
      <c r="R1541" s="429">
        <f t="shared" si="86"/>
        <v>0</v>
      </c>
      <c r="W1541" s="97" t="s">
        <v>486</v>
      </c>
      <c r="X1541" s="167">
        <f>J1523</f>
        <v>150</v>
      </c>
    </row>
    <row r="1542" spans="2:25" x14ac:dyDescent="0.2">
      <c r="M1542" s="427"/>
      <c r="N1542" s="427"/>
      <c r="O1542" s="152" t="s">
        <v>148</v>
      </c>
      <c r="P1542" s="78">
        <v>52200000001</v>
      </c>
      <c r="Q1542" s="142" t="s">
        <v>460</v>
      </c>
      <c r="R1542" s="429">
        <f t="shared" si="86"/>
        <v>0</v>
      </c>
      <c r="X1542" s="324">
        <f>X1539+X1540+X1541</f>
        <v>-11.529999999999745</v>
      </c>
      <c r="Y1542" s="97" t="s">
        <v>500</v>
      </c>
    </row>
    <row r="1543" spans="2:25" x14ac:dyDescent="0.2">
      <c r="E1543" s="961" t="s">
        <v>587</v>
      </c>
      <c r="F1543" s="949"/>
      <c r="G1543" s="959"/>
      <c r="H1543" s="949"/>
      <c r="I1543" s="949"/>
      <c r="J1543" s="949"/>
      <c r="K1543" s="961" t="s">
        <v>588</v>
      </c>
      <c r="L1543" s="949"/>
      <c r="M1543" s="949"/>
      <c r="N1543" s="949"/>
      <c r="O1543" s="152" t="s">
        <v>148</v>
      </c>
      <c r="P1543" s="227">
        <v>51220200001</v>
      </c>
      <c r="Q1543" s="217" t="s">
        <v>496</v>
      </c>
      <c r="R1543" s="429">
        <f t="shared" si="86"/>
        <v>468.33</v>
      </c>
    </row>
    <row r="1544" spans="2:25" ht="13.5" thickBot="1" x14ac:dyDescent="0.25">
      <c r="E1544" s="961"/>
      <c r="F1544" s="949"/>
      <c r="G1544" s="959"/>
      <c r="H1544" s="949"/>
      <c r="I1544" s="949"/>
      <c r="J1544" s="949"/>
      <c r="K1544" s="961"/>
      <c r="L1544" s="949"/>
      <c r="M1544" s="949"/>
      <c r="N1544" s="949"/>
      <c r="O1544" s="427"/>
      <c r="P1544" s="427"/>
      <c r="R1544" s="244">
        <f>SUM(R1524:R1543)</f>
        <v>4426.41</v>
      </c>
    </row>
    <row r="1545" spans="2:25" ht="13.5" thickTop="1" x14ac:dyDescent="0.2">
      <c r="E1545" s="950" t="s">
        <v>140</v>
      </c>
      <c r="F1545" s="949"/>
      <c r="G1545" s="959"/>
      <c r="H1545" s="949"/>
      <c r="I1545" s="985">
        <v>0</v>
      </c>
      <c r="J1545" s="949"/>
      <c r="K1545" s="950" t="s">
        <v>140</v>
      </c>
      <c r="L1545" s="949"/>
      <c r="M1545" s="949"/>
      <c r="N1545" s="985"/>
    </row>
    <row r="1546" spans="2:25" x14ac:dyDescent="0.2">
      <c r="E1546" s="950"/>
      <c r="F1546" s="949"/>
      <c r="G1546" s="959"/>
      <c r="H1546" s="949"/>
      <c r="I1546" s="985"/>
      <c r="J1546" s="949"/>
      <c r="K1546" s="949"/>
      <c r="L1546" s="949"/>
      <c r="M1546" s="949"/>
      <c r="N1546" s="985"/>
    </row>
    <row r="1547" spans="2:25" x14ac:dyDescent="0.2">
      <c r="E1547" s="950" t="s">
        <v>589</v>
      </c>
      <c r="F1547" s="949"/>
      <c r="G1547" s="959"/>
      <c r="H1547" s="949"/>
      <c r="I1547" s="985">
        <v>0</v>
      </c>
      <c r="J1547" s="949"/>
      <c r="K1547" s="950" t="s">
        <v>589</v>
      </c>
      <c r="L1547" s="949"/>
      <c r="M1547" s="949"/>
      <c r="N1547" s="985"/>
    </row>
    <row r="1548" spans="2:25" x14ac:dyDescent="0.2">
      <c r="E1548" s="950"/>
      <c r="F1548" s="949"/>
      <c r="G1548" s="959"/>
      <c r="H1548" s="949"/>
      <c r="I1548" s="985"/>
      <c r="J1548" s="949"/>
      <c r="K1548" s="949"/>
      <c r="L1548" s="949"/>
      <c r="M1548" s="949"/>
      <c r="N1548" s="985"/>
    </row>
    <row r="1549" spans="2:25" x14ac:dyDescent="0.2">
      <c r="E1549" s="950"/>
      <c r="F1549" s="949"/>
      <c r="G1549" s="959"/>
      <c r="H1549" s="949"/>
      <c r="I1549" s="985"/>
      <c r="J1549" s="949"/>
      <c r="K1549" s="949"/>
      <c r="L1549" s="949"/>
      <c r="M1549" s="949"/>
      <c r="N1549" s="985"/>
    </row>
    <row r="1550" spans="2:25" x14ac:dyDescent="0.2">
      <c r="E1550" s="950" t="s">
        <v>590</v>
      </c>
      <c r="F1550" s="949"/>
      <c r="G1550" s="959"/>
      <c r="H1550" s="949"/>
      <c r="I1550" s="985"/>
      <c r="J1550" s="949"/>
      <c r="K1550" s="950" t="s">
        <v>590</v>
      </c>
      <c r="L1550" s="949"/>
      <c r="M1550" s="949"/>
      <c r="N1550" s="985"/>
    </row>
    <row r="1551" spans="2:25" x14ac:dyDescent="0.2">
      <c r="E1551" s="950" t="s">
        <v>141</v>
      </c>
      <c r="F1551" s="949"/>
      <c r="G1551" s="959"/>
      <c r="H1551" s="949"/>
      <c r="I1551" s="985">
        <v>11.53</v>
      </c>
      <c r="J1551" s="949"/>
      <c r="K1551" s="950" t="s">
        <v>141</v>
      </c>
      <c r="L1551" s="949"/>
      <c r="M1551" s="949"/>
      <c r="N1551" s="1101"/>
    </row>
    <row r="1552" spans="2:25" x14ac:dyDescent="0.2">
      <c r="E1552" s="950" t="s">
        <v>591</v>
      </c>
      <c r="F1552" s="949"/>
      <c r="G1552" s="959"/>
      <c r="H1552" s="949"/>
      <c r="I1552" s="994">
        <v>1.4988999999999999</v>
      </c>
      <c r="J1552" s="949"/>
      <c r="K1552" s="950" t="s">
        <v>591</v>
      </c>
      <c r="L1552" s="949"/>
      <c r="M1552" s="949"/>
      <c r="N1552" s="1101"/>
    </row>
    <row r="1553" spans="2:16" x14ac:dyDescent="0.2">
      <c r="E1553" s="950"/>
      <c r="F1553" s="949"/>
      <c r="G1553" s="959"/>
      <c r="H1553" s="949"/>
      <c r="I1553" s="985"/>
      <c r="J1553" s="949"/>
      <c r="K1553" s="949"/>
      <c r="L1553" s="949"/>
      <c r="M1553" s="949"/>
      <c r="N1553" s="1101"/>
    </row>
    <row r="1554" spans="2:16" ht="13.5" thickBot="1" x14ac:dyDescent="0.25">
      <c r="E1554" s="950" t="s">
        <v>592</v>
      </c>
      <c r="F1554" s="949"/>
      <c r="G1554" s="959"/>
      <c r="H1554" s="949"/>
      <c r="I1554" s="996">
        <v>13.0289</v>
      </c>
      <c r="J1554" s="949"/>
      <c r="K1554" s="950" t="s">
        <v>592</v>
      </c>
      <c r="L1554" s="949"/>
      <c r="M1554" s="949"/>
      <c r="N1554" s="1101"/>
    </row>
    <row r="1555" spans="2:16" ht="13.5" thickTop="1" x14ac:dyDescent="0.2">
      <c r="N1555" s="237"/>
    </row>
    <row r="1556" spans="2:16" x14ac:dyDescent="0.2">
      <c r="N1556" s="237"/>
    </row>
    <row r="1560" spans="2:16" x14ac:dyDescent="0.2">
      <c r="B1560" s="1065" t="s">
        <v>355</v>
      </c>
      <c r="C1560" s="1065"/>
      <c r="D1560" s="1065"/>
      <c r="E1560" s="1064"/>
      <c r="F1560" s="1064"/>
      <c r="G1560" s="1066"/>
      <c r="H1560" s="1067"/>
      <c r="I1560" s="1063"/>
      <c r="J1560" s="1063"/>
      <c r="K1560" s="1063"/>
      <c r="L1560" s="1063"/>
      <c r="M1560" s="1063"/>
      <c r="N1560" s="1063"/>
      <c r="O1560" s="1063"/>
      <c r="P1560" s="1063"/>
    </row>
    <row r="1561" spans="2:16" x14ac:dyDescent="0.2">
      <c r="B1561" s="1068" t="s">
        <v>252</v>
      </c>
      <c r="C1561" s="1068"/>
      <c r="D1561" s="1068"/>
      <c r="E1561" s="1064"/>
      <c r="F1561" s="1064"/>
      <c r="G1561" s="1068"/>
      <c r="H1561" s="1067"/>
      <c r="I1561" s="1063"/>
      <c r="J1561" s="1063"/>
      <c r="K1561" s="1063"/>
      <c r="L1561" s="1063"/>
      <c r="M1561" s="1063"/>
      <c r="N1561" s="1063"/>
      <c r="O1561" s="1063"/>
      <c r="P1561" s="1063"/>
    </row>
    <row r="1562" spans="2:16" x14ac:dyDescent="0.2">
      <c r="B1562" s="1069" t="s">
        <v>253</v>
      </c>
      <c r="C1562" s="1069"/>
      <c r="D1562" s="1069"/>
      <c r="E1562" s="1064"/>
      <c r="F1562" s="1064"/>
      <c r="G1562" s="1066"/>
      <c r="H1562" s="1070"/>
      <c r="I1562" s="1063"/>
      <c r="J1562" s="1063"/>
      <c r="K1562" s="1063"/>
      <c r="L1562" s="1063"/>
      <c r="M1562" s="1063"/>
      <c r="N1562" s="1063"/>
      <c r="O1562" s="1063"/>
      <c r="P1562" s="1063"/>
    </row>
    <row r="1563" spans="2:16" x14ac:dyDescent="0.2">
      <c r="B1563" s="1069" t="s">
        <v>356</v>
      </c>
      <c r="C1563" s="1069"/>
      <c r="D1563" s="1069"/>
      <c r="E1563" s="1064"/>
      <c r="F1563" s="1064"/>
      <c r="G1563" s="1066"/>
      <c r="H1563" s="1067"/>
      <c r="I1563" s="1063"/>
      <c r="J1563" s="1063"/>
      <c r="K1563" s="1063"/>
      <c r="L1563" s="1063"/>
      <c r="M1563" s="1063"/>
      <c r="N1563" s="1063"/>
      <c r="O1563" s="1063"/>
      <c r="P1563" s="1063"/>
    </row>
    <row r="1564" spans="2:16" x14ac:dyDescent="0.2">
      <c r="B1564" s="1071"/>
      <c r="C1564" s="1071"/>
      <c r="D1564" s="1071"/>
      <c r="E1564" s="1064"/>
      <c r="F1564" s="1064"/>
      <c r="G1564" s="1066"/>
      <c r="H1564" s="1067"/>
      <c r="I1564" s="1063"/>
      <c r="J1564" s="1063"/>
      <c r="K1564" s="1063"/>
      <c r="L1564" s="1063"/>
      <c r="M1564" s="1063"/>
      <c r="N1564" s="1063"/>
      <c r="O1564" s="1063"/>
      <c r="P1564" s="1063"/>
    </row>
    <row r="1565" spans="2:16" ht="18" x14ac:dyDescent="0.25">
      <c r="B1565" s="1072" t="s">
        <v>458</v>
      </c>
      <c r="C1565" s="1072"/>
      <c r="D1565" s="1072"/>
      <c r="E1565" s="1064"/>
      <c r="F1565" s="1063"/>
      <c r="G1565" s="1074">
        <v>44286</v>
      </c>
      <c r="H1565" s="1075" t="s">
        <v>179</v>
      </c>
      <c r="I1565" s="1076"/>
      <c r="J1565" s="1077" t="s">
        <v>41</v>
      </c>
      <c r="K1565" s="1077"/>
      <c r="L1565" s="1063"/>
      <c r="M1565" s="1063"/>
      <c r="N1565" s="1063"/>
      <c r="O1565" s="1063"/>
      <c r="P1565" s="1063"/>
    </row>
    <row r="1566" spans="2:16" x14ac:dyDescent="0.2">
      <c r="B1566" s="1078" t="s">
        <v>42</v>
      </c>
      <c r="C1566" s="1078"/>
      <c r="D1566" s="1078"/>
      <c r="E1566" s="1064"/>
      <c r="F1566" s="1064"/>
      <c r="G1566" s="1066"/>
      <c r="H1566" s="1067"/>
      <c r="I1566" s="1063"/>
      <c r="J1566" s="1079"/>
      <c r="K1566" s="1079"/>
      <c r="L1566" s="1063"/>
      <c r="M1566" s="1063"/>
      <c r="N1566" s="1063"/>
      <c r="O1566" s="1063"/>
      <c r="P1566" s="1063"/>
    </row>
    <row r="1567" spans="2:16" x14ac:dyDescent="0.2">
      <c r="B1567" s="1080"/>
      <c r="C1567" s="1080"/>
      <c r="D1567" s="1080"/>
      <c r="E1567" s="1080"/>
      <c r="F1567" s="1080"/>
      <c r="G1567" s="1080"/>
      <c r="H1567" s="1080"/>
      <c r="I1567" s="1080"/>
      <c r="J1567" s="1080"/>
      <c r="K1567" s="1080"/>
      <c r="L1567" s="1080"/>
      <c r="M1567" s="1080"/>
      <c r="N1567" s="1080"/>
      <c r="O1567" s="1063"/>
      <c r="P1567" s="1063"/>
    </row>
    <row r="1568" spans="2:16" x14ac:dyDescent="0.2">
      <c r="B1568" s="1080"/>
      <c r="C1568" s="1080"/>
      <c r="D1568" s="1080"/>
      <c r="E1568" s="1080"/>
      <c r="F1568" s="1080"/>
      <c r="G1568" s="1080"/>
      <c r="H1568" s="1080"/>
      <c r="I1568" s="1080"/>
      <c r="J1568" s="1075"/>
      <c r="K1568" s="1075"/>
      <c r="L1568" s="1075"/>
      <c r="M1568" s="1075"/>
      <c r="N1568" s="1080"/>
      <c r="O1568" s="1063"/>
      <c r="P1568" s="1063"/>
    </row>
    <row r="1569" spans="2:25" x14ac:dyDescent="0.2">
      <c r="B1569" s="1081"/>
      <c r="C1569" s="1082" t="s">
        <v>255</v>
      </c>
      <c r="D1569" s="1083" t="s">
        <v>43</v>
      </c>
      <c r="E1569" s="1083"/>
      <c r="F1569" s="1083" t="s">
        <v>135</v>
      </c>
      <c r="G1569" s="1083"/>
      <c r="H1569" s="1084" t="s">
        <v>136</v>
      </c>
      <c r="I1569" s="1085"/>
      <c r="J1569" s="1085"/>
      <c r="K1569" s="1085"/>
      <c r="L1569" s="1103"/>
      <c r="M1569" s="1086"/>
      <c r="N1569" s="1086"/>
    </row>
    <row r="1570" spans="2:25" x14ac:dyDescent="0.2">
      <c r="B1570" s="1087" t="s">
        <v>137</v>
      </c>
      <c r="C1570" s="1088" t="s">
        <v>138</v>
      </c>
      <c r="D1570" s="1088" t="s">
        <v>258</v>
      </c>
      <c r="E1570" s="1088" t="s">
        <v>139</v>
      </c>
      <c r="F1570" s="1088" t="s">
        <v>259</v>
      </c>
      <c r="G1570" s="1088" t="s">
        <v>140</v>
      </c>
      <c r="H1570" s="1089" t="s">
        <v>94</v>
      </c>
      <c r="I1570" s="1085"/>
      <c r="J1570" s="1089" t="s">
        <v>141</v>
      </c>
      <c r="K1570" s="1085"/>
      <c r="L1570" s="1104" t="s">
        <v>325</v>
      </c>
      <c r="M1570" s="1086"/>
      <c r="N1570" s="1086"/>
    </row>
    <row r="1571" spans="2:25" ht="14.25" x14ac:dyDescent="0.2">
      <c r="B1571" s="1090"/>
      <c r="C1571" s="1091"/>
      <c r="D1571" s="1091"/>
      <c r="E1571" s="1090"/>
      <c r="F1571" s="1090"/>
      <c r="G1571" s="1090"/>
      <c r="H1571" s="1092" t="s">
        <v>326</v>
      </c>
      <c r="I1571" s="1093" t="s">
        <v>327</v>
      </c>
      <c r="J1571" s="1102" t="s">
        <v>328</v>
      </c>
      <c r="K1571" s="1102" t="s">
        <v>89</v>
      </c>
      <c r="L1571" s="1105" t="s">
        <v>94</v>
      </c>
      <c r="M1571" s="1086"/>
      <c r="N1571" s="1086"/>
      <c r="O1571" s="1206" t="s">
        <v>1037</v>
      </c>
      <c r="P1571" s="1206"/>
      <c r="Q1571" s="1206"/>
      <c r="R1571" s="1206"/>
      <c r="U1571" s="106" t="s">
        <v>465</v>
      </c>
      <c r="Y1571" s="97" t="s">
        <v>479</v>
      </c>
    </row>
    <row r="1572" spans="2:25" x14ac:dyDescent="0.2">
      <c r="B1572" s="1106">
        <v>44278</v>
      </c>
      <c r="C1572" s="1094" t="s">
        <v>1714</v>
      </c>
      <c r="D1572" s="1094" t="s">
        <v>459</v>
      </c>
      <c r="E1572" s="1097" t="s">
        <v>460</v>
      </c>
      <c r="F1572" s="1097" t="s">
        <v>90</v>
      </c>
      <c r="G1572" s="1109">
        <v>0</v>
      </c>
      <c r="H1572" s="1109">
        <v>0</v>
      </c>
      <c r="I1572" s="1109">
        <v>0</v>
      </c>
      <c r="J1572" s="1109">
        <v>3701.88</v>
      </c>
      <c r="K1572" s="1110">
        <v>481.24</v>
      </c>
      <c r="L1572" s="1109">
        <v>4183.12</v>
      </c>
      <c r="M1572" s="245">
        <v>51220200001</v>
      </c>
      <c r="N1572" s="1095"/>
      <c r="O1572" s="152" t="s">
        <v>149</v>
      </c>
      <c r="P1572" s="78">
        <v>51000000001</v>
      </c>
      <c r="Q1572" s="142" t="s">
        <v>460</v>
      </c>
      <c r="R1572" s="429">
        <f>SUMIFS($J$1572:$J$1579,$E$1572:$E$1579,Q1572,$M$1572:$M$1579,P1572)</f>
        <v>0</v>
      </c>
      <c r="T1572" s="97">
        <v>51000200001</v>
      </c>
      <c r="U1572" s="97" t="s">
        <v>382</v>
      </c>
      <c r="X1572" s="109">
        <v>-684.93</v>
      </c>
      <c r="Y1572" s="109">
        <f>R1575</f>
        <v>0</v>
      </c>
    </row>
    <row r="1573" spans="2:25" x14ac:dyDescent="0.2">
      <c r="B1573" s="1106">
        <v>44278</v>
      </c>
      <c r="C1573" s="1094" t="s">
        <v>1715</v>
      </c>
      <c r="D1573" s="1094" t="s">
        <v>459</v>
      </c>
      <c r="E1573" s="1097" t="s">
        <v>1716</v>
      </c>
      <c r="F1573" s="1097" t="s">
        <v>497</v>
      </c>
      <c r="G1573" s="1109">
        <v>0</v>
      </c>
      <c r="H1573" s="1109">
        <v>0</v>
      </c>
      <c r="I1573" s="1109">
        <v>0</v>
      </c>
      <c r="J1573" s="1109">
        <v>393.33</v>
      </c>
      <c r="K1573" s="1110">
        <v>51.14</v>
      </c>
      <c r="L1573" s="1109">
        <v>444.46999999999997</v>
      </c>
      <c r="M1573" s="245">
        <v>51220200001</v>
      </c>
      <c r="N1573" s="1095"/>
      <c r="O1573" s="152" t="s">
        <v>149</v>
      </c>
      <c r="P1573" s="78">
        <v>51000000002</v>
      </c>
      <c r="Q1573" s="142" t="s">
        <v>460</v>
      </c>
      <c r="R1573" s="429">
        <f t="shared" ref="R1573:R1591" si="87">SUMIFS($J$1572:$J$1579,$E$1572:$E$1579,Q1573,$M$1572:$M$1579,P1573)</f>
        <v>0</v>
      </c>
      <c r="T1573" s="97">
        <v>51000200002</v>
      </c>
      <c r="U1573" s="97" t="s">
        <v>383</v>
      </c>
      <c r="X1573" s="109">
        <v>-684.93</v>
      </c>
      <c r="Y1573" s="109">
        <f>R1577</f>
        <v>0</v>
      </c>
    </row>
    <row r="1574" spans="2:25" x14ac:dyDescent="0.2">
      <c r="B1574" s="1107">
        <v>44281</v>
      </c>
      <c r="C1574" s="1094" t="s">
        <v>1717</v>
      </c>
      <c r="D1574" s="1094" t="s">
        <v>459</v>
      </c>
      <c r="E1574" s="1097" t="s">
        <v>482</v>
      </c>
      <c r="F1574" s="1115">
        <v>0</v>
      </c>
      <c r="G1574" s="1109">
        <v>0</v>
      </c>
      <c r="H1574" s="1109">
        <v>0</v>
      </c>
      <c r="I1574" s="1109">
        <v>0</v>
      </c>
      <c r="J1574" s="1109">
        <v>0</v>
      </c>
      <c r="K1574" s="1110">
        <v>0</v>
      </c>
      <c r="L1574" s="1109">
        <v>0</v>
      </c>
      <c r="M1574" s="1095"/>
      <c r="N1574" s="1095"/>
      <c r="O1574" s="152" t="s">
        <v>149</v>
      </c>
      <c r="P1574" s="78">
        <v>51000100001</v>
      </c>
      <c r="Q1574" s="142" t="s">
        <v>460</v>
      </c>
      <c r="R1574" s="429">
        <f t="shared" si="87"/>
        <v>0</v>
      </c>
      <c r="T1574" s="97">
        <v>51000100001</v>
      </c>
      <c r="U1574" s="109" t="s">
        <v>12</v>
      </c>
    </row>
    <row r="1575" spans="2:25" x14ac:dyDescent="0.2">
      <c r="B1575" s="1107">
        <v>44281</v>
      </c>
      <c r="C1575" s="1094" t="s">
        <v>1718</v>
      </c>
      <c r="D1575" s="1094" t="s">
        <v>459</v>
      </c>
      <c r="E1575" s="1097" t="s">
        <v>482</v>
      </c>
      <c r="F1575" s="1115">
        <v>0</v>
      </c>
      <c r="G1575" s="1109">
        <v>0</v>
      </c>
      <c r="H1575" s="1109">
        <v>0</v>
      </c>
      <c r="I1575" s="1109">
        <v>0</v>
      </c>
      <c r="J1575" s="1109">
        <v>0</v>
      </c>
      <c r="K1575" s="1110">
        <v>0</v>
      </c>
      <c r="L1575" s="1109">
        <v>0</v>
      </c>
      <c r="M1575" s="1095"/>
      <c r="N1575" s="1095"/>
      <c r="O1575" s="152" t="s">
        <v>149</v>
      </c>
      <c r="P1575" s="78">
        <v>51000100001</v>
      </c>
      <c r="Q1575" s="142" t="s">
        <v>1716</v>
      </c>
      <c r="R1575" s="429">
        <f t="shared" si="87"/>
        <v>0</v>
      </c>
      <c r="T1575" s="97">
        <v>51000100002</v>
      </c>
      <c r="U1575" s="109" t="s">
        <v>380</v>
      </c>
    </row>
    <row r="1576" spans="2:25" x14ac:dyDescent="0.2">
      <c r="B1576" s="1107">
        <v>44281</v>
      </c>
      <c r="C1576" s="1094" t="s">
        <v>1719</v>
      </c>
      <c r="D1576" s="1094" t="s">
        <v>459</v>
      </c>
      <c r="E1576" s="1097" t="s">
        <v>460</v>
      </c>
      <c r="F1576" s="1097" t="s">
        <v>90</v>
      </c>
      <c r="G1576" s="1109">
        <v>0</v>
      </c>
      <c r="H1576" s="1109">
        <v>0</v>
      </c>
      <c r="I1576" s="1109">
        <v>0</v>
      </c>
      <c r="J1576" s="1109">
        <v>205.48</v>
      </c>
      <c r="K1576" s="1110">
        <v>26.71</v>
      </c>
      <c r="L1576" s="1109">
        <v>232.19</v>
      </c>
      <c r="M1576" s="245">
        <v>51220200001</v>
      </c>
      <c r="N1576" s="1095"/>
      <c r="O1576" s="152" t="s">
        <v>149</v>
      </c>
      <c r="P1576" s="78">
        <v>51000100002</v>
      </c>
      <c r="Q1576" s="142" t="s">
        <v>460</v>
      </c>
      <c r="R1576" s="429">
        <f t="shared" si="87"/>
        <v>0</v>
      </c>
      <c r="T1576" s="97">
        <v>51220200001</v>
      </c>
      <c r="U1576" s="97" t="s">
        <v>55</v>
      </c>
      <c r="X1576" s="109">
        <v>-4107.2000000000007</v>
      </c>
      <c r="Y1576" s="109">
        <f>R1584+R1591</f>
        <v>5465.07</v>
      </c>
    </row>
    <row r="1577" spans="2:25" x14ac:dyDescent="0.2">
      <c r="B1577" s="1107">
        <v>44281</v>
      </c>
      <c r="C1577" s="1094" t="s">
        <v>1720</v>
      </c>
      <c r="D1577" s="1094" t="s">
        <v>459</v>
      </c>
      <c r="E1577" s="1097" t="s">
        <v>460</v>
      </c>
      <c r="F1577" s="1097" t="s">
        <v>90</v>
      </c>
      <c r="G1577" s="1109">
        <v>0</v>
      </c>
      <c r="H1577" s="1109">
        <v>0</v>
      </c>
      <c r="I1577" s="1109">
        <v>0</v>
      </c>
      <c r="J1577" s="1109">
        <v>205.48</v>
      </c>
      <c r="K1577" s="1110">
        <v>26.71</v>
      </c>
      <c r="L1577" s="1109">
        <v>232.19</v>
      </c>
      <c r="M1577" s="245">
        <v>51220200001</v>
      </c>
      <c r="N1577" s="1095"/>
      <c r="O1577" s="152" t="s">
        <v>149</v>
      </c>
      <c r="P1577" s="78">
        <v>51000100002</v>
      </c>
      <c r="Q1577" s="142" t="s">
        <v>1716</v>
      </c>
      <c r="R1577" s="429">
        <f t="shared" si="87"/>
        <v>0</v>
      </c>
      <c r="T1577" s="195">
        <v>52200000001</v>
      </c>
      <c r="U1577" s="195" t="s">
        <v>33</v>
      </c>
      <c r="V1577" s="195"/>
      <c r="W1577" s="195"/>
      <c r="X1577" s="109">
        <v>-15084.43</v>
      </c>
      <c r="Y1577" s="109">
        <v>0</v>
      </c>
    </row>
    <row r="1578" spans="2:25" x14ac:dyDescent="0.2">
      <c r="B1578" s="1107">
        <v>44284</v>
      </c>
      <c r="C1578" s="1094" t="s">
        <v>1721</v>
      </c>
      <c r="D1578" s="1094" t="s">
        <v>459</v>
      </c>
      <c r="E1578" s="1097" t="s">
        <v>460</v>
      </c>
      <c r="F1578" s="1097" t="s">
        <v>90</v>
      </c>
      <c r="G1578" s="1109">
        <v>0</v>
      </c>
      <c r="H1578" s="1109">
        <v>0</v>
      </c>
      <c r="I1578" s="1109">
        <v>0</v>
      </c>
      <c r="J1578" s="1109">
        <v>479.45</v>
      </c>
      <c r="K1578" s="1110">
        <v>62.33</v>
      </c>
      <c r="L1578" s="1109">
        <v>541.78</v>
      </c>
      <c r="M1578" s="245">
        <v>51220200001</v>
      </c>
      <c r="N1578" s="1095"/>
      <c r="O1578" s="152" t="s">
        <v>149</v>
      </c>
      <c r="P1578" s="227">
        <v>51000200001</v>
      </c>
      <c r="Q1578" s="217" t="s">
        <v>460</v>
      </c>
      <c r="R1578" s="429">
        <f t="shared" si="87"/>
        <v>0</v>
      </c>
      <c r="T1578" s="97">
        <v>51000000001</v>
      </c>
      <c r="U1578" s="97" t="s">
        <v>132</v>
      </c>
      <c r="X1578" s="109"/>
    </row>
    <row r="1579" spans="2:25" x14ac:dyDescent="0.2">
      <c r="B1579" s="1107">
        <v>44284</v>
      </c>
      <c r="C1579" s="1094" t="s">
        <v>1722</v>
      </c>
      <c r="D1579" s="1094" t="s">
        <v>459</v>
      </c>
      <c r="E1579" s="1097" t="s">
        <v>460</v>
      </c>
      <c r="F1579" s="1097" t="s">
        <v>90</v>
      </c>
      <c r="G1579" s="1109">
        <v>0</v>
      </c>
      <c r="H1579" s="1109">
        <v>0</v>
      </c>
      <c r="I1579" s="1109">
        <v>0</v>
      </c>
      <c r="J1579" s="1109">
        <v>479.45</v>
      </c>
      <c r="K1579" s="1110">
        <v>62.33</v>
      </c>
      <c r="L1579" s="1109">
        <v>541.78</v>
      </c>
      <c r="M1579" s="245">
        <v>51220200001</v>
      </c>
      <c r="N1579" s="1095"/>
      <c r="O1579" s="152" t="s">
        <v>149</v>
      </c>
      <c r="P1579" s="78">
        <v>51000200001</v>
      </c>
      <c r="Q1579" s="142" t="s">
        <v>351</v>
      </c>
      <c r="R1579" s="429">
        <f t="shared" si="87"/>
        <v>0</v>
      </c>
      <c r="T1579" s="97">
        <v>51000000002</v>
      </c>
      <c r="U1579" s="97" t="s">
        <v>10</v>
      </c>
      <c r="X1579" s="109"/>
    </row>
    <row r="1580" spans="2:25" x14ac:dyDescent="0.2">
      <c r="B1580" s="1106"/>
      <c r="C1580" s="1094"/>
      <c r="D1580" s="1094"/>
      <c r="E1580" s="1097"/>
      <c r="F1580" s="1097"/>
      <c r="G1580" s="1109"/>
      <c r="H1580" s="1109"/>
      <c r="I1580" s="1109"/>
      <c r="J1580" s="1109"/>
      <c r="K1580" s="1110"/>
      <c r="L1580" s="1109"/>
      <c r="M1580" s="1095"/>
      <c r="N1580" s="1095"/>
      <c r="O1580" s="152" t="s">
        <v>149</v>
      </c>
      <c r="P1580" s="78">
        <v>51000200001</v>
      </c>
      <c r="Q1580" s="142" t="s">
        <v>56</v>
      </c>
      <c r="R1580" s="429">
        <f t="shared" si="87"/>
        <v>0</v>
      </c>
      <c r="T1580" s="97">
        <v>53000100001</v>
      </c>
      <c r="U1580" s="97" t="s">
        <v>134</v>
      </c>
      <c r="X1580" s="198"/>
      <c r="Y1580" s="109">
        <v>0</v>
      </c>
    </row>
    <row r="1581" spans="2:25" x14ac:dyDescent="0.2">
      <c r="B1581" s="1106"/>
      <c r="C1581" s="1094"/>
      <c r="D1581" s="1094"/>
      <c r="E1581" s="1097"/>
      <c r="F1581" s="1097"/>
      <c r="G1581" s="1109"/>
      <c r="H1581" s="1109"/>
      <c r="I1581" s="1109"/>
      <c r="J1581" s="1109"/>
      <c r="K1581" s="1110"/>
      <c r="L1581" s="1109"/>
      <c r="M1581" s="1095"/>
      <c r="N1581" s="1095"/>
      <c r="O1581" s="152" t="s">
        <v>149</v>
      </c>
      <c r="P1581" s="227">
        <v>51000200002</v>
      </c>
      <c r="Q1581" s="217" t="s">
        <v>460</v>
      </c>
      <c r="R1581" s="429">
        <f t="shared" si="87"/>
        <v>0</v>
      </c>
      <c r="X1581" s="171">
        <v>0</v>
      </c>
      <c r="Y1581" s="171"/>
    </row>
    <row r="1582" spans="2:25" x14ac:dyDescent="0.2">
      <c r="B1582" s="1106"/>
      <c r="C1582" s="1094"/>
      <c r="D1582" s="1094"/>
      <c r="E1582" s="1097"/>
      <c r="F1582" s="1097"/>
      <c r="G1582" s="1109"/>
      <c r="H1582" s="1109"/>
      <c r="I1582" s="1109"/>
      <c r="J1582" s="1109"/>
      <c r="K1582" s="1110"/>
      <c r="L1582" s="1109"/>
      <c r="M1582" s="1095"/>
      <c r="N1582" s="1095"/>
      <c r="O1582" s="152" t="s">
        <v>149</v>
      </c>
      <c r="P1582" s="78">
        <v>51000200002</v>
      </c>
      <c r="Q1582" s="142" t="s">
        <v>351</v>
      </c>
      <c r="R1582" s="429">
        <f t="shared" si="87"/>
        <v>0</v>
      </c>
      <c r="X1582" s="158">
        <f>SUM(X1572:X1580)</f>
        <v>-20561.490000000002</v>
      </c>
      <c r="Y1582" s="158">
        <f>SUM(Y1572:Y1581)</f>
        <v>5465.07</v>
      </c>
    </row>
    <row r="1583" spans="2:25" x14ac:dyDescent="0.2">
      <c r="B1583" s="1096"/>
      <c r="C1583" s="1094"/>
      <c r="D1583" s="1094"/>
      <c r="E1583" s="1097"/>
      <c r="F1583" s="1097"/>
      <c r="G1583" s="1109"/>
      <c r="H1583" s="1109"/>
      <c r="I1583" s="1109"/>
      <c r="J1583" s="1109"/>
      <c r="K1583" s="1110"/>
      <c r="L1583" s="1109"/>
      <c r="M1583" s="1095"/>
      <c r="N1583" s="1095"/>
      <c r="O1583" s="152" t="s">
        <v>149</v>
      </c>
      <c r="P1583" s="78">
        <v>51000200002</v>
      </c>
      <c r="Q1583" s="142" t="s">
        <v>56</v>
      </c>
      <c r="R1583" s="429">
        <f t="shared" si="87"/>
        <v>0</v>
      </c>
      <c r="U1583" s="109"/>
    </row>
    <row r="1584" spans="2:25" x14ac:dyDescent="0.2">
      <c r="B1584" s="1096"/>
      <c r="C1584" s="1094"/>
      <c r="D1584" s="1094"/>
      <c r="E1584" s="1097"/>
      <c r="F1584" s="1097"/>
      <c r="G1584" s="1109"/>
      <c r="H1584" s="1109"/>
      <c r="I1584" s="1109"/>
      <c r="J1584" s="1109"/>
      <c r="K1584" s="1110"/>
      <c r="L1584" s="1109"/>
      <c r="M1584" s="1095"/>
      <c r="N1584" s="1095"/>
      <c r="O1584" s="152" t="s">
        <v>149</v>
      </c>
      <c r="P1584" s="227">
        <v>51220200001</v>
      </c>
      <c r="Q1584" s="217" t="s">
        <v>460</v>
      </c>
      <c r="R1584" s="429">
        <f t="shared" si="87"/>
        <v>5071.74</v>
      </c>
      <c r="U1584" s="109"/>
    </row>
    <row r="1585" spans="2:25" x14ac:dyDescent="0.2">
      <c r="B1585" s="1096"/>
      <c r="C1585" s="1094" t="s">
        <v>50</v>
      </c>
      <c r="D1585" s="1094"/>
      <c r="E1585" s="1097" t="s">
        <v>537</v>
      </c>
      <c r="F1585" s="1064"/>
      <c r="G1585" s="1101"/>
      <c r="H1585" s="1101"/>
      <c r="I1585" s="1101"/>
      <c r="J1585" s="1101"/>
      <c r="K1585" s="1108">
        <v>-710.46</v>
      </c>
      <c r="L1585" s="1109"/>
      <c r="M1585" s="1095"/>
      <c r="N1585" s="1095"/>
      <c r="O1585" s="152" t="s">
        <v>149</v>
      </c>
      <c r="P1585" s="78">
        <v>51220200001</v>
      </c>
      <c r="Q1585" s="142" t="s">
        <v>351</v>
      </c>
      <c r="R1585" s="429">
        <f t="shared" si="87"/>
        <v>0</v>
      </c>
    </row>
    <row r="1586" spans="2:25" x14ac:dyDescent="0.2">
      <c r="B1586" s="1096"/>
      <c r="C1586" s="1094"/>
      <c r="D1586" s="1094"/>
      <c r="E1586" s="1097"/>
      <c r="F1586" s="1064"/>
      <c r="G1586" s="1101"/>
      <c r="H1586" s="1101"/>
      <c r="I1586" s="1101"/>
      <c r="J1586" s="1101"/>
      <c r="K1586" s="1110"/>
      <c r="L1586" s="1109"/>
      <c r="M1586" s="1095"/>
      <c r="N1586" s="1095"/>
      <c r="O1586" s="152" t="s">
        <v>149</v>
      </c>
      <c r="P1586" s="78">
        <v>51220200001</v>
      </c>
      <c r="Q1586" s="142" t="s">
        <v>56</v>
      </c>
      <c r="R1586" s="429">
        <f t="shared" si="87"/>
        <v>0</v>
      </c>
      <c r="Y1586" s="439"/>
    </row>
    <row r="1587" spans="2:25" x14ac:dyDescent="0.2">
      <c r="B1587" s="1098"/>
      <c r="C1587" s="1099"/>
      <c r="D1587" s="1099"/>
      <c r="E1587" s="1114"/>
      <c r="F1587" s="1098"/>
      <c r="G1587" s="1111"/>
      <c r="H1587" s="1111"/>
      <c r="I1587" s="1111"/>
      <c r="J1587" s="1111"/>
      <c r="K1587" s="1111"/>
      <c r="L1587" s="1111"/>
      <c r="M1587" s="1063"/>
      <c r="N1587" s="1063"/>
      <c r="O1587" s="152" t="s">
        <v>149</v>
      </c>
      <c r="P1587" s="78">
        <v>52200000001</v>
      </c>
      <c r="Q1587" s="142" t="s">
        <v>460</v>
      </c>
      <c r="R1587" s="429">
        <f t="shared" si="87"/>
        <v>0</v>
      </c>
      <c r="W1587" s="106" t="s">
        <v>478</v>
      </c>
      <c r="X1587" s="144">
        <f>+X1572+X1573+X1574+X1575+X1576+X1578+X1579</f>
        <v>-5477.06</v>
      </c>
    </row>
    <row r="1588" spans="2:25" x14ac:dyDescent="0.2">
      <c r="B1588" s="1063"/>
      <c r="C1588" s="1063"/>
      <c r="D1588" s="1063"/>
      <c r="E1588" s="1063"/>
      <c r="F1588" s="1063"/>
      <c r="G1588" s="1112">
        <v>0</v>
      </c>
      <c r="H1588" s="1112">
        <v>0</v>
      </c>
      <c r="I1588" s="1112">
        <v>0</v>
      </c>
      <c r="J1588" s="1112">
        <v>5465.0699999999988</v>
      </c>
      <c r="K1588" s="1112">
        <v>0</v>
      </c>
      <c r="L1588" s="1112">
        <v>6175.5299999999988</v>
      </c>
      <c r="M1588" s="1063"/>
      <c r="N1588" s="1063"/>
      <c r="O1588" s="152" t="s">
        <v>149</v>
      </c>
      <c r="P1588" s="78">
        <v>52200000001</v>
      </c>
      <c r="Q1588" s="142" t="s">
        <v>351</v>
      </c>
      <c r="R1588" s="429">
        <f t="shared" si="87"/>
        <v>0</v>
      </c>
      <c r="W1588" s="97" t="s">
        <v>480</v>
      </c>
      <c r="X1588" s="144">
        <f>+R1592</f>
        <v>5465.07</v>
      </c>
    </row>
    <row r="1589" spans="2:25" x14ac:dyDescent="0.2">
      <c r="B1589" s="1063"/>
      <c r="C1589" s="1063"/>
      <c r="D1589" s="1063"/>
      <c r="E1589" s="1063"/>
      <c r="F1589" s="1063"/>
      <c r="G1589" s="1063"/>
      <c r="H1589" s="1063"/>
      <c r="I1589" s="1100"/>
      <c r="J1589" s="1100"/>
      <c r="K1589" s="1100"/>
      <c r="L1589" s="1100"/>
      <c r="M1589" s="1100"/>
      <c r="N1589" s="1100"/>
      <c r="O1589" s="152" t="s">
        <v>149</v>
      </c>
      <c r="P1589" s="78">
        <v>52200000001</v>
      </c>
      <c r="Q1589" s="142" t="s">
        <v>56</v>
      </c>
      <c r="R1589" s="429">
        <f t="shared" si="87"/>
        <v>0</v>
      </c>
      <c r="W1589" s="97" t="s">
        <v>486</v>
      </c>
      <c r="X1589" s="167">
        <v>0</v>
      </c>
    </row>
    <row r="1590" spans="2:25" x14ac:dyDescent="0.2">
      <c r="B1590" s="1063"/>
      <c r="C1590" s="1063"/>
      <c r="D1590" s="1063"/>
      <c r="E1590" s="1063"/>
      <c r="F1590" s="1063"/>
      <c r="G1590" s="1063"/>
      <c r="H1590" s="1063"/>
      <c r="I1590" s="1100"/>
      <c r="J1590" s="1100"/>
      <c r="K1590" s="1100"/>
      <c r="L1590" s="1100"/>
      <c r="M1590" s="1100"/>
      <c r="N1590" s="1100"/>
      <c r="O1590" s="152" t="s">
        <v>149</v>
      </c>
      <c r="P1590" s="78">
        <v>52200000001</v>
      </c>
      <c r="Q1590" s="142" t="s">
        <v>460</v>
      </c>
      <c r="R1590" s="429">
        <f t="shared" si="87"/>
        <v>0</v>
      </c>
      <c r="X1590" s="324">
        <f>X1587+X1588+X1589</f>
        <v>-11.990000000000691</v>
      </c>
      <c r="Y1590" s="97" t="s">
        <v>500</v>
      </c>
    </row>
    <row r="1591" spans="2:25" x14ac:dyDescent="0.2">
      <c r="M1591" s="427"/>
      <c r="N1591" s="237"/>
      <c r="O1591" s="152" t="s">
        <v>149</v>
      </c>
      <c r="P1591" s="227">
        <v>51220200001</v>
      </c>
      <c r="Q1591" s="217" t="s">
        <v>1716</v>
      </c>
      <c r="R1591" s="429">
        <f t="shared" si="87"/>
        <v>393.33</v>
      </c>
    </row>
    <row r="1592" spans="2:25" ht="13.5" thickBot="1" x14ac:dyDescent="0.25">
      <c r="E1592" s="1075" t="s">
        <v>587</v>
      </c>
      <c r="F1592" s="1063"/>
      <c r="G1592" s="1073"/>
      <c r="H1592" s="1063"/>
      <c r="I1592" s="1063"/>
      <c r="J1592" s="1063"/>
      <c r="K1592" s="1075" t="s">
        <v>588</v>
      </c>
      <c r="L1592" s="1063"/>
      <c r="M1592" s="1063"/>
      <c r="N1592" s="1006"/>
      <c r="O1592" s="427"/>
      <c r="P1592" s="427"/>
      <c r="R1592" s="244">
        <f>SUM(R1572:R1591)</f>
        <v>5465.07</v>
      </c>
    </row>
    <row r="1593" spans="2:25" ht="13.5" thickTop="1" x14ac:dyDescent="0.2">
      <c r="E1593" s="1075"/>
      <c r="F1593" s="1063"/>
      <c r="G1593" s="1073"/>
      <c r="H1593" s="1063"/>
      <c r="I1593" s="1063"/>
      <c r="J1593" s="1063"/>
      <c r="K1593" s="1075"/>
      <c r="L1593" s="1063"/>
      <c r="M1593" s="1063"/>
      <c r="N1593" s="1006"/>
      <c r="O1593" s="427"/>
      <c r="P1593" s="427"/>
    </row>
    <row r="1594" spans="2:25" x14ac:dyDescent="0.2">
      <c r="E1594" s="1064" t="s">
        <v>140</v>
      </c>
      <c r="F1594" s="1063"/>
      <c r="G1594" s="1073"/>
      <c r="H1594" s="1063"/>
      <c r="I1594" s="1101">
        <v>0</v>
      </c>
      <c r="J1594" s="1063"/>
      <c r="K1594" s="1064" t="s">
        <v>140</v>
      </c>
      <c r="L1594" s="1063"/>
      <c r="M1594" s="1063"/>
      <c r="N1594" s="1101"/>
      <c r="O1594" s="427"/>
      <c r="P1594" s="427"/>
    </row>
    <row r="1595" spans="2:25" x14ac:dyDescent="0.2">
      <c r="E1595" s="1064"/>
      <c r="F1595" s="1063"/>
      <c r="G1595" s="1073"/>
      <c r="H1595" s="1063"/>
      <c r="I1595" s="1101"/>
      <c r="J1595" s="1063"/>
      <c r="K1595" s="1063"/>
      <c r="L1595" s="1063"/>
      <c r="M1595" s="1063"/>
      <c r="N1595" s="1101"/>
      <c r="O1595" s="427"/>
      <c r="P1595" s="427"/>
    </row>
    <row r="1596" spans="2:25" x14ac:dyDescent="0.2">
      <c r="E1596" s="1064" t="s">
        <v>589</v>
      </c>
      <c r="F1596" s="1063"/>
      <c r="G1596" s="1073"/>
      <c r="H1596" s="1063"/>
      <c r="I1596" s="1101">
        <v>0</v>
      </c>
      <c r="J1596" s="1063"/>
      <c r="K1596" s="1064" t="s">
        <v>589</v>
      </c>
      <c r="L1596" s="1063"/>
      <c r="M1596" s="1063"/>
      <c r="N1596" s="1101"/>
      <c r="O1596" s="427"/>
      <c r="P1596" s="427"/>
    </row>
    <row r="1597" spans="2:25" x14ac:dyDescent="0.2">
      <c r="E1597" s="1064"/>
      <c r="F1597" s="1063"/>
      <c r="G1597" s="1073"/>
      <c r="H1597" s="1063"/>
      <c r="I1597" s="1101"/>
      <c r="J1597" s="1063"/>
      <c r="K1597" s="1063"/>
      <c r="L1597" s="1063"/>
      <c r="M1597" s="1063"/>
      <c r="N1597" s="1101"/>
      <c r="O1597" s="427"/>
      <c r="P1597" s="427"/>
    </row>
    <row r="1598" spans="2:25" x14ac:dyDescent="0.2">
      <c r="E1598" s="1064"/>
      <c r="F1598" s="1063"/>
      <c r="G1598" s="1073"/>
      <c r="H1598" s="1063"/>
      <c r="I1598" s="1101"/>
      <c r="J1598" s="1063"/>
      <c r="K1598" s="1063"/>
      <c r="L1598" s="1063"/>
      <c r="M1598" s="1063"/>
      <c r="N1598" s="1101"/>
      <c r="O1598" s="427"/>
      <c r="P1598" s="427"/>
    </row>
    <row r="1599" spans="2:25" x14ac:dyDescent="0.2">
      <c r="E1599" s="1064" t="s">
        <v>590</v>
      </c>
      <c r="F1599" s="1063"/>
      <c r="G1599" s="1073"/>
      <c r="H1599" s="1063"/>
      <c r="I1599" s="1101"/>
      <c r="J1599" s="1063"/>
      <c r="K1599" s="1064" t="s">
        <v>590</v>
      </c>
      <c r="L1599" s="1063"/>
      <c r="M1599" s="1063"/>
      <c r="N1599" s="1101"/>
      <c r="O1599" s="427"/>
      <c r="P1599" s="427"/>
    </row>
    <row r="1600" spans="2:25" x14ac:dyDescent="0.2">
      <c r="E1600" s="1064" t="s">
        <v>141</v>
      </c>
      <c r="F1600" s="1063"/>
      <c r="G1600" s="1073"/>
      <c r="H1600" s="1063"/>
      <c r="I1600" s="1101">
        <v>11.99</v>
      </c>
      <c r="J1600" s="1063"/>
      <c r="K1600" s="1064" t="s">
        <v>141</v>
      </c>
      <c r="L1600" s="1063"/>
      <c r="M1600" s="1063"/>
      <c r="N1600" s="1101"/>
      <c r="O1600" s="427"/>
      <c r="P1600" s="427"/>
    </row>
    <row r="1601" spans="5:24" x14ac:dyDescent="0.2">
      <c r="E1601" s="1064" t="s">
        <v>591</v>
      </c>
      <c r="F1601" s="1063"/>
      <c r="G1601" s="1073"/>
      <c r="H1601" s="1063"/>
      <c r="I1601" s="1111">
        <v>1.5587</v>
      </c>
      <c r="J1601" s="1063"/>
      <c r="K1601" s="1064" t="s">
        <v>591</v>
      </c>
      <c r="L1601" s="1063"/>
      <c r="M1601" s="1063"/>
      <c r="N1601" s="1101"/>
      <c r="O1601" s="427"/>
      <c r="P1601" s="427"/>
    </row>
    <row r="1602" spans="5:24" x14ac:dyDescent="0.2">
      <c r="E1602" s="1064"/>
      <c r="F1602" s="1063"/>
      <c r="G1602" s="1073"/>
      <c r="H1602" s="1063"/>
      <c r="I1602" s="1101"/>
      <c r="J1602" s="1063"/>
      <c r="K1602" s="1063"/>
      <c r="L1602" s="1063"/>
      <c r="M1602" s="1063"/>
      <c r="N1602" s="1101"/>
      <c r="O1602" s="427"/>
      <c r="P1602" s="427"/>
      <c r="T1602" s="1116"/>
      <c r="U1602" s="1116"/>
      <c r="V1602" s="1116"/>
      <c r="W1602" s="1116"/>
      <c r="X1602" s="1116"/>
    </row>
    <row r="1603" spans="5:24" ht="13.5" thickBot="1" x14ac:dyDescent="0.25">
      <c r="E1603" s="1064" t="s">
        <v>592</v>
      </c>
      <c r="F1603" s="1063"/>
      <c r="G1603" s="1073"/>
      <c r="H1603" s="1063"/>
      <c r="I1603" s="1113">
        <v>13.5487</v>
      </c>
      <c r="J1603" s="1063"/>
      <c r="K1603" s="1064" t="s">
        <v>592</v>
      </c>
      <c r="L1603" s="1063"/>
      <c r="M1603" s="1063"/>
      <c r="N1603" s="1101"/>
      <c r="O1603" s="427"/>
      <c r="P1603" s="427"/>
      <c r="T1603" s="1116"/>
      <c r="U1603" s="1116"/>
      <c r="V1603" s="1116"/>
      <c r="W1603" s="1116"/>
      <c r="X1603" s="1116"/>
    </row>
    <row r="1604" spans="5:24" ht="13.5" thickTop="1" x14ac:dyDescent="0.2">
      <c r="E1604" s="1064"/>
      <c r="F1604" s="1063"/>
      <c r="G1604" s="1073"/>
      <c r="H1604" s="1063"/>
      <c r="I1604" s="1063"/>
      <c r="J1604" s="1063"/>
      <c r="K1604" s="1063"/>
      <c r="L1604" s="1063"/>
      <c r="M1604" s="1063"/>
      <c r="N1604" s="1006"/>
      <c r="O1604" s="427"/>
      <c r="P1604" s="427"/>
      <c r="T1604" s="1062"/>
      <c r="U1604" s="1120"/>
      <c r="V1604" s="1004"/>
      <c r="W1604" s="1004"/>
      <c r="X1604" s="1007"/>
    </row>
    <row r="1605" spans="5:24" x14ac:dyDescent="0.2">
      <c r="N1605" s="237"/>
      <c r="T1605" s="1062"/>
      <c r="U1605" s="1120"/>
      <c r="V1605" s="1004"/>
      <c r="W1605" s="1004"/>
      <c r="X1605" s="1007"/>
    </row>
    <row r="1606" spans="5:24" x14ac:dyDescent="0.2">
      <c r="N1606" s="237"/>
      <c r="T1606" s="1062"/>
      <c r="U1606" s="1120"/>
      <c r="V1606" s="1004"/>
      <c r="W1606" s="1004"/>
      <c r="X1606" s="1007"/>
    </row>
    <row r="1607" spans="5:24" x14ac:dyDescent="0.2">
      <c r="T1607" s="1062"/>
      <c r="U1607" s="1120"/>
      <c r="V1607" s="1004"/>
      <c r="W1607" s="1004"/>
      <c r="X1607" s="1007"/>
    </row>
    <row r="1608" spans="5:24" x14ac:dyDescent="0.2">
      <c r="T1608" s="1062"/>
      <c r="U1608" s="1120"/>
      <c r="V1608" s="1004"/>
      <c r="W1608" s="1004"/>
      <c r="X1608" s="1007"/>
    </row>
    <row r="1609" spans="5:24" x14ac:dyDescent="0.2">
      <c r="T1609" s="1062"/>
      <c r="U1609" s="1120"/>
      <c r="V1609" s="1004"/>
      <c r="W1609" s="1004"/>
      <c r="X1609" s="1007"/>
    </row>
    <row r="1610" spans="5:24" x14ac:dyDescent="0.2">
      <c r="T1610" s="1062"/>
      <c r="U1610" s="1120"/>
      <c r="V1610" s="1004"/>
      <c r="W1610" s="1004"/>
      <c r="X1610" s="1007"/>
    </row>
    <row r="1611" spans="5:24" x14ac:dyDescent="0.2">
      <c r="T1611" s="1119"/>
      <c r="U1611" s="1118"/>
      <c r="V1611" s="1117"/>
      <c r="W1611" s="1117"/>
      <c r="X1611" s="1007"/>
    </row>
    <row r="1612" spans="5:24" x14ac:dyDescent="0.2">
      <c r="T1612" s="1116"/>
      <c r="U1612" s="1116"/>
      <c r="V1612" s="1116"/>
      <c r="W1612" s="1116"/>
      <c r="X1612" s="1116"/>
    </row>
    <row r="1613" spans="5:24" x14ac:dyDescent="0.2">
      <c r="T1613" s="1116"/>
      <c r="U1613" s="1116"/>
      <c r="V1613" s="1116"/>
      <c r="W1613" s="1116"/>
      <c r="X1613" s="1116"/>
    </row>
  </sheetData>
  <sortState ref="V662:Z668">
    <sortCondition ref="V662"/>
  </sortState>
  <mergeCells count="15">
    <mergeCell ref="O1360:R1360"/>
    <mergeCell ref="O1308:R1308"/>
    <mergeCell ref="O1332:R1332"/>
    <mergeCell ref="O1114:R1114"/>
    <mergeCell ref="O1154:R1154"/>
    <mergeCell ref="O1208:R1208"/>
    <mergeCell ref="O1282:R1282"/>
    <mergeCell ref="O1232:R1232"/>
    <mergeCell ref="O1257:R1257"/>
    <mergeCell ref="O1486:R1486"/>
    <mergeCell ref="O1523:R1523"/>
    <mergeCell ref="O1571:R1571"/>
    <mergeCell ref="O1393:R1393"/>
    <mergeCell ref="O1417:R1417"/>
    <mergeCell ref="O1450:R1450"/>
  </mergeCells>
  <pageMargins left="0.08" right="0.08" top="1.07" bottom="0.23622047244094491" header="0" footer="0"/>
  <pageSetup scale="29" orientation="landscape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A1:R1190"/>
  <sheetViews>
    <sheetView showGridLines="0" topLeftCell="A1072" zoomScale="70" zoomScaleNormal="70" workbookViewId="0">
      <pane ySplit="2" topLeftCell="A1113" activePane="bottomLeft" state="frozen"/>
      <selection activeCell="E45" sqref="E45"/>
      <selection pane="bottomLeft" activeCell="E45" sqref="E45"/>
    </sheetView>
  </sheetViews>
  <sheetFormatPr baseColWidth="10" defaultRowHeight="12.75" x14ac:dyDescent="0.2"/>
  <cols>
    <col min="1" max="1" width="17.28515625" customWidth="1"/>
    <col min="2" max="2" width="16.28515625" customWidth="1"/>
    <col min="4" max="4" width="31.42578125" customWidth="1"/>
    <col min="5" max="5" width="16.140625" customWidth="1"/>
    <col min="6" max="6" width="27" customWidth="1"/>
    <col min="8" max="8" width="14.85546875" customWidth="1"/>
    <col min="9" max="9" width="17.28515625" customWidth="1"/>
    <col min="13" max="13" width="18.140625" customWidth="1"/>
  </cols>
  <sheetData>
    <row r="1" spans="1:16" ht="20.25" x14ac:dyDescent="0.3">
      <c r="A1" s="251" t="s">
        <v>640</v>
      </c>
      <c r="B1" s="252"/>
      <c r="C1" s="253"/>
      <c r="D1" s="253"/>
      <c r="E1" s="253"/>
      <c r="F1" s="254"/>
      <c r="G1" s="255"/>
      <c r="H1" s="255"/>
      <c r="I1" s="255"/>
      <c r="J1" s="255"/>
      <c r="K1" s="255"/>
      <c r="L1" s="255"/>
      <c r="M1" s="256"/>
      <c r="N1" s="257"/>
      <c r="O1" s="257"/>
      <c r="P1" s="257"/>
    </row>
    <row r="2" spans="1:16" ht="15.75" x14ac:dyDescent="0.25">
      <c r="A2" s="253" t="s">
        <v>252</v>
      </c>
      <c r="B2" s="253"/>
      <c r="C2" s="253"/>
      <c r="D2" s="253"/>
      <c r="E2" s="253"/>
      <c r="F2" s="254"/>
      <c r="G2" s="255"/>
      <c r="H2" s="255"/>
      <c r="I2" s="255"/>
      <c r="J2" s="255"/>
      <c r="K2" s="255"/>
      <c r="L2" s="255"/>
      <c r="M2" s="256"/>
      <c r="N2" s="257"/>
      <c r="O2" s="257"/>
      <c r="P2" s="257"/>
    </row>
    <row r="3" spans="1:16" ht="15.75" x14ac:dyDescent="0.25">
      <c r="A3" s="252" t="s">
        <v>253</v>
      </c>
      <c r="B3" s="253"/>
      <c r="C3" s="253"/>
      <c r="D3" s="253"/>
      <c r="E3" s="253"/>
      <c r="F3" s="254"/>
      <c r="G3" s="258"/>
      <c r="H3" s="258"/>
      <c r="I3" s="255"/>
      <c r="J3" s="255"/>
      <c r="K3" s="255"/>
      <c r="L3" s="255"/>
      <c r="M3" s="256"/>
      <c r="N3" s="257"/>
      <c r="O3" s="257"/>
      <c r="P3" s="257"/>
    </row>
    <row r="4" spans="1:16" ht="15.75" x14ac:dyDescent="0.25">
      <c r="A4" s="253" t="s">
        <v>356</v>
      </c>
      <c r="B4" s="253"/>
      <c r="C4" s="253"/>
      <c r="D4" s="253"/>
      <c r="E4" s="253"/>
      <c r="F4" s="254"/>
      <c r="G4" s="255"/>
      <c r="H4" s="255"/>
      <c r="I4" s="255"/>
      <c r="J4" s="255"/>
      <c r="K4" s="255"/>
      <c r="L4" s="255"/>
      <c r="M4" s="256"/>
      <c r="N4" s="257"/>
      <c r="O4" s="257"/>
      <c r="P4" s="257"/>
    </row>
    <row r="5" spans="1:16" ht="15.75" x14ac:dyDescent="0.25">
      <c r="A5" s="259" t="s">
        <v>457</v>
      </c>
      <c r="B5" s="260" t="str">
        <f>'[4]Compras '!B5</f>
        <v>MES</v>
      </c>
      <c r="C5" s="261"/>
      <c r="D5" s="262">
        <v>2018</v>
      </c>
      <c r="E5" s="253"/>
      <c r="F5" s="254"/>
      <c r="G5" s="255"/>
      <c r="H5" s="263"/>
      <c r="I5" s="263"/>
      <c r="J5" s="263"/>
      <c r="K5" s="263"/>
      <c r="L5" s="263"/>
      <c r="M5" s="256"/>
      <c r="N5" s="257"/>
      <c r="O5" s="257"/>
      <c r="P5" s="257"/>
    </row>
    <row r="6" spans="1:16" ht="15.75" x14ac:dyDescent="0.25">
      <c r="A6" s="256"/>
      <c r="B6" s="256"/>
      <c r="C6" s="253"/>
      <c r="D6" s="253"/>
      <c r="E6" s="253"/>
      <c r="F6" s="254"/>
      <c r="G6" s="255"/>
      <c r="H6" s="255"/>
      <c r="I6" s="255"/>
      <c r="J6" s="255"/>
      <c r="K6" s="255"/>
      <c r="L6" s="255"/>
      <c r="M6" s="256"/>
      <c r="N6" s="257"/>
      <c r="O6" s="257"/>
      <c r="P6" s="257"/>
    </row>
    <row r="7" spans="1:16" ht="15.75" x14ac:dyDescent="0.25">
      <c r="A7" s="256"/>
      <c r="B7" s="256"/>
      <c r="C7" s="253"/>
      <c r="D7" s="253"/>
      <c r="E7" s="253"/>
      <c r="F7" s="254"/>
      <c r="G7" s="255"/>
      <c r="H7" s="255"/>
      <c r="I7" s="255"/>
      <c r="J7" s="255"/>
      <c r="K7" s="255"/>
      <c r="L7" s="255"/>
      <c r="M7" s="256"/>
      <c r="N7" s="257"/>
      <c r="O7" s="257"/>
      <c r="P7" s="257"/>
    </row>
    <row r="8" spans="1:16" ht="15.75" x14ac:dyDescent="0.25">
      <c r="A8" s="256"/>
      <c r="B8" s="256"/>
      <c r="C8" s="253"/>
      <c r="D8" s="253"/>
      <c r="E8" s="253"/>
      <c r="F8" s="254"/>
      <c r="G8" s="264" t="s">
        <v>94</v>
      </c>
      <c r="H8" s="264" t="s">
        <v>94</v>
      </c>
      <c r="I8" s="264" t="s">
        <v>641</v>
      </c>
      <c r="J8" s="264" t="s">
        <v>642</v>
      </c>
      <c r="K8" s="264" t="s">
        <v>94</v>
      </c>
      <c r="L8" s="264" t="s">
        <v>257</v>
      </c>
      <c r="M8" s="256"/>
      <c r="N8" s="257"/>
      <c r="O8" s="257"/>
      <c r="P8" s="257"/>
    </row>
    <row r="9" spans="1:16" ht="16.5" thickBot="1" x14ac:dyDescent="0.3">
      <c r="A9" s="265" t="s">
        <v>137</v>
      </c>
      <c r="B9" s="265"/>
      <c r="C9" s="265" t="s">
        <v>643</v>
      </c>
      <c r="D9" s="265"/>
      <c r="E9" s="265" t="s">
        <v>644</v>
      </c>
      <c r="F9" s="266" t="s">
        <v>140</v>
      </c>
      <c r="G9" s="267" t="s">
        <v>327</v>
      </c>
      <c r="H9" s="268" t="s">
        <v>645</v>
      </c>
      <c r="I9" s="267" t="s">
        <v>646</v>
      </c>
      <c r="J9" s="267" t="s">
        <v>647</v>
      </c>
      <c r="K9" s="267" t="s">
        <v>326</v>
      </c>
      <c r="L9" s="267" t="s">
        <v>94</v>
      </c>
      <c r="M9" s="256"/>
      <c r="N9" s="257"/>
      <c r="O9" s="257"/>
      <c r="P9" s="257"/>
    </row>
    <row r="10" spans="1:16" ht="16.5" thickTop="1" x14ac:dyDescent="0.25">
      <c r="A10" s="269"/>
      <c r="B10" s="270"/>
      <c r="C10" s="271"/>
      <c r="D10" s="271"/>
      <c r="E10" s="271"/>
      <c r="F10" s="272"/>
      <c r="G10" s="272"/>
      <c r="H10" s="273"/>
      <c r="I10" s="273"/>
      <c r="J10" s="273"/>
      <c r="K10" s="273"/>
      <c r="L10" s="274"/>
      <c r="M10" s="256"/>
      <c r="N10" s="257"/>
      <c r="O10" s="257"/>
      <c r="P10" s="257"/>
    </row>
    <row r="11" spans="1:16" ht="15.75" x14ac:dyDescent="0.25">
      <c r="A11" s="275">
        <v>43388</v>
      </c>
      <c r="B11" s="276"/>
      <c r="C11" s="277" t="s">
        <v>648</v>
      </c>
      <c r="D11" s="276"/>
      <c r="E11" s="278" t="str">
        <f t="shared" ref="E11:E20" si="0">C11</f>
        <v>01987</v>
      </c>
      <c r="F11" s="279">
        <v>0</v>
      </c>
      <c r="G11" s="279">
        <v>0</v>
      </c>
      <c r="H11" s="280">
        <v>1.85</v>
      </c>
      <c r="I11" s="273"/>
      <c r="J11" s="273"/>
      <c r="K11" s="280">
        <v>0</v>
      </c>
      <c r="L11" s="281"/>
      <c r="M11" s="280"/>
      <c r="N11" s="282"/>
      <c r="O11" s="282"/>
      <c r="P11" s="282"/>
    </row>
    <row r="12" spans="1:16" ht="15.75" x14ac:dyDescent="0.25">
      <c r="A12" s="275">
        <v>43390</v>
      </c>
      <c r="B12" s="276"/>
      <c r="C12" s="277" t="s">
        <v>649</v>
      </c>
      <c r="D12" s="276"/>
      <c r="E12" s="278" t="str">
        <f t="shared" si="0"/>
        <v>01982</v>
      </c>
      <c r="F12" s="279">
        <v>0</v>
      </c>
      <c r="G12" s="279">
        <v>25.95</v>
      </c>
      <c r="H12" s="280">
        <v>0</v>
      </c>
      <c r="I12" s="273"/>
      <c r="J12" s="273"/>
      <c r="K12" s="280">
        <v>0</v>
      </c>
      <c r="L12" s="281"/>
      <c r="M12" s="280"/>
      <c r="N12" s="282"/>
      <c r="O12" s="282"/>
      <c r="P12" s="282"/>
    </row>
    <row r="13" spans="1:16" ht="15.75" x14ac:dyDescent="0.25">
      <c r="A13" s="275">
        <v>43403</v>
      </c>
      <c r="B13" s="276"/>
      <c r="C13" s="277" t="s">
        <v>650</v>
      </c>
      <c r="D13" s="276"/>
      <c r="E13" s="278" t="str">
        <f t="shared" si="0"/>
        <v>1983</v>
      </c>
      <c r="F13" s="279">
        <v>0</v>
      </c>
      <c r="G13" s="279">
        <v>22.09</v>
      </c>
      <c r="H13" s="280">
        <v>0</v>
      </c>
      <c r="I13" s="273"/>
      <c r="J13" s="273"/>
      <c r="K13" s="280">
        <v>0</v>
      </c>
      <c r="L13" s="281"/>
      <c r="M13" s="280"/>
      <c r="N13" s="282"/>
      <c r="O13" s="282"/>
      <c r="P13" s="282"/>
    </row>
    <row r="14" spans="1:16" ht="15.75" x14ac:dyDescent="0.25">
      <c r="A14" s="275">
        <v>43403</v>
      </c>
      <c r="B14" s="276"/>
      <c r="C14" s="277" t="s">
        <v>651</v>
      </c>
      <c r="D14" s="276"/>
      <c r="E14" s="278" t="str">
        <f t="shared" si="0"/>
        <v>1984</v>
      </c>
      <c r="F14" s="279">
        <v>0</v>
      </c>
      <c r="G14" s="279">
        <v>13.78</v>
      </c>
      <c r="H14" s="280">
        <v>0</v>
      </c>
      <c r="I14" s="273"/>
      <c r="J14" s="273"/>
      <c r="K14" s="280">
        <v>0</v>
      </c>
      <c r="L14" s="281"/>
      <c r="M14" s="280"/>
      <c r="N14" s="282"/>
      <c r="O14" s="282"/>
      <c r="P14" s="282"/>
    </row>
    <row r="15" spans="1:16" ht="15.75" x14ac:dyDescent="0.25">
      <c r="A15" s="275">
        <v>43403</v>
      </c>
      <c r="B15" s="276"/>
      <c r="C15" s="277" t="s">
        <v>652</v>
      </c>
      <c r="D15" s="276"/>
      <c r="E15" s="278" t="str">
        <f t="shared" si="0"/>
        <v>1991</v>
      </c>
      <c r="F15" s="279">
        <v>0</v>
      </c>
      <c r="G15" s="279">
        <v>110.37</v>
      </c>
      <c r="H15" s="280">
        <v>0</v>
      </c>
      <c r="I15" s="273"/>
      <c r="J15" s="273"/>
      <c r="K15" s="280">
        <v>0</v>
      </c>
      <c r="L15" s="274"/>
      <c r="M15" s="256"/>
      <c r="N15" s="257"/>
      <c r="O15" s="257"/>
      <c r="P15" s="257"/>
    </row>
    <row r="16" spans="1:16" ht="15.75" x14ac:dyDescent="0.25">
      <c r="A16" s="275"/>
      <c r="B16" s="276"/>
      <c r="C16" s="277" t="s">
        <v>581</v>
      </c>
      <c r="D16" s="276"/>
      <c r="E16" s="278" t="str">
        <f t="shared" si="0"/>
        <v>0</v>
      </c>
      <c r="F16" s="279">
        <v>0</v>
      </c>
      <c r="G16" s="279">
        <v>0</v>
      </c>
      <c r="H16" s="280">
        <v>0</v>
      </c>
      <c r="I16" s="273"/>
      <c r="J16" s="273"/>
      <c r="K16" s="280">
        <v>0</v>
      </c>
      <c r="L16" s="281"/>
      <c r="M16" s="280"/>
      <c r="N16" s="282"/>
      <c r="O16" s="282"/>
      <c r="P16" s="282"/>
    </row>
    <row r="17" spans="1:16" ht="15.75" x14ac:dyDescent="0.25">
      <c r="A17" s="275"/>
      <c r="B17" s="276"/>
      <c r="C17" s="277" t="s">
        <v>581</v>
      </c>
      <c r="D17" s="283"/>
      <c r="E17" s="278" t="str">
        <f t="shared" si="0"/>
        <v>0</v>
      </c>
      <c r="F17" s="279">
        <v>0</v>
      </c>
      <c r="G17" s="279">
        <v>0</v>
      </c>
      <c r="H17" s="280">
        <v>0</v>
      </c>
      <c r="I17" s="273"/>
      <c r="J17" s="273"/>
      <c r="K17" s="280">
        <v>0</v>
      </c>
      <c r="L17" s="274"/>
      <c r="M17" s="256"/>
      <c r="N17" s="257"/>
      <c r="O17" s="257"/>
      <c r="P17" s="257"/>
    </row>
    <row r="18" spans="1:16" ht="15.75" x14ac:dyDescent="0.25">
      <c r="A18" s="275"/>
      <c r="B18" s="276"/>
      <c r="C18" s="277" t="s">
        <v>581</v>
      </c>
      <c r="D18" s="283"/>
      <c r="E18" s="278" t="str">
        <f t="shared" si="0"/>
        <v>0</v>
      </c>
      <c r="F18" s="279">
        <v>0</v>
      </c>
      <c r="G18" s="279">
        <v>0</v>
      </c>
      <c r="H18" s="280">
        <v>0</v>
      </c>
      <c r="I18" s="273"/>
      <c r="J18" s="273"/>
      <c r="K18" s="280">
        <v>0</v>
      </c>
      <c r="L18" s="274"/>
      <c r="M18" s="256"/>
      <c r="N18" s="257"/>
      <c r="O18" s="257"/>
      <c r="P18" s="257"/>
    </row>
    <row r="19" spans="1:16" ht="15.75" x14ac:dyDescent="0.25">
      <c r="A19" s="275"/>
      <c r="B19" s="276"/>
      <c r="C19" s="277" t="s">
        <v>581</v>
      </c>
      <c r="D19" s="283"/>
      <c r="E19" s="278" t="str">
        <f t="shared" si="0"/>
        <v>0</v>
      </c>
      <c r="F19" s="279">
        <v>0</v>
      </c>
      <c r="G19" s="279">
        <v>0</v>
      </c>
      <c r="H19" s="280">
        <v>0</v>
      </c>
      <c r="I19" s="273"/>
      <c r="J19" s="273"/>
      <c r="K19" s="280">
        <v>0</v>
      </c>
      <c r="L19" s="274"/>
      <c r="M19" s="256"/>
      <c r="N19" s="257"/>
      <c r="O19" s="257"/>
      <c r="P19" s="257"/>
    </row>
    <row r="20" spans="1:16" ht="15.75" x14ac:dyDescent="0.25">
      <c r="A20" s="275"/>
      <c r="B20" s="276"/>
      <c r="C20" s="277" t="s">
        <v>581</v>
      </c>
      <c r="D20" s="283"/>
      <c r="E20" s="278" t="str">
        <f t="shared" si="0"/>
        <v>0</v>
      </c>
      <c r="F20" s="279">
        <v>0</v>
      </c>
      <c r="G20" s="279">
        <v>0</v>
      </c>
      <c r="H20" s="280">
        <v>0</v>
      </c>
      <c r="I20" s="273"/>
      <c r="J20" s="273"/>
      <c r="K20" s="280">
        <v>0</v>
      </c>
      <c r="L20" s="274"/>
      <c r="M20" s="256"/>
      <c r="N20" s="257"/>
      <c r="O20" s="257"/>
      <c r="P20" s="257"/>
    </row>
    <row r="21" spans="1:16" ht="15.75" x14ac:dyDescent="0.25">
      <c r="A21" s="275"/>
      <c r="B21" s="276"/>
      <c r="C21" s="277"/>
      <c r="D21" s="283"/>
      <c r="E21" s="278"/>
      <c r="F21" s="279"/>
      <c r="G21" s="284"/>
      <c r="H21" s="280"/>
      <c r="I21" s="273"/>
      <c r="J21" s="273"/>
      <c r="K21" s="273"/>
      <c r="L21" s="274"/>
      <c r="M21" s="256"/>
      <c r="N21" s="257"/>
      <c r="O21" s="257"/>
      <c r="P21" s="257"/>
    </row>
    <row r="22" spans="1:16" ht="15.75" x14ac:dyDescent="0.25">
      <c r="A22" s="275"/>
      <c r="B22" s="276"/>
      <c r="C22" s="277"/>
      <c r="D22" s="283"/>
      <c r="E22" s="278"/>
      <c r="F22" s="279"/>
      <c r="G22" s="284"/>
      <c r="H22" s="280"/>
      <c r="I22" s="273"/>
      <c r="J22" s="273"/>
      <c r="K22" s="273"/>
      <c r="L22" s="274"/>
      <c r="M22" s="256"/>
      <c r="N22" s="257"/>
      <c r="O22" s="257"/>
      <c r="P22" s="257"/>
    </row>
    <row r="23" spans="1:16" ht="15.75" x14ac:dyDescent="0.25">
      <c r="A23" s="275"/>
      <c r="B23" s="276"/>
      <c r="C23" s="277"/>
      <c r="D23" s="283"/>
      <c r="E23" s="278"/>
      <c r="F23" s="279"/>
      <c r="G23" s="284"/>
      <c r="H23" s="280"/>
      <c r="I23" s="273"/>
      <c r="J23" s="273"/>
      <c r="K23" s="273"/>
      <c r="L23" s="274"/>
      <c r="M23" s="256"/>
      <c r="N23" s="257"/>
      <c r="O23" s="257"/>
      <c r="P23" s="257"/>
    </row>
    <row r="24" spans="1:16" ht="15.75" x14ac:dyDescent="0.25">
      <c r="A24" s="275"/>
      <c r="B24" s="276"/>
      <c r="C24" s="277"/>
      <c r="D24" s="283"/>
      <c r="E24" s="278"/>
      <c r="F24" s="279"/>
      <c r="G24" s="284"/>
      <c r="H24" s="282"/>
      <c r="I24" s="273"/>
      <c r="J24" s="273"/>
      <c r="K24" s="273"/>
      <c r="L24" s="274"/>
      <c r="M24" s="256"/>
      <c r="N24" s="257"/>
      <c r="O24" s="257"/>
      <c r="P24" s="257"/>
    </row>
    <row r="25" spans="1:16" ht="15.75" x14ac:dyDescent="0.25">
      <c r="A25" s="275"/>
      <c r="B25" s="276"/>
      <c r="C25" s="277"/>
      <c r="D25" s="283"/>
      <c r="E25" s="278"/>
      <c r="F25" s="279"/>
      <c r="G25" s="284"/>
      <c r="H25" s="282"/>
      <c r="I25" s="273"/>
      <c r="J25" s="273"/>
      <c r="K25" s="273"/>
      <c r="L25" s="274"/>
      <c r="M25" s="256"/>
      <c r="N25" s="257"/>
      <c r="O25" s="257"/>
      <c r="P25" s="257"/>
    </row>
    <row r="26" spans="1:16" ht="15.75" x14ac:dyDescent="0.25">
      <c r="A26" s="285"/>
      <c r="B26" s="286"/>
      <c r="C26" s="277"/>
      <c r="D26" s="287"/>
      <c r="E26" s="278"/>
      <c r="F26" s="254"/>
      <c r="G26" s="284"/>
      <c r="H26" s="282"/>
      <c r="I26" s="273"/>
      <c r="J26" s="273"/>
      <c r="K26" s="273"/>
      <c r="L26" s="274"/>
      <c r="M26" s="256"/>
      <c r="N26" s="257"/>
      <c r="O26" s="257"/>
      <c r="P26" s="257"/>
    </row>
    <row r="27" spans="1:16" ht="15.75" x14ac:dyDescent="0.25">
      <c r="A27" s="285"/>
      <c r="B27" s="288"/>
      <c r="C27" s="289"/>
      <c r="D27" s="290"/>
      <c r="E27" s="278"/>
      <c r="F27" s="291"/>
      <c r="G27" s="284"/>
      <c r="H27" s="282"/>
      <c r="I27" s="273"/>
      <c r="J27" s="273"/>
      <c r="K27" s="273"/>
      <c r="L27" s="274"/>
      <c r="M27" s="256"/>
      <c r="N27" s="257"/>
      <c r="O27" s="257"/>
      <c r="P27" s="257">
        <f>+L27/1.13</f>
        <v>0</v>
      </c>
    </row>
    <row r="28" spans="1:16" ht="15.75" x14ac:dyDescent="0.25">
      <c r="A28" s="285"/>
      <c r="B28" s="286"/>
      <c r="C28" s="289"/>
      <c r="D28" s="287"/>
      <c r="E28" s="278"/>
      <c r="F28" s="254"/>
      <c r="G28" s="284"/>
      <c r="H28" s="282"/>
      <c r="I28" s="273"/>
      <c r="J28" s="273"/>
      <c r="K28" s="273"/>
      <c r="L28" s="274"/>
      <c r="M28" s="256"/>
      <c r="N28" s="257"/>
      <c r="O28" s="257"/>
      <c r="P28" s="257"/>
    </row>
    <row r="29" spans="1:16" ht="15.75" x14ac:dyDescent="0.25">
      <c r="A29" s="285"/>
      <c r="B29" s="286"/>
      <c r="C29" s="292"/>
      <c r="D29" s="287"/>
      <c r="E29" s="278"/>
      <c r="F29" s="254"/>
      <c r="G29" s="284"/>
      <c r="H29" s="273"/>
      <c r="I29" s="273"/>
      <c r="J29" s="273"/>
      <c r="K29" s="273"/>
      <c r="L29" s="274"/>
      <c r="M29" s="256"/>
      <c r="N29" s="257"/>
      <c r="O29" s="257"/>
      <c r="P29" s="257"/>
    </row>
    <row r="30" spans="1:16" ht="16.5" thickBot="1" x14ac:dyDescent="0.3">
      <c r="A30" s="293"/>
      <c r="B30" s="293"/>
      <c r="C30" s="294"/>
      <c r="D30" s="294"/>
      <c r="E30" s="294"/>
      <c r="F30" s="266"/>
      <c r="G30" s="266"/>
      <c r="H30" s="295"/>
      <c r="I30" s="295"/>
      <c r="J30" s="295"/>
      <c r="K30" s="295"/>
      <c r="L30" s="296"/>
      <c r="M30" s="256"/>
      <c r="N30" s="257"/>
      <c r="O30" s="257"/>
      <c r="P30" s="257"/>
    </row>
    <row r="31" spans="1:16" ht="16.5" thickTop="1" x14ac:dyDescent="0.25">
      <c r="A31" s="297"/>
      <c r="B31" s="297"/>
      <c r="C31" s="287"/>
      <c r="D31" s="287"/>
      <c r="E31" s="287"/>
      <c r="F31" s="281">
        <f>SUM(F10:F30)</f>
        <v>0</v>
      </c>
      <c r="G31" s="281">
        <f t="shared" ref="G31:L31" si="1">SUM(G10:G30)</f>
        <v>172.19</v>
      </c>
      <c r="H31" s="281">
        <f>SUM(H10:H30)</f>
        <v>1.85</v>
      </c>
      <c r="I31" s="281">
        <f t="shared" si="1"/>
        <v>0</v>
      </c>
      <c r="J31" s="281">
        <f t="shared" si="1"/>
        <v>0</v>
      </c>
      <c r="K31" s="281">
        <f t="shared" si="1"/>
        <v>0</v>
      </c>
      <c r="L31" s="281">
        <f t="shared" si="1"/>
        <v>0</v>
      </c>
      <c r="M31" s="256"/>
      <c r="N31" s="257"/>
      <c r="O31" s="257"/>
      <c r="P31" s="257"/>
    </row>
    <row r="32" spans="1:16" ht="15.75" x14ac:dyDescent="0.25">
      <c r="A32" s="297"/>
      <c r="B32" s="297"/>
      <c r="C32" s="287"/>
      <c r="D32" s="287"/>
      <c r="E32" s="287"/>
      <c r="F32" s="254"/>
      <c r="G32" s="281"/>
      <c r="H32" s="281"/>
      <c r="I32" s="281"/>
      <c r="J32" s="281"/>
      <c r="K32" s="281"/>
      <c r="L32" s="281"/>
      <c r="M32" s="256"/>
      <c r="N32" s="257"/>
      <c r="O32" s="257"/>
      <c r="P32" s="257"/>
    </row>
    <row r="33" spans="1:16" ht="15.75" x14ac:dyDescent="0.25">
      <c r="A33" s="297"/>
      <c r="B33" s="297"/>
      <c r="C33" s="287" t="s">
        <v>653</v>
      </c>
      <c r="D33" s="287"/>
      <c r="E33" s="287"/>
      <c r="F33" s="254"/>
      <c r="G33" s="281"/>
      <c r="H33" s="281">
        <f>+F31</f>
        <v>0</v>
      </c>
      <c r="I33" s="281"/>
      <c r="J33" s="281"/>
      <c r="K33" s="281"/>
      <c r="L33" s="281"/>
      <c r="M33" s="256"/>
      <c r="N33" s="257"/>
      <c r="O33" s="257"/>
      <c r="P33" s="257"/>
    </row>
    <row r="34" spans="1:16" ht="15.75" x14ac:dyDescent="0.25">
      <c r="A34" s="297"/>
      <c r="B34" s="297"/>
      <c r="C34" s="287"/>
      <c r="D34" s="287"/>
      <c r="E34" s="287"/>
      <c r="F34" s="254"/>
      <c r="G34" s="281"/>
      <c r="H34" s="281"/>
      <c r="I34" s="281"/>
      <c r="J34" s="281"/>
      <c r="K34" s="281"/>
      <c r="L34" s="281"/>
      <c r="M34" s="256"/>
      <c r="N34" s="257"/>
      <c r="O34" s="257"/>
      <c r="P34" s="257"/>
    </row>
    <row r="35" spans="1:16" ht="15.75" x14ac:dyDescent="0.25">
      <c r="A35" s="297"/>
      <c r="B35" s="297"/>
      <c r="C35" s="287" t="s">
        <v>654</v>
      </c>
      <c r="D35" s="287"/>
      <c r="E35" s="287"/>
      <c r="F35" s="254"/>
      <c r="G35" s="281"/>
      <c r="H35" s="281">
        <f>+G31</f>
        <v>172.19</v>
      </c>
      <c r="I35" s="281"/>
      <c r="J35" s="281"/>
      <c r="K35" s="281"/>
      <c r="L35" s="281"/>
      <c r="M35" s="256"/>
      <c r="N35" s="257"/>
      <c r="O35" s="257"/>
      <c r="P35" s="257"/>
    </row>
    <row r="36" spans="1:16" ht="15.75" x14ac:dyDescent="0.25">
      <c r="A36" s="297"/>
      <c r="B36" s="297"/>
      <c r="C36" s="287"/>
      <c r="D36" s="287"/>
      <c r="E36" s="287"/>
      <c r="F36" s="254"/>
      <c r="G36" s="281"/>
      <c r="H36" s="281"/>
      <c r="I36" s="281"/>
      <c r="J36" s="281"/>
      <c r="K36" s="281"/>
      <c r="L36" s="281"/>
      <c r="M36" s="256"/>
      <c r="N36" s="257"/>
      <c r="O36" s="257"/>
      <c r="P36" s="257"/>
    </row>
    <row r="37" spans="1:16" ht="15.75" x14ac:dyDescent="0.25">
      <c r="A37" s="297"/>
      <c r="B37" s="297"/>
      <c r="C37" s="287"/>
      <c r="D37" s="287"/>
      <c r="E37" s="287"/>
      <c r="F37" s="254"/>
      <c r="G37" s="298"/>
      <c r="H37" s="255"/>
      <c r="I37" s="255"/>
      <c r="J37" s="255"/>
      <c r="K37" s="255"/>
      <c r="L37" s="255"/>
      <c r="M37" s="256"/>
      <c r="N37" s="257"/>
      <c r="O37" s="257"/>
      <c r="P37" s="257"/>
    </row>
    <row r="38" spans="1:16" ht="15.75" x14ac:dyDescent="0.25">
      <c r="A38" s="297"/>
      <c r="B38" s="297"/>
      <c r="C38" s="287" t="s">
        <v>590</v>
      </c>
      <c r="D38" s="287"/>
      <c r="E38" s="287"/>
      <c r="F38" s="254"/>
      <c r="G38" s="255"/>
      <c r="H38" s="258"/>
      <c r="I38" s="258"/>
      <c r="J38" s="258"/>
      <c r="K38" s="258"/>
      <c r="L38" s="255"/>
      <c r="M38" s="256"/>
      <c r="N38" s="257"/>
      <c r="O38" s="257"/>
      <c r="P38" s="257"/>
    </row>
    <row r="39" spans="1:16" ht="15.75" x14ac:dyDescent="0.25">
      <c r="A39" s="297"/>
      <c r="B39" s="297"/>
      <c r="C39" s="287" t="s">
        <v>141</v>
      </c>
      <c r="D39" s="287"/>
      <c r="E39" s="287"/>
      <c r="F39" s="254"/>
      <c r="G39" s="255"/>
      <c r="H39" s="299">
        <f>H31/1.13</f>
        <v>1.6371681415929207</v>
      </c>
      <c r="I39" s="281"/>
      <c r="J39" s="281"/>
      <c r="K39" s="281"/>
      <c r="L39" s="300"/>
      <c r="M39" s="256"/>
      <c r="N39" s="257"/>
      <c r="O39" s="257"/>
      <c r="P39" s="257"/>
    </row>
    <row r="40" spans="1:16" ht="15.75" x14ac:dyDescent="0.25">
      <c r="A40" s="297"/>
      <c r="B40" s="297"/>
      <c r="C40" s="287" t="s">
        <v>591</v>
      </c>
      <c r="D40" s="287"/>
      <c r="E40" s="287"/>
      <c r="F40" s="254"/>
      <c r="G40" s="255"/>
      <c r="H40" s="301">
        <f>(H39*0.13)</f>
        <v>0.21283185840707969</v>
      </c>
      <c r="I40" s="301"/>
      <c r="J40" s="301"/>
      <c r="K40" s="301"/>
      <c r="L40" s="300"/>
      <c r="M40" s="256"/>
      <c r="N40" s="257"/>
      <c r="O40" s="257"/>
      <c r="P40" s="257"/>
    </row>
    <row r="41" spans="1:16" ht="16.5" thickBot="1" x14ac:dyDescent="0.3">
      <c r="A41" s="297"/>
      <c r="B41" s="297"/>
      <c r="C41" s="287"/>
      <c r="D41" s="287"/>
      <c r="E41" s="287"/>
      <c r="F41" s="254"/>
      <c r="G41" s="255"/>
      <c r="H41" s="302"/>
      <c r="I41" s="303"/>
      <c r="J41" s="303"/>
      <c r="K41" s="303"/>
      <c r="L41" s="300"/>
      <c r="M41" s="256"/>
      <c r="N41" s="257"/>
      <c r="O41" s="257"/>
      <c r="P41" s="257"/>
    </row>
    <row r="42" spans="1:16" ht="16.5" thickTop="1" x14ac:dyDescent="0.25">
      <c r="A42" s="297"/>
      <c r="B42" s="297"/>
      <c r="C42" s="287" t="s">
        <v>592</v>
      </c>
      <c r="D42" s="287"/>
      <c r="E42" s="287"/>
      <c r="F42" s="254"/>
      <c r="G42" s="255"/>
      <c r="H42" s="274">
        <f>SUM(H39:H41)</f>
        <v>1.8500000000000003</v>
      </c>
      <c r="I42" s="274"/>
      <c r="J42" s="274"/>
      <c r="K42" s="274"/>
      <c r="L42" s="255"/>
      <c r="M42" s="256"/>
      <c r="N42" s="257"/>
      <c r="O42" s="257"/>
      <c r="P42" s="257"/>
    </row>
    <row r="43" spans="1:16" ht="16.5" thickBot="1" x14ac:dyDescent="0.3">
      <c r="A43" s="297"/>
      <c r="B43" s="297"/>
      <c r="C43" s="287"/>
      <c r="D43" s="287"/>
      <c r="E43" s="287"/>
      <c r="F43" s="254"/>
      <c r="G43" s="255"/>
      <c r="H43" s="302"/>
      <c r="I43" s="303"/>
      <c r="J43" s="303"/>
      <c r="K43" s="303"/>
      <c r="L43" s="255"/>
      <c r="M43" s="256"/>
      <c r="N43" s="257"/>
      <c r="O43" s="257"/>
      <c r="P43" s="257"/>
    </row>
    <row r="44" spans="1:16" ht="16.5" thickTop="1" x14ac:dyDescent="0.25">
      <c r="A44" s="297"/>
      <c r="B44" s="297"/>
      <c r="C44" s="287"/>
      <c r="D44" s="287"/>
      <c r="E44" s="287"/>
      <c r="F44" s="254"/>
      <c r="G44" s="255"/>
      <c r="H44" s="304"/>
      <c r="I44" s="304"/>
      <c r="J44" s="304"/>
      <c r="K44" s="304"/>
      <c r="L44" s="255"/>
      <c r="M44" s="256"/>
      <c r="N44" s="257"/>
      <c r="O44" s="257"/>
      <c r="P44" s="257"/>
    </row>
    <row r="45" spans="1:16" ht="15.75" x14ac:dyDescent="0.25">
      <c r="A45" s="297"/>
      <c r="B45" s="297"/>
      <c r="C45" s="287"/>
      <c r="D45" s="287"/>
      <c r="E45" s="287"/>
      <c r="F45" s="254"/>
      <c r="G45" s="255"/>
      <c r="H45" s="264"/>
      <c r="I45" s="264"/>
      <c r="J45" s="264"/>
      <c r="K45" s="264"/>
      <c r="L45" s="255"/>
      <c r="M45" s="256"/>
      <c r="N45" s="257"/>
      <c r="O45" s="257"/>
      <c r="P45" s="257"/>
    </row>
    <row r="46" spans="1:16" ht="15.75" x14ac:dyDescent="0.25">
      <c r="A46" s="297"/>
      <c r="B46" s="297"/>
      <c r="C46" s="287"/>
      <c r="D46" s="287"/>
      <c r="E46" s="287"/>
      <c r="F46" s="305"/>
      <c r="G46" s="255" t="s">
        <v>655</v>
      </c>
      <c r="H46" s="264"/>
      <c r="I46" s="264"/>
      <c r="J46" s="264"/>
      <c r="K46" s="264"/>
      <c r="L46" s="255"/>
      <c r="M46" s="256"/>
      <c r="N46" s="257"/>
      <c r="O46" s="257"/>
      <c r="P46" s="257"/>
    </row>
    <row r="47" spans="1:16" ht="15.75" x14ac:dyDescent="0.25">
      <c r="A47" s="297"/>
      <c r="B47" s="297"/>
      <c r="C47" s="287"/>
      <c r="D47" s="287"/>
      <c r="E47" s="287"/>
      <c r="F47" s="254"/>
      <c r="G47" s="306" t="s">
        <v>656</v>
      </c>
      <c r="H47" s="307">
        <f>+H40+H46</f>
        <v>0.21283185840707969</v>
      </c>
      <c r="I47" s="264"/>
      <c r="J47" s="264"/>
      <c r="K47" s="264"/>
      <c r="L47" s="255"/>
      <c r="M47" s="256"/>
      <c r="N47" s="257"/>
      <c r="O47" s="257"/>
      <c r="P47" s="257"/>
    </row>
    <row r="48" spans="1:16" ht="15.75" x14ac:dyDescent="0.25">
      <c r="A48" s="297"/>
      <c r="B48" s="297"/>
      <c r="C48" s="287"/>
      <c r="D48" s="287"/>
      <c r="E48" s="287"/>
      <c r="F48" s="254"/>
      <c r="G48" s="255"/>
      <c r="H48" s="264"/>
      <c r="I48" s="264"/>
      <c r="J48" s="264"/>
      <c r="K48" s="264"/>
      <c r="L48" s="255"/>
      <c r="M48" s="256"/>
      <c r="N48" s="257"/>
      <c r="O48" s="257"/>
      <c r="P48" s="257"/>
    </row>
    <row r="49" spans="1:18" ht="15.75" x14ac:dyDescent="0.25">
      <c r="A49" s="297"/>
      <c r="B49" s="297"/>
      <c r="C49" s="287"/>
      <c r="D49" s="287"/>
      <c r="E49" s="287"/>
      <c r="F49" s="254"/>
      <c r="G49" s="255"/>
      <c r="H49" s="264"/>
      <c r="I49" s="264"/>
      <c r="J49" s="264"/>
      <c r="K49" s="264"/>
      <c r="L49" s="255"/>
      <c r="M49" s="256"/>
      <c r="N49" s="257"/>
      <c r="O49" s="257"/>
      <c r="P49" s="257"/>
    </row>
    <row r="50" spans="1:18" ht="15.75" x14ac:dyDescent="0.25">
      <c r="A50" s="297"/>
      <c r="B50" s="297"/>
      <c r="C50" s="287"/>
      <c r="D50" s="287"/>
      <c r="E50" s="287"/>
      <c r="F50" s="254"/>
      <c r="G50" s="255"/>
      <c r="H50" s="308"/>
      <c r="I50" s="308"/>
      <c r="J50" s="308"/>
      <c r="K50" s="308"/>
      <c r="L50" s="255"/>
      <c r="M50" s="256"/>
      <c r="N50" s="257"/>
      <c r="O50" s="257"/>
      <c r="P50" s="257"/>
    </row>
    <row r="51" spans="1:18" ht="15.75" x14ac:dyDescent="0.25">
      <c r="A51" s="297"/>
      <c r="B51" s="297"/>
      <c r="C51" s="287"/>
      <c r="D51" s="287"/>
      <c r="E51" s="287"/>
      <c r="F51" s="254"/>
      <c r="G51" s="255"/>
      <c r="H51" s="308"/>
      <c r="I51" s="308"/>
      <c r="J51" s="308"/>
      <c r="K51" s="308"/>
      <c r="L51" s="255"/>
      <c r="M51" s="256"/>
      <c r="N51" s="257"/>
      <c r="O51" s="257"/>
      <c r="P51" s="257"/>
    </row>
    <row r="52" spans="1:18" ht="15.75" x14ac:dyDescent="0.25">
      <c r="A52" s="297"/>
      <c r="B52" s="297"/>
      <c r="C52" s="287"/>
      <c r="D52" s="287"/>
      <c r="E52" s="287"/>
      <c r="F52" s="254"/>
      <c r="G52" s="255"/>
      <c r="H52" s="304"/>
      <c r="I52" s="304"/>
      <c r="J52" s="304"/>
      <c r="K52" s="304"/>
      <c r="L52" s="255"/>
      <c r="M52" s="256"/>
      <c r="N52" s="257"/>
      <c r="O52" s="257"/>
      <c r="P52" s="257"/>
    </row>
    <row r="53" spans="1:18" ht="15.75" x14ac:dyDescent="0.25">
      <c r="A53" s="297"/>
      <c r="B53" s="297"/>
      <c r="C53" s="287"/>
      <c r="D53" s="287"/>
      <c r="E53" s="287"/>
      <c r="F53" s="254"/>
      <c r="G53" s="255"/>
      <c r="H53" s="304"/>
      <c r="I53" s="304"/>
      <c r="J53" s="304"/>
      <c r="K53" s="304"/>
      <c r="L53" s="255"/>
      <c r="M53" s="256"/>
      <c r="N53" s="257"/>
      <c r="O53" s="257"/>
      <c r="P53" s="257"/>
    </row>
    <row r="54" spans="1:18" ht="15.75" x14ac:dyDescent="0.25">
      <c r="A54" s="297"/>
      <c r="B54" s="297"/>
      <c r="C54" s="287"/>
      <c r="D54" s="287"/>
      <c r="E54" s="287"/>
      <c r="F54" s="254"/>
      <c r="G54" s="255"/>
      <c r="H54" s="308"/>
      <c r="I54" s="308"/>
      <c r="J54" s="308"/>
      <c r="K54" s="308"/>
      <c r="L54" s="255"/>
      <c r="M54" s="256"/>
      <c r="N54" s="257"/>
      <c r="O54" s="257"/>
      <c r="P54" s="257"/>
    </row>
    <row r="55" spans="1:18" ht="15.75" x14ac:dyDescent="0.25">
      <c r="A55" s="297"/>
      <c r="B55" s="297"/>
      <c r="C55" s="287"/>
      <c r="D55" s="287"/>
      <c r="E55" s="287"/>
      <c r="F55" s="254"/>
      <c r="G55" s="255"/>
      <c r="H55" s="255"/>
      <c r="I55" s="255"/>
      <c r="J55" s="255"/>
      <c r="K55" s="255"/>
      <c r="L55" s="255"/>
      <c r="M55" s="256"/>
      <c r="N55" s="257"/>
      <c r="O55" s="257"/>
      <c r="P55" s="257"/>
    </row>
    <row r="56" spans="1:18" ht="18.75" thickBot="1" x14ac:dyDescent="0.3">
      <c r="A56" s="297"/>
      <c r="B56" s="297"/>
      <c r="C56" s="287"/>
      <c r="D56" s="287"/>
      <c r="E56" s="287"/>
      <c r="F56" s="254"/>
      <c r="G56" s="255"/>
      <c r="H56" s="309" t="s">
        <v>657</v>
      </c>
      <c r="I56" s="309"/>
      <c r="J56" s="309"/>
      <c r="K56" s="309"/>
      <c r="L56" s="309"/>
      <c r="M56" s="256"/>
      <c r="N56" s="257"/>
      <c r="O56" s="257"/>
      <c r="P56" s="257"/>
    </row>
    <row r="57" spans="1:18" ht="18" x14ac:dyDescent="0.25">
      <c r="A57" s="297"/>
      <c r="B57" s="297"/>
      <c r="C57" s="287"/>
      <c r="D57" s="287"/>
      <c r="E57" s="287"/>
      <c r="F57" s="254"/>
      <c r="G57" s="255"/>
      <c r="H57" s="310"/>
      <c r="I57" s="310"/>
      <c r="J57" s="310"/>
      <c r="K57" s="310"/>
      <c r="L57" s="311"/>
      <c r="M57" s="256"/>
      <c r="N57" s="257"/>
      <c r="O57" s="257"/>
      <c r="P57" s="257"/>
    </row>
    <row r="58" spans="1:18" ht="18" x14ac:dyDescent="0.25">
      <c r="A58" s="297"/>
      <c r="B58" s="297"/>
      <c r="C58" s="287"/>
      <c r="D58" s="287"/>
      <c r="E58" s="287"/>
      <c r="F58" s="254"/>
      <c r="G58" s="255"/>
      <c r="H58" s="311" t="s">
        <v>658</v>
      </c>
      <c r="I58" s="311"/>
      <c r="J58" s="311"/>
      <c r="K58" s="311"/>
      <c r="L58" s="311"/>
      <c r="M58" s="256"/>
      <c r="N58" s="257"/>
      <c r="O58" s="257"/>
      <c r="P58" s="257"/>
    </row>
    <row r="59" spans="1:18" ht="15.75" x14ac:dyDescent="0.25">
      <c r="A59" s="312"/>
      <c r="B59" s="312"/>
      <c r="C59" s="313"/>
      <c r="D59" s="313"/>
      <c r="E59" s="313"/>
      <c r="F59" s="314"/>
      <c r="G59" s="263"/>
      <c r="H59" s="263"/>
      <c r="I59" s="263"/>
      <c r="J59" s="263"/>
      <c r="K59" s="263"/>
      <c r="L59" s="263"/>
      <c r="M59" s="256"/>
      <c r="N59" s="257"/>
      <c r="O59" s="257"/>
      <c r="P59" s="257"/>
    </row>
    <row r="60" spans="1:18" ht="15.75" x14ac:dyDescent="0.25">
      <c r="A60" s="312"/>
      <c r="B60" s="312"/>
      <c r="C60" s="313"/>
      <c r="D60" s="313"/>
      <c r="E60" s="313"/>
      <c r="F60" s="314"/>
      <c r="G60" s="263"/>
      <c r="H60" s="263"/>
      <c r="I60" s="263"/>
      <c r="J60" s="263"/>
      <c r="K60" s="263"/>
      <c r="L60" s="263"/>
      <c r="M60" s="256"/>
      <c r="N60" s="257"/>
      <c r="O60" s="257"/>
      <c r="P60" s="257"/>
    </row>
    <row r="62" spans="1:18" ht="20.25" x14ac:dyDescent="0.3">
      <c r="A62" s="257"/>
      <c r="B62" s="251" t="s">
        <v>640</v>
      </c>
      <c r="C62" s="252"/>
      <c r="D62" s="253"/>
      <c r="E62" s="253"/>
      <c r="F62" s="253"/>
      <c r="G62" s="254"/>
      <c r="H62" s="255"/>
      <c r="I62" s="255"/>
      <c r="J62" s="255"/>
      <c r="K62" s="255"/>
      <c r="L62" s="255"/>
      <c r="M62" s="255"/>
      <c r="N62" s="256"/>
      <c r="O62" s="257"/>
      <c r="P62" s="257"/>
      <c r="Q62" s="257"/>
      <c r="R62" s="257"/>
    </row>
    <row r="63" spans="1:18" ht="15.75" x14ac:dyDescent="0.25">
      <c r="A63" s="257"/>
      <c r="B63" s="253" t="s">
        <v>252</v>
      </c>
      <c r="C63" s="253"/>
      <c r="D63" s="253"/>
      <c r="E63" s="253"/>
      <c r="F63" s="253"/>
      <c r="G63" s="254"/>
      <c r="H63" s="255"/>
      <c r="I63" s="255"/>
      <c r="J63" s="255"/>
      <c r="K63" s="255"/>
      <c r="L63" s="255"/>
      <c r="M63" s="255"/>
      <c r="N63" s="256"/>
      <c r="O63" s="257"/>
      <c r="P63" s="257"/>
      <c r="Q63" s="257"/>
      <c r="R63" s="257"/>
    </row>
    <row r="64" spans="1:18" ht="15.75" x14ac:dyDescent="0.25">
      <c r="A64" s="257"/>
      <c r="B64" s="252" t="s">
        <v>253</v>
      </c>
      <c r="C64" s="253"/>
      <c r="D64" s="253"/>
      <c r="E64" s="253"/>
      <c r="F64" s="253"/>
      <c r="G64" s="254"/>
      <c r="H64" s="258"/>
      <c r="I64" s="258"/>
      <c r="J64" s="255"/>
      <c r="K64" s="255"/>
      <c r="L64" s="255"/>
      <c r="M64" s="255"/>
      <c r="N64" s="256"/>
      <c r="O64" s="257"/>
      <c r="P64" s="257"/>
      <c r="Q64" s="257"/>
      <c r="R64" s="257"/>
    </row>
    <row r="65" spans="1:18" ht="15.75" x14ac:dyDescent="0.25">
      <c r="A65" s="257"/>
      <c r="B65" s="253" t="s">
        <v>356</v>
      </c>
      <c r="C65" s="253"/>
      <c r="D65" s="253"/>
      <c r="E65" s="253"/>
      <c r="F65" s="253"/>
      <c r="G65" s="254"/>
      <c r="H65" s="255"/>
      <c r="I65" s="255"/>
      <c r="J65" s="255"/>
      <c r="K65" s="255"/>
      <c r="L65" s="255"/>
      <c r="M65" s="255"/>
      <c r="N65" s="256"/>
      <c r="O65" s="257"/>
      <c r="P65" s="257"/>
      <c r="Q65" s="257"/>
      <c r="R65" s="257"/>
    </row>
    <row r="66" spans="1:18" ht="15.75" x14ac:dyDescent="0.25">
      <c r="A66" s="257"/>
      <c r="B66" s="259" t="s">
        <v>457</v>
      </c>
      <c r="C66" s="260"/>
      <c r="D66" s="261"/>
      <c r="E66" s="262" t="s">
        <v>677</v>
      </c>
      <c r="F66" s="253"/>
      <c r="G66" s="254"/>
      <c r="H66" s="255"/>
      <c r="I66" s="263"/>
      <c r="J66" s="263"/>
      <c r="K66" s="263"/>
      <c r="L66" s="263"/>
      <c r="M66" s="263"/>
      <c r="N66" s="256"/>
      <c r="O66" s="257"/>
      <c r="P66" s="257"/>
      <c r="Q66" s="257"/>
      <c r="R66" s="257"/>
    </row>
    <row r="67" spans="1:18" ht="15.75" x14ac:dyDescent="0.25">
      <c r="A67" s="257"/>
      <c r="B67" s="256"/>
      <c r="C67" s="256"/>
      <c r="D67" s="253"/>
      <c r="E67" s="253"/>
      <c r="F67" s="253"/>
      <c r="G67" s="254"/>
      <c r="H67" s="255"/>
      <c r="I67" s="255"/>
      <c r="J67" s="255"/>
      <c r="K67" s="255"/>
      <c r="L67" s="255"/>
      <c r="M67" s="255"/>
      <c r="N67" s="256"/>
      <c r="O67" s="257"/>
      <c r="P67" s="257"/>
      <c r="Q67" s="257"/>
      <c r="R67" s="257"/>
    </row>
    <row r="68" spans="1:18" ht="15.75" x14ac:dyDescent="0.25">
      <c r="A68" s="257"/>
      <c r="B68" s="256"/>
      <c r="C68" s="256"/>
      <c r="D68" s="253"/>
      <c r="E68" s="253"/>
      <c r="F68" s="253"/>
      <c r="G68" s="254"/>
      <c r="H68" s="255"/>
      <c r="I68" s="255"/>
      <c r="J68" s="255"/>
      <c r="K68" s="255"/>
      <c r="L68" s="255"/>
      <c r="M68" s="255"/>
      <c r="N68" s="256"/>
      <c r="O68" s="257"/>
      <c r="P68" s="257"/>
      <c r="Q68" s="257"/>
      <c r="R68" s="257"/>
    </row>
    <row r="69" spans="1:18" ht="15.75" x14ac:dyDescent="0.25">
      <c r="A69" s="257"/>
      <c r="B69" s="256"/>
      <c r="C69" s="256"/>
      <c r="D69" s="253"/>
      <c r="E69" s="253"/>
      <c r="F69" s="253"/>
      <c r="G69" s="254"/>
      <c r="H69" s="264" t="s">
        <v>94</v>
      </c>
      <c r="I69" s="264" t="s">
        <v>94</v>
      </c>
      <c r="J69" s="264" t="s">
        <v>641</v>
      </c>
      <c r="K69" s="264" t="s">
        <v>642</v>
      </c>
      <c r="L69" s="264" t="s">
        <v>94</v>
      </c>
      <c r="M69" s="264" t="s">
        <v>257</v>
      </c>
      <c r="N69" s="256"/>
      <c r="O69" s="257"/>
      <c r="P69" s="257"/>
      <c r="Q69" s="257"/>
      <c r="R69" s="257"/>
    </row>
    <row r="70" spans="1:18" ht="16.5" thickBot="1" x14ac:dyDescent="0.3">
      <c r="A70" s="315"/>
      <c r="B70" s="265" t="s">
        <v>137</v>
      </c>
      <c r="C70" s="265"/>
      <c r="D70" s="265" t="s">
        <v>643</v>
      </c>
      <c r="E70" s="265"/>
      <c r="F70" s="265" t="s">
        <v>644</v>
      </c>
      <c r="G70" s="266" t="s">
        <v>140</v>
      </c>
      <c r="H70" s="267" t="s">
        <v>327</v>
      </c>
      <c r="I70" s="268" t="s">
        <v>645</v>
      </c>
      <c r="J70" s="267" t="s">
        <v>646</v>
      </c>
      <c r="K70" s="267" t="s">
        <v>647</v>
      </c>
      <c r="L70" s="267" t="s">
        <v>326</v>
      </c>
      <c r="M70" s="267" t="s">
        <v>94</v>
      </c>
      <c r="N70" s="256"/>
      <c r="O70" s="257"/>
      <c r="P70" s="257"/>
      <c r="Q70" s="257"/>
      <c r="R70" s="257"/>
    </row>
    <row r="71" spans="1:18" ht="16.5" thickTop="1" x14ac:dyDescent="0.25">
      <c r="A71" s="257"/>
      <c r="B71" s="269"/>
      <c r="C71" s="270"/>
      <c r="D71" s="271"/>
      <c r="E71" s="271"/>
      <c r="F71" s="271"/>
      <c r="G71" s="272"/>
      <c r="H71" s="272"/>
      <c r="I71" s="273"/>
      <c r="J71" s="273"/>
      <c r="K71" s="273"/>
      <c r="L71" s="273"/>
      <c r="M71" s="274"/>
      <c r="N71" s="256"/>
      <c r="O71" s="257"/>
      <c r="P71" s="257"/>
      <c r="Q71" s="257"/>
      <c r="R71" s="257"/>
    </row>
    <row r="72" spans="1:18" ht="15.75" x14ac:dyDescent="0.25">
      <c r="A72" s="282"/>
      <c r="B72" s="275">
        <v>43419</v>
      </c>
      <c r="C72" s="276"/>
      <c r="D72" s="277" t="s">
        <v>678</v>
      </c>
      <c r="E72" s="276"/>
      <c r="F72" s="278" t="str">
        <f>D72</f>
        <v>1993</v>
      </c>
      <c r="G72" s="279">
        <v>0</v>
      </c>
      <c r="H72" s="279">
        <v>0</v>
      </c>
      <c r="I72" s="280">
        <v>25.97</v>
      </c>
      <c r="J72" s="273"/>
      <c r="K72" s="273"/>
      <c r="L72" s="280">
        <v>0</v>
      </c>
      <c r="M72" s="281"/>
      <c r="N72" s="280"/>
      <c r="O72" s="282"/>
      <c r="P72" s="282"/>
      <c r="Q72" s="282"/>
      <c r="R72" s="282"/>
    </row>
    <row r="73" spans="1:18" ht="15.75" x14ac:dyDescent="0.25">
      <c r="A73" s="282"/>
      <c r="B73" s="275">
        <v>43432</v>
      </c>
      <c r="C73" s="276"/>
      <c r="D73" s="277" t="s">
        <v>679</v>
      </c>
      <c r="E73" s="276"/>
      <c r="F73" s="278" t="str">
        <f>D73</f>
        <v>1992</v>
      </c>
      <c r="G73" s="279">
        <v>0</v>
      </c>
      <c r="H73" s="279">
        <v>4.6500000000000004</v>
      </c>
      <c r="I73" s="280">
        <v>0</v>
      </c>
      <c r="J73" s="273"/>
      <c r="K73" s="273"/>
      <c r="L73" s="280">
        <v>0</v>
      </c>
      <c r="M73" s="281"/>
      <c r="N73" s="280"/>
      <c r="O73" s="282"/>
      <c r="P73" s="282"/>
      <c r="Q73" s="282"/>
      <c r="R73" s="282"/>
    </row>
    <row r="74" spans="1:18" ht="15.75" x14ac:dyDescent="0.25">
      <c r="A74" s="282"/>
      <c r="B74" s="275"/>
      <c r="C74" s="276"/>
      <c r="D74" s="277" t="s">
        <v>581</v>
      </c>
      <c r="E74" s="276"/>
      <c r="F74" s="278" t="str">
        <f>D74</f>
        <v>0</v>
      </c>
      <c r="G74" s="279">
        <v>0</v>
      </c>
      <c r="H74" s="279">
        <v>0</v>
      </c>
      <c r="I74" s="280">
        <v>0</v>
      </c>
      <c r="J74" s="273"/>
      <c r="K74" s="273"/>
      <c r="L74" s="280">
        <v>0</v>
      </c>
      <c r="M74" s="281"/>
      <c r="N74" s="280"/>
      <c r="O74" s="282"/>
      <c r="P74" s="282"/>
      <c r="Q74" s="282"/>
      <c r="R74" s="282"/>
    </row>
    <row r="75" spans="1:18" ht="15.75" x14ac:dyDescent="0.25">
      <c r="A75" s="256"/>
      <c r="B75" s="285"/>
      <c r="C75" s="286"/>
      <c r="D75" s="277"/>
      <c r="E75" s="287"/>
      <c r="F75" s="278"/>
      <c r="G75" s="254"/>
      <c r="H75" s="284"/>
      <c r="I75" s="282"/>
      <c r="J75" s="273"/>
      <c r="K75" s="273"/>
      <c r="L75" s="273"/>
      <c r="M75" s="274"/>
      <c r="N75" s="256"/>
      <c r="O75" s="257"/>
      <c r="P75" s="257"/>
      <c r="Q75" s="257"/>
      <c r="R75" s="257"/>
    </row>
    <row r="76" spans="1:18" ht="15.75" x14ac:dyDescent="0.25">
      <c r="A76" s="256"/>
      <c r="B76" s="285"/>
      <c r="C76" s="288"/>
      <c r="D76" s="289"/>
      <c r="E76" s="290"/>
      <c r="F76" s="278"/>
      <c r="G76" s="291"/>
      <c r="H76" s="284"/>
      <c r="I76" s="282"/>
      <c r="J76" s="273"/>
      <c r="K76" s="273"/>
      <c r="L76" s="273"/>
      <c r="M76" s="274"/>
      <c r="N76" s="256"/>
      <c r="O76" s="257"/>
      <c r="P76" s="257"/>
      <c r="Q76" s="257">
        <f>+M76/1.13</f>
        <v>0</v>
      </c>
      <c r="R76" s="257">
        <f>+Q76*0.13</f>
        <v>0</v>
      </c>
    </row>
    <row r="77" spans="1:18" ht="15.75" x14ac:dyDescent="0.25">
      <c r="A77" s="256"/>
      <c r="B77" s="285"/>
      <c r="C77" s="286"/>
      <c r="D77" s="289"/>
      <c r="E77" s="287"/>
      <c r="F77" s="278"/>
      <c r="G77" s="254"/>
      <c r="H77" s="284"/>
      <c r="I77" s="282"/>
      <c r="J77" s="273"/>
      <c r="K77" s="273"/>
      <c r="L77" s="273"/>
      <c r="M77" s="274"/>
      <c r="N77" s="256"/>
      <c r="O77" s="257"/>
      <c r="P77" s="257"/>
      <c r="Q77" s="257"/>
      <c r="R77" s="257"/>
    </row>
    <row r="78" spans="1:18" ht="15.75" x14ac:dyDescent="0.25">
      <c r="A78" s="256"/>
      <c r="B78" s="285"/>
      <c r="C78" s="286"/>
      <c r="D78" s="292"/>
      <c r="E78" s="287"/>
      <c r="F78" s="278"/>
      <c r="G78" s="254"/>
      <c r="H78" s="284"/>
      <c r="I78" s="273"/>
      <c r="J78" s="273"/>
      <c r="K78" s="273"/>
      <c r="L78" s="273"/>
      <c r="M78" s="274"/>
      <c r="N78" s="256"/>
      <c r="O78" s="257"/>
      <c r="P78" s="257"/>
      <c r="Q78" s="257"/>
      <c r="R78" s="257"/>
    </row>
    <row r="79" spans="1:18" ht="16.5" thickBot="1" x14ac:dyDescent="0.3">
      <c r="A79" s="256"/>
      <c r="B79" s="293"/>
      <c r="C79" s="293"/>
      <c r="D79" s="294"/>
      <c r="E79" s="294"/>
      <c r="F79" s="294"/>
      <c r="G79" s="266"/>
      <c r="H79" s="266"/>
      <c r="I79" s="295"/>
      <c r="J79" s="295"/>
      <c r="K79" s="295"/>
      <c r="L79" s="295"/>
      <c r="M79" s="296"/>
      <c r="N79" s="256"/>
      <c r="O79" s="257"/>
      <c r="P79" s="257"/>
      <c r="Q79" s="257"/>
      <c r="R79" s="257"/>
    </row>
    <row r="80" spans="1:18" ht="16.5" thickTop="1" x14ac:dyDescent="0.25">
      <c r="A80" s="256"/>
      <c r="B80" s="297"/>
      <c r="C80" s="297"/>
      <c r="D80" s="287"/>
      <c r="E80" s="287"/>
      <c r="F80" s="287"/>
      <c r="G80" s="281">
        <f>SUM(G71:G79)</f>
        <v>0</v>
      </c>
      <c r="H80" s="281">
        <f t="shared" ref="H80:M80" si="2">SUM(H71:H79)</f>
        <v>4.6500000000000004</v>
      </c>
      <c r="I80" s="281">
        <f>SUM(I71:I79)</f>
        <v>25.97</v>
      </c>
      <c r="J80" s="281">
        <f t="shared" si="2"/>
        <v>0</v>
      </c>
      <c r="K80" s="281">
        <f t="shared" si="2"/>
        <v>0</v>
      </c>
      <c r="L80" s="281">
        <f t="shared" si="2"/>
        <v>0</v>
      </c>
      <c r="M80" s="281">
        <f t="shared" si="2"/>
        <v>0</v>
      </c>
      <c r="N80" s="256"/>
      <c r="O80" s="257"/>
      <c r="P80" s="257"/>
      <c r="Q80" s="257"/>
      <c r="R80" s="257"/>
    </row>
    <row r="81" spans="1:18" ht="15.75" x14ac:dyDescent="0.25">
      <c r="A81" s="256"/>
      <c r="B81" s="297"/>
      <c r="C81" s="297"/>
      <c r="D81" s="287"/>
      <c r="E81" s="287"/>
      <c r="F81" s="287"/>
      <c r="G81" s="254"/>
      <c r="H81" s="281"/>
      <c r="I81" s="281"/>
      <c r="J81" s="281"/>
      <c r="K81" s="281"/>
      <c r="L81" s="281"/>
      <c r="M81" s="281"/>
      <c r="N81" s="256"/>
      <c r="O81" s="257"/>
      <c r="P81" s="257"/>
      <c r="Q81" s="257"/>
      <c r="R81" s="257"/>
    </row>
    <row r="82" spans="1:18" ht="15.75" x14ac:dyDescent="0.25">
      <c r="A82" s="256"/>
      <c r="B82" s="297"/>
      <c r="C82" s="297"/>
      <c r="D82" s="287" t="s">
        <v>653</v>
      </c>
      <c r="E82" s="287"/>
      <c r="F82" s="287"/>
      <c r="G82" s="254"/>
      <c r="H82" s="281"/>
      <c r="I82" s="281">
        <f>+G80</f>
        <v>0</v>
      </c>
      <c r="J82" s="281"/>
      <c r="K82" s="281"/>
      <c r="L82" s="281"/>
      <c r="M82" s="281"/>
      <c r="N82" s="256"/>
      <c r="O82" s="257"/>
      <c r="P82" s="257"/>
      <c r="Q82" s="257"/>
      <c r="R82" s="257"/>
    </row>
    <row r="83" spans="1:18" ht="15.75" x14ac:dyDescent="0.25">
      <c r="A83" s="256"/>
      <c r="B83" s="297"/>
      <c r="C83" s="297"/>
      <c r="D83" s="287"/>
      <c r="E83" s="287"/>
      <c r="F83" s="287"/>
      <c r="G83" s="254"/>
      <c r="H83" s="281"/>
      <c r="I83" s="281"/>
      <c r="J83" s="281"/>
      <c r="K83" s="281"/>
      <c r="L83" s="281"/>
      <c r="M83" s="281"/>
      <c r="N83" s="256"/>
      <c r="O83" s="257"/>
      <c r="P83" s="257"/>
      <c r="Q83" s="257"/>
      <c r="R83" s="257"/>
    </row>
    <row r="84" spans="1:18" ht="15.75" x14ac:dyDescent="0.25">
      <c r="A84" s="256"/>
      <c r="B84" s="297"/>
      <c r="C84" s="297"/>
      <c r="D84" s="287" t="s">
        <v>654</v>
      </c>
      <c r="E84" s="287"/>
      <c r="F84" s="287"/>
      <c r="G84" s="254"/>
      <c r="H84" s="281"/>
      <c r="I84" s="281">
        <f>+H80</f>
        <v>4.6500000000000004</v>
      </c>
      <c r="J84" s="281"/>
      <c r="K84" s="281"/>
      <c r="L84" s="281"/>
      <c r="M84" s="281"/>
      <c r="N84" s="256"/>
      <c r="O84" s="257"/>
      <c r="P84" s="257"/>
      <c r="Q84" s="257"/>
      <c r="R84" s="257"/>
    </row>
    <row r="85" spans="1:18" ht="15.75" x14ac:dyDescent="0.25">
      <c r="A85" s="256"/>
      <c r="B85" s="297"/>
      <c r="C85" s="297"/>
      <c r="D85" s="287"/>
      <c r="E85" s="287"/>
      <c r="F85" s="287"/>
      <c r="G85" s="254"/>
      <c r="H85" s="281"/>
      <c r="I85" s="281"/>
      <c r="J85" s="281"/>
      <c r="K85" s="281"/>
      <c r="L85" s="281"/>
      <c r="M85" s="281"/>
      <c r="N85" s="256"/>
      <c r="O85" s="257"/>
      <c r="P85" s="257"/>
      <c r="Q85" s="257"/>
      <c r="R85" s="257"/>
    </row>
    <row r="86" spans="1:18" ht="15.75" x14ac:dyDescent="0.25">
      <c r="A86" s="256"/>
      <c r="B86" s="297"/>
      <c r="C86" s="297"/>
      <c r="D86" s="287"/>
      <c r="E86" s="287"/>
      <c r="F86" s="287"/>
      <c r="G86" s="254"/>
      <c r="H86" s="298"/>
      <c r="I86" s="255"/>
      <c r="J86" s="255"/>
      <c r="K86" s="255"/>
      <c r="L86" s="255"/>
      <c r="M86" s="255"/>
      <c r="N86" s="256"/>
      <c r="O86" s="257"/>
      <c r="P86" s="257"/>
      <c r="Q86" s="257"/>
      <c r="R86" s="257"/>
    </row>
    <row r="87" spans="1:18" ht="15.75" x14ac:dyDescent="0.25">
      <c r="A87" s="256"/>
      <c r="B87" s="297"/>
      <c r="C87" s="297"/>
      <c r="D87" s="287" t="s">
        <v>590</v>
      </c>
      <c r="E87" s="287"/>
      <c r="F87" s="287"/>
      <c r="G87" s="254"/>
      <c r="H87" s="255"/>
      <c r="I87" s="258"/>
      <c r="J87" s="258"/>
      <c r="K87" s="258"/>
      <c r="L87" s="258"/>
      <c r="M87" s="255"/>
      <c r="N87" s="256"/>
      <c r="O87" s="257"/>
      <c r="P87" s="257"/>
      <c r="Q87" s="257"/>
      <c r="R87" s="257"/>
    </row>
    <row r="88" spans="1:18" ht="15.75" x14ac:dyDescent="0.25">
      <c r="A88" s="256"/>
      <c r="B88" s="297"/>
      <c r="C88" s="297"/>
      <c r="D88" s="287" t="s">
        <v>141</v>
      </c>
      <c r="E88" s="287"/>
      <c r="F88" s="287"/>
      <c r="G88" s="254"/>
      <c r="H88" s="255"/>
      <c r="I88" s="299">
        <f>I80/1.13</f>
        <v>22.982300884955752</v>
      </c>
      <c r="J88" s="281"/>
      <c r="K88" s="281"/>
      <c r="L88" s="281"/>
      <c r="M88" s="300"/>
      <c r="N88" s="256"/>
      <c r="O88" s="257"/>
      <c r="P88" s="257"/>
      <c r="Q88" s="257"/>
      <c r="R88" s="257"/>
    </row>
    <row r="89" spans="1:18" ht="15.75" x14ac:dyDescent="0.25">
      <c r="A89" s="256"/>
      <c r="B89" s="297"/>
      <c r="C89" s="297"/>
      <c r="D89" s="287" t="s">
        <v>591</v>
      </c>
      <c r="E89" s="287"/>
      <c r="F89" s="287"/>
      <c r="G89" s="254"/>
      <c r="H89" s="255"/>
      <c r="I89" s="301">
        <f>(I88*0.13)</f>
        <v>2.987699115044248</v>
      </c>
      <c r="J89" s="301"/>
      <c r="K89" s="301"/>
      <c r="L89" s="301"/>
      <c r="M89" s="300"/>
      <c r="N89" s="256"/>
      <c r="O89" s="257"/>
      <c r="P89" s="257"/>
      <c r="Q89" s="257"/>
      <c r="R89" s="257"/>
    </row>
    <row r="90" spans="1:18" ht="16.5" thickBot="1" x14ac:dyDescent="0.3">
      <c r="A90" s="256"/>
      <c r="B90" s="297"/>
      <c r="C90" s="297"/>
      <c r="D90" s="287"/>
      <c r="E90" s="287"/>
      <c r="F90" s="287"/>
      <c r="G90" s="254"/>
      <c r="H90" s="255"/>
      <c r="I90" s="302"/>
      <c r="J90" s="303"/>
      <c r="K90" s="303"/>
      <c r="L90" s="303"/>
      <c r="M90" s="300"/>
      <c r="N90" s="256"/>
      <c r="O90" s="257"/>
      <c r="P90" s="257"/>
      <c r="Q90" s="257"/>
      <c r="R90" s="257"/>
    </row>
    <row r="91" spans="1:18" ht="16.5" thickTop="1" x14ac:dyDescent="0.25">
      <c r="A91" s="256"/>
      <c r="B91" s="297"/>
      <c r="C91" s="297"/>
      <c r="D91" s="287" t="s">
        <v>592</v>
      </c>
      <c r="E91" s="287"/>
      <c r="F91" s="287"/>
      <c r="G91" s="254"/>
      <c r="H91" s="255"/>
      <c r="I91" s="274">
        <f>SUM(I88:I90)</f>
        <v>25.97</v>
      </c>
      <c r="J91" s="274"/>
      <c r="K91" s="274"/>
      <c r="L91" s="274"/>
      <c r="M91" s="255"/>
      <c r="N91" s="256"/>
      <c r="O91" s="257"/>
      <c r="P91" s="257"/>
      <c r="Q91" s="257"/>
      <c r="R91" s="257"/>
    </row>
    <row r="92" spans="1:18" ht="16.5" thickBot="1" x14ac:dyDescent="0.3">
      <c r="A92" s="256"/>
      <c r="B92" s="297"/>
      <c r="C92" s="297"/>
      <c r="D92" s="287"/>
      <c r="E92" s="287"/>
      <c r="F92" s="287"/>
      <c r="G92" s="254"/>
      <c r="H92" s="255"/>
      <c r="I92" s="302"/>
      <c r="J92" s="303"/>
      <c r="K92" s="303"/>
      <c r="L92" s="303"/>
      <c r="M92" s="255"/>
      <c r="N92" s="256"/>
      <c r="O92" s="257"/>
      <c r="P92" s="257"/>
      <c r="Q92" s="257"/>
      <c r="R92" s="257"/>
    </row>
    <row r="93" spans="1:18" ht="16.5" thickTop="1" x14ac:dyDescent="0.25">
      <c r="A93" s="256"/>
      <c r="B93" s="297"/>
      <c r="C93" s="297"/>
      <c r="D93" s="287"/>
      <c r="E93" s="287"/>
      <c r="F93" s="287"/>
      <c r="G93" s="254"/>
      <c r="H93" s="255"/>
      <c r="I93" s="304"/>
      <c r="J93" s="304"/>
      <c r="K93" s="304"/>
      <c r="L93" s="304"/>
      <c r="M93" s="255"/>
      <c r="N93" s="256"/>
      <c r="O93" s="257"/>
      <c r="P93" s="257"/>
      <c r="Q93" s="257"/>
      <c r="R93" s="257"/>
    </row>
    <row r="94" spans="1:18" ht="15.75" x14ac:dyDescent="0.25">
      <c r="A94" s="256"/>
      <c r="B94" s="297"/>
      <c r="C94" s="297"/>
      <c r="D94" s="287"/>
      <c r="E94" s="287"/>
      <c r="F94" s="287"/>
      <c r="G94" s="254"/>
      <c r="H94" s="255"/>
      <c r="I94" s="264"/>
      <c r="J94" s="264"/>
      <c r="K94" s="264"/>
      <c r="L94" s="264"/>
      <c r="M94" s="255"/>
      <c r="N94" s="256"/>
      <c r="O94" s="257"/>
      <c r="P94" s="257"/>
      <c r="Q94" s="257"/>
      <c r="R94" s="257"/>
    </row>
    <row r="95" spans="1:18" ht="15.75" x14ac:dyDescent="0.25">
      <c r="A95" s="256"/>
      <c r="B95" s="297"/>
      <c r="C95" s="297"/>
      <c r="D95" s="287"/>
      <c r="E95" s="287"/>
      <c r="F95" s="287"/>
      <c r="G95" s="305"/>
      <c r="H95" s="255" t="s">
        <v>655</v>
      </c>
      <c r="I95" s="264">
        <v>-2.99</v>
      </c>
      <c r="J95" s="264"/>
      <c r="K95" s="264"/>
      <c r="L95" s="264"/>
      <c r="M95" s="255"/>
      <c r="N95" s="256"/>
      <c r="O95" s="257"/>
      <c r="P95" s="257"/>
      <c r="Q95" s="257"/>
      <c r="R95" s="257"/>
    </row>
    <row r="96" spans="1:18" ht="15.75" x14ac:dyDescent="0.25">
      <c r="A96" s="256"/>
      <c r="B96" s="297"/>
      <c r="C96" s="297"/>
      <c r="D96" s="287"/>
      <c r="E96" s="287"/>
      <c r="F96" s="287"/>
      <c r="G96" s="254"/>
      <c r="H96" s="306" t="s">
        <v>656</v>
      </c>
      <c r="I96" s="307">
        <f>+I89+I95</f>
        <v>-2.3008849557522026E-3</v>
      </c>
      <c r="J96" s="264"/>
      <c r="K96" s="264"/>
      <c r="L96" s="264"/>
      <c r="M96" s="255"/>
      <c r="N96" s="256"/>
      <c r="O96" s="257"/>
      <c r="P96" s="257"/>
      <c r="Q96" s="257"/>
      <c r="R96" s="257"/>
    </row>
    <row r="102" spans="1:18" ht="20.25" x14ac:dyDescent="0.3">
      <c r="A102" s="257"/>
      <c r="B102" s="251" t="s">
        <v>640</v>
      </c>
      <c r="C102" s="252"/>
      <c r="D102" s="253"/>
      <c r="E102" s="253"/>
      <c r="F102" s="253"/>
      <c r="G102" s="254"/>
      <c r="H102" s="255"/>
      <c r="I102" s="255"/>
      <c r="J102" s="255"/>
      <c r="K102" s="255"/>
      <c r="L102" s="255"/>
      <c r="M102" s="255"/>
      <c r="N102" s="256"/>
      <c r="O102" s="257"/>
      <c r="P102" s="257"/>
      <c r="Q102" s="257"/>
      <c r="R102" s="257"/>
    </row>
    <row r="103" spans="1:18" ht="15.75" x14ac:dyDescent="0.25">
      <c r="A103" s="257"/>
      <c r="B103" s="253" t="s">
        <v>252</v>
      </c>
      <c r="C103" s="253"/>
      <c r="D103" s="253"/>
      <c r="E103" s="253"/>
      <c r="F103" s="253"/>
      <c r="G103" s="254"/>
      <c r="H103" s="255"/>
      <c r="I103" s="255"/>
      <c r="J103" s="255"/>
      <c r="K103" s="255"/>
      <c r="L103" s="255"/>
      <c r="M103" s="255"/>
      <c r="N103" s="256"/>
      <c r="O103" s="257"/>
      <c r="P103" s="257"/>
      <c r="Q103" s="257"/>
      <c r="R103" s="257"/>
    </row>
    <row r="104" spans="1:18" ht="15.75" x14ac:dyDescent="0.25">
      <c r="A104" s="257"/>
      <c r="B104" s="252" t="s">
        <v>253</v>
      </c>
      <c r="C104" s="253"/>
      <c r="D104" s="253"/>
      <c r="E104" s="253"/>
      <c r="F104" s="253"/>
      <c r="G104" s="254"/>
      <c r="H104" s="258"/>
      <c r="I104" s="258"/>
      <c r="J104" s="255"/>
      <c r="K104" s="255"/>
      <c r="L104" s="255"/>
      <c r="M104" s="255"/>
      <c r="N104" s="256"/>
      <c r="O104" s="257"/>
      <c r="P104" s="257"/>
      <c r="Q104" s="257"/>
      <c r="R104" s="257"/>
    </row>
    <row r="105" spans="1:18" ht="15.75" x14ac:dyDescent="0.25">
      <c r="A105" s="257"/>
      <c r="B105" s="253" t="s">
        <v>356</v>
      </c>
      <c r="C105" s="253"/>
      <c r="D105" s="253"/>
      <c r="E105" s="253"/>
      <c r="F105" s="253"/>
      <c r="G105" s="254"/>
      <c r="H105" s="255"/>
      <c r="I105" s="255"/>
      <c r="J105" s="255"/>
      <c r="K105" s="255"/>
      <c r="L105" s="255"/>
      <c r="M105" s="255"/>
      <c r="N105" s="256"/>
      <c r="O105" s="257"/>
      <c r="P105" s="257"/>
      <c r="Q105" s="257"/>
      <c r="R105" s="257"/>
    </row>
    <row r="106" spans="1:18" ht="15.75" x14ac:dyDescent="0.25">
      <c r="A106" s="257"/>
      <c r="B106" s="259" t="s">
        <v>457</v>
      </c>
      <c r="C106" s="260"/>
      <c r="D106" s="261"/>
      <c r="E106" s="262" t="s">
        <v>681</v>
      </c>
      <c r="F106" s="253"/>
      <c r="G106" s="254"/>
      <c r="H106" s="255"/>
      <c r="I106" s="263"/>
      <c r="J106" s="263"/>
      <c r="K106" s="263"/>
      <c r="L106" s="263"/>
      <c r="M106" s="263"/>
      <c r="N106" s="256"/>
      <c r="O106" s="257"/>
      <c r="P106" s="257"/>
      <c r="Q106" s="257"/>
      <c r="R106" s="257"/>
    </row>
    <row r="107" spans="1:18" ht="15.75" x14ac:dyDescent="0.25">
      <c r="A107" s="257"/>
      <c r="B107" s="256"/>
      <c r="C107" s="256"/>
      <c r="D107" s="253"/>
      <c r="E107" s="253"/>
      <c r="F107" s="253"/>
      <c r="G107" s="254"/>
      <c r="H107" s="255"/>
      <c r="I107" s="255"/>
      <c r="J107" s="255"/>
      <c r="K107" s="255"/>
      <c r="L107" s="255"/>
      <c r="M107" s="255"/>
      <c r="N107" s="256"/>
      <c r="O107" s="257"/>
      <c r="P107" s="257"/>
      <c r="Q107" s="257"/>
      <c r="R107" s="257"/>
    </row>
    <row r="108" spans="1:18" ht="15.75" x14ac:dyDescent="0.25">
      <c r="A108" s="257"/>
      <c r="B108" s="256"/>
      <c r="C108" s="256"/>
      <c r="D108" s="253"/>
      <c r="E108" s="253"/>
      <c r="F108" s="253"/>
      <c r="G108" s="254"/>
      <c r="H108" s="255"/>
      <c r="I108" s="255"/>
      <c r="J108" s="255"/>
      <c r="K108" s="255"/>
      <c r="L108" s="255"/>
      <c r="M108" s="255"/>
      <c r="N108" s="256"/>
      <c r="O108" s="257"/>
      <c r="P108" s="257"/>
      <c r="Q108" s="257"/>
      <c r="R108" s="257"/>
    </row>
    <row r="109" spans="1:18" ht="15.75" x14ac:dyDescent="0.25">
      <c r="A109" s="257"/>
      <c r="B109" s="256"/>
      <c r="C109" s="256"/>
      <c r="D109" s="253"/>
      <c r="E109" s="253"/>
      <c r="F109" s="253"/>
      <c r="G109" s="254"/>
      <c r="H109" s="264" t="s">
        <v>94</v>
      </c>
      <c r="I109" s="264" t="s">
        <v>94</v>
      </c>
      <c r="J109" s="264" t="s">
        <v>641</v>
      </c>
      <c r="K109" s="264" t="s">
        <v>642</v>
      </c>
      <c r="L109" s="264" t="s">
        <v>94</v>
      </c>
      <c r="M109" s="264" t="s">
        <v>257</v>
      </c>
      <c r="N109" s="256"/>
      <c r="O109" s="257"/>
      <c r="P109" s="257"/>
      <c r="Q109" s="257"/>
      <c r="R109" s="257"/>
    </row>
    <row r="110" spans="1:18" ht="16.5" thickBot="1" x14ac:dyDescent="0.3">
      <c r="A110" s="315"/>
      <c r="B110" s="265" t="s">
        <v>137</v>
      </c>
      <c r="C110" s="265"/>
      <c r="D110" s="265" t="s">
        <v>643</v>
      </c>
      <c r="E110" s="265"/>
      <c r="F110" s="265" t="s">
        <v>644</v>
      </c>
      <c r="G110" s="266" t="s">
        <v>140</v>
      </c>
      <c r="H110" s="267" t="s">
        <v>327</v>
      </c>
      <c r="I110" s="268" t="s">
        <v>645</v>
      </c>
      <c r="J110" s="267" t="s">
        <v>646</v>
      </c>
      <c r="K110" s="267" t="s">
        <v>647</v>
      </c>
      <c r="L110" s="267" t="s">
        <v>326</v>
      </c>
      <c r="M110" s="267" t="s">
        <v>94</v>
      </c>
      <c r="N110" s="256"/>
      <c r="O110" s="257"/>
      <c r="P110" s="257"/>
      <c r="Q110" s="257"/>
      <c r="R110" s="257"/>
    </row>
    <row r="111" spans="1:18" ht="16.5" thickTop="1" x14ac:dyDescent="0.25">
      <c r="A111" s="257"/>
      <c r="B111" s="269"/>
      <c r="C111" s="270"/>
      <c r="D111" s="271"/>
      <c r="E111" s="271"/>
      <c r="F111" s="271"/>
      <c r="G111" s="272"/>
      <c r="H111" s="272"/>
      <c r="I111" s="273"/>
      <c r="J111" s="273"/>
      <c r="K111" s="273"/>
      <c r="L111" s="273"/>
      <c r="M111" s="274"/>
      <c r="N111" s="256"/>
      <c r="O111" s="257"/>
      <c r="P111" s="257"/>
      <c r="Q111" s="257"/>
      <c r="R111" s="257"/>
    </row>
    <row r="112" spans="1:18" ht="15.75" x14ac:dyDescent="0.25">
      <c r="A112" s="282"/>
      <c r="B112" s="275">
        <v>43451</v>
      </c>
      <c r="C112" s="276"/>
      <c r="D112" s="277" t="s">
        <v>564</v>
      </c>
      <c r="E112" s="276"/>
      <c r="F112" s="278" t="str">
        <f t="shared" ref="F112:F121" si="3">D112</f>
        <v>1994</v>
      </c>
      <c r="G112" s="279">
        <v>0</v>
      </c>
      <c r="H112" s="279">
        <v>0</v>
      </c>
      <c r="I112" s="280">
        <v>1.8</v>
      </c>
      <c r="J112" s="273"/>
      <c r="K112" s="273"/>
      <c r="L112" s="280">
        <v>0</v>
      </c>
      <c r="M112" s="281"/>
      <c r="N112" s="280"/>
      <c r="O112" s="282"/>
      <c r="P112" s="282"/>
      <c r="Q112" s="282"/>
      <c r="R112" s="282"/>
    </row>
    <row r="113" spans="1:18" ht="15.75" x14ac:dyDescent="0.25">
      <c r="A113" s="282"/>
      <c r="B113" s="275">
        <v>43465</v>
      </c>
      <c r="C113" s="276"/>
      <c r="D113" s="277" t="s">
        <v>682</v>
      </c>
      <c r="E113" s="276"/>
      <c r="F113" s="278" t="str">
        <f t="shared" si="3"/>
        <v>1995</v>
      </c>
      <c r="G113" s="279">
        <v>0</v>
      </c>
      <c r="H113" s="279">
        <v>22.08</v>
      </c>
      <c r="I113" s="280">
        <v>0</v>
      </c>
      <c r="J113" s="273"/>
      <c r="K113" s="273"/>
      <c r="L113" s="280">
        <v>0</v>
      </c>
      <c r="M113" s="281"/>
      <c r="N113" s="280"/>
      <c r="O113" s="282"/>
      <c r="P113" s="282"/>
      <c r="Q113" s="282"/>
      <c r="R113" s="282"/>
    </row>
    <row r="114" spans="1:18" ht="15.75" x14ac:dyDescent="0.25">
      <c r="A114" s="282"/>
      <c r="B114" s="275">
        <v>43465</v>
      </c>
      <c r="C114" s="276"/>
      <c r="D114" s="277" t="s">
        <v>683</v>
      </c>
      <c r="E114" s="276"/>
      <c r="F114" s="278" t="str">
        <f t="shared" si="3"/>
        <v>1996</v>
      </c>
      <c r="G114" s="279">
        <v>0</v>
      </c>
      <c r="H114" s="318">
        <v>111.38</v>
      </c>
      <c r="I114" s="280">
        <v>0</v>
      </c>
      <c r="J114" s="273"/>
      <c r="K114" s="273"/>
      <c r="L114" s="280">
        <v>0</v>
      </c>
      <c r="M114" s="281"/>
      <c r="N114" s="280"/>
      <c r="O114" s="282"/>
      <c r="P114" s="282"/>
      <c r="Q114" s="282"/>
      <c r="R114" s="282"/>
    </row>
    <row r="115" spans="1:18" ht="15.75" x14ac:dyDescent="0.25">
      <c r="A115" s="282"/>
      <c r="B115" s="275">
        <v>43465</v>
      </c>
      <c r="C115" s="276"/>
      <c r="D115" s="277" t="s">
        <v>684</v>
      </c>
      <c r="E115" s="276"/>
      <c r="F115" s="278" t="str">
        <f t="shared" si="3"/>
        <v>1997</v>
      </c>
      <c r="G115" s="279">
        <v>0</v>
      </c>
      <c r="H115" s="279">
        <v>1191.96</v>
      </c>
      <c r="I115" s="280">
        <v>0</v>
      </c>
      <c r="J115" s="273"/>
      <c r="K115" s="273"/>
      <c r="L115" s="280">
        <v>0</v>
      </c>
      <c r="M115" s="281"/>
      <c r="N115" s="280"/>
      <c r="O115" s="282"/>
      <c r="P115" s="282"/>
      <c r="Q115" s="282"/>
      <c r="R115" s="282"/>
    </row>
    <row r="116" spans="1:18" ht="15.75" x14ac:dyDescent="0.25">
      <c r="A116" s="256"/>
      <c r="B116" s="275">
        <v>43465</v>
      </c>
      <c r="C116" s="276"/>
      <c r="D116" s="277" t="s">
        <v>685</v>
      </c>
      <c r="E116" s="276"/>
      <c r="F116" s="278" t="str">
        <f t="shared" si="3"/>
        <v>1998</v>
      </c>
      <c r="G116" s="279">
        <v>0</v>
      </c>
      <c r="H116" s="279">
        <v>9.15</v>
      </c>
      <c r="I116" s="280">
        <v>0</v>
      </c>
      <c r="J116" s="273"/>
      <c r="K116" s="273"/>
      <c r="L116" s="280">
        <v>0</v>
      </c>
      <c r="M116" s="274"/>
      <c r="N116" s="256"/>
      <c r="O116" s="257"/>
      <c r="P116" s="257"/>
      <c r="Q116" s="257"/>
      <c r="R116" s="257"/>
    </row>
    <row r="117" spans="1:18" ht="15.75" x14ac:dyDescent="0.25">
      <c r="A117" s="282"/>
      <c r="B117" s="275"/>
      <c r="C117" s="276"/>
      <c r="D117" s="277" t="s">
        <v>581</v>
      </c>
      <c r="E117" s="276"/>
      <c r="F117" s="278" t="str">
        <f t="shared" si="3"/>
        <v>0</v>
      </c>
      <c r="G117" s="279">
        <v>0</v>
      </c>
      <c r="H117" s="279">
        <v>0</v>
      </c>
      <c r="I117" s="280">
        <v>0</v>
      </c>
      <c r="J117" s="273"/>
      <c r="K117" s="273"/>
      <c r="L117" s="280">
        <v>0</v>
      </c>
      <c r="M117" s="281"/>
      <c r="N117" s="280"/>
      <c r="O117" s="282"/>
      <c r="P117" s="282"/>
      <c r="Q117" s="282"/>
      <c r="R117" s="282"/>
    </row>
    <row r="118" spans="1:18" ht="15.75" x14ac:dyDescent="0.25">
      <c r="A118" s="257"/>
      <c r="B118" s="275"/>
      <c r="C118" s="276"/>
      <c r="D118" s="277" t="s">
        <v>581</v>
      </c>
      <c r="E118" s="283"/>
      <c r="F118" s="278" t="str">
        <f t="shared" si="3"/>
        <v>0</v>
      </c>
      <c r="G118" s="279">
        <v>0</v>
      </c>
      <c r="H118" s="279">
        <v>0</v>
      </c>
      <c r="I118" s="280">
        <v>0</v>
      </c>
      <c r="J118" s="273"/>
      <c r="K118" s="273"/>
      <c r="L118" s="280">
        <v>0</v>
      </c>
      <c r="M118" s="274"/>
      <c r="N118" s="256"/>
      <c r="O118" s="257"/>
      <c r="P118" s="257"/>
      <c r="Q118" s="257"/>
      <c r="R118" s="257"/>
    </row>
    <row r="119" spans="1:18" ht="15.75" x14ac:dyDescent="0.25">
      <c r="A119" s="257"/>
      <c r="B119" s="275"/>
      <c r="C119" s="276"/>
      <c r="D119" s="277" t="s">
        <v>581</v>
      </c>
      <c r="E119" s="283"/>
      <c r="F119" s="278" t="str">
        <f t="shared" si="3"/>
        <v>0</v>
      </c>
      <c r="G119" s="279">
        <v>0</v>
      </c>
      <c r="H119" s="279">
        <v>0</v>
      </c>
      <c r="I119" s="280">
        <v>0</v>
      </c>
      <c r="J119" s="273"/>
      <c r="K119" s="273"/>
      <c r="L119" s="280">
        <v>0</v>
      </c>
      <c r="M119" s="274"/>
      <c r="N119" s="256"/>
      <c r="O119" s="257"/>
      <c r="P119" s="257"/>
      <c r="Q119" s="257"/>
      <c r="R119" s="257"/>
    </row>
    <row r="120" spans="1:18" ht="15.75" x14ac:dyDescent="0.25">
      <c r="A120" s="257"/>
      <c r="B120" s="275"/>
      <c r="C120" s="276"/>
      <c r="D120" s="277" t="s">
        <v>581</v>
      </c>
      <c r="E120" s="283"/>
      <c r="F120" s="278" t="str">
        <f t="shared" si="3"/>
        <v>0</v>
      </c>
      <c r="G120" s="279">
        <v>0</v>
      </c>
      <c r="H120" s="279">
        <v>0</v>
      </c>
      <c r="I120" s="280">
        <v>0</v>
      </c>
      <c r="J120" s="273"/>
      <c r="K120" s="273"/>
      <c r="L120" s="280">
        <v>0</v>
      </c>
      <c r="M120" s="274"/>
      <c r="N120" s="256"/>
      <c r="O120" s="257"/>
      <c r="P120" s="257"/>
      <c r="Q120" s="257"/>
      <c r="R120" s="257"/>
    </row>
    <row r="121" spans="1:18" ht="15.75" x14ac:dyDescent="0.25">
      <c r="A121" s="257"/>
      <c r="B121" s="275"/>
      <c r="C121" s="276"/>
      <c r="D121" s="277" t="s">
        <v>581</v>
      </c>
      <c r="E121" s="283"/>
      <c r="F121" s="278" t="str">
        <f t="shared" si="3"/>
        <v>0</v>
      </c>
      <c r="G121" s="279">
        <v>0</v>
      </c>
      <c r="H121" s="279">
        <v>0</v>
      </c>
      <c r="I121" s="280">
        <v>0</v>
      </c>
      <c r="J121" s="273"/>
      <c r="K121" s="273"/>
      <c r="L121" s="280">
        <v>0</v>
      </c>
      <c r="M121" s="274"/>
      <c r="N121" s="256"/>
      <c r="O121" s="257"/>
      <c r="P121" s="257"/>
      <c r="Q121" s="257"/>
      <c r="R121" s="257"/>
    </row>
    <row r="122" spans="1:18" ht="15.75" x14ac:dyDescent="0.25">
      <c r="A122" s="257"/>
      <c r="B122" s="275"/>
      <c r="C122" s="276"/>
      <c r="D122" s="277"/>
      <c r="E122" s="283"/>
      <c r="F122" s="278"/>
      <c r="G122" s="279"/>
      <c r="H122" s="284"/>
      <c r="I122" s="280"/>
      <c r="J122" s="273"/>
      <c r="K122" s="273"/>
      <c r="L122" s="273"/>
      <c r="M122" s="274"/>
      <c r="N122" s="256"/>
      <c r="O122" s="257"/>
      <c r="P122" s="257"/>
      <c r="Q122" s="257"/>
      <c r="R122" s="257"/>
    </row>
    <row r="123" spans="1:18" ht="15.75" x14ac:dyDescent="0.25">
      <c r="A123" s="257"/>
      <c r="B123" s="275"/>
      <c r="C123" s="276"/>
      <c r="D123" s="277"/>
      <c r="E123" s="283"/>
      <c r="F123" s="278"/>
      <c r="G123" s="279"/>
      <c r="H123" s="284"/>
      <c r="I123" s="280"/>
      <c r="J123" s="273"/>
      <c r="K123" s="273"/>
      <c r="L123" s="273"/>
      <c r="N123" s="256"/>
      <c r="O123" s="257"/>
      <c r="P123" s="257"/>
      <c r="Q123" s="257"/>
      <c r="R123" s="257"/>
    </row>
    <row r="124" spans="1:18" ht="15.75" x14ac:dyDescent="0.25">
      <c r="A124" s="257"/>
      <c r="B124" s="275"/>
      <c r="C124" s="276"/>
      <c r="D124" s="277"/>
      <c r="E124" s="283"/>
      <c r="F124" s="278"/>
      <c r="G124" s="279"/>
      <c r="H124" s="284"/>
      <c r="I124" s="280"/>
      <c r="J124" s="273"/>
      <c r="K124" s="273"/>
      <c r="L124" s="273"/>
      <c r="M124" s="274"/>
      <c r="N124" s="256"/>
      <c r="O124" s="257"/>
      <c r="P124" s="257"/>
      <c r="Q124" s="257"/>
      <c r="R124" s="257"/>
    </row>
    <row r="125" spans="1:18" ht="15.75" x14ac:dyDescent="0.25">
      <c r="A125" s="257"/>
      <c r="B125" s="275"/>
      <c r="C125" s="276"/>
      <c r="D125" s="277"/>
      <c r="E125" s="283"/>
      <c r="F125" s="278"/>
      <c r="G125" s="279"/>
      <c r="H125" s="284"/>
      <c r="I125" s="282"/>
      <c r="J125" s="273"/>
      <c r="K125" s="273"/>
      <c r="L125" s="273"/>
      <c r="M125" s="274"/>
      <c r="N125" s="256"/>
      <c r="O125" s="257"/>
      <c r="P125" s="257"/>
      <c r="Q125" s="257"/>
      <c r="R125" s="257"/>
    </row>
    <row r="126" spans="1:18" ht="15.75" x14ac:dyDescent="0.25">
      <c r="A126" s="257"/>
      <c r="B126" s="275"/>
      <c r="C126" s="276"/>
      <c r="D126" s="277"/>
      <c r="E126" s="283"/>
      <c r="F126" s="278"/>
      <c r="G126" s="279"/>
      <c r="H126" s="284"/>
      <c r="I126" s="282"/>
      <c r="J126" s="273"/>
      <c r="K126" s="273"/>
      <c r="L126" s="273"/>
      <c r="M126" s="274"/>
      <c r="N126" s="256"/>
      <c r="O126" s="257"/>
      <c r="P126" s="257"/>
      <c r="Q126" s="257"/>
      <c r="R126" s="257"/>
    </row>
    <row r="127" spans="1:18" ht="15.75" x14ac:dyDescent="0.25">
      <c r="A127" s="256"/>
      <c r="B127" s="285"/>
      <c r="C127" s="286"/>
      <c r="D127" s="277"/>
      <c r="E127" s="287"/>
      <c r="F127" s="278"/>
      <c r="G127" s="254"/>
      <c r="H127" s="284"/>
      <c r="I127" s="282"/>
      <c r="J127" s="273"/>
      <c r="K127" s="273"/>
      <c r="L127" s="273"/>
      <c r="M127" s="274"/>
      <c r="N127" s="256"/>
      <c r="O127" s="257"/>
      <c r="P127" s="257"/>
      <c r="Q127" s="257"/>
      <c r="R127" s="257"/>
    </row>
    <row r="128" spans="1:18" ht="15.75" x14ac:dyDescent="0.25">
      <c r="A128" s="256"/>
      <c r="B128" s="285"/>
      <c r="C128" s="288"/>
      <c r="D128" s="289"/>
      <c r="E128" s="290"/>
      <c r="F128" s="278"/>
      <c r="G128" s="291"/>
      <c r="H128" s="284"/>
      <c r="I128" s="282"/>
      <c r="J128" s="273"/>
      <c r="K128" s="273"/>
      <c r="L128" s="273"/>
      <c r="M128" s="274"/>
      <c r="N128" s="256"/>
      <c r="O128" s="257"/>
      <c r="P128" s="257"/>
      <c r="Q128" s="257">
        <f>+M128/1.13</f>
        <v>0</v>
      </c>
      <c r="R128" s="257">
        <f>+Q128*0.13</f>
        <v>0</v>
      </c>
    </row>
    <row r="129" spans="1:18" ht="15.75" x14ac:dyDescent="0.25">
      <c r="A129" s="256"/>
      <c r="B129" s="285"/>
      <c r="C129" s="286"/>
      <c r="D129" s="289"/>
      <c r="E129" s="287"/>
      <c r="F129" s="278"/>
      <c r="G129" s="254"/>
      <c r="H129" s="284"/>
      <c r="I129" s="282"/>
      <c r="J129" s="273"/>
      <c r="K129" s="273"/>
      <c r="L129" s="273"/>
      <c r="M129" s="274"/>
      <c r="N129" s="256"/>
      <c r="O129" s="257"/>
      <c r="P129" s="257"/>
      <c r="Q129" s="257"/>
      <c r="R129" s="257"/>
    </row>
    <row r="130" spans="1:18" ht="15.75" x14ac:dyDescent="0.25">
      <c r="A130" s="256"/>
      <c r="B130" s="285"/>
      <c r="C130" s="286"/>
      <c r="D130" s="292"/>
      <c r="E130" s="287"/>
      <c r="F130" s="278"/>
      <c r="G130" s="254"/>
      <c r="H130" s="284"/>
      <c r="I130" s="273"/>
      <c r="J130" s="273"/>
      <c r="K130" s="273"/>
      <c r="L130" s="273"/>
      <c r="M130" s="274"/>
      <c r="N130" s="256"/>
      <c r="O130" s="257"/>
      <c r="P130" s="257"/>
      <c r="Q130" s="257"/>
      <c r="R130" s="257"/>
    </row>
    <row r="131" spans="1:18" ht="16.5" thickBot="1" x14ac:dyDescent="0.3">
      <c r="A131" s="256"/>
      <c r="B131" s="293"/>
      <c r="C131" s="293"/>
      <c r="D131" s="294"/>
      <c r="E131" s="294"/>
      <c r="F131" s="294"/>
      <c r="G131" s="266"/>
      <c r="H131" s="266"/>
      <c r="I131" s="295"/>
      <c r="J131" s="295"/>
      <c r="K131" s="295"/>
      <c r="L131" s="295"/>
      <c r="M131" s="296"/>
      <c r="N131" s="256"/>
      <c r="O131" s="257"/>
      <c r="P131" s="257"/>
      <c r="Q131" s="257"/>
      <c r="R131" s="257"/>
    </row>
    <row r="132" spans="1:18" ht="16.5" thickTop="1" x14ac:dyDescent="0.25">
      <c r="A132" s="256"/>
      <c r="B132" s="297"/>
      <c r="C132" s="297"/>
      <c r="D132" s="287"/>
      <c r="E132" s="287"/>
      <c r="F132" s="287"/>
      <c r="G132" s="281">
        <f>SUM(G111:G131)</f>
        <v>0</v>
      </c>
      <c r="H132" s="281">
        <f t="shared" ref="H132:M132" si="4">SUM(H111:H131)</f>
        <v>1334.5700000000002</v>
      </c>
      <c r="I132" s="281">
        <f>SUM(I111:I131)</f>
        <v>1.8</v>
      </c>
      <c r="J132" s="281">
        <f t="shared" si="4"/>
        <v>0</v>
      </c>
      <c r="K132" s="281">
        <f t="shared" si="4"/>
        <v>0</v>
      </c>
      <c r="L132" s="281">
        <f t="shared" si="4"/>
        <v>0</v>
      </c>
      <c r="M132" s="281">
        <f t="shared" si="4"/>
        <v>0</v>
      </c>
      <c r="N132" s="256"/>
      <c r="O132" s="257"/>
      <c r="P132" s="257"/>
      <c r="Q132" s="257"/>
      <c r="R132" s="257"/>
    </row>
    <row r="133" spans="1:18" ht="15.75" x14ac:dyDescent="0.25">
      <c r="A133" s="256"/>
      <c r="B133" s="297"/>
      <c r="C133" s="297"/>
      <c r="D133" s="287"/>
      <c r="E133" s="287"/>
      <c r="F133" s="287"/>
      <c r="G133" s="254"/>
      <c r="H133" s="281"/>
      <c r="I133" s="281"/>
      <c r="J133" s="281"/>
      <c r="K133" s="281"/>
      <c r="L133" s="281"/>
      <c r="M133" s="281"/>
      <c r="N133" s="256"/>
      <c r="O133" s="257"/>
      <c r="P133" s="257"/>
      <c r="Q133" s="257"/>
      <c r="R133" s="257"/>
    </row>
    <row r="134" spans="1:18" ht="15.75" x14ac:dyDescent="0.25">
      <c r="A134" s="256"/>
      <c r="B134" s="297"/>
      <c r="C134" s="297"/>
      <c r="D134" s="287" t="s">
        <v>653</v>
      </c>
      <c r="E134" s="287"/>
      <c r="F134" s="287"/>
      <c r="G134" s="254"/>
      <c r="H134" s="281"/>
      <c r="I134" s="281">
        <f>+G132</f>
        <v>0</v>
      </c>
      <c r="J134" s="281"/>
      <c r="K134" s="281"/>
      <c r="L134" s="281"/>
      <c r="M134" s="281"/>
      <c r="N134" s="256"/>
      <c r="O134" s="257"/>
      <c r="P134" s="257"/>
      <c r="Q134" s="257"/>
      <c r="R134" s="257"/>
    </row>
    <row r="135" spans="1:18" ht="15.75" x14ac:dyDescent="0.25">
      <c r="A135" s="256"/>
      <c r="B135" s="297"/>
      <c r="C135" s="297"/>
      <c r="D135" s="287"/>
      <c r="E135" s="287"/>
      <c r="F135" s="287"/>
      <c r="G135" s="254"/>
      <c r="H135" s="281"/>
      <c r="I135" s="281"/>
      <c r="J135" s="281"/>
      <c r="K135" s="281"/>
      <c r="L135" s="281"/>
      <c r="M135" s="281"/>
      <c r="N135" s="256"/>
      <c r="O135" s="257"/>
      <c r="P135" s="257"/>
      <c r="Q135" s="257"/>
      <c r="R135" s="257"/>
    </row>
    <row r="136" spans="1:18" ht="15.75" x14ac:dyDescent="0.25">
      <c r="A136" s="256"/>
      <c r="B136" s="297"/>
      <c r="C136" s="297"/>
      <c r="D136" s="287" t="s">
        <v>654</v>
      </c>
      <c r="E136" s="287"/>
      <c r="F136" s="287"/>
      <c r="G136" s="254"/>
      <c r="H136" s="281"/>
      <c r="I136" s="281">
        <f>+H132</f>
        <v>1334.5700000000002</v>
      </c>
      <c r="J136" s="281"/>
      <c r="K136" s="281"/>
      <c r="L136" s="281"/>
      <c r="M136" s="281"/>
      <c r="N136" s="256"/>
      <c r="O136" s="257"/>
      <c r="P136" s="257"/>
      <c r="Q136" s="257"/>
      <c r="R136" s="257"/>
    </row>
    <row r="137" spans="1:18" ht="15.75" x14ac:dyDescent="0.25">
      <c r="A137" s="256"/>
      <c r="B137" s="297"/>
      <c r="C137" s="297"/>
      <c r="D137" s="287"/>
      <c r="E137" s="287"/>
      <c r="F137" s="287"/>
      <c r="G137" s="254"/>
      <c r="H137" s="281"/>
      <c r="I137" s="281"/>
      <c r="J137" s="281"/>
      <c r="K137" s="281"/>
      <c r="L137" s="281"/>
      <c r="M137" s="281"/>
      <c r="N137" s="256"/>
      <c r="O137" s="257"/>
      <c r="P137" s="257"/>
      <c r="Q137" s="257"/>
      <c r="R137" s="257"/>
    </row>
    <row r="138" spans="1:18" ht="15.75" x14ac:dyDescent="0.25">
      <c r="A138" s="256"/>
      <c r="B138" s="297"/>
      <c r="C138" s="297"/>
      <c r="D138" s="287"/>
      <c r="E138" s="287"/>
      <c r="F138" s="287"/>
      <c r="G138" s="254"/>
      <c r="H138" s="298"/>
      <c r="I138" s="255"/>
      <c r="J138" s="255"/>
      <c r="K138" s="255"/>
      <c r="L138" s="255"/>
      <c r="M138" s="255"/>
      <c r="N138" s="256"/>
      <c r="O138" s="257"/>
      <c r="P138" s="257"/>
      <c r="Q138" s="257"/>
      <c r="R138" s="257"/>
    </row>
    <row r="139" spans="1:18" ht="15.75" x14ac:dyDescent="0.25">
      <c r="A139" s="256"/>
      <c r="B139" s="297"/>
      <c r="C139" s="297"/>
      <c r="D139" s="287" t="s">
        <v>590</v>
      </c>
      <c r="E139" s="287"/>
      <c r="F139" s="287"/>
      <c r="G139" s="254"/>
      <c r="H139" s="255"/>
      <c r="I139" s="258"/>
      <c r="J139" s="258"/>
      <c r="K139" s="258"/>
      <c r="L139" s="258"/>
      <c r="M139" s="255"/>
      <c r="N139" s="256"/>
      <c r="O139" s="257"/>
      <c r="P139" s="257"/>
      <c r="Q139" s="257"/>
      <c r="R139" s="257"/>
    </row>
    <row r="140" spans="1:18" ht="15.75" x14ac:dyDescent="0.25">
      <c r="A140" s="256"/>
      <c r="B140" s="297"/>
      <c r="C140" s="297"/>
      <c r="D140" s="287" t="s">
        <v>141</v>
      </c>
      <c r="E140" s="287"/>
      <c r="F140" s="287"/>
      <c r="G140" s="254"/>
      <c r="H140" s="255"/>
      <c r="I140" s="320">
        <f>ROUND(I132/1.13,2)</f>
        <v>1.59</v>
      </c>
      <c r="J140" s="281"/>
      <c r="K140" s="281"/>
      <c r="L140" s="281"/>
      <c r="M140" s="300"/>
      <c r="N140" s="256"/>
      <c r="O140" s="257"/>
      <c r="P140" s="257"/>
      <c r="Q140" s="257"/>
      <c r="R140" s="257"/>
    </row>
    <row r="141" spans="1:18" ht="15.75" x14ac:dyDescent="0.25">
      <c r="A141" s="256"/>
      <c r="B141" s="297"/>
      <c r="C141" s="297"/>
      <c r="D141" s="287" t="s">
        <v>591</v>
      </c>
      <c r="E141" s="287"/>
      <c r="F141" s="287"/>
      <c r="G141" s="254"/>
      <c r="H141" s="255"/>
      <c r="I141" s="319">
        <f>(I140*0.13)</f>
        <v>0.20670000000000002</v>
      </c>
      <c r="J141" s="301"/>
      <c r="K141" s="301"/>
      <c r="L141" s="301"/>
      <c r="M141" s="300"/>
      <c r="N141" s="256"/>
      <c r="O141" s="257"/>
      <c r="P141" s="257"/>
      <c r="Q141" s="257"/>
      <c r="R141" s="257"/>
    </row>
    <row r="142" spans="1:18" ht="16.5" thickBot="1" x14ac:dyDescent="0.3">
      <c r="A142" s="256"/>
      <c r="B142" s="297"/>
      <c r="C142" s="297"/>
      <c r="D142" s="287"/>
      <c r="E142" s="287"/>
      <c r="F142" s="287"/>
      <c r="G142" s="254"/>
      <c r="H142" s="255"/>
      <c r="I142" s="302"/>
      <c r="J142" s="303"/>
      <c r="K142" s="303"/>
      <c r="L142" s="303"/>
      <c r="M142" s="300"/>
      <c r="N142" s="256"/>
      <c r="O142" s="257"/>
      <c r="P142" s="257"/>
      <c r="Q142" s="257"/>
      <c r="R142" s="257"/>
    </row>
    <row r="143" spans="1:18" ht="16.5" thickTop="1" x14ac:dyDescent="0.25">
      <c r="A143" s="256"/>
      <c r="B143" s="297"/>
      <c r="C143" s="297"/>
      <c r="D143" s="287" t="s">
        <v>592</v>
      </c>
      <c r="E143" s="287"/>
      <c r="F143" s="287"/>
      <c r="G143" s="254"/>
      <c r="H143" s="255"/>
      <c r="I143" s="274">
        <f>SUM(I140:I142)</f>
        <v>1.7967000000000002</v>
      </c>
      <c r="J143" s="274"/>
      <c r="K143" s="274"/>
      <c r="L143" s="274"/>
      <c r="M143" s="255"/>
      <c r="N143" s="256"/>
      <c r="O143" s="257"/>
      <c r="P143" s="257"/>
      <c r="Q143" s="257"/>
      <c r="R143" s="257"/>
    </row>
    <row r="144" spans="1:18" ht="16.5" thickBot="1" x14ac:dyDescent="0.3">
      <c r="A144" s="256"/>
      <c r="B144" s="297"/>
      <c r="C144" s="297"/>
      <c r="D144" s="287"/>
      <c r="E144" s="287"/>
      <c r="F144" s="287"/>
      <c r="G144" s="254"/>
      <c r="H144" s="255"/>
      <c r="I144" s="302"/>
      <c r="J144" s="303"/>
      <c r="K144" s="303"/>
      <c r="L144" s="303"/>
      <c r="M144" s="255"/>
      <c r="N144" s="256"/>
      <c r="O144" s="257"/>
      <c r="P144" s="257"/>
      <c r="Q144" s="257"/>
      <c r="R144" s="257"/>
    </row>
    <row r="145" spans="1:18" ht="16.5" thickTop="1" x14ac:dyDescent="0.25">
      <c r="A145" s="256"/>
      <c r="B145" s="297"/>
      <c r="C145" s="297"/>
      <c r="D145" s="287"/>
      <c r="E145" s="287"/>
      <c r="F145" s="287"/>
      <c r="G145" s="254"/>
      <c r="H145" s="255"/>
      <c r="I145" s="304"/>
      <c r="J145" s="304"/>
      <c r="K145" s="304"/>
      <c r="L145" s="304"/>
      <c r="M145" s="255"/>
      <c r="N145" s="256"/>
      <c r="O145" s="257"/>
      <c r="P145" s="257"/>
      <c r="Q145" s="257"/>
      <c r="R145" s="257"/>
    </row>
    <row r="146" spans="1:18" ht="15.75" x14ac:dyDescent="0.25">
      <c r="A146" s="256"/>
      <c r="B146" s="297"/>
      <c r="C146" s="297"/>
      <c r="D146" s="287"/>
      <c r="E146" s="287"/>
      <c r="F146" s="287"/>
      <c r="G146" s="254"/>
      <c r="H146" s="255"/>
      <c r="I146" s="264"/>
      <c r="J146" s="264"/>
      <c r="K146" s="264"/>
      <c r="L146" s="264"/>
      <c r="M146" s="255"/>
      <c r="N146" s="256"/>
      <c r="O146" s="257"/>
      <c r="P146" s="257"/>
      <c r="Q146" s="257"/>
      <c r="R146" s="257"/>
    </row>
    <row r="147" spans="1:18" ht="15.75" x14ac:dyDescent="0.25">
      <c r="A147" s="256"/>
      <c r="B147" s="297"/>
      <c r="C147" s="297"/>
      <c r="D147" s="287"/>
      <c r="E147" s="287"/>
      <c r="F147" s="287"/>
      <c r="G147" s="305"/>
      <c r="H147" s="255" t="s">
        <v>655</v>
      </c>
      <c r="I147" s="264">
        <v>-0.21</v>
      </c>
      <c r="J147" s="264"/>
      <c r="K147" s="264"/>
      <c r="L147" s="264"/>
      <c r="M147" s="255"/>
      <c r="N147" s="256"/>
      <c r="O147" s="257"/>
      <c r="P147" s="257"/>
      <c r="Q147" s="257"/>
      <c r="R147" s="257"/>
    </row>
    <row r="148" spans="1:18" ht="15.75" x14ac:dyDescent="0.25">
      <c r="A148" s="256"/>
      <c r="B148" s="297"/>
      <c r="C148" s="297"/>
      <c r="D148" s="287"/>
      <c r="E148" s="287"/>
      <c r="F148" s="287"/>
      <c r="G148" s="254"/>
      <c r="H148" s="306" t="s">
        <v>656</v>
      </c>
      <c r="I148" s="307">
        <f>+I141+I147</f>
        <v>-3.2999999999999696E-3</v>
      </c>
      <c r="J148" s="264"/>
      <c r="K148" s="264"/>
      <c r="L148" s="264"/>
      <c r="M148" s="255"/>
      <c r="N148" s="256"/>
      <c r="O148" s="257"/>
      <c r="P148" s="257"/>
      <c r="Q148" s="257"/>
      <c r="R148" s="257"/>
    </row>
    <row r="149" spans="1:18" ht="15.75" x14ac:dyDescent="0.25">
      <c r="A149" s="256"/>
      <c r="B149" s="297"/>
      <c r="C149" s="297"/>
      <c r="D149" s="287"/>
      <c r="E149" s="287"/>
      <c r="F149" s="287"/>
      <c r="G149" s="254"/>
      <c r="H149" s="255"/>
      <c r="I149" s="264"/>
      <c r="J149" s="264"/>
      <c r="K149" s="264"/>
      <c r="L149" s="264"/>
      <c r="M149" s="255"/>
      <c r="N149" s="256"/>
      <c r="O149" s="257"/>
      <c r="P149" s="257"/>
      <c r="Q149" s="257"/>
      <c r="R149" s="257"/>
    </row>
    <row r="150" spans="1:18" ht="15.75" x14ac:dyDescent="0.25">
      <c r="A150" s="256"/>
      <c r="B150" s="297"/>
      <c r="C150" s="297"/>
      <c r="D150" s="287"/>
      <c r="E150" s="287"/>
      <c r="F150" s="287"/>
      <c r="G150" s="254"/>
      <c r="H150" s="255"/>
      <c r="I150" s="264"/>
      <c r="J150" s="264"/>
      <c r="K150" s="264"/>
      <c r="L150" s="264"/>
      <c r="M150" s="255"/>
      <c r="N150" s="256"/>
      <c r="O150" s="257"/>
      <c r="P150" s="257"/>
      <c r="Q150" s="257"/>
      <c r="R150" s="257"/>
    </row>
    <row r="151" spans="1:18" ht="15.75" x14ac:dyDescent="0.25">
      <c r="A151" s="256"/>
      <c r="B151" s="297"/>
      <c r="C151" s="297"/>
      <c r="D151" s="287"/>
      <c r="E151" s="287"/>
      <c r="F151" s="287"/>
      <c r="G151" s="254"/>
      <c r="H151" s="255"/>
      <c r="I151" s="308"/>
      <c r="J151" s="308"/>
      <c r="K151" s="308"/>
      <c r="L151" s="308"/>
      <c r="M151" s="255"/>
      <c r="N151" s="256"/>
      <c r="O151" s="257"/>
      <c r="P151" s="257"/>
      <c r="Q151" s="257"/>
      <c r="R151" s="257"/>
    </row>
    <row r="152" spans="1:18" ht="20.25" x14ac:dyDescent="0.3">
      <c r="B152" s="251" t="s">
        <v>640</v>
      </c>
      <c r="C152" s="252"/>
      <c r="D152" s="253"/>
      <c r="E152" s="253"/>
      <c r="F152" s="253"/>
      <c r="G152" s="254"/>
      <c r="H152" s="255"/>
      <c r="I152" s="255"/>
      <c r="J152" s="255"/>
      <c r="K152" s="255"/>
      <c r="L152" s="255"/>
      <c r="M152" s="255"/>
    </row>
    <row r="153" spans="1:18" ht="15.75" x14ac:dyDescent="0.25">
      <c r="B153" s="253" t="s">
        <v>252</v>
      </c>
      <c r="C153" s="253"/>
      <c r="D153" s="253"/>
      <c r="E153" s="253"/>
      <c r="F153" s="253"/>
      <c r="G153" s="254"/>
      <c r="H153" s="255"/>
      <c r="I153" s="255"/>
      <c r="J153" s="255"/>
      <c r="K153" s="255"/>
      <c r="L153" s="255"/>
      <c r="M153" s="255"/>
    </row>
    <row r="154" spans="1:18" ht="15.75" x14ac:dyDescent="0.25">
      <c r="B154" s="252" t="s">
        <v>253</v>
      </c>
      <c r="C154" s="253"/>
      <c r="D154" s="253"/>
      <c r="E154" s="253"/>
      <c r="F154" s="253"/>
      <c r="G154" s="254"/>
      <c r="H154" s="258"/>
      <c r="I154" s="258"/>
      <c r="J154" s="255"/>
      <c r="K154" s="255"/>
      <c r="L154" s="255"/>
      <c r="M154" s="255"/>
    </row>
    <row r="155" spans="1:18" ht="15.75" x14ac:dyDescent="0.25">
      <c r="B155" s="253" t="s">
        <v>356</v>
      </c>
      <c r="C155" s="253"/>
      <c r="D155" s="253"/>
      <c r="E155" s="253"/>
      <c r="F155" s="253"/>
      <c r="G155" s="254"/>
      <c r="H155" s="255"/>
      <c r="I155" s="255"/>
      <c r="J155" s="255"/>
      <c r="K155" s="255"/>
      <c r="L155" s="255"/>
      <c r="M155" s="255"/>
    </row>
    <row r="156" spans="1:18" ht="15.75" x14ac:dyDescent="0.25">
      <c r="B156" s="259" t="s">
        <v>457</v>
      </c>
      <c r="C156" s="260" t="s">
        <v>147</v>
      </c>
      <c r="D156" s="261"/>
      <c r="E156" s="331">
        <v>2019</v>
      </c>
      <c r="F156" s="253"/>
      <c r="G156" s="254"/>
      <c r="H156" s="255"/>
      <c r="I156" s="263"/>
      <c r="J156" s="263"/>
      <c r="K156" s="263"/>
      <c r="L156" s="263"/>
      <c r="M156" s="263"/>
    </row>
    <row r="157" spans="1:18" ht="15.75" x14ac:dyDescent="0.25">
      <c r="B157" s="256"/>
      <c r="C157" s="256"/>
      <c r="D157" s="253"/>
      <c r="E157" s="253"/>
      <c r="F157" s="253"/>
      <c r="G157" s="254"/>
      <c r="H157" s="255"/>
      <c r="I157" s="255"/>
      <c r="J157" s="255"/>
      <c r="K157" s="255"/>
      <c r="L157" s="255"/>
      <c r="M157" s="255"/>
    </row>
    <row r="158" spans="1:18" ht="15.75" x14ac:dyDescent="0.25">
      <c r="B158" s="256"/>
      <c r="C158" s="256"/>
      <c r="D158" s="253"/>
      <c r="E158" s="253"/>
      <c r="F158" s="253"/>
      <c r="G158" s="254"/>
      <c r="H158" s="255"/>
      <c r="I158" s="255"/>
      <c r="J158" s="255"/>
      <c r="K158" s="255"/>
      <c r="L158" s="255"/>
      <c r="M158" s="255"/>
    </row>
    <row r="159" spans="1:18" ht="15.75" x14ac:dyDescent="0.25">
      <c r="B159" s="256"/>
      <c r="C159" s="256"/>
      <c r="D159" s="253"/>
      <c r="E159" s="253"/>
      <c r="F159" s="253"/>
      <c r="G159" s="254"/>
      <c r="H159" s="264" t="s">
        <v>94</v>
      </c>
      <c r="I159" s="264" t="s">
        <v>94</v>
      </c>
      <c r="J159" s="264" t="s">
        <v>641</v>
      </c>
      <c r="K159" s="264" t="s">
        <v>642</v>
      </c>
      <c r="L159" s="264" t="s">
        <v>94</v>
      </c>
      <c r="M159" s="264" t="s">
        <v>257</v>
      </c>
    </row>
    <row r="160" spans="1:18" ht="16.5" thickBot="1" x14ac:dyDescent="0.3">
      <c r="B160" s="265" t="s">
        <v>137</v>
      </c>
      <c r="C160" s="265"/>
      <c r="D160" s="265" t="s">
        <v>643</v>
      </c>
      <c r="E160" s="265"/>
      <c r="F160" s="265" t="s">
        <v>644</v>
      </c>
      <c r="G160" s="266" t="s">
        <v>140</v>
      </c>
      <c r="H160" s="267" t="s">
        <v>327</v>
      </c>
      <c r="I160" s="268" t="s">
        <v>645</v>
      </c>
      <c r="J160" s="267" t="s">
        <v>646</v>
      </c>
      <c r="K160" s="267" t="s">
        <v>647</v>
      </c>
      <c r="L160" s="267" t="s">
        <v>326</v>
      </c>
      <c r="M160" s="267" t="s">
        <v>94</v>
      </c>
    </row>
    <row r="161" spans="2:13" ht="16.5" thickTop="1" x14ac:dyDescent="0.25">
      <c r="B161" s="269"/>
      <c r="C161" s="270"/>
      <c r="D161" s="271"/>
      <c r="E161" s="271"/>
      <c r="F161" s="271"/>
      <c r="G161" s="272"/>
      <c r="H161" s="272"/>
      <c r="I161" s="273"/>
      <c r="J161" s="273"/>
      <c r="K161" s="273"/>
      <c r="L161" s="273"/>
      <c r="M161" s="274"/>
    </row>
    <row r="162" spans="2:13" ht="15.75" x14ac:dyDescent="0.25">
      <c r="B162" s="275">
        <v>43481</v>
      </c>
      <c r="C162" s="276"/>
      <c r="D162" s="277" t="s">
        <v>705</v>
      </c>
      <c r="E162" s="276"/>
      <c r="F162" s="278" t="str">
        <f t="shared" ref="F162:F171" si="5">D162</f>
        <v>02005</v>
      </c>
      <c r="G162" s="279">
        <v>0</v>
      </c>
      <c r="H162" s="279">
        <v>0</v>
      </c>
      <c r="I162" s="280">
        <v>24.85</v>
      </c>
      <c r="J162" s="273"/>
      <c r="K162" s="273"/>
      <c r="L162" s="280">
        <v>0</v>
      </c>
      <c r="M162" s="281"/>
    </row>
    <row r="163" spans="2:13" ht="15.75" x14ac:dyDescent="0.25">
      <c r="B163" s="275"/>
      <c r="C163" s="276"/>
      <c r="D163" s="277"/>
      <c r="E163" s="276"/>
      <c r="F163" s="278">
        <f t="shared" si="5"/>
        <v>0</v>
      </c>
      <c r="G163" s="279">
        <v>0</v>
      </c>
      <c r="H163" s="279">
        <v>0</v>
      </c>
      <c r="I163" s="280">
        <v>0</v>
      </c>
      <c r="J163" s="273"/>
      <c r="K163" s="273"/>
      <c r="L163" s="280">
        <v>0</v>
      </c>
      <c r="M163" s="281"/>
    </row>
    <row r="164" spans="2:13" ht="15.75" x14ac:dyDescent="0.25">
      <c r="B164" s="275"/>
      <c r="C164" s="276"/>
      <c r="D164" s="277"/>
      <c r="E164" s="276"/>
      <c r="F164" s="278">
        <f t="shared" si="5"/>
        <v>0</v>
      </c>
      <c r="G164" s="279">
        <v>0</v>
      </c>
      <c r="H164" s="318">
        <v>0</v>
      </c>
      <c r="I164" s="280">
        <v>0</v>
      </c>
      <c r="J164" s="273"/>
      <c r="K164" s="273"/>
      <c r="L164" s="280">
        <v>0</v>
      </c>
      <c r="M164" s="281"/>
    </row>
    <row r="165" spans="2:13" ht="15.75" x14ac:dyDescent="0.25">
      <c r="B165" s="275"/>
      <c r="C165" s="276"/>
      <c r="D165" s="277"/>
      <c r="E165" s="276"/>
      <c r="F165" s="278">
        <f t="shared" si="5"/>
        <v>0</v>
      </c>
      <c r="G165" s="279">
        <v>0</v>
      </c>
      <c r="H165" s="279">
        <v>0</v>
      </c>
      <c r="I165" s="280">
        <v>0</v>
      </c>
      <c r="J165" s="273"/>
      <c r="K165" s="273"/>
      <c r="L165" s="280">
        <v>0</v>
      </c>
      <c r="M165" s="281"/>
    </row>
    <row r="166" spans="2:13" ht="15.75" x14ac:dyDescent="0.25">
      <c r="B166" s="275"/>
      <c r="C166" s="276"/>
      <c r="D166" s="277"/>
      <c r="E166" s="276"/>
      <c r="F166" s="278">
        <f t="shared" si="5"/>
        <v>0</v>
      </c>
      <c r="G166" s="279">
        <v>0</v>
      </c>
      <c r="H166" s="279">
        <v>0</v>
      </c>
      <c r="I166" s="280">
        <v>0</v>
      </c>
      <c r="J166" s="273"/>
      <c r="K166" s="273"/>
      <c r="L166" s="280">
        <v>0</v>
      </c>
      <c r="M166" s="274"/>
    </row>
    <row r="167" spans="2:13" ht="15.75" x14ac:dyDescent="0.25">
      <c r="B167" s="275"/>
      <c r="C167" s="276"/>
      <c r="D167" s="277" t="s">
        <v>581</v>
      </c>
      <c r="E167" s="276"/>
      <c r="F167" s="278" t="str">
        <f t="shared" si="5"/>
        <v>0</v>
      </c>
      <c r="G167" s="279">
        <v>0</v>
      </c>
      <c r="H167" s="279">
        <v>0</v>
      </c>
      <c r="I167" s="280">
        <v>0</v>
      </c>
      <c r="J167" s="273"/>
      <c r="K167" s="273"/>
      <c r="L167" s="280">
        <v>0</v>
      </c>
      <c r="M167" s="281"/>
    </row>
    <row r="168" spans="2:13" ht="15.75" x14ac:dyDescent="0.25">
      <c r="B168" s="275"/>
      <c r="C168" s="276"/>
      <c r="D168" s="277" t="s">
        <v>581</v>
      </c>
      <c r="E168" s="283"/>
      <c r="F168" s="278" t="str">
        <f t="shared" si="5"/>
        <v>0</v>
      </c>
      <c r="G168" s="279">
        <v>0</v>
      </c>
      <c r="H168" s="279">
        <v>0</v>
      </c>
      <c r="I168" s="280">
        <v>0</v>
      </c>
      <c r="J168" s="273"/>
      <c r="K168" s="273"/>
      <c r="L168" s="280">
        <v>0</v>
      </c>
      <c r="M168" s="274"/>
    </row>
    <row r="169" spans="2:13" ht="15.75" x14ac:dyDescent="0.25">
      <c r="B169" s="275"/>
      <c r="C169" s="276"/>
      <c r="D169" s="277" t="s">
        <v>581</v>
      </c>
      <c r="E169" s="283"/>
      <c r="F169" s="278" t="str">
        <f t="shared" si="5"/>
        <v>0</v>
      </c>
      <c r="G169" s="279">
        <v>0</v>
      </c>
      <c r="H169" s="279">
        <v>0</v>
      </c>
      <c r="I169" s="280">
        <v>0</v>
      </c>
      <c r="J169" s="273"/>
      <c r="K169" s="273"/>
      <c r="L169" s="280">
        <v>0</v>
      </c>
      <c r="M169" s="274"/>
    </row>
    <row r="170" spans="2:13" ht="15.75" x14ac:dyDescent="0.25">
      <c r="B170" s="275"/>
      <c r="C170" s="276"/>
      <c r="D170" s="277" t="s">
        <v>581</v>
      </c>
      <c r="E170" s="283"/>
      <c r="F170" s="278" t="str">
        <f t="shared" si="5"/>
        <v>0</v>
      </c>
      <c r="G170" s="279">
        <v>0</v>
      </c>
      <c r="H170" s="279">
        <v>0</v>
      </c>
      <c r="I170" s="280">
        <v>0</v>
      </c>
      <c r="J170" s="273"/>
      <c r="K170" s="273"/>
      <c r="L170" s="280">
        <v>0</v>
      </c>
      <c r="M170" s="274"/>
    </row>
    <row r="171" spans="2:13" ht="15.75" x14ac:dyDescent="0.25">
      <c r="B171" s="275"/>
      <c r="C171" s="276"/>
      <c r="D171" s="277" t="s">
        <v>581</v>
      </c>
      <c r="E171" s="283"/>
      <c r="F171" s="278" t="str">
        <f t="shared" si="5"/>
        <v>0</v>
      </c>
      <c r="G171" s="279">
        <v>0</v>
      </c>
      <c r="H171" s="279">
        <v>0</v>
      </c>
      <c r="I171" s="280">
        <v>0</v>
      </c>
      <c r="J171" s="273"/>
      <c r="K171" s="273"/>
      <c r="L171" s="280">
        <v>0</v>
      </c>
      <c r="M171" s="274"/>
    </row>
    <row r="172" spans="2:13" ht="15.75" x14ac:dyDescent="0.25">
      <c r="B172" s="275"/>
      <c r="C172" s="276"/>
      <c r="D172" s="277"/>
      <c r="E172" s="283"/>
      <c r="F172" s="278"/>
      <c r="G172" s="279"/>
      <c r="H172" s="284"/>
      <c r="I172" s="280"/>
      <c r="J172" s="273"/>
      <c r="K172" s="273"/>
      <c r="L172" s="273"/>
      <c r="M172" s="274"/>
    </row>
    <row r="173" spans="2:13" ht="15.75" x14ac:dyDescent="0.25">
      <c r="B173" s="275"/>
      <c r="C173" s="276"/>
      <c r="D173" s="277"/>
      <c r="E173" s="283"/>
      <c r="F173" s="278"/>
      <c r="G173" s="279"/>
      <c r="H173" s="284"/>
      <c r="I173" s="280"/>
      <c r="J173" s="273"/>
      <c r="K173" s="273"/>
      <c r="L173" s="273"/>
      <c r="M173" s="274"/>
    </row>
    <row r="174" spans="2:13" ht="15.75" x14ac:dyDescent="0.25">
      <c r="B174" s="275"/>
      <c r="C174" s="276"/>
      <c r="D174" s="277"/>
      <c r="E174" s="283"/>
      <c r="F174" s="278"/>
      <c r="G174" s="279"/>
      <c r="H174" s="284"/>
      <c r="I174" s="280"/>
      <c r="J174" s="273"/>
      <c r="K174" s="273"/>
      <c r="L174" s="273"/>
      <c r="M174" s="274"/>
    </row>
    <row r="175" spans="2:13" ht="15.75" x14ac:dyDescent="0.25">
      <c r="B175" s="275"/>
      <c r="C175" s="276"/>
      <c r="D175" s="277"/>
      <c r="E175" s="283"/>
      <c r="F175" s="278"/>
      <c r="G175" s="279"/>
      <c r="H175" s="284"/>
      <c r="I175" s="282"/>
      <c r="J175" s="273"/>
      <c r="K175" s="273"/>
      <c r="L175" s="273"/>
      <c r="M175" s="274"/>
    </row>
    <row r="176" spans="2:13" ht="15.75" x14ac:dyDescent="0.25">
      <c r="B176" s="275"/>
      <c r="C176" s="276"/>
      <c r="D176" s="277"/>
      <c r="E176" s="283"/>
      <c r="F176" s="278"/>
      <c r="G176" s="279"/>
      <c r="H176" s="284"/>
      <c r="I176" s="282"/>
      <c r="J176" s="273"/>
      <c r="K176" s="273"/>
      <c r="L176" s="273"/>
      <c r="M176" s="274"/>
    </row>
    <row r="177" spans="2:13" ht="15.75" x14ac:dyDescent="0.25">
      <c r="B177" s="285"/>
      <c r="C177" s="286"/>
      <c r="D177" s="277"/>
      <c r="E177" s="287"/>
      <c r="F177" s="278"/>
      <c r="G177" s="254"/>
      <c r="H177" s="284"/>
      <c r="I177" s="282"/>
      <c r="J177" s="273"/>
      <c r="K177" s="273"/>
      <c r="L177" s="273"/>
      <c r="M177" s="274"/>
    </row>
    <row r="178" spans="2:13" ht="15.75" x14ac:dyDescent="0.25">
      <c r="B178" s="285"/>
      <c r="C178" s="288"/>
      <c r="D178" s="289"/>
      <c r="E178" s="290"/>
      <c r="F178" s="278"/>
      <c r="G178" s="291"/>
      <c r="H178" s="284"/>
      <c r="I178" s="282"/>
      <c r="J178" s="273"/>
      <c r="K178" s="273"/>
      <c r="L178" s="273"/>
      <c r="M178" s="274"/>
    </row>
    <row r="179" spans="2:13" ht="15.75" x14ac:dyDescent="0.25">
      <c r="B179" s="285"/>
      <c r="C179" s="286"/>
      <c r="D179" s="289"/>
      <c r="E179" s="287"/>
      <c r="F179" s="278"/>
      <c r="G179" s="254"/>
      <c r="H179" s="284"/>
      <c r="I179" s="282"/>
      <c r="J179" s="273"/>
      <c r="K179" s="273"/>
      <c r="L179" s="273"/>
      <c r="M179" s="274"/>
    </row>
    <row r="180" spans="2:13" ht="15.75" x14ac:dyDescent="0.25">
      <c r="B180" s="285"/>
      <c r="C180" s="286"/>
      <c r="D180" s="292"/>
      <c r="E180" s="287"/>
      <c r="F180" s="278"/>
      <c r="G180" s="254"/>
      <c r="H180" s="284"/>
      <c r="I180" s="273"/>
      <c r="J180" s="273"/>
      <c r="K180" s="273"/>
      <c r="L180" s="273"/>
      <c r="M180" s="274"/>
    </row>
    <row r="181" spans="2:13" ht="16.5" thickBot="1" x14ac:dyDescent="0.3">
      <c r="B181" s="293"/>
      <c r="C181" s="293"/>
      <c r="D181" s="294"/>
      <c r="E181" s="294"/>
      <c r="F181" s="294"/>
      <c r="G181" s="266"/>
      <c r="H181" s="266"/>
      <c r="I181" s="295"/>
      <c r="J181" s="295"/>
      <c r="K181" s="295"/>
      <c r="L181" s="295"/>
      <c r="M181" s="296"/>
    </row>
    <row r="182" spans="2:13" ht="16.5" thickTop="1" x14ac:dyDescent="0.25">
      <c r="B182" s="297"/>
      <c r="C182" s="297"/>
      <c r="D182" s="287"/>
      <c r="E182" s="287"/>
      <c r="F182" s="287"/>
      <c r="G182" s="281">
        <f>SUM(G161:G181)</f>
        <v>0</v>
      </c>
      <c r="H182" s="281">
        <f t="shared" ref="H182:M182" si="6">SUM(H161:H181)</f>
        <v>0</v>
      </c>
      <c r="I182" s="281">
        <f>SUM(I161:I181)</f>
        <v>24.85</v>
      </c>
      <c r="J182" s="281">
        <f t="shared" si="6"/>
        <v>0</v>
      </c>
      <c r="K182" s="281">
        <f t="shared" si="6"/>
        <v>0</v>
      </c>
      <c r="L182" s="281">
        <f t="shared" si="6"/>
        <v>0</v>
      </c>
      <c r="M182" s="281">
        <f t="shared" si="6"/>
        <v>0</v>
      </c>
    </row>
    <row r="183" spans="2:13" ht="15.75" x14ac:dyDescent="0.25">
      <c r="B183" s="297"/>
      <c r="C183" s="297"/>
      <c r="D183" s="287"/>
      <c r="E183" s="287"/>
      <c r="F183" s="287"/>
      <c r="G183" s="254"/>
      <c r="H183" s="281"/>
      <c r="I183" s="281"/>
      <c r="J183" s="281"/>
      <c r="K183" s="281"/>
      <c r="L183" s="281"/>
      <c r="M183" s="281"/>
    </row>
    <row r="184" spans="2:13" ht="15.75" x14ac:dyDescent="0.25">
      <c r="B184" s="297"/>
      <c r="C184" s="297"/>
      <c r="D184" s="287" t="s">
        <v>653</v>
      </c>
      <c r="E184" s="287"/>
      <c r="F184" s="287"/>
      <c r="G184" s="254"/>
      <c r="H184" s="281"/>
      <c r="I184" s="281">
        <f>+G182</f>
        <v>0</v>
      </c>
      <c r="J184" s="281"/>
      <c r="K184" s="281"/>
      <c r="L184" s="281"/>
      <c r="M184" s="281"/>
    </row>
    <row r="185" spans="2:13" ht="15.75" x14ac:dyDescent="0.25">
      <c r="B185" s="297"/>
      <c r="C185" s="297"/>
      <c r="D185" s="287"/>
      <c r="E185" s="287"/>
      <c r="F185" s="287"/>
      <c r="G185" s="254"/>
      <c r="H185" s="281"/>
      <c r="I185" s="281"/>
      <c r="J185" s="281"/>
      <c r="K185" s="281"/>
      <c r="L185" s="281"/>
      <c r="M185" s="281"/>
    </row>
    <row r="186" spans="2:13" ht="15.75" x14ac:dyDescent="0.25">
      <c r="B186" s="297"/>
      <c r="C186" s="297"/>
      <c r="D186" s="287" t="s">
        <v>654</v>
      </c>
      <c r="E186" s="287"/>
      <c r="F186" s="287"/>
      <c r="G186" s="254"/>
      <c r="H186" s="281"/>
      <c r="I186" s="281">
        <f>+H182</f>
        <v>0</v>
      </c>
      <c r="J186" s="281"/>
      <c r="K186" s="281"/>
      <c r="L186" s="281"/>
      <c r="M186" s="281"/>
    </row>
    <row r="187" spans="2:13" ht="15.75" x14ac:dyDescent="0.25">
      <c r="B187" s="297"/>
      <c r="C187" s="297"/>
      <c r="D187" s="287"/>
      <c r="E187" s="287"/>
      <c r="F187" s="287"/>
      <c r="G187" s="254"/>
      <c r="H187" s="281"/>
      <c r="I187" s="281"/>
      <c r="J187" s="281"/>
      <c r="K187" s="281"/>
      <c r="L187" s="281"/>
      <c r="M187" s="281"/>
    </row>
    <row r="188" spans="2:13" ht="15.75" x14ac:dyDescent="0.25">
      <c r="B188" s="297"/>
      <c r="C188" s="297"/>
      <c r="D188" s="287"/>
      <c r="E188" s="287"/>
      <c r="F188" s="287"/>
      <c r="G188" s="254"/>
      <c r="H188" s="298"/>
      <c r="I188" s="255"/>
      <c r="J188" s="255"/>
      <c r="K188" s="255"/>
      <c r="L188" s="255"/>
      <c r="M188" s="255"/>
    </row>
    <row r="189" spans="2:13" ht="15.75" x14ac:dyDescent="0.25">
      <c r="B189" s="297"/>
      <c r="C189" s="297"/>
      <c r="D189" s="287" t="s">
        <v>590</v>
      </c>
      <c r="E189" s="287"/>
      <c r="F189" s="287"/>
      <c r="G189" s="254"/>
      <c r="H189" s="255"/>
      <c r="I189" s="258"/>
      <c r="J189" s="258"/>
      <c r="K189" s="258"/>
      <c r="L189" s="258"/>
      <c r="M189" s="255"/>
    </row>
    <row r="190" spans="2:13" ht="15.75" x14ac:dyDescent="0.25">
      <c r="B190" s="297"/>
      <c r="C190" s="297"/>
      <c r="D190" s="287" t="s">
        <v>141</v>
      </c>
      <c r="E190" s="287"/>
      <c r="F190" s="287"/>
      <c r="G190" s="254"/>
      <c r="H190" s="255"/>
      <c r="I190" s="332">
        <f>ROUND(I182/1.13,2)</f>
        <v>21.99</v>
      </c>
      <c r="J190" s="281"/>
      <c r="K190" s="281"/>
      <c r="L190" s="281"/>
      <c r="M190" s="300"/>
    </row>
    <row r="191" spans="2:13" ht="15.75" x14ac:dyDescent="0.25">
      <c r="B191" s="297"/>
      <c r="C191" s="297"/>
      <c r="D191" s="287" t="s">
        <v>591</v>
      </c>
      <c r="E191" s="287"/>
      <c r="F191" s="287"/>
      <c r="G191" s="254"/>
      <c r="H191" s="255"/>
      <c r="I191" s="319">
        <f>(I190*0.13)</f>
        <v>2.8586999999999998</v>
      </c>
      <c r="J191" s="301"/>
      <c r="K191" s="301"/>
      <c r="L191" s="301"/>
      <c r="M191" s="300"/>
    </row>
    <row r="192" spans="2:13" ht="16.5" thickBot="1" x14ac:dyDescent="0.3">
      <c r="B192" s="297"/>
      <c r="C192" s="297"/>
      <c r="D192" s="287"/>
      <c r="E192" s="287"/>
      <c r="F192" s="287"/>
      <c r="G192" s="254"/>
      <c r="H192" s="255"/>
      <c r="I192" s="302"/>
      <c r="J192" s="303"/>
      <c r="K192" s="303"/>
      <c r="L192" s="303"/>
      <c r="M192" s="300"/>
    </row>
    <row r="193" spans="2:13" ht="16.5" thickTop="1" x14ac:dyDescent="0.25">
      <c r="B193" s="297"/>
      <c r="C193" s="297"/>
      <c r="D193" s="287" t="s">
        <v>592</v>
      </c>
      <c r="E193" s="287"/>
      <c r="F193" s="287"/>
      <c r="G193" s="254"/>
      <c r="H193" s="255"/>
      <c r="I193" s="274">
        <f>SUM(I190:I192)</f>
        <v>24.848699999999997</v>
      </c>
      <c r="J193" s="274"/>
      <c r="K193" s="274"/>
      <c r="L193" s="274"/>
      <c r="M193" s="255"/>
    </row>
    <row r="194" spans="2:13" ht="16.5" thickBot="1" x14ac:dyDescent="0.3">
      <c r="B194" s="297"/>
      <c r="C194" s="297"/>
      <c r="D194" s="287"/>
      <c r="E194" s="287"/>
      <c r="F194" s="287"/>
      <c r="G194" s="254"/>
      <c r="H194" s="255"/>
      <c r="I194" s="302"/>
      <c r="J194" s="303"/>
      <c r="K194" s="303"/>
      <c r="L194" s="303"/>
      <c r="M194" s="255"/>
    </row>
    <row r="195" spans="2:13" ht="16.5" thickTop="1" x14ac:dyDescent="0.25">
      <c r="B195" s="297"/>
      <c r="C195" s="297"/>
      <c r="D195" s="287"/>
      <c r="E195" s="287"/>
      <c r="F195" s="287"/>
      <c r="G195" s="254"/>
      <c r="H195" s="255"/>
      <c r="I195" s="304"/>
      <c r="J195" s="304"/>
      <c r="K195" s="304"/>
      <c r="L195" s="304"/>
      <c r="M195" s="255"/>
    </row>
    <row r="196" spans="2:13" ht="15.75" x14ac:dyDescent="0.25">
      <c r="B196" s="297"/>
      <c r="C196" s="297"/>
      <c r="D196" s="287"/>
      <c r="E196" s="287"/>
      <c r="F196" s="287"/>
      <c r="G196" s="254"/>
      <c r="H196" s="255"/>
      <c r="I196" s="264"/>
      <c r="J196" s="264"/>
      <c r="K196" s="264"/>
      <c r="L196" s="264"/>
      <c r="M196" s="255"/>
    </row>
    <row r="197" spans="2:13" ht="15.75" x14ac:dyDescent="0.25">
      <c r="B197" s="297"/>
      <c r="C197" s="297"/>
      <c r="D197" s="287"/>
      <c r="E197" s="287"/>
      <c r="F197" s="287"/>
      <c r="G197" s="305"/>
      <c r="H197" s="255" t="s">
        <v>655</v>
      </c>
      <c r="I197" s="264">
        <v>-2.86</v>
      </c>
      <c r="J197" s="264"/>
      <c r="K197" s="264"/>
      <c r="L197" s="264"/>
      <c r="M197" s="255"/>
    </row>
    <row r="198" spans="2:13" ht="15.75" x14ac:dyDescent="0.25">
      <c r="B198" s="297"/>
      <c r="C198" s="297"/>
      <c r="D198" s="287"/>
      <c r="E198" s="287"/>
      <c r="F198" s="287"/>
      <c r="G198" s="254"/>
      <c r="H198" s="306" t="s">
        <v>656</v>
      </c>
      <c r="I198" s="307">
        <f>+I191+I197</f>
        <v>-1.3000000000000789E-3</v>
      </c>
      <c r="J198" s="264"/>
      <c r="K198" s="264"/>
      <c r="L198" s="264"/>
      <c r="M198" s="255"/>
    </row>
    <row r="202" spans="2:13" ht="20.25" x14ac:dyDescent="0.3">
      <c r="B202" s="251" t="s">
        <v>640</v>
      </c>
      <c r="C202" s="252"/>
      <c r="D202" s="253"/>
      <c r="E202" s="253"/>
      <c r="F202" s="253"/>
      <c r="G202" s="254"/>
      <c r="H202" s="255"/>
      <c r="I202" s="255"/>
      <c r="J202" s="255"/>
      <c r="K202" s="255"/>
      <c r="L202" s="255"/>
      <c r="M202" s="255"/>
    </row>
    <row r="203" spans="2:13" ht="15.75" x14ac:dyDescent="0.25">
      <c r="B203" s="253" t="s">
        <v>252</v>
      </c>
      <c r="C203" s="253"/>
      <c r="D203" s="253"/>
      <c r="E203" s="253"/>
      <c r="F203" s="253"/>
      <c r="G203" s="254"/>
      <c r="H203" s="255"/>
      <c r="I203" s="255"/>
      <c r="J203" s="255"/>
      <c r="K203" s="255"/>
      <c r="L203" s="255"/>
      <c r="M203" s="255"/>
    </row>
    <row r="204" spans="2:13" ht="15.75" x14ac:dyDescent="0.25">
      <c r="B204" s="252" t="s">
        <v>253</v>
      </c>
      <c r="C204" s="253"/>
      <c r="D204" s="253"/>
      <c r="E204" s="253"/>
      <c r="F204" s="253"/>
      <c r="G204" s="254"/>
      <c r="H204" s="258"/>
      <c r="I204" s="258"/>
      <c r="J204" s="255"/>
      <c r="K204" s="255"/>
      <c r="L204" s="255"/>
      <c r="M204" s="255"/>
    </row>
    <row r="205" spans="2:13" ht="15.75" x14ac:dyDescent="0.25">
      <c r="B205" s="253" t="s">
        <v>356</v>
      </c>
      <c r="C205" s="253"/>
      <c r="D205" s="253"/>
      <c r="E205" s="253"/>
      <c r="F205" s="253"/>
      <c r="G205" s="254"/>
      <c r="H205" s="255"/>
      <c r="I205" s="255"/>
      <c r="J205" s="255"/>
      <c r="K205" s="255"/>
      <c r="L205" s="255"/>
      <c r="M205" s="255"/>
    </row>
    <row r="206" spans="2:13" ht="15.75" x14ac:dyDescent="0.25">
      <c r="B206" s="259" t="s">
        <v>457</v>
      </c>
      <c r="C206" s="260" t="s">
        <v>148</v>
      </c>
      <c r="D206" s="261"/>
      <c r="E206" s="331">
        <v>2019</v>
      </c>
      <c r="F206" s="253"/>
      <c r="G206" s="254"/>
      <c r="H206" s="255"/>
      <c r="I206" s="263"/>
      <c r="J206" s="263"/>
      <c r="K206" s="263"/>
      <c r="L206" s="263"/>
      <c r="M206" s="263"/>
    </row>
    <row r="207" spans="2:13" ht="15.75" x14ac:dyDescent="0.25">
      <c r="B207" s="256"/>
      <c r="C207" s="256"/>
      <c r="D207" s="253"/>
      <c r="E207" s="253"/>
      <c r="F207" s="253"/>
      <c r="G207" s="254"/>
      <c r="H207" s="255"/>
      <c r="I207" s="255"/>
      <c r="J207" s="255"/>
      <c r="K207" s="255"/>
      <c r="L207" s="255"/>
      <c r="M207" s="255"/>
    </row>
    <row r="208" spans="2:13" ht="15.75" x14ac:dyDescent="0.25">
      <c r="B208" s="256"/>
      <c r="C208" s="256"/>
      <c r="D208" s="253"/>
      <c r="E208" s="253"/>
      <c r="F208" s="253"/>
      <c r="G208" s="254"/>
      <c r="H208" s="255"/>
      <c r="I208" s="255"/>
      <c r="J208" s="255"/>
      <c r="K208" s="255"/>
      <c r="L208" s="255"/>
      <c r="M208" s="255"/>
    </row>
    <row r="209" spans="2:13" ht="15.75" x14ac:dyDescent="0.25">
      <c r="B209" s="256"/>
      <c r="C209" s="256"/>
      <c r="D209" s="253"/>
      <c r="E209" s="253"/>
      <c r="F209" s="253"/>
      <c r="G209" s="254"/>
      <c r="H209" s="264" t="s">
        <v>94</v>
      </c>
      <c r="I209" s="264" t="s">
        <v>94</v>
      </c>
      <c r="J209" s="264" t="s">
        <v>641</v>
      </c>
      <c r="K209" s="264" t="s">
        <v>642</v>
      </c>
      <c r="L209" s="264" t="s">
        <v>94</v>
      </c>
      <c r="M209" s="264" t="s">
        <v>257</v>
      </c>
    </row>
    <row r="210" spans="2:13" ht="16.5" thickBot="1" x14ac:dyDescent="0.3">
      <c r="B210" s="265" t="s">
        <v>137</v>
      </c>
      <c r="C210" s="265"/>
      <c r="D210" s="265" t="s">
        <v>643</v>
      </c>
      <c r="E210" s="265"/>
      <c r="F210" s="265" t="s">
        <v>644</v>
      </c>
      <c r="G210" s="266" t="s">
        <v>140</v>
      </c>
      <c r="H210" s="267" t="s">
        <v>327</v>
      </c>
      <c r="I210" s="268" t="s">
        <v>645</v>
      </c>
      <c r="J210" s="267" t="s">
        <v>646</v>
      </c>
      <c r="K210" s="267" t="s">
        <v>647</v>
      </c>
      <c r="L210" s="267" t="s">
        <v>326</v>
      </c>
      <c r="M210" s="267" t="s">
        <v>94</v>
      </c>
    </row>
    <row r="211" spans="2:13" ht="16.5" thickTop="1" x14ac:dyDescent="0.25">
      <c r="B211" s="269"/>
      <c r="C211" s="270"/>
      <c r="D211" s="271"/>
      <c r="E211" s="271"/>
      <c r="F211" s="271"/>
      <c r="G211" s="272"/>
      <c r="H211" s="272"/>
      <c r="I211" s="273"/>
      <c r="J211" s="273"/>
      <c r="K211" s="273"/>
      <c r="L211" s="273"/>
      <c r="M211" s="274"/>
    </row>
    <row r="212" spans="2:13" ht="15.75" x14ac:dyDescent="0.25">
      <c r="B212" s="275">
        <v>43511</v>
      </c>
      <c r="C212" s="276"/>
      <c r="D212" s="277" t="s">
        <v>763</v>
      </c>
      <c r="E212" s="276"/>
      <c r="F212" s="278" t="str">
        <f t="shared" ref="F212:F221" si="7">D212</f>
        <v>02006</v>
      </c>
      <c r="G212" s="279">
        <v>0</v>
      </c>
      <c r="H212" s="279">
        <v>0</v>
      </c>
      <c r="I212" s="280">
        <v>1.88</v>
      </c>
      <c r="J212" s="273"/>
      <c r="K212" s="273"/>
      <c r="L212" s="280">
        <v>0</v>
      </c>
      <c r="M212" s="281"/>
    </row>
    <row r="213" spans="2:13" ht="15.75" x14ac:dyDescent="0.25">
      <c r="B213" s="275"/>
      <c r="C213" s="276"/>
      <c r="D213" s="277"/>
      <c r="E213" s="276"/>
      <c r="F213" s="278">
        <f t="shared" si="7"/>
        <v>0</v>
      </c>
      <c r="G213" s="279">
        <v>0</v>
      </c>
      <c r="H213" s="279">
        <v>0</v>
      </c>
      <c r="I213" s="280">
        <v>0</v>
      </c>
      <c r="J213" s="273"/>
      <c r="K213" s="273"/>
      <c r="L213" s="280">
        <v>0</v>
      </c>
      <c r="M213" s="281"/>
    </row>
    <row r="214" spans="2:13" ht="15.75" x14ac:dyDescent="0.25">
      <c r="B214" s="275"/>
      <c r="C214" s="276"/>
      <c r="D214" s="277"/>
      <c r="E214" s="276"/>
      <c r="F214" s="278">
        <f t="shared" si="7"/>
        <v>0</v>
      </c>
      <c r="G214" s="279">
        <v>0</v>
      </c>
      <c r="H214" s="318">
        <v>0</v>
      </c>
      <c r="I214" s="280">
        <v>0</v>
      </c>
      <c r="J214" s="273"/>
      <c r="K214" s="273"/>
      <c r="L214" s="280">
        <v>0</v>
      </c>
      <c r="M214" s="281"/>
    </row>
    <row r="215" spans="2:13" ht="15.75" x14ac:dyDescent="0.25">
      <c r="B215" s="275"/>
      <c r="C215" s="276"/>
      <c r="D215" s="277"/>
      <c r="E215" s="276"/>
      <c r="F215" s="278">
        <f t="shared" si="7"/>
        <v>0</v>
      </c>
      <c r="G215" s="279">
        <v>0</v>
      </c>
      <c r="H215" s="279">
        <v>0</v>
      </c>
      <c r="I215" s="280">
        <v>0</v>
      </c>
      <c r="J215" s="273"/>
      <c r="K215" s="273"/>
      <c r="L215" s="280">
        <v>0</v>
      </c>
      <c r="M215" s="281"/>
    </row>
    <row r="216" spans="2:13" ht="15.75" x14ac:dyDescent="0.25">
      <c r="B216" s="275"/>
      <c r="C216" s="276"/>
      <c r="D216" s="277"/>
      <c r="E216" s="276"/>
      <c r="F216" s="278">
        <f t="shared" si="7"/>
        <v>0</v>
      </c>
      <c r="G216" s="279">
        <v>0</v>
      </c>
      <c r="H216" s="279">
        <v>0</v>
      </c>
      <c r="I216" s="280">
        <v>0</v>
      </c>
      <c r="J216" s="273"/>
      <c r="K216" s="273"/>
      <c r="L216" s="280">
        <v>0</v>
      </c>
      <c r="M216" s="274"/>
    </row>
    <row r="217" spans="2:13" ht="15.75" x14ac:dyDescent="0.25">
      <c r="B217" s="275"/>
      <c r="C217" s="276"/>
      <c r="D217" s="277"/>
      <c r="E217" s="276"/>
      <c r="F217" s="278">
        <f t="shared" si="7"/>
        <v>0</v>
      </c>
      <c r="G217" s="279">
        <v>0</v>
      </c>
      <c r="H217" s="279">
        <v>0</v>
      </c>
      <c r="I217" s="280">
        <v>0</v>
      </c>
      <c r="J217" s="273"/>
      <c r="K217" s="273"/>
      <c r="L217" s="280">
        <v>0</v>
      </c>
      <c r="M217" s="281"/>
    </row>
    <row r="218" spans="2:13" ht="15.75" x14ac:dyDescent="0.25">
      <c r="B218" s="275"/>
      <c r="C218" s="276"/>
      <c r="D218" s="277"/>
      <c r="E218" s="283"/>
      <c r="F218" s="278">
        <f t="shared" si="7"/>
        <v>0</v>
      </c>
      <c r="G218" s="279">
        <v>0</v>
      </c>
      <c r="H218" s="279">
        <v>0</v>
      </c>
      <c r="I218" s="280">
        <v>0</v>
      </c>
      <c r="J218" s="273"/>
      <c r="K218" s="273"/>
      <c r="L218" s="280">
        <v>0</v>
      </c>
      <c r="M218" s="274"/>
    </row>
    <row r="219" spans="2:13" ht="15.75" x14ac:dyDescent="0.25">
      <c r="B219" s="275"/>
      <c r="C219" s="276"/>
      <c r="D219" s="277"/>
      <c r="E219" s="283"/>
      <c r="F219" s="278">
        <f t="shared" si="7"/>
        <v>0</v>
      </c>
      <c r="G219" s="279">
        <v>0</v>
      </c>
      <c r="H219" s="279">
        <v>0</v>
      </c>
      <c r="I219" s="280">
        <v>0</v>
      </c>
      <c r="J219" s="273"/>
      <c r="K219" s="273"/>
      <c r="L219" s="280">
        <v>0</v>
      </c>
      <c r="M219" s="274"/>
    </row>
    <row r="220" spans="2:13" ht="15.75" x14ac:dyDescent="0.25">
      <c r="B220" s="275"/>
      <c r="C220" s="276"/>
      <c r="D220" s="277"/>
      <c r="E220" s="283"/>
      <c r="F220" s="278">
        <f t="shared" si="7"/>
        <v>0</v>
      </c>
      <c r="G220" s="279">
        <v>0</v>
      </c>
      <c r="H220" s="279">
        <v>0</v>
      </c>
      <c r="I220" s="280">
        <v>0</v>
      </c>
      <c r="J220" s="273"/>
      <c r="K220" s="273"/>
      <c r="L220" s="280">
        <v>0</v>
      </c>
      <c r="M220" s="274"/>
    </row>
    <row r="221" spans="2:13" ht="15.75" x14ac:dyDescent="0.25">
      <c r="B221" s="275"/>
      <c r="C221" s="276"/>
      <c r="D221" s="277"/>
      <c r="E221" s="283"/>
      <c r="F221" s="278">
        <f t="shared" si="7"/>
        <v>0</v>
      </c>
      <c r="G221" s="279">
        <v>0</v>
      </c>
      <c r="H221" s="279">
        <v>0</v>
      </c>
      <c r="I221" s="280">
        <v>0</v>
      </c>
      <c r="J221" s="273"/>
      <c r="K221" s="273"/>
      <c r="L221" s="280">
        <v>0</v>
      </c>
      <c r="M221" s="274"/>
    </row>
    <row r="222" spans="2:13" ht="15.75" x14ac:dyDescent="0.25">
      <c r="B222" s="275"/>
      <c r="C222" s="276"/>
      <c r="D222" s="277"/>
      <c r="E222" s="283"/>
      <c r="F222" s="278"/>
      <c r="G222" s="279"/>
      <c r="H222" s="284"/>
      <c r="I222" s="280"/>
      <c r="J222" s="273"/>
      <c r="K222" s="273"/>
      <c r="L222" s="273"/>
      <c r="M222" s="274"/>
    </row>
    <row r="223" spans="2:13" ht="15.75" x14ac:dyDescent="0.25">
      <c r="B223" s="275"/>
      <c r="C223" s="276"/>
      <c r="D223" s="277"/>
      <c r="E223" s="283"/>
      <c r="F223" s="278"/>
      <c r="G223" s="279"/>
      <c r="H223" s="284"/>
      <c r="I223" s="280"/>
      <c r="J223" s="273"/>
      <c r="K223" s="273"/>
      <c r="L223" s="273"/>
      <c r="M223" s="274"/>
    </row>
    <row r="224" spans="2:13" ht="15.75" x14ac:dyDescent="0.25">
      <c r="B224" s="275"/>
      <c r="C224" s="276"/>
      <c r="D224" s="277"/>
      <c r="E224" s="283"/>
      <c r="F224" s="278"/>
      <c r="G224" s="279"/>
      <c r="H224" s="284"/>
      <c r="I224" s="280"/>
      <c r="J224" s="273"/>
      <c r="K224" s="273"/>
      <c r="L224" s="273"/>
      <c r="M224" s="274"/>
    </row>
    <row r="225" spans="2:13" ht="15.75" x14ac:dyDescent="0.25">
      <c r="B225" s="275"/>
      <c r="C225" s="276"/>
      <c r="D225" s="277"/>
      <c r="E225" s="283"/>
      <c r="F225" s="278"/>
      <c r="G225" s="279"/>
      <c r="H225" s="284"/>
      <c r="I225" s="282"/>
      <c r="J225" s="273"/>
      <c r="K225" s="273"/>
      <c r="L225" s="273"/>
      <c r="M225" s="274"/>
    </row>
    <row r="226" spans="2:13" ht="15.75" x14ac:dyDescent="0.25">
      <c r="B226" s="275"/>
      <c r="C226" s="276"/>
      <c r="D226" s="277"/>
      <c r="E226" s="283"/>
      <c r="F226" s="278"/>
      <c r="G226" s="279"/>
      <c r="H226" s="284"/>
      <c r="I226" s="282"/>
      <c r="J226" s="273"/>
      <c r="K226" s="273"/>
      <c r="L226" s="273"/>
      <c r="M226" s="274"/>
    </row>
    <row r="227" spans="2:13" ht="15.75" x14ac:dyDescent="0.25">
      <c r="B227" s="285"/>
      <c r="C227" s="286"/>
      <c r="D227" s="277"/>
      <c r="E227" s="287"/>
      <c r="F227" s="278"/>
      <c r="G227" s="254"/>
      <c r="H227" s="284"/>
      <c r="I227" s="282"/>
      <c r="J227" s="273"/>
      <c r="K227" s="273"/>
      <c r="L227" s="273"/>
      <c r="M227" s="274"/>
    </row>
    <row r="228" spans="2:13" ht="15.75" x14ac:dyDescent="0.25">
      <c r="B228" s="285"/>
      <c r="C228" s="288"/>
      <c r="D228" s="289"/>
      <c r="E228" s="290"/>
      <c r="F228" s="278"/>
      <c r="G228" s="291"/>
      <c r="H228" s="284"/>
      <c r="I228" s="282"/>
      <c r="J228" s="273"/>
      <c r="K228" s="273"/>
      <c r="L228" s="273"/>
      <c r="M228" s="274"/>
    </row>
    <row r="229" spans="2:13" ht="15.75" x14ac:dyDescent="0.25">
      <c r="B229" s="285"/>
      <c r="C229" s="286"/>
      <c r="D229" s="289"/>
      <c r="E229" s="287"/>
      <c r="F229" s="278"/>
      <c r="G229" s="254"/>
      <c r="H229" s="284"/>
      <c r="I229" s="282"/>
      <c r="J229" s="273"/>
      <c r="K229" s="273"/>
      <c r="L229" s="273"/>
      <c r="M229" s="274"/>
    </row>
    <row r="230" spans="2:13" ht="15.75" x14ac:dyDescent="0.25">
      <c r="B230" s="285"/>
      <c r="C230" s="286"/>
      <c r="D230" s="292"/>
      <c r="E230" s="287"/>
      <c r="F230" s="278"/>
      <c r="G230" s="254"/>
      <c r="H230" s="284"/>
      <c r="I230" s="273"/>
      <c r="J230" s="273"/>
      <c r="K230" s="273"/>
      <c r="L230" s="273"/>
      <c r="M230" s="274"/>
    </row>
    <row r="231" spans="2:13" ht="16.5" thickBot="1" x14ac:dyDescent="0.3">
      <c r="B231" s="293"/>
      <c r="C231" s="293"/>
      <c r="D231" s="294"/>
      <c r="E231" s="294"/>
      <c r="F231" s="294"/>
      <c r="G231" s="266"/>
      <c r="H231" s="266"/>
      <c r="I231" s="295"/>
      <c r="J231" s="295"/>
      <c r="K231" s="295"/>
      <c r="L231" s="295"/>
      <c r="M231" s="296"/>
    </row>
    <row r="232" spans="2:13" ht="16.5" thickTop="1" x14ac:dyDescent="0.25">
      <c r="B232" s="297"/>
      <c r="C232" s="297"/>
      <c r="D232" s="287"/>
      <c r="E232" s="287"/>
      <c r="F232" s="287"/>
      <c r="G232" s="281">
        <f>SUM(G211:G231)</f>
        <v>0</v>
      </c>
      <c r="H232" s="281">
        <f t="shared" ref="H232:M232" si="8">SUM(H211:H231)</f>
        <v>0</v>
      </c>
      <c r="I232" s="281">
        <f>SUM(I211:I231)</f>
        <v>1.88</v>
      </c>
      <c r="J232" s="281">
        <f t="shared" si="8"/>
        <v>0</v>
      </c>
      <c r="K232" s="281">
        <f t="shared" si="8"/>
        <v>0</v>
      </c>
      <c r="L232" s="281">
        <f t="shared" si="8"/>
        <v>0</v>
      </c>
      <c r="M232" s="281">
        <f t="shared" si="8"/>
        <v>0</v>
      </c>
    </row>
    <row r="233" spans="2:13" ht="15.75" x14ac:dyDescent="0.25">
      <c r="B233" s="297"/>
      <c r="C233" s="297"/>
      <c r="D233" s="287"/>
      <c r="E233" s="287"/>
      <c r="F233" s="287"/>
      <c r="G233" s="254"/>
      <c r="H233" s="281"/>
      <c r="I233" s="281"/>
      <c r="J233" s="281"/>
      <c r="K233" s="281"/>
      <c r="L233" s="281"/>
      <c r="M233" s="281"/>
    </row>
    <row r="234" spans="2:13" ht="15.75" x14ac:dyDescent="0.25">
      <c r="B234" s="297"/>
      <c r="C234" s="297"/>
      <c r="D234" s="287" t="s">
        <v>653</v>
      </c>
      <c r="E234" s="287"/>
      <c r="F234" s="287"/>
      <c r="G234" s="254"/>
      <c r="H234" s="281"/>
      <c r="I234" s="281">
        <f>+G232</f>
        <v>0</v>
      </c>
      <c r="J234" s="281"/>
      <c r="K234" s="281"/>
      <c r="L234" s="281"/>
      <c r="M234" s="281"/>
    </row>
    <row r="235" spans="2:13" ht="15.75" x14ac:dyDescent="0.25">
      <c r="B235" s="297"/>
      <c r="C235" s="297"/>
      <c r="D235" s="287"/>
      <c r="E235" s="287"/>
      <c r="F235" s="287"/>
      <c r="G235" s="254"/>
      <c r="H235" s="281"/>
      <c r="I235" s="281"/>
      <c r="J235" s="281"/>
      <c r="K235" s="281"/>
      <c r="L235" s="281"/>
      <c r="M235" s="281"/>
    </row>
    <row r="236" spans="2:13" ht="15.75" x14ac:dyDescent="0.25">
      <c r="B236" s="297"/>
      <c r="C236" s="297"/>
      <c r="D236" s="287" t="s">
        <v>654</v>
      </c>
      <c r="E236" s="287"/>
      <c r="F236" s="287"/>
      <c r="G236" s="254"/>
      <c r="H236" s="281"/>
      <c r="I236" s="281">
        <f>+H232</f>
        <v>0</v>
      </c>
      <c r="J236" s="281"/>
      <c r="K236" s="281"/>
      <c r="L236" s="281"/>
      <c r="M236" s="281"/>
    </row>
    <row r="237" spans="2:13" ht="15.75" x14ac:dyDescent="0.25">
      <c r="B237" s="297"/>
      <c r="C237" s="297"/>
      <c r="D237" s="287"/>
      <c r="E237" s="287"/>
      <c r="F237" s="287"/>
      <c r="G237" s="254"/>
      <c r="H237" s="281"/>
      <c r="I237" s="281"/>
      <c r="J237" s="281"/>
      <c r="K237" s="281"/>
      <c r="L237" s="281"/>
      <c r="M237" s="281"/>
    </row>
    <row r="238" spans="2:13" ht="15.75" x14ac:dyDescent="0.25">
      <c r="B238" s="297"/>
      <c r="C238" s="297"/>
      <c r="D238" s="287"/>
      <c r="E238" s="287"/>
      <c r="F238" s="287"/>
      <c r="G238" s="254"/>
      <c r="H238" s="298"/>
      <c r="I238" s="255"/>
      <c r="J238" s="255"/>
      <c r="K238" s="255"/>
      <c r="L238" s="255"/>
      <c r="M238" s="255"/>
    </row>
    <row r="239" spans="2:13" ht="15.75" x14ac:dyDescent="0.25">
      <c r="B239" s="297"/>
      <c r="C239" s="297"/>
      <c r="D239" s="287" t="s">
        <v>590</v>
      </c>
      <c r="E239" s="287"/>
      <c r="F239" s="287"/>
      <c r="G239" s="254"/>
      <c r="H239" s="255"/>
      <c r="I239" s="258"/>
      <c r="J239" s="258"/>
      <c r="K239" s="258"/>
      <c r="L239" s="258"/>
      <c r="M239" s="255"/>
    </row>
    <row r="240" spans="2:13" ht="15.75" x14ac:dyDescent="0.25">
      <c r="B240" s="297"/>
      <c r="C240" s="297"/>
      <c r="D240" s="287" t="s">
        <v>141</v>
      </c>
      <c r="E240" s="287"/>
      <c r="F240" s="287"/>
      <c r="G240" s="254"/>
      <c r="H240" s="255"/>
      <c r="I240" s="320">
        <f>ROUND(I232/1.13,2)</f>
        <v>1.66</v>
      </c>
      <c r="J240" s="339">
        <v>-4983.1899999999996</v>
      </c>
      <c r="K240" s="281">
        <v>4984.55</v>
      </c>
      <c r="L240" s="281"/>
      <c r="M240" s="300"/>
    </row>
    <row r="241" spans="2:13" ht="15.75" x14ac:dyDescent="0.25">
      <c r="B241" s="297"/>
      <c r="C241" s="297"/>
      <c r="D241" s="287" t="s">
        <v>591</v>
      </c>
      <c r="E241" s="287"/>
      <c r="F241" s="287"/>
      <c r="G241" s="254"/>
      <c r="H241" s="255"/>
      <c r="I241" s="319">
        <f>(I240*0.13)</f>
        <v>0.21579999999999999</v>
      </c>
      <c r="J241" s="301"/>
      <c r="K241" s="301"/>
      <c r="L241" s="301"/>
      <c r="M241" s="300"/>
    </row>
    <row r="242" spans="2:13" ht="16.5" thickBot="1" x14ac:dyDescent="0.3">
      <c r="B242" s="297"/>
      <c r="C242" s="297"/>
      <c r="D242" s="287"/>
      <c r="E242" s="287"/>
      <c r="F242" s="287"/>
      <c r="G242" s="254"/>
      <c r="H242" s="255"/>
      <c r="I242" s="302"/>
      <c r="J242" s="303"/>
      <c r="K242" s="303"/>
      <c r="L242" s="303"/>
      <c r="M242" s="300"/>
    </row>
    <row r="243" spans="2:13" ht="16.5" thickTop="1" x14ac:dyDescent="0.25">
      <c r="B243" s="297"/>
      <c r="C243" s="297"/>
      <c r="D243" s="287" t="s">
        <v>592</v>
      </c>
      <c r="E243" s="287"/>
      <c r="F243" s="287"/>
      <c r="G243" s="254"/>
      <c r="H243" s="255"/>
      <c r="I243" s="274">
        <f>SUM(I240:I242)</f>
        <v>1.8757999999999999</v>
      </c>
      <c r="J243" s="274"/>
      <c r="K243" s="274"/>
      <c r="L243" s="274"/>
      <c r="M243" s="255"/>
    </row>
    <row r="244" spans="2:13" ht="16.5" thickBot="1" x14ac:dyDescent="0.3">
      <c r="B244" s="297"/>
      <c r="C244" s="297"/>
      <c r="D244" s="287"/>
      <c r="E244" s="287"/>
      <c r="F244" s="287"/>
      <c r="G244" s="254"/>
      <c r="H244" s="255"/>
      <c r="I244" s="302"/>
      <c r="J244" s="303"/>
      <c r="K244" s="303"/>
      <c r="L244" s="303"/>
      <c r="M244" s="255"/>
    </row>
    <row r="245" spans="2:13" ht="16.5" thickTop="1" x14ac:dyDescent="0.25">
      <c r="B245" s="297"/>
      <c r="C245" s="297"/>
      <c r="D245" s="287"/>
      <c r="E245" s="287"/>
      <c r="F245" s="287"/>
      <c r="G245" s="254"/>
      <c r="H245" s="255"/>
      <c r="I245" s="304"/>
      <c r="J245" s="304"/>
      <c r="K245" s="304"/>
      <c r="L245" s="304"/>
      <c r="M245" s="255"/>
    </row>
    <row r="246" spans="2:13" ht="15.75" x14ac:dyDescent="0.25">
      <c r="B246" s="297"/>
      <c r="C246" s="297"/>
      <c r="D246" s="287"/>
      <c r="E246" s="287"/>
      <c r="F246" s="287"/>
      <c r="G246" s="254"/>
      <c r="H246" s="255"/>
      <c r="I246" s="264"/>
      <c r="J246" s="264"/>
      <c r="K246" s="264"/>
      <c r="L246" s="264"/>
      <c r="M246" s="255"/>
    </row>
    <row r="247" spans="2:13" ht="15.75" x14ac:dyDescent="0.25">
      <c r="B247" s="297"/>
      <c r="C247" s="297"/>
      <c r="D247" s="287"/>
      <c r="E247" s="287"/>
      <c r="F247" s="287"/>
      <c r="G247" s="305"/>
      <c r="H247" s="255" t="s">
        <v>655</v>
      </c>
      <c r="I247" s="264">
        <v>-0.22</v>
      </c>
      <c r="J247" s="264"/>
      <c r="K247" s="264"/>
      <c r="L247" s="264"/>
      <c r="M247" s="255"/>
    </row>
    <row r="248" spans="2:13" ht="15.75" x14ac:dyDescent="0.25">
      <c r="B248" s="297"/>
      <c r="C248" s="297"/>
      <c r="D248" s="287"/>
      <c r="E248" s="287"/>
      <c r="F248" s="287"/>
      <c r="G248" s="254"/>
      <c r="H248" s="306" t="s">
        <v>656</v>
      </c>
      <c r="I248" s="307">
        <f>+I241+I247</f>
        <v>-4.2000000000000093E-3</v>
      </c>
      <c r="J248" s="264"/>
      <c r="K248" s="264"/>
      <c r="L248" s="264"/>
      <c r="M248" s="255"/>
    </row>
    <row r="253" spans="2:13" ht="20.25" x14ac:dyDescent="0.3">
      <c r="B253" s="251" t="s">
        <v>640</v>
      </c>
      <c r="C253" s="252"/>
      <c r="D253" s="253"/>
      <c r="E253" s="253"/>
      <c r="F253" s="253"/>
      <c r="G253" s="254"/>
      <c r="H253" s="255"/>
      <c r="I253" s="255"/>
      <c r="J253" s="255"/>
      <c r="K253" s="255"/>
      <c r="L253" s="255"/>
      <c r="M253" s="255"/>
    </row>
    <row r="254" spans="2:13" ht="15.75" x14ac:dyDescent="0.25">
      <c r="B254" s="253" t="s">
        <v>252</v>
      </c>
      <c r="C254" s="253"/>
      <c r="D254" s="253"/>
      <c r="E254" s="253"/>
      <c r="F254" s="253"/>
      <c r="G254" s="254"/>
      <c r="H254" s="255"/>
      <c r="I254" s="255"/>
      <c r="J254" s="255"/>
      <c r="K254" s="255"/>
      <c r="L254" s="255"/>
      <c r="M254" s="255"/>
    </row>
    <row r="255" spans="2:13" ht="15.75" x14ac:dyDescent="0.25">
      <c r="B255" s="252" t="s">
        <v>253</v>
      </c>
      <c r="C255" s="253"/>
      <c r="D255" s="253"/>
      <c r="E255" s="253"/>
      <c r="F255" s="253"/>
      <c r="G255" s="254"/>
      <c r="H255" s="258"/>
      <c r="I255" s="258"/>
      <c r="J255" s="255"/>
      <c r="K255" s="255"/>
      <c r="L255" s="255"/>
      <c r="M255" s="255"/>
    </row>
    <row r="256" spans="2:13" ht="15.75" x14ac:dyDescent="0.25">
      <c r="B256" s="253" t="s">
        <v>356</v>
      </c>
      <c r="C256" s="253"/>
      <c r="D256" s="253"/>
      <c r="E256" s="253"/>
      <c r="F256" s="253"/>
      <c r="G256" s="254"/>
      <c r="H256" s="255"/>
      <c r="I256" s="255"/>
      <c r="J256" s="255"/>
      <c r="K256" s="255"/>
      <c r="L256" s="255"/>
      <c r="M256" s="255"/>
    </row>
    <row r="257" spans="2:13" ht="15.75" x14ac:dyDescent="0.25">
      <c r="B257" s="259" t="s">
        <v>457</v>
      </c>
      <c r="C257" s="260" t="s">
        <v>149</v>
      </c>
      <c r="D257" s="261"/>
      <c r="E257" s="331">
        <v>2019</v>
      </c>
      <c r="F257" s="253"/>
      <c r="G257" s="254"/>
      <c r="H257" s="255"/>
      <c r="I257" s="263"/>
      <c r="J257" s="263"/>
      <c r="K257" s="263"/>
      <c r="L257" s="263"/>
      <c r="M257" s="263"/>
    </row>
    <row r="258" spans="2:13" ht="15.75" x14ac:dyDescent="0.25">
      <c r="B258" s="256"/>
      <c r="C258" s="256"/>
      <c r="D258" s="253"/>
      <c r="E258" s="253"/>
      <c r="F258" s="253"/>
      <c r="G258" s="254"/>
      <c r="H258" s="255"/>
      <c r="I258" s="255"/>
      <c r="J258" s="255"/>
      <c r="K258" s="255"/>
      <c r="L258" s="255"/>
      <c r="M258" s="255"/>
    </row>
    <row r="259" spans="2:13" ht="15.75" x14ac:dyDescent="0.25">
      <c r="B259" s="256"/>
      <c r="C259" s="256"/>
      <c r="D259" s="253"/>
      <c r="E259" s="253"/>
      <c r="F259" s="253"/>
      <c r="G259" s="254"/>
      <c r="H259" s="255"/>
      <c r="I259" s="255"/>
      <c r="J259" s="255"/>
      <c r="K259" s="255"/>
      <c r="L259" s="255"/>
      <c r="M259" s="255"/>
    </row>
    <row r="260" spans="2:13" ht="15.75" x14ac:dyDescent="0.25">
      <c r="B260" s="256"/>
      <c r="C260" s="256"/>
      <c r="D260" s="253"/>
      <c r="E260" s="253"/>
      <c r="F260" s="253"/>
      <c r="G260" s="254"/>
      <c r="H260" s="264" t="s">
        <v>94</v>
      </c>
      <c r="I260" s="264" t="s">
        <v>94</v>
      </c>
      <c r="J260" s="264" t="s">
        <v>641</v>
      </c>
      <c r="K260" s="264" t="s">
        <v>642</v>
      </c>
      <c r="L260" s="264" t="s">
        <v>94</v>
      </c>
      <c r="M260" s="264" t="s">
        <v>257</v>
      </c>
    </row>
    <row r="261" spans="2:13" ht="16.5" thickBot="1" x14ac:dyDescent="0.3">
      <c r="B261" s="265" t="s">
        <v>137</v>
      </c>
      <c r="C261" s="265"/>
      <c r="D261" s="265" t="s">
        <v>643</v>
      </c>
      <c r="E261" s="265"/>
      <c r="F261" s="265" t="s">
        <v>644</v>
      </c>
      <c r="G261" s="266" t="s">
        <v>140</v>
      </c>
      <c r="H261" s="267" t="s">
        <v>327</v>
      </c>
      <c r="I261" s="268" t="s">
        <v>645</v>
      </c>
      <c r="J261" s="267" t="s">
        <v>646</v>
      </c>
      <c r="K261" s="267" t="s">
        <v>647</v>
      </c>
      <c r="L261" s="267" t="s">
        <v>326</v>
      </c>
      <c r="M261" s="267" t="s">
        <v>94</v>
      </c>
    </row>
    <row r="262" spans="2:13" ht="16.5" thickTop="1" x14ac:dyDescent="0.25">
      <c r="B262" s="269"/>
      <c r="C262" s="270"/>
      <c r="D262" s="271"/>
      <c r="E262" s="271"/>
      <c r="F262" s="271"/>
      <c r="G262" s="272"/>
      <c r="H262" s="272"/>
      <c r="I262" s="273"/>
      <c r="J262" s="273"/>
      <c r="K262" s="273"/>
      <c r="L262" s="273"/>
      <c r="M262" s="274"/>
    </row>
    <row r="263" spans="2:13" ht="15.75" x14ac:dyDescent="0.25">
      <c r="B263" s="275">
        <v>43545</v>
      </c>
      <c r="C263" s="276"/>
      <c r="D263" s="277" t="s">
        <v>803</v>
      </c>
      <c r="E263" s="276"/>
      <c r="F263" s="278">
        <v>2007</v>
      </c>
      <c r="G263" s="279">
        <v>0</v>
      </c>
      <c r="H263" s="279">
        <v>0</v>
      </c>
      <c r="I263" s="280">
        <v>1.92</v>
      </c>
      <c r="J263" s="273"/>
      <c r="K263" s="273"/>
      <c r="L263" s="280">
        <v>0</v>
      </c>
      <c r="M263" s="281"/>
    </row>
    <row r="264" spans="2:13" ht="15.75" x14ac:dyDescent="0.25">
      <c r="B264" s="275"/>
      <c r="C264" s="276"/>
      <c r="D264" s="277"/>
      <c r="E264" s="276"/>
      <c r="F264" s="278">
        <f>D264</f>
        <v>0</v>
      </c>
      <c r="G264" s="279">
        <v>0</v>
      </c>
      <c r="H264" s="279">
        <v>0</v>
      </c>
      <c r="I264" s="280">
        <v>0</v>
      </c>
      <c r="J264" s="273"/>
      <c r="K264" s="273"/>
      <c r="L264" s="280">
        <v>0</v>
      </c>
      <c r="M264" s="281"/>
    </row>
    <row r="265" spans="2:13" ht="15.75" x14ac:dyDescent="0.25">
      <c r="B265" s="285"/>
      <c r="C265" s="286"/>
      <c r="D265" s="289"/>
      <c r="E265" s="287"/>
      <c r="F265" s="278"/>
      <c r="G265" s="254"/>
      <c r="H265" s="284"/>
      <c r="I265" s="282"/>
      <c r="J265" s="273"/>
      <c r="K265" s="273"/>
      <c r="L265" s="273"/>
      <c r="M265" s="274"/>
    </row>
    <row r="266" spans="2:13" ht="15.75" x14ac:dyDescent="0.25">
      <c r="B266" s="285"/>
      <c r="C266" s="286"/>
      <c r="D266" s="292"/>
      <c r="E266" s="287"/>
      <c r="F266" s="278"/>
      <c r="G266" s="254"/>
      <c r="H266" s="284"/>
      <c r="I266" s="273"/>
      <c r="J266" s="273"/>
      <c r="K266" s="273"/>
      <c r="L266" s="273"/>
      <c r="M266" s="274"/>
    </row>
    <row r="267" spans="2:13" ht="16.5" thickBot="1" x14ac:dyDescent="0.3">
      <c r="B267" s="293"/>
      <c r="C267" s="293"/>
      <c r="D267" s="294"/>
      <c r="E267" s="294"/>
      <c r="F267" s="294"/>
      <c r="G267" s="266"/>
      <c r="H267" s="266"/>
      <c r="I267" s="295"/>
      <c r="J267" s="295"/>
      <c r="K267" s="295"/>
      <c r="L267" s="295"/>
      <c r="M267" s="296"/>
    </row>
    <row r="268" spans="2:13" ht="16.5" thickTop="1" x14ac:dyDescent="0.25">
      <c r="B268" s="297"/>
      <c r="C268" s="297"/>
      <c r="D268" s="287"/>
      <c r="E268" s="287"/>
      <c r="F268" s="287"/>
      <c r="G268" s="281">
        <f t="shared" ref="G268:M268" si="9">SUM(G262:G267)</f>
        <v>0</v>
      </c>
      <c r="H268" s="281">
        <f t="shared" si="9"/>
        <v>0</v>
      </c>
      <c r="I268" s="281">
        <f t="shared" si="9"/>
        <v>1.92</v>
      </c>
      <c r="J268" s="281">
        <f t="shared" si="9"/>
        <v>0</v>
      </c>
      <c r="K268" s="281">
        <f t="shared" si="9"/>
        <v>0</v>
      </c>
      <c r="L268" s="281">
        <f t="shared" si="9"/>
        <v>0</v>
      </c>
      <c r="M268" s="281">
        <f t="shared" si="9"/>
        <v>0</v>
      </c>
    </row>
    <row r="269" spans="2:13" ht="15.75" x14ac:dyDescent="0.25">
      <c r="B269" s="297"/>
      <c r="C269" s="297"/>
      <c r="D269" s="287"/>
      <c r="E269" s="287"/>
      <c r="F269" s="287"/>
      <c r="G269" s="254"/>
      <c r="H269" s="281"/>
      <c r="I269" s="281"/>
      <c r="J269" s="281"/>
      <c r="K269" s="281"/>
      <c r="L269" s="281"/>
      <c r="M269" s="281"/>
    </row>
    <row r="270" spans="2:13" ht="15.75" x14ac:dyDescent="0.25">
      <c r="B270" s="297"/>
      <c r="C270" s="297"/>
      <c r="D270" s="287" t="s">
        <v>653</v>
      </c>
      <c r="E270" s="287"/>
      <c r="F270" s="287"/>
      <c r="G270" s="254"/>
      <c r="H270" s="281"/>
      <c r="I270" s="281">
        <f>+G268</f>
        <v>0</v>
      </c>
      <c r="J270" s="281"/>
      <c r="K270" s="281"/>
      <c r="L270" s="281"/>
      <c r="M270" s="281"/>
    </row>
    <row r="271" spans="2:13" ht="15.75" x14ac:dyDescent="0.25">
      <c r="B271" s="297"/>
      <c r="C271" s="297"/>
      <c r="D271" s="287"/>
      <c r="E271" s="287"/>
      <c r="F271" s="287"/>
      <c r="G271" s="254"/>
      <c r="H271" s="281"/>
      <c r="I271" s="281"/>
      <c r="J271" s="281"/>
      <c r="K271" s="281"/>
      <c r="L271" s="281"/>
      <c r="M271" s="281"/>
    </row>
    <row r="272" spans="2:13" ht="15.75" x14ac:dyDescent="0.25">
      <c r="B272" s="297"/>
      <c r="C272" s="297"/>
      <c r="D272" s="287" t="s">
        <v>654</v>
      </c>
      <c r="E272" s="287"/>
      <c r="F272" s="287"/>
      <c r="G272" s="254"/>
      <c r="H272" s="281"/>
      <c r="I272" s="281">
        <f>+H268</f>
        <v>0</v>
      </c>
      <c r="J272" s="281"/>
      <c r="K272" s="281"/>
      <c r="L272" s="281"/>
      <c r="M272" s="281"/>
    </row>
    <row r="273" spans="2:13" ht="15.75" x14ac:dyDescent="0.25">
      <c r="B273" s="297"/>
      <c r="C273" s="297"/>
      <c r="D273" s="287"/>
      <c r="E273" s="287"/>
      <c r="F273" s="287"/>
      <c r="G273" s="254"/>
      <c r="H273" s="281"/>
      <c r="I273" s="281"/>
      <c r="J273" s="281"/>
      <c r="K273" s="281"/>
      <c r="L273" s="281"/>
      <c r="M273" s="281"/>
    </row>
    <row r="274" spans="2:13" ht="15.75" x14ac:dyDescent="0.25">
      <c r="B274" s="297"/>
      <c r="C274" s="297"/>
      <c r="D274" s="287"/>
      <c r="E274" s="287"/>
      <c r="F274" s="287"/>
      <c r="G274" s="254"/>
      <c r="H274" s="298"/>
      <c r="I274" s="255"/>
      <c r="J274" s="255"/>
      <c r="K274" s="255"/>
      <c r="L274" s="255"/>
      <c r="M274" s="255"/>
    </row>
    <row r="275" spans="2:13" ht="15.75" x14ac:dyDescent="0.25">
      <c r="B275" s="297"/>
      <c r="C275" s="297"/>
      <c r="D275" s="287" t="s">
        <v>590</v>
      </c>
      <c r="E275" s="287"/>
      <c r="F275" s="287"/>
      <c r="G275" s="254"/>
      <c r="H275" s="255"/>
      <c r="I275" s="258"/>
      <c r="J275" s="258"/>
      <c r="K275" s="258"/>
      <c r="L275" s="258"/>
      <c r="M275" s="255"/>
    </row>
    <row r="276" spans="2:13" ht="15.75" x14ac:dyDescent="0.25">
      <c r="B276" s="297"/>
      <c r="C276" s="297"/>
      <c r="D276" s="287" t="s">
        <v>141</v>
      </c>
      <c r="E276" s="287"/>
      <c r="F276" s="287"/>
      <c r="G276" s="254"/>
      <c r="H276" s="255"/>
      <c r="I276" s="320">
        <f>ROUND(I268/1.13,2)</f>
        <v>1.7</v>
      </c>
      <c r="J276" s="281"/>
      <c r="K276" s="281"/>
      <c r="L276" s="281"/>
      <c r="M276" s="300"/>
    </row>
    <row r="277" spans="2:13" ht="15.75" x14ac:dyDescent="0.25">
      <c r="B277" s="297"/>
      <c r="C277" s="297"/>
      <c r="D277" s="287" t="s">
        <v>591</v>
      </c>
      <c r="E277" s="287"/>
      <c r="F277" s="287"/>
      <c r="G277" s="254"/>
      <c r="H277" s="255"/>
      <c r="I277" s="319">
        <f>(I276*0.13)</f>
        <v>0.221</v>
      </c>
      <c r="J277" s="301"/>
      <c r="K277" s="301"/>
      <c r="L277" s="301"/>
      <c r="M277" s="300"/>
    </row>
    <row r="278" spans="2:13" ht="16.5" thickBot="1" x14ac:dyDescent="0.3">
      <c r="B278" s="297"/>
      <c r="C278" s="297"/>
      <c r="D278" s="287"/>
      <c r="E278" s="287"/>
      <c r="F278" s="287"/>
      <c r="G278" s="254"/>
      <c r="H278" s="255"/>
      <c r="I278" s="302"/>
      <c r="J278" s="303"/>
      <c r="K278" s="303"/>
      <c r="L278" s="303"/>
      <c r="M278" s="300"/>
    </row>
    <row r="279" spans="2:13" ht="16.5" thickTop="1" x14ac:dyDescent="0.25">
      <c r="B279" s="297"/>
      <c r="C279" s="297"/>
      <c r="D279" s="287" t="s">
        <v>592</v>
      </c>
      <c r="E279" s="287"/>
      <c r="F279" s="287"/>
      <c r="G279" s="254"/>
      <c r="H279" s="255"/>
      <c r="I279" s="274">
        <f>SUM(I276:I278)</f>
        <v>1.921</v>
      </c>
      <c r="J279" s="274"/>
      <c r="K279" s="274"/>
      <c r="L279" s="274"/>
      <c r="M279" s="255"/>
    </row>
    <row r="280" spans="2:13" ht="16.5" thickBot="1" x14ac:dyDescent="0.3">
      <c r="B280" s="297"/>
      <c r="C280" s="297"/>
      <c r="D280" s="287"/>
      <c r="E280" s="287"/>
      <c r="F280" s="287"/>
      <c r="G280" s="254"/>
      <c r="H280" s="255"/>
      <c r="I280" s="302"/>
      <c r="J280" s="303"/>
      <c r="K280" s="303"/>
      <c r="L280" s="303"/>
      <c r="M280" s="255"/>
    </row>
    <row r="281" spans="2:13" ht="16.5" thickTop="1" x14ac:dyDescent="0.25">
      <c r="B281" s="297"/>
      <c r="C281" s="297"/>
      <c r="D281" s="287"/>
      <c r="E281" s="287"/>
      <c r="F281" s="287"/>
      <c r="G281" s="254"/>
      <c r="H281" s="255"/>
      <c r="I281" s="304"/>
      <c r="J281" s="304"/>
      <c r="K281" s="304"/>
      <c r="L281" s="304"/>
      <c r="M281" s="255"/>
    </row>
    <row r="282" spans="2:13" ht="15.75" x14ac:dyDescent="0.25">
      <c r="B282" s="297"/>
      <c r="C282" s="297"/>
      <c r="D282" s="287"/>
      <c r="E282" s="287"/>
      <c r="F282" s="287"/>
      <c r="G282" s="254"/>
      <c r="H282" s="255"/>
      <c r="I282" s="264"/>
      <c r="J282" s="264"/>
      <c r="K282" s="264"/>
      <c r="L282" s="264"/>
      <c r="M282" s="255"/>
    </row>
    <row r="283" spans="2:13" ht="15.75" x14ac:dyDescent="0.25">
      <c r="B283" s="297"/>
      <c r="C283" s="297"/>
      <c r="D283" s="287"/>
      <c r="E283" s="287"/>
      <c r="F283" s="287"/>
      <c r="G283" s="305"/>
      <c r="H283" s="255" t="s">
        <v>655</v>
      </c>
      <c r="I283" s="264">
        <v>-0.22</v>
      </c>
      <c r="J283" s="264"/>
      <c r="K283" s="264"/>
      <c r="L283" s="264"/>
      <c r="M283" s="255"/>
    </row>
    <row r="284" spans="2:13" ht="15.75" x14ac:dyDescent="0.25">
      <c r="B284" s="297"/>
      <c r="C284" s="297"/>
      <c r="D284" s="287"/>
      <c r="E284" s="287"/>
      <c r="F284" s="287"/>
      <c r="G284" s="254"/>
      <c r="H284" s="306" t="s">
        <v>656</v>
      </c>
      <c r="I284" s="307">
        <f>+I277+I283</f>
        <v>1.0000000000000009E-3</v>
      </c>
      <c r="J284" s="264"/>
      <c r="K284" s="264"/>
      <c r="L284" s="264"/>
      <c r="M284" s="255"/>
    </row>
    <row r="291" spans="1:12" ht="20.25" x14ac:dyDescent="0.3">
      <c r="A291" s="251" t="s">
        <v>640</v>
      </c>
      <c r="B291" s="252"/>
      <c r="C291" s="253"/>
      <c r="D291" s="253"/>
      <c r="E291" s="253"/>
      <c r="F291" s="254"/>
      <c r="G291" s="255"/>
      <c r="H291" s="255"/>
      <c r="I291" s="255"/>
      <c r="J291" s="255"/>
      <c r="K291" s="255"/>
      <c r="L291" s="255"/>
    </row>
    <row r="292" spans="1:12" ht="15.75" x14ac:dyDescent="0.25">
      <c r="A292" s="253" t="s">
        <v>252</v>
      </c>
      <c r="B292" s="253"/>
      <c r="C292" s="253"/>
      <c r="D292" s="253"/>
      <c r="E292" s="253"/>
      <c r="F292" s="254"/>
      <c r="G292" s="255"/>
      <c r="H292" s="255"/>
      <c r="I292" s="255"/>
      <c r="J292" s="255"/>
      <c r="K292" s="255"/>
      <c r="L292" s="255"/>
    </row>
    <row r="293" spans="1:12" ht="15.75" x14ac:dyDescent="0.25">
      <c r="A293" s="252" t="s">
        <v>253</v>
      </c>
      <c r="B293" s="253"/>
      <c r="C293" s="253"/>
      <c r="D293" s="253"/>
      <c r="E293" s="253"/>
      <c r="F293" s="254"/>
      <c r="G293" s="258"/>
      <c r="H293" s="258"/>
      <c r="I293" s="255"/>
      <c r="J293" s="255"/>
      <c r="K293" s="255"/>
      <c r="L293" s="255"/>
    </row>
    <row r="294" spans="1:12" ht="15.75" x14ac:dyDescent="0.25">
      <c r="A294" s="253" t="s">
        <v>356</v>
      </c>
      <c r="B294" s="253"/>
      <c r="C294" s="253"/>
      <c r="D294" s="253"/>
      <c r="E294" s="253"/>
      <c r="F294" s="254"/>
      <c r="G294" s="255"/>
      <c r="H294" s="255"/>
      <c r="I294" s="255"/>
      <c r="J294" s="255"/>
      <c r="K294" s="255"/>
      <c r="L294" s="255"/>
    </row>
    <row r="295" spans="1:12" ht="15.75" x14ac:dyDescent="0.25">
      <c r="A295" s="259" t="s">
        <v>457</v>
      </c>
      <c r="B295" s="260" t="s">
        <v>150</v>
      </c>
      <c r="C295" s="261"/>
      <c r="D295" s="331">
        <v>2019</v>
      </c>
      <c r="E295" s="253"/>
      <c r="F295" s="254"/>
      <c r="G295" s="255"/>
      <c r="H295" s="263"/>
      <c r="I295" s="263"/>
      <c r="J295" s="263"/>
      <c r="K295" s="263"/>
      <c r="L295" s="263"/>
    </row>
    <row r="296" spans="1:12" ht="15.75" x14ac:dyDescent="0.25">
      <c r="A296" s="256"/>
      <c r="B296" s="256"/>
      <c r="C296" s="253"/>
      <c r="D296" s="253"/>
      <c r="E296" s="253"/>
      <c r="F296" s="254"/>
      <c r="G296" s="255"/>
      <c r="H296" s="255"/>
      <c r="I296" s="255"/>
      <c r="J296" s="255"/>
      <c r="K296" s="255"/>
      <c r="L296" s="255"/>
    </row>
    <row r="297" spans="1:12" ht="15.75" x14ac:dyDescent="0.25">
      <c r="A297" s="256"/>
      <c r="B297" s="256"/>
      <c r="C297" s="253"/>
      <c r="D297" s="253"/>
      <c r="E297" s="253"/>
      <c r="F297" s="254"/>
      <c r="G297" s="255"/>
      <c r="H297" s="255"/>
      <c r="I297" s="255"/>
      <c r="J297" s="255"/>
      <c r="K297" s="255"/>
      <c r="L297" s="255"/>
    </row>
    <row r="298" spans="1:12" ht="15.75" x14ac:dyDescent="0.25">
      <c r="A298" s="256"/>
      <c r="B298" s="256"/>
      <c r="C298" s="253"/>
      <c r="D298" s="253"/>
      <c r="E298" s="253"/>
      <c r="F298" s="254"/>
      <c r="G298" s="264" t="s">
        <v>94</v>
      </c>
      <c r="H298" s="264" t="s">
        <v>94</v>
      </c>
      <c r="I298" s="264" t="s">
        <v>641</v>
      </c>
      <c r="J298" s="264" t="s">
        <v>642</v>
      </c>
      <c r="K298" s="264" t="s">
        <v>94</v>
      </c>
      <c r="L298" s="264" t="s">
        <v>257</v>
      </c>
    </row>
    <row r="299" spans="1:12" ht="16.5" thickBot="1" x14ac:dyDescent="0.3">
      <c r="A299" s="265" t="s">
        <v>137</v>
      </c>
      <c r="B299" s="265"/>
      <c r="C299" s="265" t="s">
        <v>643</v>
      </c>
      <c r="D299" s="265"/>
      <c r="E299" s="265" t="s">
        <v>644</v>
      </c>
      <c r="F299" s="266" t="s">
        <v>140</v>
      </c>
      <c r="G299" s="267" t="s">
        <v>327</v>
      </c>
      <c r="H299" s="268" t="s">
        <v>645</v>
      </c>
      <c r="I299" s="267" t="s">
        <v>646</v>
      </c>
      <c r="J299" s="267" t="s">
        <v>647</v>
      </c>
      <c r="K299" s="267" t="s">
        <v>326</v>
      </c>
      <c r="L299" s="267" t="s">
        <v>94</v>
      </c>
    </row>
    <row r="300" spans="1:12" ht="16.5" thickTop="1" x14ac:dyDescent="0.25">
      <c r="A300" s="269"/>
      <c r="B300" s="270"/>
      <c r="C300" s="271"/>
      <c r="D300" s="271"/>
      <c r="E300" s="271"/>
      <c r="F300" s="272"/>
      <c r="G300" s="272"/>
      <c r="H300" s="273"/>
      <c r="I300" s="273"/>
      <c r="J300" s="273"/>
      <c r="K300" s="273"/>
      <c r="L300" s="274"/>
    </row>
    <row r="301" spans="1:12" ht="15.75" x14ac:dyDescent="0.25">
      <c r="A301" s="275">
        <v>43570</v>
      </c>
      <c r="B301" s="276"/>
      <c r="C301" s="277" t="s">
        <v>549</v>
      </c>
      <c r="D301" s="276"/>
      <c r="E301" s="277" t="s">
        <v>549</v>
      </c>
      <c r="F301" s="279">
        <v>0</v>
      </c>
      <c r="G301" s="279">
        <v>0</v>
      </c>
      <c r="H301" s="280">
        <v>1.95</v>
      </c>
      <c r="I301" s="273"/>
      <c r="J301" s="273"/>
      <c r="K301" s="280">
        <v>0</v>
      </c>
      <c r="L301" s="281"/>
    </row>
    <row r="302" spans="1:12" ht="15.75" x14ac:dyDescent="0.25">
      <c r="A302" s="275"/>
      <c r="B302" s="276"/>
      <c r="C302" s="277"/>
      <c r="D302" s="276"/>
      <c r="E302" s="278">
        <f>C302</f>
        <v>0</v>
      </c>
      <c r="F302" s="279">
        <v>0</v>
      </c>
      <c r="G302" s="279">
        <v>0</v>
      </c>
      <c r="H302" s="280">
        <v>0</v>
      </c>
      <c r="I302" s="273"/>
      <c r="J302" s="273"/>
      <c r="K302" s="280">
        <v>0</v>
      </c>
      <c r="L302" s="281"/>
    </row>
    <row r="303" spans="1:12" ht="15.75" x14ac:dyDescent="0.25">
      <c r="A303" s="275"/>
      <c r="B303" s="276"/>
      <c r="C303" s="277"/>
      <c r="D303" s="283"/>
      <c r="E303" s="278">
        <f>C303</f>
        <v>0</v>
      </c>
      <c r="F303" s="279">
        <v>0</v>
      </c>
      <c r="G303" s="279">
        <v>0</v>
      </c>
      <c r="H303" s="280">
        <v>0</v>
      </c>
      <c r="I303" s="273"/>
      <c r="J303" s="273"/>
      <c r="K303" s="280">
        <v>0</v>
      </c>
      <c r="L303" s="274"/>
    </row>
    <row r="304" spans="1:12" ht="15.75" x14ac:dyDescent="0.25">
      <c r="A304" s="285"/>
      <c r="B304" s="286"/>
      <c r="C304" s="292"/>
      <c r="D304" s="287"/>
      <c r="E304" s="278"/>
      <c r="F304" s="254"/>
      <c r="G304" s="284"/>
      <c r="H304" s="273"/>
      <c r="I304" s="273"/>
      <c r="J304" s="273"/>
      <c r="K304" s="273"/>
      <c r="L304" s="274"/>
    </row>
    <row r="305" spans="1:12" ht="16.5" thickBot="1" x14ac:dyDescent="0.3">
      <c r="A305" s="293"/>
      <c r="B305" s="293"/>
      <c r="C305" s="294"/>
      <c r="D305" s="294"/>
      <c r="E305" s="294"/>
      <c r="F305" s="266"/>
      <c r="G305" s="266"/>
      <c r="H305" s="295"/>
      <c r="I305" s="295"/>
      <c r="J305" s="295"/>
      <c r="K305" s="295"/>
      <c r="L305" s="296"/>
    </row>
    <row r="306" spans="1:12" ht="16.5" thickTop="1" x14ac:dyDescent="0.25">
      <c r="A306" s="297"/>
      <c r="B306" s="297"/>
      <c r="C306" s="287"/>
      <c r="D306" s="287"/>
      <c r="E306" s="287"/>
      <c r="F306" s="281">
        <f t="shared" ref="F306:L306" si="10">SUM(F300:F305)</f>
        <v>0</v>
      </c>
      <c r="G306" s="281">
        <f t="shared" si="10"/>
        <v>0</v>
      </c>
      <c r="H306" s="281">
        <f t="shared" si="10"/>
        <v>1.95</v>
      </c>
      <c r="I306" s="281">
        <f t="shared" si="10"/>
        <v>0</v>
      </c>
      <c r="J306" s="281">
        <f t="shared" si="10"/>
        <v>0</v>
      </c>
      <c r="K306" s="281">
        <f t="shared" si="10"/>
        <v>0</v>
      </c>
      <c r="L306" s="281">
        <f t="shared" si="10"/>
        <v>0</v>
      </c>
    </row>
    <row r="307" spans="1:12" ht="15.75" x14ac:dyDescent="0.25">
      <c r="A307" s="297"/>
      <c r="B307" s="297"/>
      <c r="C307" s="287"/>
      <c r="D307" s="287"/>
      <c r="E307" s="287"/>
      <c r="F307" s="254"/>
      <c r="G307" s="281"/>
      <c r="H307" s="281"/>
      <c r="I307" s="281"/>
      <c r="J307" s="281"/>
      <c r="K307" s="281"/>
      <c r="L307" s="281"/>
    </row>
    <row r="308" spans="1:12" ht="15.75" x14ac:dyDescent="0.25">
      <c r="A308" s="297"/>
      <c r="B308" s="297"/>
      <c r="C308" s="287" t="s">
        <v>653</v>
      </c>
      <c r="D308" s="287"/>
      <c r="E308" s="287"/>
      <c r="F308" s="254"/>
      <c r="G308" s="281"/>
      <c r="H308" s="281">
        <f>+F306</f>
        <v>0</v>
      </c>
      <c r="I308" s="281"/>
      <c r="J308" s="281"/>
      <c r="K308" s="281"/>
      <c r="L308" s="281"/>
    </row>
    <row r="309" spans="1:12" ht="15.75" x14ac:dyDescent="0.25">
      <c r="A309" s="297"/>
      <c r="B309" s="297"/>
      <c r="C309" s="287"/>
      <c r="D309" s="287"/>
      <c r="E309" s="287"/>
      <c r="F309" s="254"/>
      <c r="G309" s="281"/>
      <c r="H309" s="281"/>
      <c r="I309" s="281"/>
      <c r="J309" s="281"/>
      <c r="K309" s="281"/>
      <c r="L309" s="281"/>
    </row>
    <row r="310" spans="1:12" ht="15.75" x14ac:dyDescent="0.25">
      <c r="A310" s="297"/>
      <c r="B310" s="297"/>
      <c r="C310" s="287" t="s">
        <v>654</v>
      </c>
      <c r="D310" s="287"/>
      <c r="E310" s="287"/>
      <c r="F310" s="254"/>
      <c r="G310" s="281"/>
      <c r="H310" s="281">
        <f>+G306</f>
        <v>0</v>
      </c>
      <c r="I310" s="281"/>
      <c r="J310" s="281"/>
      <c r="K310" s="281"/>
      <c r="L310" s="281"/>
    </row>
    <row r="311" spans="1:12" ht="15.75" x14ac:dyDescent="0.25">
      <c r="A311" s="297"/>
      <c r="B311" s="297"/>
      <c r="C311" s="287"/>
      <c r="D311" s="287"/>
      <c r="E311" s="287"/>
      <c r="F311" s="254"/>
      <c r="G311" s="281"/>
      <c r="H311" s="281"/>
      <c r="I311" s="281"/>
      <c r="J311" s="281"/>
      <c r="K311" s="281"/>
      <c r="L311" s="281"/>
    </row>
    <row r="312" spans="1:12" ht="15.75" x14ac:dyDescent="0.25">
      <c r="A312" s="297"/>
      <c r="B312" s="297"/>
      <c r="C312" s="287"/>
      <c r="D312" s="287"/>
      <c r="E312" s="287"/>
      <c r="F312" s="254"/>
      <c r="G312" s="298"/>
      <c r="H312" s="255"/>
      <c r="I312" s="255"/>
      <c r="J312" s="255"/>
      <c r="K312" s="255"/>
      <c r="L312" s="255"/>
    </row>
    <row r="313" spans="1:12" ht="15.75" x14ac:dyDescent="0.25">
      <c r="A313" s="297"/>
      <c r="B313" s="297"/>
      <c r="C313" s="287" t="s">
        <v>590</v>
      </c>
      <c r="D313" s="287"/>
      <c r="E313" s="287"/>
      <c r="F313" s="254"/>
      <c r="G313" s="255"/>
      <c r="H313" s="258"/>
      <c r="I313" s="258"/>
      <c r="J313" s="258"/>
      <c r="K313" s="258"/>
      <c r="L313" s="255"/>
    </row>
    <row r="314" spans="1:12" ht="15.75" x14ac:dyDescent="0.25">
      <c r="A314" s="297"/>
      <c r="B314" s="297"/>
      <c r="C314" s="287" t="s">
        <v>141</v>
      </c>
      <c r="D314" s="287"/>
      <c r="E314" s="287"/>
      <c r="F314" s="254"/>
      <c r="G314" s="255"/>
      <c r="H314" s="320">
        <f>ROUND(H306/1.13,2)</f>
        <v>1.73</v>
      </c>
      <c r="I314" s="281"/>
      <c r="J314" s="281"/>
      <c r="K314" s="281"/>
      <c r="L314" s="300"/>
    </row>
    <row r="315" spans="1:12" ht="15.75" x14ac:dyDescent="0.25">
      <c r="A315" s="297"/>
      <c r="B315" s="297"/>
      <c r="C315" s="287" t="s">
        <v>591</v>
      </c>
      <c r="D315" s="287"/>
      <c r="E315" s="287"/>
      <c r="F315" s="254"/>
      <c r="G315" s="255"/>
      <c r="H315" s="319">
        <f>(H314*0.13)</f>
        <v>0.22490000000000002</v>
      </c>
      <c r="I315" s="301"/>
      <c r="J315" s="301"/>
      <c r="K315" s="301"/>
      <c r="L315" s="300"/>
    </row>
    <row r="316" spans="1:12" ht="16.5" thickBot="1" x14ac:dyDescent="0.3">
      <c r="A316" s="297"/>
      <c r="B316" s="297"/>
      <c r="C316" s="287"/>
      <c r="D316" s="287"/>
      <c r="E316" s="287"/>
      <c r="F316" s="254"/>
      <c r="G316" s="255"/>
      <c r="H316" s="302"/>
      <c r="I316" s="303"/>
      <c r="J316" s="303"/>
      <c r="K316" s="303"/>
      <c r="L316" s="300"/>
    </row>
    <row r="317" spans="1:12" ht="16.5" thickTop="1" x14ac:dyDescent="0.25">
      <c r="A317" s="297"/>
      <c r="B317" s="297"/>
      <c r="C317" s="287" t="s">
        <v>592</v>
      </c>
      <c r="D317" s="287"/>
      <c r="E317" s="287"/>
      <c r="F317" s="254"/>
      <c r="G317" s="255"/>
      <c r="H317" s="274">
        <f>SUM(H314:H316)</f>
        <v>1.9549000000000001</v>
      </c>
      <c r="I317" s="274"/>
      <c r="J317" s="274"/>
      <c r="K317" s="274"/>
      <c r="L317" s="255"/>
    </row>
    <row r="318" spans="1:12" ht="16.5" thickBot="1" x14ac:dyDescent="0.3">
      <c r="A318" s="297"/>
      <c r="B318" s="297"/>
      <c r="C318" s="287"/>
      <c r="D318" s="287"/>
      <c r="E318" s="287"/>
      <c r="F318" s="254"/>
      <c r="G318" s="255"/>
      <c r="H318" s="302"/>
      <c r="I318" s="303"/>
      <c r="J318" s="303"/>
      <c r="K318" s="303"/>
      <c r="L318" s="255"/>
    </row>
    <row r="319" spans="1:12" ht="16.5" thickTop="1" x14ac:dyDescent="0.25">
      <c r="A319" s="297"/>
      <c r="B319" s="297"/>
      <c r="C319" s="287"/>
      <c r="D319" s="287"/>
      <c r="E319" s="287"/>
      <c r="F319" s="254"/>
      <c r="G319" s="255"/>
      <c r="H319" s="304"/>
      <c r="I319" s="304"/>
      <c r="J319" s="304"/>
      <c r="K319" s="304"/>
      <c r="L319" s="255"/>
    </row>
    <row r="320" spans="1:12" ht="15.75" x14ac:dyDescent="0.25">
      <c r="A320" s="297"/>
      <c r="B320" s="297"/>
      <c r="C320" s="287"/>
      <c r="D320" s="287"/>
      <c r="E320" s="287"/>
      <c r="F320" s="254"/>
      <c r="G320" s="255"/>
      <c r="H320" s="264"/>
      <c r="I320" s="264"/>
      <c r="J320" s="264"/>
      <c r="K320" s="264"/>
      <c r="L320" s="255"/>
    </row>
    <row r="321" spans="1:14" ht="15.75" x14ac:dyDescent="0.25">
      <c r="A321" s="297"/>
      <c r="B321" s="297"/>
      <c r="C321" s="287"/>
      <c r="D321" s="287"/>
      <c r="E321" s="287"/>
      <c r="F321" s="305"/>
      <c r="G321" s="255" t="s">
        <v>655</v>
      </c>
      <c r="H321" s="264">
        <v>-0.22</v>
      </c>
      <c r="I321" s="264"/>
      <c r="J321" s="264"/>
      <c r="K321" s="264"/>
      <c r="L321" s="255"/>
    </row>
    <row r="322" spans="1:14" ht="15.75" x14ac:dyDescent="0.25">
      <c r="A322" s="297"/>
      <c r="B322" s="297"/>
      <c r="C322" s="287"/>
      <c r="D322" s="287"/>
      <c r="E322" s="287"/>
      <c r="F322" s="254"/>
      <c r="G322" s="306" t="s">
        <v>656</v>
      </c>
      <c r="H322" s="307">
        <f>+H315+H321</f>
        <v>4.9000000000000155E-3</v>
      </c>
      <c r="I322" s="264"/>
      <c r="J322" s="264"/>
      <c r="K322" s="264"/>
      <c r="L322" s="255"/>
    </row>
    <row r="325" spans="1:14" s="257" customFormat="1" ht="20.25" x14ac:dyDescent="0.3">
      <c r="B325" s="251" t="s">
        <v>640</v>
      </c>
      <c r="C325" s="252"/>
      <c r="D325" s="253"/>
      <c r="E325" s="253"/>
      <c r="F325" s="253"/>
      <c r="G325" s="254"/>
      <c r="H325" s="255"/>
      <c r="I325" s="255"/>
      <c r="J325" s="255"/>
      <c r="K325" s="255"/>
      <c r="L325" s="255"/>
      <c r="M325" s="255"/>
      <c r="N325" s="256"/>
    </row>
    <row r="326" spans="1:14" s="257" customFormat="1" ht="15.75" x14ac:dyDescent="0.25">
      <c r="B326" s="253" t="s">
        <v>252</v>
      </c>
      <c r="C326" s="253"/>
      <c r="D326" s="253"/>
      <c r="E326" s="253"/>
      <c r="F326" s="253"/>
      <c r="G326" s="254"/>
      <c r="H326" s="255"/>
      <c r="I326" s="255"/>
      <c r="J326" s="255"/>
      <c r="K326" s="255"/>
      <c r="L326" s="255"/>
      <c r="M326" s="255"/>
      <c r="N326" s="256"/>
    </row>
    <row r="327" spans="1:14" s="257" customFormat="1" ht="15.75" x14ac:dyDescent="0.25">
      <c r="B327" s="252" t="s">
        <v>253</v>
      </c>
      <c r="C327" s="253"/>
      <c r="D327" s="253"/>
      <c r="E327" s="253"/>
      <c r="F327" s="253"/>
      <c r="G327" s="254"/>
      <c r="H327" s="258"/>
      <c r="I327" s="258"/>
      <c r="J327" s="255"/>
      <c r="K327" s="255"/>
      <c r="L327" s="255"/>
      <c r="M327" s="255"/>
      <c r="N327" s="256"/>
    </row>
    <row r="328" spans="1:14" s="257" customFormat="1" ht="15.75" x14ac:dyDescent="0.25">
      <c r="B328" s="253" t="s">
        <v>356</v>
      </c>
      <c r="C328" s="253"/>
      <c r="D328" s="253"/>
      <c r="E328" s="253"/>
      <c r="F328" s="253"/>
      <c r="G328" s="254"/>
      <c r="H328" s="255"/>
      <c r="I328" s="255"/>
      <c r="J328" s="255"/>
      <c r="K328" s="255"/>
      <c r="L328" s="255"/>
      <c r="M328" s="255"/>
      <c r="N328" s="256"/>
    </row>
    <row r="329" spans="1:14" s="257" customFormat="1" ht="15.75" x14ac:dyDescent="0.25">
      <c r="B329" s="259" t="s">
        <v>457</v>
      </c>
      <c r="C329" s="260">
        <f>'[25]Compras '!C329</f>
        <v>0</v>
      </c>
      <c r="D329" s="261"/>
      <c r="E329" s="331">
        <v>2019</v>
      </c>
      <c r="F329" s="253"/>
      <c r="G329" s="254"/>
      <c r="H329" s="255"/>
      <c r="I329" s="263"/>
      <c r="J329" s="263"/>
      <c r="K329" s="263"/>
      <c r="L329" s="263"/>
      <c r="M329" s="263"/>
      <c r="N329" s="256"/>
    </row>
    <row r="330" spans="1:14" s="257" customFormat="1" ht="15.75" x14ac:dyDescent="0.25">
      <c r="B330" s="256"/>
      <c r="C330" s="256"/>
      <c r="D330" s="253"/>
      <c r="E330" s="253"/>
      <c r="F330" s="253"/>
      <c r="G330" s="254"/>
      <c r="H330" s="255"/>
      <c r="I330" s="255"/>
      <c r="J330" s="255"/>
      <c r="K330" s="255"/>
      <c r="L330" s="255"/>
      <c r="M330" s="255"/>
      <c r="N330" s="256"/>
    </row>
    <row r="331" spans="1:14" s="257" customFormat="1" ht="15.75" x14ac:dyDescent="0.25">
      <c r="B331" s="256"/>
      <c r="C331" s="256"/>
      <c r="D331" s="253"/>
      <c r="E331" s="253"/>
      <c r="F331" s="253"/>
      <c r="G331" s="254"/>
      <c r="H331" s="255"/>
      <c r="I331" s="255"/>
      <c r="J331" s="255"/>
      <c r="K331" s="255"/>
      <c r="L331" s="255"/>
      <c r="M331" s="255"/>
      <c r="N331" s="256"/>
    </row>
    <row r="332" spans="1:14" s="257" customFormat="1" ht="15.75" x14ac:dyDescent="0.25">
      <c r="B332" s="256"/>
      <c r="C332" s="256"/>
      <c r="D332" s="253"/>
      <c r="E332" s="253"/>
      <c r="F332" s="253"/>
      <c r="G332" s="254"/>
      <c r="H332" s="264" t="s">
        <v>94</v>
      </c>
      <c r="I332" s="264" t="s">
        <v>94</v>
      </c>
      <c r="J332" s="264" t="s">
        <v>641</v>
      </c>
      <c r="K332" s="264" t="s">
        <v>642</v>
      </c>
      <c r="L332" s="264" t="s">
        <v>94</v>
      </c>
      <c r="M332" s="264" t="s">
        <v>257</v>
      </c>
      <c r="N332" s="256"/>
    </row>
    <row r="333" spans="1:14" s="257" customFormat="1" ht="16.5" thickBot="1" x14ac:dyDescent="0.3">
      <c r="A333" s="315"/>
      <c r="B333" s="265" t="s">
        <v>137</v>
      </c>
      <c r="C333" s="265"/>
      <c r="D333" s="265" t="s">
        <v>643</v>
      </c>
      <c r="E333" s="265"/>
      <c r="F333" s="265" t="s">
        <v>644</v>
      </c>
      <c r="G333" s="266" t="s">
        <v>140</v>
      </c>
      <c r="H333" s="267" t="s">
        <v>327</v>
      </c>
      <c r="I333" s="268" t="s">
        <v>645</v>
      </c>
      <c r="J333" s="267" t="s">
        <v>646</v>
      </c>
      <c r="K333" s="267" t="s">
        <v>647</v>
      </c>
      <c r="L333" s="267" t="s">
        <v>326</v>
      </c>
      <c r="M333" s="267" t="s">
        <v>94</v>
      </c>
      <c r="N333" s="256"/>
    </row>
    <row r="334" spans="1:14" s="257" customFormat="1" ht="16.5" thickTop="1" x14ac:dyDescent="0.25">
      <c r="B334" s="269"/>
      <c r="C334" s="270"/>
      <c r="D334" s="271"/>
      <c r="E334" s="271"/>
      <c r="F334" s="271"/>
      <c r="G334" s="272"/>
      <c r="H334" s="272"/>
      <c r="I334" s="273"/>
      <c r="J334" s="273"/>
      <c r="K334" s="273"/>
      <c r="L334" s="273"/>
      <c r="M334" s="274"/>
      <c r="N334" s="256"/>
    </row>
    <row r="335" spans="1:14" s="282" customFormat="1" ht="15.75" x14ac:dyDescent="0.25">
      <c r="B335" s="275">
        <v>43588</v>
      </c>
      <c r="C335" s="276"/>
      <c r="D335" s="277" t="s">
        <v>865</v>
      </c>
      <c r="E335" s="276"/>
      <c r="F335" s="277" t="s">
        <v>865</v>
      </c>
      <c r="G335" s="279">
        <v>0</v>
      </c>
      <c r="H335" s="279">
        <v>21.61</v>
      </c>
      <c r="I335" s="280">
        <v>0</v>
      </c>
      <c r="J335" s="273"/>
      <c r="K335" s="273"/>
      <c r="L335" s="280">
        <v>0</v>
      </c>
      <c r="M335" s="281"/>
      <c r="N335" s="280"/>
    </row>
    <row r="336" spans="1:14" s="282" customFormat="1" ht="15.75" x14ac:dyDescent="0.25">
      <c r="B336" s="275">
        <v>43588</v>
      </c>
      <c r="C336" s="276"/>
      <c r="D336" s="277" t="s">
        <v>866</v>
      </c>
      <c r="E336" s="276"/>
      <c r="F336" s="278" t="str">
        <f t="shared" ref="F336:F343" si="11">D336</f>
        <v>02003</v>
      </c>
      <c r="G336" s="279">
        <v>0</v>
      </c>
      <c r="H336" s="279">
        <v>109.94</v>
      </c>
      <c r="I336" s="280">
        <v>0</v>
      </c>
      <c r="J336" s="273"/>
      <c r="K336" s="273"/>
      <c r="L336" s="280">
        <v>0</v>
      </c>
      <c r="M336" s="281"/>
      <c r="N336" s="280"/>
    </row>
    <row r="337" spans="1:14" s="282" customFormat="1" ht="15.75" x14ac:dyDescent="0.25">
      <c r="B337" s="275">
        <v>43588</v>
      </c>
      <c r="C337" s="276"/>
      <c r="D337" s="277" t="s">
        <v>867</v>
      </c>
      <c r="E337" s="276"/>
      <c r="F337" s="278" t="str">
        <f t="shared" si="11"/>
        <v>02004</v>
      </c>
      <c r="G337" s="279">
        <v>0</v>
      </c>
      <c r="H337" s="318">
        <v>18</v>
      </c>
      <c r="I337" s="280">
        <v>0</v>
      </c>
      <c r="J337" s="273"/>
      <c r="K337" s="273"/>
      <c r="L337" s="280">
        <v>0</v>
      </c>
      <c r="M337" s="281"/>
      <c r="N337" s="280"/>
    </row>
    <row r="338" spans="1:14" s="257" customFormat="1" ht="15.75" x14ac:dyDescent="0.25">
      <c r="A338" s="256"/>
      <c r="B338" s="275">
        <v>43607</v>
      </c>
      <c r="C338" s="276"/>
      <c r="D338" s="277" t="s">
        <v>868</v>
      </c>
      <c r="E338" s="276"/>
      <c r="F338" s="277" t="s">
        <v>868</v>
      </c>
      <c r="G338" s="279">
        <v>0</v>
      </c>
      <c r="H338" s="279">
        <v>0</v>
      </c>
      <c r="I338" s="280">
        <v>1.95</v>
      </c>
      <c r="J338" s="273"/>
      <c r="K338" s="273"/>
      <c r="L338" s="280">
        <v>0</v>
      </c>
      <c r="M338" s="274"/>
      <c r="N338" s="256"/>
    </row>
    <row r="339" spans="1:14" s="282" customFormat="1" ht="15.75" x14ac:dyDescent="0.25">
      <c r="B339" s="275"/>
      <c r="C339" s="276"/>
      <c r="D339" s="277"/>
      <c r="E339" s="276"/>
      <c r="F339" s="278">
        <f t="shared" si="11"/>
        <v>0</v>
      </c>
      <c r="G339" s="279">
        <v>0</v>
      </c>
      <c r="H339" s="279">
        <v>0</v>
      </c>
      <c r="I339" s="280">
        <v>0</v>
      </c>
      <c r="J339" s="273"/>
      <c r="K339" s="273"/>
      <c r="L339" s="280">
        <v>0</v>
      </c>
      <c r="M339" s="281"/>
      <c r="N339" s="280"/>
    </row>
    <row r="340" spans="1:14" s="257" customFormat="1" ht="15.75" x14ac:dyDescent="0.25">
      <c r="B340" s="275"/>
      <c r="C340" s="276"/>
      <c r="D340" s="277"/>
      <c r="E340" s="283"/>
      <c r="F340" s="278">
        <f t="shared" si="11"/>
        <v>0</v>
      </c>
      <c r="G340" s="279">
        <v>0</v>
      </c>
      <c r="H340" s="279">
        <v>0</v>
      </c>
      <c r="I340" s="280">
        <v>0</v>
      </c>
      <c r="J340" s="273"/>
      <c r="K340" s="273"/>
      <c r="L340" s="280">
        <v>0</v>
      </c>
      <c r="M340" s="274"/>
      <c r="N340" s="256"/>
    </row>
    <row r="341" spans="1:14" s="257" customFormat="1" ht="15.75" x14ac:dyDescent="0.25">
      <c r="B341" s="275"/>
      <c r="C341" s="276"/>
      <c r="D341" s="277"/>
      <c r="E341" s="283"/>
      <c r="F341" s="278">
        <f t="shared" si="11"/>
        <v>0</v>
      </c>
      <c r="G341" s="279">
        <v>0</v>
      </c>
      <c r="H341" s="279">
        <v>0</v>
      </c>
      <c r="I341" s="280">
        <v>0</v>
      </c>
      <c r="J341" s="273"/>
      <c r="K341" s="273"/>
      <c r="L341" s="280">
        <v>0</v>
      </c>
      <c r="M341" s="274"/>
      <c r="N341" s="256"/>
    </row>
    <row r="342" spans="1:14" s="257" customFormat="1" ht="15.75" x14ac:dyDescent="0.25">
      <c r="B342" s="275"/>
      <c r="C342" s="276"/>
      <c r="D342" s="277"/>
      <c r="E342" s="283"/>
      <c r="F342" s="278">
        <f t="shared" si="11"/>
        <v>0</v>
      </c>
      <c r="G342" s="279">
        <v>0</v>
      </c>
      <c r="H342" s="279">
        <v>0</v>
      </c>
      <c r="I342" s="280">
        <v>0</v>
      </c>
      <c r="J342" s="273"/>
      <c r="K342" s="273"/>
      <c r="L342" s="280">
        <v>0</v>
      </c>
      <c r="M342" s="274"/>
      <c r="N342" s="256"/>
    </row>
    <row r="343" spans="1:14" s="257" customFormat="1" ht="15.75" x14ac:dyDescent="0.25">
      <c r="B343" s="275"/>
      <c r="C343" s="276"/>
      <c r="D343" s="277"/>
      <c r="E343" s="283"/>
      <c r="F343" s="278">
        <f t="shared" si="11"/>
        <v>0</v>
      </c>
      <c r="G343" s="279">
        <v>0</v>
      </c>
      <c r="H343" s="279">
        <v>0</v>
      </c>
      <c r="I343" s="280">
        <v>0</v>
      </c>
      <c r="J343" s="273"/>
      <c r="K343" s="273"/>
      <c r="L343" s="280">
        <v>0</v>
      </c>
      <c r="M343" s="274"/>
      <c r="N343" s="256"/>
    </row>
    <row r="344" spans="1:14" s="257" customFormat="1" ht="15.75" x14ac:dyDescent="0.25">
      <c r="B344" s="275"/>
      <c r="C344" s="276"/>
      <c r="D344" s="277"/>
      <c r="E344" s="283"/>
      <c r="F344" s="278"/>
      <c r="G344" s="279"/>
      <c r="H344" s="284"/>
      <c r="I344" s="280"/>
      <c r="J344" s="273"/>
      <c r="K344" s="273"/>
      <c r="L344" s="273"/>
      <c r="M344" s="274"/>
      <c r="N344" s="256"/>
    </row>
    <row r="345" spans="1:14" s="257" customFormat="1" ht="15.75" x14ac:dyDescent="0.25">
      <c r="A345" s="256"/>
      <c r="B345" s="285"/>
      <c r="C345" s="286"/>
      <c r="D345" s="289"/>
      <c r="E345" s="287"/>
      <c r="F345" s="278"/>
      <c r="G345" s="254"/>
      <c r="H345" s="284"/>
      <c r="I345" s="282"/>
      <c r="J345" s="273"/>
      <c r="K345" s="273"/>
      <c r="L345" s="273"/>
      <c r="M345" s="274"/>
      <c r="N345" s="256"/>
    </row>
    <row r="346" spans="1:14" s="257" customFormat="1" ht="15.75" x14ac:dyDescent="0.25">
      <c r="A346" s="256"/>
      <c r="B346" s="285"/>
      <c r="C346" s="286"/>
      <c r="D346" s="292"/>
      <c r="E346" s="287"/>
      <c r="F346" s="278"/>
      <c r="G346" s="254"/>
      <c r="H346" s="284"/>
      <c r="I346" s="273"/>
      <c r="J346" s="273"/>
      <c r="K346" s="273"/>
      <c r="L346" s="273"/>
      <c r="M346" s="274"/>
      <c r="N346" s="256"/>
    </row>
    <row r="347" spans="1:14" s="257" customFormat="1" ht="16.5" thickBot="1" x14ac:dyDescent="0.3">
      <c r="A347" s="256"/>
      <c r="B347" s="293"/>
      <c r="C347" s="293"/>
      <c r="D347" s="294"/>
      <c r="E347" s="294"/>
      <c r="F347" s="294"/>
      <c r="G347" s="266"/>
      <c r="H347" s="266"/>
      <c r="I347" s="295"/>
      <c r="J347" s="295"/>
      <c r="K347" s="295"/>
      <c r="L347" s="295"/>
      <c r="M347" s="296"/>
      <c r="N347" s="256"/>
    </row>
    <row r="348" spans="1:14" s="257" customFormat="1" ht="16.5" thickTop="1" x14ac:dyDescent="0.25">
      <c r="A348" s="256"/>
      <c r="B348" s="297"/>
      <c r="C348" s="297"/>
      <c r="D348" s="287"/>
      <c r="E348" s="287"/>
      <c r="F348" s="287"/>
      <c r="G348" s="281">
        <f>SUM(G334:G347)</f>
        <v>0</v>
      </c>
      <c r="H348" s="281">
        <f t="shared" ref="H348:M348" si="12">SUM(H334:H347)</f>
        <v>149.55000000000001</v>
      </c>
      <c r="I348" s="281">
        <f>SUM(I334:I347)</f>
        <v>1.95</v>
      </c>
      <c r="J348" s="281">
        <f t="shared" si="12"/>
        <v>0</v>
      </c>
      <c r="K348" s="281">
        <f t="shared" si="12"/>
        <v>0</v>
      </c>
      <c r="L348" s="281">
        <f t="shared" si="12"/>
        <v>0</v>
      </c>
      <c r="M348" s="281">
        <f t="shared" si="12"/>
        <v>0</v>
      </c>
      <c r="N348" s="256"/>
    </row>
    <row r="349" spans="1:14" s="257" customFormat="1" ht="15.75" x14ac:dyDescent="0.25">
      <c r="A349" s="256"/>
      <c r="B349" s="297"/>
      <c r="C349" s="297"/>
      <c r="D349" s="287"/>
      <c r="E349" s="287"/>
      <c r="F349" s="287"/>
      <c r="G349" s="254"/>
      <c r="H349" s="281"/>
      <c r="I349" s="281"/>
      <c r="J349" s="281"/>
      <c r="K349" s="281"/>
      <c r="L349" s="281"/>
      <c r="M349" s="281"/>
      <c r="N349" s="256"/>
    </row>
    <row r="350" spans="1:14" s="257" customFormat="1" ht="15.75" x14ac:dyDescent="0.25">
      <c r="A350" s="256"/>
      <c r="B350" s="297"/>
      <c r="C350" s="297"/>
      <c r="D350" s="287" t="s">
        <v>653</v>
      </c>
      <c r="E350" s="287"/>
      <c r="F350" s="287"/>
      <c r="G350" s="254"/>
      <c r="H350" s="281"/>
      <c r="I350" s="281">
        <f>+G348</f>
        <v>0</v>
      </c>
      <c r="J350" s="281"/>
      <c r="K350" s="281"/>
      <c r="L350" s="281"/>
      <c r="M350" s="281"/>
      <c r="N350" s="256"/>
    </row>
    <row r="351" spans="1:14" s="257" customFormat="1" ht="15.75" x14ac:dyDescent="0.25">
      <c r="A351" s="256"/>
      <c r="B351" s="297"/>
      <c r="C351" s="297"/>
      <c r="D351" s="287"/>
      <c r="E351" s="287"/>
      <c r="F351" s="287"/>
      <c r="G351" s="254"/>
      <c r="H351" s="281"/>
      <c r="I351" s="281"/>
      <c r="J351" s="281"/>
      <c r="K351" s="281"/>
      <c r="L351" s="281"/>
      <c r="M351" s="281"/>
      <c r="N351" s="256"/>
    </row>
    <row r="352" spans="1:14" s="257" customFormat="1" ht="15.75" x14ac:dyDescent="0.25">
      <c r="A352" s="256"/>
      <c r="B352" s="297"/>
      <c r="C352" s="297"/>
      <c r="D352" s="287" t="s">
        <v>654</v>
      </c>
      <c r="E352" s="287"/>
      <c r="F352" s="287"/>
      <c r="G352" s="254"/>
      <c r="H352" s="281"/>
      <c r="I352" s="281">
        <f>+H348</f>
        <v>149.55000000000001</v>
      </c>
      <c r="J352" s="281"/>
      <c r="K352" s="281"/>
      <c r="L352" s="281"/>
      <c r="M352" s="281"/>
      <c r="N352" s="256"/>
    </row>
    <row r="353" spans="1:14" s="257" customFormat="1" ht="15.75" x14ac:dyDescent="0.25">
      <c r="A353" s="256"/>
      <c r="B353" s="297"/>
      <c r="C353" s="297"/>
      <c r="D353" s="287"/>
      <c r="E353" s="287"/>
      <c r="F353" s="287"/>
      <c r="G353" s="254"/>
      <c r="H353" s="281"/>
      <c r="I353" s="281"/>
      <c r="J353" s="281"/>
      <c r="K353" s="281"/>
      <c r="L353" s="281"/>
      <c r="M353" s="281"/>
      <c r="N353" s="256"/>
    </row>
    <row r="354" spans="1:14" s="257" customFormat="1" ht="15.75" x14ac:dyDescent="0.25">
      <c r="A354" s="256"/>
      <c r="B354" s="297"/>
      <c r="C354" s="297"/>
      <c r="D354" s="287"/>
      <c r="E354" s="287"/>
      <c r="F354" s="287"/>
      <c r="G354" s="254"/>
      <c r="H354" s="298"/>
      <c r="I354" s="255"/>
      <c r="J354" s="255"/>
      <c r="K354" s="255"/>
      <c r="L354" s="255"/>
      <c r="M354" s="255"/>
      <c r="N354" s="256"/>
    </row>
    <row r="355" spans="1:14" s="257" customFormat="1" ht="15.75" x14ac:dyDescent="0.25">
      <c r="A355" s="256"/>
      <c r="B355" s="297"/>
      <c r="C355" s="297"/>
      <c r="D355" s="287" t="s">
        <v>590</v>
      </c>
      <c r="E355" s="287"/>
      <c r="F355" s="287"/>
      <c r="G355" s="254"/>
      <c r="H355" s="255"/>
      <c r="I355" s="258"/>
      <c r="J355" s="258"/>
      <c r="K355" s="258"/>
      <c r="L355" s="258"/>
      <c r="M355" s="255"/>
      <c r="N355" s="256"/>
    </row>
    <row r="356" spans="1:14" s="257" customFormat="1" ht="15.75" x14ac:dyDescent="0.25">
      <c r="A356" s="256"/>
      <c r="B356" s="297"/>
      <c r="C356" s="297"/>
      <c r="D356" s="287" t="s">
        <v>141</v>
      </c>
      <c r="E356" s="287"/>
      <c r="F356" s="287"/>
      <c r="G356" s="254"/>
      <c r="H356" s="255"/>
      <c r="I356" s="320">
        <f>ROUND(I348/1.13,2)</f>
        <v>1.73</v>
      </c>
      <c r="J356" s="281"/>
      <c r="K356" s="281"/>
      <c r="L356" s="281"/>
      <c r="M356" s="300"/>
      <c r="N356" s="256"/>
    </row>
    <row r="357" spans="1:14" s="257" customFormat="1" ht="15.75" x14ac:dyDescent="0.25">
      <c r="A357" s="256"/>
      <c r="B357" s="297"/>
      <c r="C357" s="297"/>
      <c r="D357" s="287" t="s">
        <v>591</v>
      </c>
      <c r="E357" s="287"/>
      <c r="F357" s="287"/>
      <c r="G357" s="254"/>
      <c r="H357" s="255"/>
      <c r="I357" s="319">
        <f>(I356*0.13)</f>
        <v>0.22490000000000002</v>
      </c>
      <c r="J357" s="301"/>
      <c r="K357" s="301"/>
      <c r="L357" s="301"/>
      <c r="M357" s="300"/>
      <c r="N357" s="256"/>
    </row>
    <row r="358" spans="1:14" s="257" customFormat="1" ht="16.5" thickBot="1" x14ac:dyDescent="0.3">
      <c r="A358" s="256"/>
      <c r="B358" s="297"/>
      <c r="C358" s="297"/>
      <c r="D358" s="287"/>
      <c r="E358" s="287"/>
      <c r="F358" s="287"/>
      <c r="G358" s="254"/>
      <c r="H358" s="255"/>
      <c r="I358" s="302"/>
      <c r="J358" s="303"/>
      <c r="K358" s="303"/>
      <c r="L358" s="303"/>
      <c r="M358" s="300"/>
      <c r="N358" s="256"/>
    </row>
    <row r="359" spans="1:14" s="257" customFormat="1" ht="16.5" thickTop="1" x14ac:dyDescent="0.25">
      <c r="A359" s="256"/>
      <c r="B359" s="297"/>
      <c r="C359" s="297"/>
      <c r="D359" s="287" t="s">
        <v>592</v>
      </c>
      <c r="E359" s="287"/>
      <c r="F359" s="287"/>
      <c r="G359" s="254"/>
      <c r="H359" s="255"/>
      <c r="I359" s="274">
        <f>SUM(I356:I358)</f>
        <v>1.9549000000000001</v>
      </c>
      <c r="J359" s="274"/>
      <c r="K359" s="274"/>
      <c r="L359" s="274"/>
      <c r="M359" s="255"/>
      <c r="N359" s="256"/>
    </row>
    <row r="360" spans="1:14" s="257" customFormat="1" ht="16.5" thickBot="1" x14ac:dyDescent="0.3">
      <c r="A360" s="256"/>
      <c r="B360" s="297"/>
      <c r="C360" s="297"/>
      <c r="D360" s="287"/>
      <c r="E360" s="287"/>
      <c r="F360" s="287"/>
      <c r="G360" s="254"/>
      <c r="H360" s="255"/>
      <c r="I360" s="302"/>
      <c r="J360" s="303"/>
      <c r="K360" s="303"/>
      <c r="L360" s="303"/>
      <c r="M360" s="255"/>
      <c r="N360" s="256"/>
    </row>
    <row r="361" spans="1:14" ht="13.5" thickTop="1" x14ac:dyDescent="0.2"/>
    <row r="363" spans="1:14" ht="20.25" x14ac:dyDescent="0.3">
      <c r="A363" s="251" t="s">
        <v>640</v>
      </c>
      <c r="B363" s="252"/>
      <c r="C363" s="253"/>
      <c r="D363" s="253"/>
      <c r="E363" s="253"/>
      <c r="F363" s="254"/>
      <c r="G363" s="255"/>
      <c r="H363" s="255"/>
      <c r="I363" s="255"/>
      <c r="J363" s="255"/>
      <c r="K363" s="255"/>
      <c r="L363" s="255"/>
    </row>
    <row r="364" spans="1:14" ht="15.75" x14ac:dyDescent="0.25">
      <c r="A364" s="253" t="s">
        <v>252</v>
      </c>
      <c r="B364" s="253"/>
      <c r="C364" s="253"/>
      <c r="D364" s="253"/>
      <c r="E364" s="253"/>
      <c r="F364" s="254"/>
      <c r="G364" s="255"/>
      <c r="H364" s="255"/>
      <c r="I364" s="255"/>
      <c r="J364" s="255"/>
      <c r="K364" s="255"/>
      <c r="L364" s="255"/>
    </row>
    <row r="365" spans="1:14" ht="15.75" x14ac:dyDescent="0.25">
      <c r="A365" s="252" t="s">
        <v>253</v>
      </c>
      <c r="B365" s="253"/>
      <c r="C365" s="253"/>
      <c r="D365" s="253"/>
      <c r="E365" s="253"/>
      <c r="F365" s="254"/>
      <c r="G365" s="258"/>
      <c r="H365" s="258"/>
      <c r="I365" s="255"/>
      <c r="J365" s="255"/>
      <c r="K365" s="255"/>
      <c r="L365" s="255"/>
    </row>
    <row r="366" spans="1:14" ht="15.75" x14ac:dyDescent="0.25">
      <c r="A366" s="253" t="s">
        <v>356</v>
      </c>
      <c r="B366" s="253"/>
      <c r="C366" s="253"/>
      <c r="D366" s="253"/>
      <c r="E366" s="253"/>
      <c r="F366" s="254"/>
      <c r="G366" s="255"/>
      <c r="H366" s="255"/>
      <c r="I366" s="255"/>
      <c r="J366" s="255"/>
      <c r="K366" s="255"/>
      <c r="L366" s="255"/>
    </row>
    <row r="367" spans="1:14" ht="15.75" x14ac:dyDescent="0.25">
      <c r="A367" s="259" t="s">
        <v>457</v>
      </c>
      <c r="B367" s="260" t="s">
        <v>152</v>
      </c>
      <c r="C367" s="261"/>
      <c r="D367" s="331">
        <v>2019</v>
      </c>
      <c r="E367" s="253"/>
      <c r="F367" s="254"/>
      <c r="G367" s="255"/>
      <c r="H367" s="263"/>
      <c r="I367" s="263"/>
      <c r="J367" s="263"/>
      <c r="K367" s="263"/>
      <c r="L367" s="263"/>
    </row>
    <row r="368" spans="1:14" ht="15.75" x14ac:dyDescent="0.25">
      <c r="A368" s="256"/>
      <c r="B368" s="256"/>
      <c r="C368" s="253"/>
      <c r="D368" s="253"/>
      <c r="E368" s="253"/>
      <c r="F368" s="254"/>
      <c r="G368" s="255"/>
      <c r="H368" s="255"/>
      <c r="I368" s="255"/>
      <c r="J368" s="255"/>
      <c r="K368" s="255"/>
      <c r="L368" s="255"/>
    </row>
    <row r="369" spans="1:12" ht="15.75" x14ac:dyDescent="0.25">
      <c r="A369" s="256"/>
      <c r="B369" s="256"/>
      <c r="C369" s="253"/>
      <c r="D369" s="253"/>
      <c r="E369" s="253"/>
      <c r="F369" s="254"/>
      <c r="G369" s="255"/>
      <c r="H369" s="255"/>
      <c r="I369" s="255"/>
      <c r="J369" s="255"/>
      <c r="K369" s="255"/>
      <c r="L369" s="255"/>
    </row>
    <row r="370" spans="1:12" ht="15.75" x14ac:dyDescent="0.25">
      <c r="A370" s="256"/>
      <c r="B370" s="256"/>
      <c r="C370" s="253"/>
      <c r="D370" s="253"/>
      <c r="E370" s="253"/>
      <c r="F370" s="254"/>
      <c r="G370" s="264" t="s">
        <v>94</v>
      </c>
      <c r="H370" s="264" t="s">
        <v>94</v>
      </c>
      <c r="I370" s="264" t="s">
        <v>641</v>
      </c>
      <c r="J370" s="264" t="s">
        <v>642</v>
      </c>
      <c r="K370" s="264" t="s">
        <v>94</v>
      </c>
      <c r="L370" s="264" t="s">
        <v>257</v>
      </c>
    </row>
    <row r="371" spans="1:12" ht="16.5" thickBot="1" x14ac:dyDescent="0.3">
      <c r="A371" s="265" t="s">
        <v>137</v>
      </c>
      <c r="B371" s="265"/>
      <c r="C371" s="265" t="s">
        <v>643</v>
      </c>
      <c r="D371" s="265"/>
      <c r="E371" s="265" t="s">
        <v>644</v>
      </c>
      <c r="F371" s="266" t="s">
        <v>140</v>
      </c>
      <c r="G371" s="267" t="s">
        <v>327</v>
      </c>
      <c r="H371" s="268" t="s">
        <v>645</v>
      </c>
      <c r="I371" s="267" t="s">
        <v>646</v>
      </c>
      <c r="J371" s="267" t="s">
        <v>647</v>
      </c>
      <c r="K371" s="267" t="s">
        <v>326</v>
      </c>
      <c r="L371" s="267" t="s">
        <v>94</v>
      </c>
    </row>
    <row r="372" spans="1:12" ht="16.5" thickTop="1" x14ac:dyDescent="0.25">
      <c r="A372" s="269"/>
      <c r="B372" s="270"/>
      <c r="C372" s="271"/>
      <c r="D372" s="271"/>
      <c r="E372" s="271"/>
      <c r="F372" s="272"/>
      <c r="G372" s="272"/>
      <c r="H372" s="273"/>
      <c r="I372" s="273"/>
      <c r="J372" s="273"/>
      <c r="K372" s="273"/>
      <c r="L372" s="274"/>
    </row>
    <row r="373" spans="1:12" ht="15.75" x14ac:dyDescent="0.25">
      <c r="A373" s="275">
        <v>43640</v>
      </c>
      <c r="B373" s="276"/>
      <c r="C373" s="277" t="s">
        <v>863</v>
      </c>
      <c r="D373" s="276"/>
      <c r="E373" s="277" t="s">
        <v>863</v>
      </c>
      <c r="F373" s="279">
        <v>0</v>
      </c>
      <c r="G373" s="279">
        <v>0</v>
      </c>
      <c r="H373" s="280">
        <v>1.94</v>
      </c>
      <c r="I373" s="273"/>
      <c r="J373" s="273"/>
      <c r="K373" s="280">
        <v>0</v>
      </c>
      <c r="L373" s="281"/>
    </row>
    <row r="374" spans="1:12" ht="15.75" x14ac:dyDescent="0.25">
      <c r="A374" s="275"/>
      <c r="B374" s="276"/>
      <c r="C374" s="277"/>
      <c r="D374" s="283"/>
      <c r="E374" s="278">
        <f>C374</f>
        <v>0</v>
      </c>
      <c r="F374" s="279">
        <v>0</v>
      </c>
      <c r="G374" s="279">
        <v>0</v>
      </c>
      <c r="H374" s="280">
        <v>0</v>
      </c>
      <c r="I374" s="273"/>
      <c r="J374" s="273"/>
      <c r="K374" s="280">
        <v>0</v>
      </c>
      <c r="L374" s="274"/>
    </row>
    <row r="375" spans="1:12" ht="15.75" x14ac:dyDescent="0.25">
      <c r="A375" s="275"/>
      <c r="B375" s="276"/>
      <c r="C375" s="277"/>
      <c r="D375" s="283"/>
      <c r="E375" s="278"/>
      <c r="F375" s="279"/>
      <c r="G375" s="284"/>
      <c r="H375" s="280"/>
      <c r="I375" s="273"/>
      <c r="J375" s="273"/>
      <c r="K375" s="273"/>
      <c r="L375" s="274"/>
    </row>
    <row r="376" spans="1:12" ht="15.75" x14ac:dyDescent="0.25">
      <c r="A376" s="285"/>
      <c r="B376" s="286"/>
      <c r="C376" s="292"/>
      <c r="D376" s="287"/>
      <c r="E376" s="278"/>
      <c r="F376" s="254"/>
      <c r="G376" s="284"/>
      <c r="H376" s="273"/>
      <c r="I376" s="273"/>
      <c r="J376" s="273"/>
      <c r="K376" s="273"/>
      <c r="L376" s="274"/>
    </row>
    <row r="377" spans="1:12" ht="16.5" thickBot="1" x14ac:dyDescent="0.3">
      <c r="A377" s="293"/>
      <c r="B377" s="293"/>
      <c r="C377" s="294"/>
      <c r="D377" s="294"/>
      <c r="E377" s="294"/>
      <c r="F377" s="266"/>
      <c r="G377" s="266"/>
      <c r="H377" s="295"/>
      <c r="I377" s="295"/>
      <c r="J377" s="295"/>
      <c r="K377" s="295"/>
      <c r="L377" s="296"/>
    </row>
    <row r="378" spans="1:12" ht="16.5" thickTop="1" x14ac:dyDescent="0.25">
      <c r="A378" s="297"/>
      <c r="B378" s="297"/>
      <c r="C378" s="287"/>
      <c r="D378" s="287"/>
      <c r="E378" s="287"/>
      <c r="F378" s="281">
        <f>SUM(F372:F377)</f>
        <v>0</v>
      </c>
      <c r="G378" s="281">
        <f t="shared" ref="G378:L378" si="13">SUM(G372:G377)</f>
        <v>0</v>
      </c>
      <c r="H378" s="281">
        <f>SUM(H372:H377)</f>
        <v>1.94</v>
      </c>
      <c r="I378" s="281">
        <f t="shared" si="13"/>
        <v>0</v>
      </c>
      <c r="J378" s="281">
        <f t="shared" si="13"/>
        <v>0</v>
      </c>
      <c r="K378" s="281">
        <f t="shared" si="13"/>
        <v>0</v>
      </c>
      <c r="L378" s="281">
        <f t="shared" si="13"/>
        <v>0</v>
      </c>
    </row>
    <row r="379" spans="1:12" ht="15.75" x14ac:dyDescent="0.25">
      <c r="A379" s="297"/>
      <c r="B379" s="297"/>
      <c r="C379" s="287"/>
      <c r="D379" s="287"/>
      <c r="E379" s="287"/>
      <c r="F379" s="254"/>
      <c r="G379" s="281"/>
      <c r="H379" s="281"/>
      <c r="I379" s="281"/>
      <c r="J379" s="281"/>
      <c r="K379" s="281"/>
      <c r="L379" s="281"/>
    </row>
    <row r="380" spans="1:12" ht="15.75" x14ac:dyDescent="0.25">
      <c r="A380" s="297"/>
      <c r="B380" s="297"/>
      <c r="C380" s="287" t="s">
        <v>653</v>
      </c>
      <c r="D380" s="287"/>
      <c r="E380" s="287"/>
      <c r="F380" s="254"/>
      <c r="G380" s="281"/>
      <c r="H380" s="281">
        <f>+F378</f>
        <v>0</v>
      </c>
      <c r="I380" s="281"/>
      <c r="J380" s="281"/>
      <c r="K380" s="281"/>
      <c r="L380" s="281"/>
    </row>
    <row r="381" spans="1:12" ht="15.75" x14ac:dyDescent="0.25">
      <c r="A381" s="297"/>
      <c r="B381" s="297"/>
      <c r="C381" s="287"/>
      <c r="D381" s="287"/>
      <c r="E381" s="287"/>
      <c r="F381" s="254"/>
      <c r="G381" s="281"/>
      <c r="H381" s="281"/>
      <c r="I381" s="281"/>
      <c r="J381" s="281"/>
      <c r="K381" s="281"/>
      <c r="L381" s="281"/>
    </row>
    <row r="382" spans="1:12" ht="15.75" x14ac:dyDescent="0.25">
      <c r="A382" s="297"/>
      <c r="B382" s="297"/>
      <c r="C382" s="287" t="s">
        <v>654</v>
      </c>
      <c r="D382" s="287"/>
      <c r="E382" s="287"/>
      <c r="F382" s="254"/>
      <c r="G382" s="281"/>
      <c r="H382" s="281">
        <f>+G378</f>
        <v>0</v>
      </c>
      <c r="I382" s="281"/>
      <c r="J382" s="281"/>
      <c r="K382" s="281"/>
      <c r="L382" s="281"/>
    </row>
    <row r="383" spans="1:12" ht="15.75" x14ac:dyDescent="0.25">
      <c r="A383" s="297"/>
      <c r="B383" s="297"/>
      <c r="C383" s="287"/>
      <c r="D383" s="287"/>
      <c r="E383" s="287"/>
      <c r="F383" s="254"/>
      <c r="G383" s="281"/>
      <c r="H383" s="281"/>
      <c r="I383" s="281"/>
      <c r="J383" s="281"/>
      <c r="K383" s="281"/>
      <c r="L383" s="281"/>
    </row>
    <row r="384" spans="1:12" ht="15.75" x14ac:dyDescent="0.25">
      <c r="A384" s="297"/>
      <c r="B384" s="297"/>
      <c r="C384" s="287"/>
      <c r="D384" s="287"/>
      <c r="E384" s="287"/>
      <c r="F384" s="254"/>
      <c r="G384" s="298"/>
      <c r="H384" s="255"/>
      <c r="I384" s="255"/>
      <c r="J384" s="255"/>
      <c r="K384" s="255"/>
      <c r="L384" s="255"/>
    </row>
    <row r="385" spans="1:12" ht="15.75" x14ac:dyDescent="0.25">
      <c r="A385" s="297"/>
      <c r="B385" s="297"/>
      <c r="C385" s="287" t="s">
        <v>590</v>
      </c>
      <c r="D385" s="287"/>
      <c r="E385" s="287"/>
      <c r="F385" s="254"/>
      <c r="G385" s="255"/>
      <c r="H385" s="258"/>
      <c r="I385" s="258"/>
      <c r="J385" s="258"/>
      <c r="K385" s="258"/>
      <c r="L385" s="255"/>
    </row>
    <row r="386" spans="1:12" ht="15.75" x14ac:dyDescent="0.25">
      <c r="A386" s="297"/>
      <c r="B386" s="297"/>
      <c r="C386" s="287" t="s">
        <v>141</v>
      </c>
      <c r="D386" s="287"/>
      <c r="E386" s="287"/>
      <c r="F386" s="254"/>
      <c r="G386" s="255"/>
      <c r="H386" s="351">
        <f>ROUND(H378/1.13,2)</f>
        <v>1.72</v>
      </c>
      <c r="I386" s="281"/>
      <c r="J386" s="281"/>
      <c r="K386" s="281"/>
      <c r="L386" s="300"/>
    </row>
    <row r="387" spans="1:12" ht="15.75" x14ac:dyDescent="0.25">
      <c r="A387" s="297"/>
      <c r="B387" s="297"/>
      <c r="C387" s="287" t="s">
        <v>591</v>
      </c>
      <c r="D387" s="287"/>
      <c r="E387" s="287"/>
      <c r="F387" s="254"/>
      <c r="G387" s="255"/>
      <c r="H387" s="319">
        <f>(H386*0.13)</f>
        <v>0.22359999999999999</v>
      </c>
      <c r="I387" s="301"/>
      <c r="J387" s="301"/>
      <c r="K387" s="301"/>
      <c r="L387" s="300"/>
    </row>
    <row r="388" spans="1:12" ht="16.5" thickBot="1" x14ac:dyDescent="0.3">
      <c r="A388" s="297"/>
      <c r="B388" s="297"/>
      <c r="C388" s="287"/>
      <c r="D388" s="287"/>
      <c r="E388" s="287"/>
      <c r="F388" s="254"/>
      <c r="G388" s="255"/>
      <c r="H388" s="302"/>
      <c r="I388" s="303"/>
      <c r="J388" s="303"/>
      <c r="K388" s="303"/>
      <c r="L388" s="300"/>
    </row>
    <row r="389" spans="1:12" ht="16.5" thickTop="1" x14ac:dyDescent="0.25">
      <c r="A389" s="297"/>
      <c r="B389" s="297"/>
      <c r="C389" s="287" t="s">
        <v>592</v>
      </c>
      <c r="D389" s="287"/>
      <c r="E389" s="287"/>
      <c r="F389" s="254"/>
      <c r="G389" s="255"/>
      <c r="H389" s="274">
        <f>SUM(H386:H388)</f>
        <v>1.9436</v>
      </c>
      <c r="I389" s="274"/>
      <c r="J389" s="274"/>
      <c r="K389" s="274"/>
      <c r="L389" s="255"/>
    </row>
    <row r="390" spans="1:12" ht="16.5" thickBot="1" x14ac:dyDescent="0.3">
      <c r="A390" s="297"/>
      <c r="B390" s="297"/>
      <c r="C390" s="287"/>
      <c r="D390" s="287"/>
      <c r="E390" s="287"/>
      <c r="F390" s="254"/>
      <c r="G390" s="255"/>
      <c r="H390" s="302"/>
      <c r="I390" s="303"/>
      <c r="J390" s="303"/>
      <c r="K390" s="303"/>
      <c r="L390" s="255"/>
    </row>
    <row r="391" spans="1:12" ht="16.5" thickTop="1" x14ac:dyDescent="0.25">
      <c r="A391" s="297"/>
      <c r="B391" s="297"/>
      <c r="C391" s="287"/>
      <c r="D391" s="287"/>
      <c r="E391" s="287"/>
      <c r="F391" s="254"/>
      <c r="G391" s="255"/>
      <c r="H391" s="304"/>
      <c r="I391" s="304"/>
      <c r="J391" s="304"/>
      <c r="K391" s="304"/>
      <c r="L391" s="255"/>
    </row>
    <row r="392" spans="1:12" ht="15.75" x14ac:dyDescent="0.25">
      <c r="A392" s="297"/>
      <c r="B392" s="297"/>
      <c r="C392" s="287"/>
      <c r="D392" s="287"/>
      <c r="E392" s="287"/>
      <c r="F392" s="254"/>
      <c r="G392" s="255"/>
      <c r="H392" s="264"/>
      <c r="I392" s="264"/>
      <c r="J392" s="264"/>
      <c r="K392" s="264"/>
      <c r="L392" s="255"/>
    </row>
    <row r="393" spans="1:12" ht="15.75" x14ac:dyDescent="0.25">
      <c r="A393" s="297"/>
      <c r="B393" s="297"/>
      <c r="C393" s="287"/>
      <c r="D393" s="287"/>
      <c r="E393" s="287"/>
      <c r="F393" s="305"/>
      <c r="G393" s="255" t="s">
        <v>655</v>
      </c>
      <c r="H393" s="264">
        <v>-0.22</v>
      </c>
      <c r="I393" s="264"/>
      <c r="J393" s="264"/>
      <c r="K393" s="264"/>
      <c r="L393" s="255"/>
    </row>
    <row r="394" spans="1:12" ht="15.75" x14ac:dyDescent="0.25">
      <c r="A394" s="297"/>
      <c r="B394" s="297"/>
      <c r="C394" s="287"/>
      <c r="D394" s="287"/>
      <c r="E394" s="287"/>
      <c r="F394" s="254"/>
      <c r="G394" s="306" t="s">
        <v>656</v>
      </c>
      <c r="H394" s="307">
        <f>+H387+H393</f>
        <v>3.5999999999999921E-3</v>
      </c>
      <c r="I394" s="264"/>
      <c r="J394" s="264"/>
      <c r="K394" s="264"/>
      <c r="L394" s="255"/>
    </row>
    <row r="399" spans="1:12" ht="20.25" x14ac:dyDescent="0.3">
      <c r="A399" s="357" t="s">
        <v>640</v>
      </c>
      <c r="B399" s="358"/>
      <c r="C399" s="359"/>
      <c r="D399" s="359"/>
      <c r="E399" s="359"/>
      <c r="F399" s="360"/>
      <c r="G399" s="361"/>
      <c r="H399" s="361"/>
      <c r="I399" s="361"/>
      <c r="J399" s="361"/>
      <c r="K399" s="361"/>
      <c r="L399" s="361"/>
    </row>
    <row r="400" spans="1:12" ht="15.75" x14ac:dyDescent="0.25">
      <c r="A400" s="359" t="s">
        <v>252</v>
      </c>
      <c r="B400" s="359"/>
      <c r="C400" s="359"/>
      <c r="D400" s="359"/>
      <c r="E400" s="359"/>
      <c r="F400" s="360"/>
      <c r="G400" s="361"/>
      <c r="H400" s="361"/>
      <c r="I400" s="361"/>
      <c r="J400" s="361"/>
      <c r="K400" s="361"/>
      <c r="L400" s="361"/>
    </row>
    <row r="401" spans="1:12" ht="15.75" x14ac:dyDescent="0.25">
      <c r="A401" s="358" t="s">
        <v>253</v>
      </c>
      <c r="B401" s="359"/>
      <c r="C401" s="359"/>
      <c r="D401" s="359"/>
      <c r="E401" s="359"/>
      <c r="F401" s="360"/>
      <c r="G401" s="363"/>
      <c r="H401" s="363"/>
      <c r="I401" s="361"/>
      <c r="J401" s="361"/>
      <c r="K401" s="361"/>
      <c r="L401" s="361"/>
    </row>
    <row r="402" spans="1:12" ht="15.75" x14ac:dyDescent="0.25">
      <c r="A402" s="359" t="s">
        <v>356</v>
      </c>
      <c r="B402" s="359"/>
      <c r="C402" s="359"/>
      <c r="D402" s="359"/>
      <c r="E402" s="359"/>
      <c r="F402" s="360"/>
      <c r="G402" s="361"/>
      <c r="H402" s="361"/>
      <c r="I402" s="361"/>
      <c r="J402" s="361"/>
      <c r="K402" s="361"/>
      <c r="L402" s="361"/>
    </row>
    <row r="403" spans="1:12" ht="15.75" x14ac:dyDescent="0.25">
      <c r="A403" s="364" t="s">
        <v>457</v>
      </c>
      <c r="B403" s="365" t="s">
        <v>153</v>
      </c>
      <c r="C403" s="356"/>
      <c r="D403" s="383">
        <v>2019</v>
      </c>
      <c r="E403" s="359"/>
      <c r="F403" s="360"/>
      <c r="G403" s="361"/>
      <c r="H403" s="356"/>
      <c r="I403" s="356"/>
      <c r="J403" s="356"/>
      <c r="K403" s="356"/>
      <c r="L403" s="356"/>
    </row>
    <row r="404" spans="1:12" ht="15.75" x14ac:dyDescent="0.25">
      <c r="A404" s="362"/>
      <c r="B404" s="362"/>
      <c r="C404" s="359"/>
      <c r="D404" s="359"/>
      <c r="E404" s="359"/>
      <c r="F404" s="360"/>
      <c r="G404" s="361"/>
      <c r="H404" s="361"/>
      <c r="I404" s="361"/>
      <c r="J404" s="361"/>
      <c r="K404" s="361"/>
      <c r="L404" s="361"/>
    </row>
    <row r="405" spans="1:12" ht="15.75" x14ac:dyDescent="0.25">
      <c r="A405" s="362"/>
      <c r="B405" s="362"/>
      <c r="C405" s="359"/>
      <c r="D405" s="359"/>
      <c r="E405" s="359"/>
      <c r="F405" s="360"/>
      <c r="G405" s="361"/>
      <c r="H405" s="361"/>
      <c r="I405" s="361"/>
      <c r="J405" s="361"/>
      <c r="K405" s="361"/>
      <c r="L405" s="361"/>
    </row>
    <row r="406" spans="1:12" ht="15.75" x14ac:dyDescent="0.25">
      <c r="A406" s="362"/>
      <c r="B406" s="362"/>
      <c r="C406" s="359"/>
      <c r="D406" s="359"/>
      <c r="E406" s="359"/>
      <c r="F406" s="360"/>
      <c r="G406" s="366" t="s">
        <v>94</v>
      </c>
      <c r="H406" s="366" t="s">
        <v>94</v>
      </c>
      <c r="I406" s="366" t="s">
        <v>641</v>
      </c>
      <c r="J406" s="366" t="s">
        <v>642</v>
      </c>
      <c r="K406" s="366" t="s">
        <v>94</v>
      </c>
      <c r="L406" s="366" t="s">
        <v>257</v>
      </c>
    </row>
    <row r="407" spans="1:12" ht="16.5" thickBot="1" x14ac:dyDescent="0.3">
      <c r="A407" s="367" t="s">
        <v>137</v>
      </c>
      <c r="B407" s="367"/>
      <c r="C407" s="367" t="s">
        <v>643</v>
      </c>
      <c r="D407" s="367"/>
      <c r="E407" s="367" t="s">
        <v>644</v>
      </c>
      <c r="F407" s="368" t="s">
        <v>140</v>
      </c>
      <c r="G407" s="369" t="s">
        <v>327</v>
      </c>
      <c r="H407" s="381" t="s">
        <v>645</v>
      </c>
      <c r="I407" s="369" t="s">
        <v>646</v>
      </c>
      <c r="J407" s="369" t="s">
        <v>647</v>
      </c>
      <c r="K407" s="369" t="s">
        <v>326</v>
      </c>
      <c r="L407" s="369" t="s">
        <v>94</v>
      </c>
    </row>
    <row r="408" spans="1:12" ht="16.5" thickTop="1" x14ac:dyDescent="0.25">
      <c r="A408" s="382"/>
      <c r="B408" s="370"/>
      <c r="C408" s="371"/>
      <c r="D408" s="371"/>
      <c r="E408" s="371"/>
      <c r="F408" s="372"/>
      <c r="G408" s="372"/>
      <c r="H408" s="373"/>
      <c r="I408" s="373"/>
      <c r="J408" s="373"/>
      <c r="K408" s="373"/>
      <c r="L408" s="374"/>
    </row>
    <row r="409" spans="1:12" ht="15.75" x14ac:dyDescent="0.25">
      <c r="A409" s="375">
        <v>43675</v>
      </c>
      <c r="B409" s="376"/>
      <c r="C409" s="377" t="s">
        <v>762</v>
      </c>
      <c r="D409" s="376"/>
      <c r="E409" s="377" t="s">
        <v>762</v>
      </c>
      <c r="F409" s="378">
        <v>0</v>
      </c>
      <c r="G409" s="378">
        <v>0</v>
      </c>
      <c r="H409" s="380">
        <v>24.98</v>
      </c>
      <c r="I409" s="373"/>
      <c r="J409" s="373"/>
      <c r="K409" s="380">
        <v>0</v>
      </c>
      <c r="L409" s="379"/>
    </row>
    <row r="412" spans="1:12" ht="15.75" x14ac:dyDescent="0.25">
      <c r="A412" s="420"/>
      <c r="B412" s="420"/>
      <c r="C412" s="415"/>
      <c r="D412" s="415"/>
      <c r="E412" s="415"/>
      <c r="F412" s="412">
        <v>0</v>
      </c>
      <c r="G412" s="412">
        <v>0</v>
      </c>
      <c r="H412" s="412">
        <v>24.98</v>
      </c>
      <c r="I412" s="412">
        <v>0</v>
      </c>
      <c r="J412" s="412">
        <v>0</v>
      </c>
      <c r="K412" s="412">
        <v>0</v>
      </c>
      <c r="L412" s="412">
        <v>0</v>
      </c>
    </row>
    <row r="413" spans="1:12" ht="15.75" x14ac:dyDescent="0.25">
      <c r="A413" s="420"/>
      <c r="B413" s="420"/>
      <c r="C413" s="415"/>
      <c r="D413" s="415"/>
      <c r="E413" s="415"/>
      <c r="F413" s="390"/>
      <c r="G413" s="412"/>
      <c r="H413" s="412"/>
      <c r="I413" s="412"/>
      <c r="J413" s="412"/>
      <c r="K413" s="412"/>
      <c r="L413" s="412"/>
    </row>
    <row r="414" spans="1:12" ht="15.75" x14ac:dyDescent="0.25">
      <c r="A414" s="420"/>
      <c r="B414" s="420"/>
      <c r="C414" s="415" t="s">
        <v>653</v>
      </c>
      <c r="D414" s="415"/>
      <c r="E414" s="415"/>
      <c r="F414" s="390"/>
      <c r="G414" s="412"/>
      <c r="H414" s="412">
        <v>0</v>
      </c>
      <c r="I414" s="412"/>
      <c r="J414" s="412"/>
      <c r="K414" s="412"/>
      <c r="L414" s="412"/>
    </row>
    <row r="415" spans="1:12" ht="15.75" x14ac:dyDescent="0.25">
      <c r="A415" s="420"/>
      <c r="B415" s="420"/>
      <c r="C415" s="415"/>
      <c r="D415" s="415"/>
      <c r="E415" s="415"/>
      <c r="F415" s="390"/>
      <c r="G415" s="412"/>
      <c r="H415" s="412"/>
      <c r="I415" s="412"/>
      <c r="J415" s="412"/>
      <c r="K415" s="412"/>
      <c r="L415" s="412"/>
    </row>
    <row r="416" spans="1:12" ht="15.75" x14ac:dyDescent="0.25">
      <c r="A416" s="420"/>
      <c r="B416" s="420"/>
      <c r="C416" s="415" t="s">
        <v>654</v>
      </c>
      <c r="D416" s="415"/>
      <c r="E416" s="415"/>
      <c r="F416" s="390"/>
      <c r="G416" s="412"/>
      <c r="H416" s="412">
        <v>0</v>
      </c>
      <c r="I416" s="412"/>
      <c r="J416" s="412"/>
      <c r="K416" s="412"/>
      <c r="L416" s="412"/>
    </row>
    <row r="417" spans="1:12" ht="15.75" x14ac:dyDescent="0.25">
      <c r="A417" s="420"/>
      <c r="B417" s="420"/>
      <c r="C417" s="415"/>
      <c r="D417" s="415"/>
      <c r="E417" s="415"/>
      <c r="F417" s="390"/>
      <c r="G417" s="412"/>
      <c r="H417" s="412"/>
      <c r="I417" s="412"/>
      <c r="J417" s="412"/>
      <c r="K417" s="412"/>
      <c r="L417" s="412"/>
    </row>
    <row r="418" spans="1:12" ht="15.75" x14ac:dyDescent="0.25">
      <c r="A418" s="420"/>
      <c r="B418" s="420"/>
      <c r="C418" s="415"/>
      <c r="D418" s="415"/>
      <c r="E418" s="415"/>
      <c r="F418" s="390"/>
      <c r="G418" s="421"/>
      <c r="H418" s="391"/>
      <c r="I418" s="391"/>
      <c r="J418" s="391"/>
      <c r="K418" s="391"/>
      <c r="L418" s="391"/>
    </row>
    <row r="419" spans="1:12" ht="15.75" x14ac:dyDescent="0.25">
      <c r="A419" s="420"/>
      <c r="B419" s="420"/>
      <c r="C419" s="415" t="s">
        <v>590</v>
      </c>
      <c r="D419" s="415"/>
      <c r="E419" s="415"/>
      <c r="F419" s="390"/>
      <c r="G419" s="391"/>
      <c r="H419" s="393"/>
      <c r="I419" s="393"/>
      <c r="J419" s="393"/>
      <c r="K419" s="393"/>
      <c r="L419" s="391"/>
    </row>
    <row r="420" spans="1:12" ht="15.75" x14ac:dyDescent="0.25">
      <c r="A420" s="420"/>
      <c r="B420" s="420"/>
      <c r="C420" s="415" t="s">
        <v>141</v>
      </c>
      <c r="D420" s="415"/>
      <c r="E420" s="415"/>
      <c r="F420" s="390"/>
      <c r="G420" s="391"/>
      <c r="H420" s="351">
        <v>22.11</v>
      </c>
      <c r="I420" s="412"/>
      <c r="J420" s="412"/>
      <c r="K420" s="412"/>
      <c r="L420" s="422"/>
    </row>
    <row r="421" spans="1:12" ht="15.75" x14ac:dyDescent="0.25">
      <c r="A421" s="420"/>
      <c r="B421" s="420"/>
      <c r="C421" s="415" t="s">
        <v>591</v>
      </c>
      <c r="D421" s="415"/>
      <c r="E421" s="415"/>
      <c r="F421" s="390"/>
      <c r="G421" s="391"/>
      <c r="H421" s="435">
        <v>2.8742999999999999</v>
      </c>
      <c r="I421" s="423"/>
      <c r="J421" s="423"/>
      <c r="K421" s="423"/>
      <c r="L421" s="422"/>
    </row>
    <row r="422" spans="1:12" ht="16.5" thickBot="1" x14ac:dyDescent="0.3">
      <c r="A422" s="420"/>
      <c r="B422" s="420"/>
      <c r="C422" s="415"/>
      <c r="D422" s="415"/>
      <c r="E422" s="415"/>
      <c r="F422" s="390"/>
      <c r="G422" s="391"/>
      <c r="H422" s="424"/>
      <c r="I422" s="425"/>
      <c r="J422" s="425"/>
      <c r="K422" s="425"/>
      <c r="L422" s="422"/>
    </row>
    <row r="423" spans="1:12" ht="16.5" thickTop="1" x14ac:dyDescent="0.25">
      <c r="A423" s="420"/>
      <c r="B423" s="420"/>
      <c r="C423" s="415" t="s">
        <v>592</v>
      </c>
      <c r="D423" s="415"/>
      <c r="E423" s="415"/>
      <c r="F423" s="390"/>
      <c r="G423" s="391"/>
      <c r="H423" s="406">
        <v>24.984299999999998</v>
      </c>
      <c r="I423" s="406"/>
      <c r="J423" s="406"/>
      <c r="K423" s="406"/>
      <c r="L423" s="391"/>
    </row>
    <row r="424" spans="1:12" ht="16.5" thickBot="1" x14ac:dyDescent="0.3">
      <c r="A424" s="420"/>
      <c r="B424" s="420"/>
      <c r="C424" s="415"/>
      <c r="D424" s="415"/>
      <c r="E424" s="415"/>
      <c r="F424" s="390"/>
      <c r="G424" s="391"/>
      <c r="H424" s="424"/>
      <c r="I424" s="425"/>
      <c r="J424" s="425"/>
      <c r="K424" s="425"/>
      <c r="L424" s="391"/>
    </row>
    <row r="436" spans="1:13" s="355" customFormat="1" ht="9.75" customHeight="1" x14ac:dyDescent="0.2"/>
    <row r="438" spans="1:13" ht="20.25" x14ac:dyDescent="0.3">
      <c r="A438" s="251" t="s">
        <v>640</v>
      </c>
      <c r="B438" s="252"/>
      <c r="C438" s="253"/>
      <c r="D438" s="253"/>
      <c r="E438" s="253"/>
      <c r="F438" s="254"/>
      <c r="G438" s="255"/>
      <c r="H438" s="255"/>
      <c r="I438" s="255"/>
      <c r="J438" s="255"/>
      <c r="K438" s="255"/>
      <c r="L438" s="255"/>
      <c r="M438" s="256"/>
    </row>
    <row r="439" spans="1:13" ht="15.75" x14ac:dyDescent="0.25">
      <c r="A439" s="253" t="s">
        <v>252</v>
      </c>
      <c r="B439" s="253"/>
      <c r="C439" s="253"/>
      <c r="D439" s="253"/>
      <c r="E439" s="253"/>
      <c r="F439" s="254"/>
      <c r="G439" s="255"/>
      <c r="H439" s="255"/>
      <c r="I439" s="255"/>
      <c r="J439" s="255"/>
      <c r="K439" s="255"/>
      <c r="L439" s="255"/>
      <c r="M439" s="256"/>
    </row>
    <row r="440" spans="1:13" ht="15.75" x14ac:dyDescent="0.25">
      <c r="A440" s="252" t="s">
        <v>253</v>
      </c>
      <c r="B440" s="253"/>
      <c r="C440" s="253"/>
      <c r="D440" s="253"/>
      <c r="E440" s="253"/>
      <c r="F440" s="254"/>
      <c r="G440" s="258"/>
      <c r="H440" s="258"/>
      <c r="I440" s="255"/>
      <c r="J440" s="255"/>
      <c r="K440" s="255"/>
      <c r="L440" s="255"/>
      <c r="M440" s="256"/>
    </row>
    <row r="441" spans="1:13" ht="15.75" x14ac:dyDescent="0.25">
      <c r="A441" s="253" t="s">
        <v>356</v>
      </c>
      <c r="B441" s="253"/>
      <c r="C441" s="253"/>
      <c r="D441" s="253"/>
      <c r="E441" s="253"/>
      <c r="F441" s="254"/>
      <c r="G441" s="255"/>
      <c r="H441" s="255"/>
      <c r="I441" s="255"/>
      <c r="J441" s="255"/>
      <c r="K441" s="255"/>
      <c r="L441" s="255"/>
      <c r="M441" s="256"/>
    </row>
    <row r="442" spans="1:13" ht="15.75" x14ac:dyDescent="0.25">
      <c r="A442" s="259" t="s">
        <v>457</v>
      </c>
      <c r="B442" s="260" t="s">
        <v>154</v>
      </c>
      <c r="C442" s="261"/>
      <c r="D442" s="331">
        <v>2019</v>
      </c>
      <c r="E442" s="253"/>
      <c r="F442" s="254"/>
      <c r="G442" s="255"/>
      <c r="H442" s="263"/>
      <c r="I442" s="263"/>
      <c r="J442" s="263"/>
      <c r="K442" s="263"/>
      <c r="L442" s="263"/>
      <c r="M442" s="256"/>
    </row>
    <row r="443" spans="1:13" ht="15.75" x14ac:dyDescent="0.25">
      <c r="A443" s="256"/>
      <c r="B443" s="256"/>
      <c r="C443" s="253"/>
      <c r="D443" s="253"/>
      <c r="E443" s="253"/>
      <c r="F443" s="254"/>
      <c r="G443" s="255"/>
      <c r="H443" s="255"/>
      <c r="I443" s="255"/>
      <c r="J443" s="255"/>
      <c r="K443" s="255"/>
      <c r="L443" s="255"/>
      <c r="M443" s="256"/>
    </row>
    <row r="444" spans="1:13" ht="15.75" x14ac:dyDescent="0.25">
      <c r="A444" s="256"/>
      <c r="B444" s="256"/>
      <c r="C444" s="253"/>
      <c r="D444" s="253"/>
      <c r="E444" s="253"/>
      <c r="F444" s="254"/>
      <c r="G444" s="255"/>
      <c r="H444" s="255"/>
      <c r="I444" s="255"/>
      <c r="J444" s="255"/>
      <c r="K444" s="255"/>
      <c r="L444" s="255"/>
      <c r="M444" s="256"/>
    </row>
    <row r="445" spans="1:13" ht="15.75" x14ac:dyDescent="0.25">
      <c r="A445" s="256"/>
      <c r="B445" s="256"/>
      <c r="C445" s="253"/>
      <c r="D445" s="253"/>
      <c r="E445" s="253"/>
      <c r="F445" s="254"/>
      <c r="G445" s="264" t="s">
        <v>94</v>
      </c>
      <c r="H445" s="264" t="s">
        <v>94</v>
      </c>
      <c r="I445" s="264" t="s">
        <v>641</v>
      </c>
      <c r="J445" s="264" t="s">
        <v>642</v>
      </c>
      <c r="K445" s="264" t="s">
        <v>94</v>
      </c>
      <c r="L445" s="264" t="s">
        <v>257</v>
      </c>
      <c r="M445" s="256"/>
    </row>
    <row r="446" spans="1:13" ht="16.5" thickBot="1" x14ac:dyDescent="0.3">
      <c r="A446" s="265" t="s">
        <v>137</v>
      </c>
      <c r="B446" s="265"/>
      <c r="C446" s="265" t="s">
        <v>643</v>
      </c>
      <c r="D446" s="265"/>
      <c r="E446" s="265" t="s">
        <v>644</v>
      </c>
      <c r="F446" s="266" t="s">
        <v>140</v>
      </c>
      <c r="G446" s="267" t="s">
        <v>327</v>
      </c>
      <c r="H446" s="268" t="s">
        <v>645</v>
      </c>
      <c r="I446" s="267" t="s">
        <v>646</v>
      </c>
      <c r="J446" s="267" t="s">
        <v>647</v>
      </c>
      <c r="K446" s="267" t="s">
        <v>326</v>
      </c>
      <c r="L446" s="267" t="s">
        <v>94</v>
      </c>
      <c r="M446" s="256"/>
    </row>
    <row r="447" spans="1:13" ht="16.5" thickTop="1" x14ac:dyDescent="0.25">
      <c r="A447" s="269"/>
      <c r="B447" s="270"/>
      <c r="C447" s="271"/>
      <c r="D447" s="271"/>
      <c r="E447" s="271"/>
      <c r="F447" s="272"/>
      <c r="G447" s="272"/>
      <c r="H447" s="273"/>
      <c r="I447" s="273"/>
      <c r="J447" s="273"/>
      <c r="K447" s="273"/>
      <c r="L447" s="274"/>
      <c r="M447" s="256"/>
    </row>
    <row r="448" spans="1:13" ht="15.75" x14ac:dyDescent="0.25">
      <c r="A448" s="275">
        <v>43693</v>
      </c>
      <c r="B448" s="276"/>
      <c r="C448" s="277" t="s">
        <v>927</v>
      </c>
      <c r="D448" s="276"/>
      <c r="E448" s="277" t="s">
        <v>762</v>
      </c>
      <c r="F448" s="279">
        <v>0</v>
      </c>
      <c r="G448" s="279">
        <v>0</v>
      </c>
      <c r="H448" s="280">
        <v>2.02</v>
      </c>
      <c r="I448" s="273"/>
      <c r="J448" s="273"/>
      <c r="K448" s="280">
        <v>0</v>
      </c>
      <c r="L448" s="281"/>
      <c r="M448" s="280"/>
    </row>
    <row r="449" spans="1:13" ht="15.75" x14ac:dyDescent="0.25">
      <c r="A449" s="275"/>
      <c r="B449" s="276"/>
      <c r="C449" s="277"/>
      <c r="D449" s="276"/>
      <c r="E449" s="278">
        <f>C449</f>
        <v>0</v>
      </c>
      <c r="F449" s="279">
        <v>0</v>
      </c>
      <c r="G449" s="279">
        <v>0</v>
      </c>
      <c r="H449" s="280">
        <v>0</v>
      </c>
      <c r="I449" s="273"/>
      <c r="J449" s="273"/>
      <c r="K449" s="280">
        <v>0</v>
      </c>
      <c r="L449" s="281"/>
      <c r="M449" s="280"/>
    </row>
    <row r="450" spans="1:13" ht="15.75" x14ac:dyDescent="0.25">
      <c r="A450" s="285"/>
      <c r="B450" s="286"/>
      <c r="C450" s="292"/>
      <c r="D450" s="287"/>
      <c r="E450" s="278"/>
      <c r="F450" s="254"/>
      <c r="G450" s="284"/>
      <c r="H450" s="273"/>
      <c r="I450" s="273"/>
      <c r="J450" s="273"/>
      <c r="K450" s="273"/>
      <c r="L450" s="274"/>
      <c r="M450" s="256"/>
    </row>
    <row r="451" spans="1:13" ht="16.5" thickBot="1" x14ac:dyDescent="0.3">
      <c r="A451" s="293"/>
      <c r="B451" s="293"/>
      <c r="C451" s="294"/>
      <c r="D451" s="294"/>
      <c r="E451" s="294"/>
      <c r="F451" s="266"/>
      <c r="G451" s="266"/>
      <c r="H451" s="295"/>
      <c r="I451" s="295"/>
      <c r="J451" s="295"/>
      <c r="K451" s="295"/>
      <c r="L451" s="296"/>
      <c r="M451" s="256"/>
    </row>
    <row r="452" spans="1:13" ht="16.5" thickTop="1" x14ac:dyDescent="0.25">
      <c r="A452" s="297"/>
      <c r="B452" s="297"/>
      <c r="C452" s="287"/>
      <c r="D452" s="287"/>
      <c r="E452" s="287"/>
      <c r="F452" s="281">
        <f>SUM(F447:F451)</f>
        <v>0</v>
      </c>
      <c r="G452" s="281">
        <f t="shared" ref="G452:L452" si="14">SUM(G447:G451)</f>
        <v>0</v>
      </c>
      <c r="H452" s="281">
        <f>SUM(H447:H451)</f>
        <v>2.02</v>
      </c>
      <c r="I452" s="281">
        <f t="shared" si="14"/>
        <v>0</v>
      </c>
      <c r="J452" s="281">
        <f t="shared" si="14"/>
        <v>0</v>
      </c>
      <c r="K452" s="281">
        <f t="shared" si="14"/>
        <v>0</v>
      </c>
      <c r="L452" s="281">
        <f t="shared" si="14"/>
        <v>0</v>
      </c>
      <c r="M452" s="256"/>
    </row>
    <row r="453" spans="1:13" ht="15.75" x14ac:dyDescent="0.25">
      <c r="A453" s="297"/>
      <c r="B453" s="297"/>
      <c r="C453" s="287"/>
      <c r="D453" s="287"/>
      <c r="E453" s="287"/>
      <c r="F453" s="254"/>
      <c r="G453" s="281"/>
      <c r="H453" s="281"/>
      <c r="I453" s="281"/>
      <c r="J453" s="281"/>
      <c r="K453" s="281"/>
      <c r="L453" s="281"/>
      <c r="M453" s="256"/>
    </row>
    <row r="454" spans="1:13" ht="15.75" x14ac:dyDescent="0.25">
      <c r="A454" s="297"/>
      <c r="B454" s="297"/>
      <c r="C454" s="287" t="s">
        <v>653</v>
      </c>
      <c r="D454" s="287"/>
      <c r="E454" s="287"/>
      <c r="F454" s="254"/>
      <c r="G454" s="281"/>
      <c r="H454" s="281">
        <f>+F452</f>
        <v>0</v>
      </c>
      <c r="I454" s="281"/>
      <c r="J454" s="281"/>
      <c r="K454" s="281"/>
      <c r="L454" s="281"/>
      <c r="M454" s="256"/>
    </row>
    <row r="455" spans="1:13" ht="15.75" x14ac:dyDescent="0.25">
      <c r="A455" s="297"/>
      <c r="B455" s="297"/>
      <c r="C455" s="287"/>
      <c r="D455" s="287"/>
      <c r="E455" s="287"/>
      <c r="F455" s="254"/>
      <c r="G455" s="281"/>
      <c r="H455" s="281"/>
      <c r="I455" s="281"/>
      <c r="J455" s="281"/>
      <c r="K455" s="281"/>
      <c r="L455" s="281"/>
      <c r="M455" s="256"/>
    </row>
    <row r="456" spans="1:13" ht="15.75" x14ac:dyDescent="0.25">
      <c r="A456" s="297"/>
      <c r="B456" s="297"/>
      <c r="C456" s="287" t="s">
        <v>654</v>
      </c>
      <c r="D456" s="287"/>
      <c r="E456" s="287"/>
      <c r="F456" s="254"/>
      <c r="G456" s="281"/>
      <c r="H456" s="281">
        <f>+G452</f>
        <v>0</v>
      </c>
      <c r="I456" s="281"/>
      <c r="J456" s="281"/>
      <c r="K456" s="281"/>
      <c r="L456" s="281"/>
      <c r="M456" s="256"/>
    </row>
    <row r="457" spans="1:13" ht="15.75" x14ac:dyDescent="0.25">
      <c r="A457" s="297"/>
      <c r="B457" s="297"/>
      <c r="C457" s="287"/>
      <c r="D457" s="287"/>
      <c r="E457" s="287"/>
      <c r="F457" s="254"/>
      <c r="G457" s="281"/>
      <c r="H457" s="281"/>
      <c r="I457" s="281"/>
      <c r="J457" s="281"/>
      <c r="K457" s="281"/>
      <c r="L457" s="281"/>
      <c r="M457" s="256"/>
    </row>
    <row r="458" spans="1:13" ht="15.75" x14ac:dyDescent="0.25">
      <c r="A458" s="297"/>
      <c r="B458" s="297"/>
      <c r="C458" s="287"/>
      <c r="D458" s="287"/>
      <c r="E458" s="287"/>
      <c r="F458" s="254"/>
      <c r="G458" s="298"/>
      <c r="H458" s="255"/>
      <c r="I458" s="255"/>
      <c r="J458" s="255"/>
      <c r="K458" s="255"/>
      <c r="L458" s="255"/>
      <c r="M458" s="256"/>
    </row>
    <row r="459" spans="1:13" ht="15.75" x14ac:dyDescent="0.25">
      <c r="A459" s="297"/>
      <c r="B459" s="297"/>
      <c r="C459" s="287" t="s">
        <v>590</v>
      </c>
      <c r="D459" s="287"/>
      <c r="E459" s="287"/>
      <c r="F459" s="254"/>
      <c r="G459" s="255"/>
      <c r="H459" s="258"/>
      <c r="I459" s="258"/>
      <c r="J459" s="258"/>
      <c r="K459" s="258"/>
      <c r="L459" s="255"/>
      <c r="M459" s="256"/>
    </row>
    <row r="460" spans="1:13" ht="15.75" x14ac:dyDescent="0.25">
      <c r="A460" s="297"/>
      <c r="B460" s="297"/>
      <c r="C460" s="287" t="s">
        <v>141</v>
      </c>
      <c r="D460" s="287"/>
      <c r="E460" s="287"/>
      <c r="F460" s="254"/>
      <c r="G460" s="255"/>
      <c r="H460" s="351">
        <f>ROUND(H452/1.13,2)</f>
        <v>1.79</v>
      </c>
      <c r="I460" s="281"/>
      <c r="J460" s="281"/>
      <c r="K460" s="281"/>
      <c r="L460" s="300"/>
      <c r="M460" s="256"/>
    </row>
    <row r="461" spans="1:13" ht="15.75" x14ac:dyDescent="0.25">
      <c r="A461" s="297"/>
      <c r="B461" s="297"/>
      <c r="C461" s="287" t="s">
        <v>591</v>
      </c>
      <c r="D461" s="287"/>
      <c r="E461" s="287"/>
      <c r="F461" s="254"/>
      <c r="G461" s="255"/>
      <c r="H461" s="319">
        <f>(H460*0.13)</f>
        <v>0.23270000000000002</v>
      </c>
      <c r="I461" s="301"/>
      <c r="J461" s="301"/>
      <c r="K461" s="301"/>
      <c r="L461" s="300"/>
      <c r="M461" s="256"/>
    </row>
    <row r="462" spans="1:13" ht="16.5" thickBot="1" x14ac:dyDescent="0.3">
      <c r="A462" s="297"/>
      <c r="B462" s="297"/>
      <c r="C462" s="287"/>
      <c r="D462" s="287"/>
      <c r="E462" s="287"/>
      <c r="F462" s="254"/>
      <c r="G462" s="255"/>
      <c r="H462" s="302"/>
      <c r="I462" s="303"/>
      <c r="J462" s="303"/>
      <c r="K462" s="303"/>
      <c r="L462" s="300"/>
      <c r="M462" s="256"/>
    </row>
    <row r="463" spans="1:13" ht="16.5" thickTop="1" x14ac:dyDescent="0.25">
      <c r="A463" s="297"/>
      <c r="B463" s="297"/>
      <c r="C463" s="287" t="s">
        <v>592</v>
      </c>
      <c r="D463" s="287"/>
      <c r="E463" s="287"/>
      <c r="F463" s="254"/>
      <c r="G463" s="255"/>
      <c r="H463" s="274">
        <f>SUM(H460:H462)</f>
        <v>2.0226999999999999</v>
      </c>
      <c r="I463" s="274"/>
      <c r="J463" s="274"/>
      <c r="K463" s="274"/>
      <c r="L463" s="255"/>
      <c r="M463" s="256"/>
    </row>
    <row r="464" spans="1:13" ht="16.5" thickBot="1" x14ac:dyDescent="0.3">
      <c r="A464" s="297"/>
      <c r="B464" s="297"/>
      <c r="C464" s="287"/>
      <c r="D464" s="287"/>
      <c r="E464" s="287"/>
      <c r="F464" s="254"/>
      <c r="G464" s="255"/>
      <c r="H464" s="302"/>
      <c r="I464" s="303"/>
      <c r="J464" s="303"/>
      <c r="K464" s="303"/>
      <c r="L464" s="255"/>
      <c r="M464" s="256"/>
    </row>
    <row r="465" spans="1:13" ht="16.5" thickTop="1" x14ac:dyDescent="0.25">
      <c r="A465" s="297"/>
      <c r="B465" s="297"/>
      <c r="C465" s="287"/>
      <c r="D465" s="287"/>
      <c r="E465" s="287"/>
      <c r="F465" s="254"/>
      <c r="G465" s="255"/>
      <c r="H465" s="304"/>
      <c r="I465" s="304"/>
      <c r="J465" s="304"/>
      <c r="K465" s="304"/>
      <c r="L465" s="255"/>
      <c r="M465" s="256"/>
    </row>
    <row r="466" spans="1:13" ht="15.75" x14ac:dyDescent="0.25">
      <c r="A466" s="297"/>
      <c r="B466" s="297"/>
      <c r="C466" s="287"/>
      <c r="D466" s="287"/>
      <c r="E466" s="287"/>
      <c r="F466" s="254"/>
      <c r="G466" s="255"/>
      <c r="H466" s="264"/>
      <c r="I466" s="264"/>
      <c r="J466" s="264"/>
      <c r="K466" s="264"/>
      <c r="L466" s="255"/>
      <c r="M466" s="256"/>
    </row>
    <row r="467" spans="1:13" ht="15.75" x14ac:dyDescent="0.25">
      <c r="A467" s="297"/>
      <c r="B467" s="297"/>
      <c r="C467" s="287"/>
      <c r="D467" s="287"/>
      <c r="E467" s="287"/>
      <c r="F467" s="305"/>
      <c r="G467" s="255" t="s">
        <v>655</v>
      </c>
      <c r="H467" s="264">
        <v>-0.23</v>
      </c>
      <c r="I467" s="264"/>
      <c r="J467" s="264"/>
      <c r="K467" s="264"/>
      <c r="L467" s="255"/>
      <c r="M467" s="256"/>
    </row>
    <row r="468" spans="1:13" ht="15.75" x14ac:dyDescent="0.25">
      <c r="A468" s="297"/>
      <c r="B468" s="297"/>
      <c r="C468" s="287"/>
      <c r="D468" s="287"/>
      <c r="E468" s="287"/>
      <c r="F468" s="254"/>
      <c r="G468" s="306" t="s">
        <v>656</v>
      </c>
      <c r="H468" s="307">
        <f>+H461+H467</f>
        <v>2.7000000000000079E-3</v>
      </c>
      <c r="I468" s="264"/>
      <c r="J468" s="264"/>
      <c r="K468" s="264"/>
      <c r="L468" s="255"/>
      <c r="M468" s="256"/>
    </row>
    <row r="473" spans="1:13" ht="20.25" x14ac:dyDescent="0.3">
      <c r="A473" s="387" t="s">
        <v>640</v>
      </c>
      <c r="B473" s="388"/>
      <c r="C473" s="389"/>
      <c r="D473" s="389"/>
      <c r="E473" s="389"/>
      <c r="F473" s="390"/>
      <c r="G473" s="391"/>
      <c r="H473" s="391"/>
      <c r="I473" s="391"/>
      <c r="J473" s="391"/>
      <c r="K473" s="391"/>
      <c r="L473" s="391"/>
    </row>
    <row r="474" spans="1:13" ht="15.75" x14ac:dyDescent="0.25">
      <c r="A474" s="389" t="s">
        <v>252</v>
      </c>
      <c r="B474" s="389"/>
      <c r="C474" s="389"/>
      <c r="D474" s="389"/>
      <c r="E474" s="389"/>
      <c r="F474" s="390"/>
      <c r="G474" s="391"/>
      <c r="H474" s="391"/>
      <c r="I474" s="391"/>
      <c r="J474" s="391"/>
      <c r="K474" s="391"/>
      <c r="L474" s="391"/>
    </row>
    <row r="475" spans="1:13" ht="15.75" x14ac:dyDescent="0.25">
      <c r="A475" s="388" t="s">
        <v>253</v>
      </c>
      <c r="B475" s="389"/>
      <c r="C475" s="389"/>
      <c r="D475" s="389"/>
      <c r="E475" s="389"/>
      <c r="F475" s="390"/>
      <c r="G475" s="393"/>
      <c r="H475" s="393"/>
      <c r="I475" s="391"/>
      <c r="J475" s="391"/>
      <c r="K475" s="391"/>
      <c r="L475" s="391"/>
    </row>
    <row r="476" spans="1:13" ht="15.75" x14ac:dyDescent="0.25">
      <c r="A476" s="389" t="s">
        <v>356</v>
      </c>
      <c r="B476" s="389"/>
      <c r="C476" s="389"/>
      <c r="D476" s="389"/>
      <c r="E476" s="389"/>
      <c r="F476" s="390"/>
      <c r="G476" s="391"/>
      <c r="H476" s="391"/>
      <c r="I476" s="391"/>
      <c r="J476" s="391"/>
      <c r="K476" s="391"/>
      <c r="L476" s="391"/>
    </row>
    <row r="477" spans="1:13" ht="15.75" x14ac:dyDescent="0.25">
      <c r="A477" s="394" t="s">
        <v>457</v>
      </c>
      <c r="B477" s="395" t="s">
        <v>582</v>
      </c>
      <c r="C477" s="396"/>
      <c r="D477" s="437">
        <v>2019</v>
      </c>
      <c r="E477" s="389"/>
      <c r="F477" s="390"/>
      <c r="G477" s="391"/>
      <c r="H477" s="397"/>
      <c r="I477" s="397"/>
      <c r="J477" s="397"/>
      <c r="K477" s="397"/>
      <c r="L477" s="397"/>
    </row>
    <row r="478" spans="1:13" ht="15.75" x14ac:dyDescent="0.25">
      <c r="A478" s="392"/>
      <c r="B478" s="392"/>
      <c r="C478" s="389"/>
      <c r="D478" s="389"/>
      <c r="E478" s="389"/>
      <c r="F478" s="390"/>
      <c r="G478" s="391"/>
      <c r="H478" s="391"/>
      <c r="I478" s="391"/>
      <c r="J478" s="391"/>
      <c r="K478" s="391"/>
      <c r="L478" s="391"/>
    </row>
    <row r="479" spans="1:13" ht="15.75" x14ac:dyDescent="0.25">
      <c r="A479" s="392"/>
      <c r="B479" s="392"/>
      <c r="C479" s="389"/>
      <c r="D479" s="389"/>
      <c r="E479" s="389"/>
      <c r="F479" s="390"/>
      <c r="G479" s="391"/>
      <c r="H479" s="391"/>
      <c r="I479" s="391"/>
      <c r="J479" s="391"/>
      <c r="K479" s="391"/>
      <c r="L479" s="391"/>
    </row>
    <row r="480" spans="1:13" ht="15.75" x14ac:dyDescent="0.25">
      <c r="A480" s="392"/>
      <c r="B480" s="392"/>
      <c r="C480" s="389"/>
      <c r="D480" s="389"/>
      <c r="E480" s="389"/>
      <c r="F480" s="390"/>
      <c r="G480" s="398" t="s">
        <v>94</v>
      </c>
      <c r="H480" s="398" t="s">
        <v>94</v>
      </c>
      <c r="I480" s="398" t="s">
        <v>641</v>
      </c>
      <c r="J480" s="398" t="s">
        <v>642</v>
      </c>
      <c r="K480" s="398" t="s">
        <v>94</v>
      </c>
      <c r="L480" s="398" t="s">
        <v>257</v>
      </c>
    </row>
    <row r="481" spans="1:12" ht="16.5" thickBot="1" x14ac:dyDescent="0.3">
      <c r="A481" s="399" t="s">
        <v>137</v>
      </c>
      <c r="B481" s="399"/>
      <c r="C481" s="399" t="s">
        <v>643</v>
      </c>
      <c r="D481" s="399"/>
      <c r="E481" s="399" t="s">
        <v>644</v>
      </c>
      <c r="F481" s="400" t="s">
        <v>140</v>
      </c>
      <c r="G481" s="401" t="s">
        <v>327</v>
      </c>
      <c r="H481" s="430" t="s">
        <v>645</v>
      </c>
      <c r="I481" s="401" t="s">
        <v>646</v>
      </c>
      <c r="J481" s="401" t="s">
        <v>647</v>
      </c>
      <c r="K481" s="401" t="s">
        <v>326</v>
      </c>
      <c r="L481" s="401" t="s">
        <v>94</v>
      </c>
    </row>
    <row r="482" spans="1:12" ht="16.5" thickTop="1" x14ac:dyDescent="0.25">
      <c r="A482" s="431"/>
      <c r="B482" s="402"/>
      <c r="C482" s="403"/>
      <c r="D482" s="403"/>
      <c r="E482" s="403"/>
      <c r="F482" s="404"/>
      <c r="G482" s="404"/>
      <c r="H482" s="405"/>
      <c r="I482" s="405"/>
      <c r="J482" s="405"/>
      <c r="K482" s="405"/>
      <c r="L482" s="406"/>
    </row>
    <row r="483" spans="1:12" ht="15.75" x14ac:dyDescent="0.25">
      <c r="A483" s="407"/>
      <c r="B483" s="408"/>
      <c r="C483" s="409"/>
      <c r="D483" s="408"/>
      <c r="E483" s="409"/>
      <c r="F483" s="411">
        <v>0</v>
      </c>
      <c r="G483" s="411">
        <v>0</v>
      </c>
      <c r="H483" s="413"/>
      <c r="I483" s="405"/>
      <c r="J483" s="405"/>
      <c r="K483" s="413">
        <v>0</v>
      </c>
      <c r="L483" s="412"/>
    </row>
    <row r="484" spans="1:12" ht="15.75" x14ac:dyDescent="0.25">
      <c r="A484" s="407">
        <v>43731</v>
      </c>
      <c r="B484" s="408"/>
      <c r="C484" s="409" t="s">
        <v>955</v>
      </c>
      <c r="D484" s="408"/>
      <c r="E484" s="410" t="str">
        <f t="shared" ref="E484:E491" si="15">C484</f>
        <v>2019</v>
      </c>
      <c r="F484" s="411">
        <v>0</v>
      </c>
      <c r="G484" s="411">
        <v>0</v>
      </c>
      <c r="H484" s="413">
        <v>2.0099999999999998</v>
      </c>
      <c r="I484" s="405"/>
      <c r="J484" s="405"/>
      <c r="K484" s="413">
        <v>0</v>
      </c>
      <c r="L484" s="412"/>
    </row>
    <row r="485" spans="1:12" ht="15.75" x14ac:dyDescent="0.25">
      <c r="A485" s="407">
        <v>43731</v>
      </c>
      <c r="B485" s="408"/>
      <c r="C485" s="409" t="s">
        <v>956</v>
      </c>
      <c r="D485" s="408"/>
      <c r="E485" s="410" t="str">
        <f t="shared" si="15"/>
        <v>2020</v>
      </c>
      <c r="F485" s="411">
        <v>0</v>
      </c>
      <c r="G485" s="436">
        <v>0</v>
      </c>
      <c r="H485" s="413">
        <v>11.67</v>
      </c>
      <c r="I485" s="405"/>
      <c r="J485" s="405"/>
      <c r="K485" s="413">
        <v>0</v>
      </c>
      <c r="L485" s="412"/>
    </row>
    <row r="486" spans="1:12" ht="15.75" x14ac:dyDescent="0.25">
      <c r="A486" s="407">
        <v>43733</v>
      </c>
      <c r="B486" s="408"/>
      <c r="C486" s="409" t="s">
        <v>957</v>
      </c>
      <c r="D486" s="408"/>
      <c r="E486" s="410" t="str">
        <f t="shared" si="15"/>
        <v>00342</v>
      </c>
      <c r="F486" s="411">
        <v>0</v>
      </c>
      <c r="G486" s="411">
        <v>10.8</v>
      </c>
      <c r="H486" s="413">
        <v>0</v>
      </c>
      <c r="I486" s="405"/>
      <c r="J486" s="405"/>
      <c r="K486" s="413">
        <v>0</v>
      </c>
      <c r="L486" s="406"/>
    </row>
    <row r="487" spans="1:12" ht="15.75" x14ac:dyDescent="0.25">
      <c r="A487" s="407">
        <v>43733</v>
      </c>
      <c r="B487" s="408"/>
      <c r="C487" s="409" t="s">
        <v>958</v>
      </c>
      <c r="D487" s="408"/>
      <c r="E487" s="410" t="str">
        <f t="shared" si="15"/>
        <v>00343</v>
      </c>
      <c r="F487" s="411">
        <v>0</v>
      </c>
      <c r="G487" s="411">
        <v>97.74</v>
      </c>
      <c r="H487" s="413">
        <v>0</v>
      </c>
      <c r="I487" s="405"/>
      <c r="J487" s="405"/>
      <c r="K487" s="413">
        <v>0</v>
      </c>
      <c r="L487" s="412"/>
    </row>
    <row r="488" spans="1:12" ht="15.75" x14ac:dyDescent="0.25">
      <c r="A488" s="407">
        <v>43734</v>
      </c>
      <c r="B488" s="408"/>
      <c r="C488" s="409" t="s">
        <v>959</v>
      </c>
      <c r="D488" s="414"/>
      <c r="E488" s="410" t="str">
        <f t="shared" si="15"/>
        <v>00344</v>
      </c>
      <c r="F488" s="411">
        <v>0</v>
      </c>
      <c r="G488" s="411">
        <v>125.02</v>
      </c>
      <c r="H488" s="413">
        <v>0</v>
      </c>
      <c r="I488" s="405"/>
      <c r="J488" s="405"/>
      <c r="K488" s="413">
        <v>0</v>
      </c>
      <c r="L488" s="406"/>
    </row>
    <row r="489" spans="1:12" ht="15.75" x14ac:dyDescent="0.25">
      <c r="A489" s="407">
        <v>43734</v>
      </c>
      <c r="B489" s="408"/>
      <c r="C489" s="409" t="s">
        <v>960</v>
      </c>
      <c r="D489" s="414"/>
      <c r="E489" s="410" t="str">
        <f t="shared" si="15"/>
        <v>00345</v>
      </c>
      <c r="F489" s="411">
        <v>0</v>
      </c>
      <c r="G489" s="411">
        <v>4024.89</v>
      </c>
      <c r="H489" s="413">
        <v>0</v>
      </c>
      <c r="I489" s="405"/>
      <c r="J489" s="405"/>
      <c r="K489" s="413">
        <v>0</v>
      </c>
      <c r="L489" s="406"/>
    </row>
    <row r="490" spans="1:12" ht="15.75" x14ac:dyDescent="0.25">
      <c r="A490" s="407"/>
      <c r="B490" s="408"/>
      <c r="C490" s="409"/>
      <c r="D490" s="414"/>
      <c r="E490" s="410">
        <f t="shared" si="15"/>
        <v>0</v>
      </c>
      <c r="F490" s="411">
        <v>0</v>
      </c>
      <c r="G490" s="411">
        <v>0</v>
      </c>
      <c r="H490" s="413">
        <v>0</v>
      </c>
      <c r="I490" s="405"/>
      <c r="J490" s="405"/>
      <c r="K490" s="413">
        <v>0</v>
      </c>
      <c r="L490" s="406"/>
    </row>
    <row r="491" spans="1:12" ht="15.75" x14ac:dyDescent="0.25">
      <c r="A491" s="407"/>
      <c r="B491" s="408"/>
      <c r="C491" s="409"/>
      <c r="D491" s="414"/>
      <c r="E491" s="410">
        <f t="shared" si="15"/>
        <v>0</v>
      </c>
      <c r="F491" s="411">
        <v>0</v>
      </c>
      <c r="G491" s="411">
        <v>0</v>
      </c>
      <c r="H491" s="413">
        <v>0</v>
      </c>
      <c r="I491" s="405"/>
      <c r="J491" s="405"/>
      <c r="K491" s="413">
        <v>0</v>
      </c>
      <c r="L491" s="406"/>
    </row>
    <row r="492" spans="1:12" ht="16.5" thickBot="1" x14ac:dyDescent="0.3">
      <c r="A492" s="416"/>
      <c r="B492" s="416"/>
      <c r="C492" s="417"/>
      <c r="D492" s="417"/>
      <c r="E492" s="417"/>
      <c r="F492" s="400"/>
      <c r="G492" s="400"/>
      <c r="H492" s="418"/>
      <c r="I492" s="418"/>
      <c r="J492" s="418"/>
      <c r="K492" s="418"/>
      <c r="L492" s="419"/>
    </row>
    <row r="493" spans="1:12" ht="16.5" thickTop="1" x14ac:dyDescent="0.25">
      <c r="A493" s="420"/>
      <c r="B493" s="420"/>
      <c r="C493" s="415"/>
      <c r="D493" s="415"/>
      <c r="E493" s="415"/>
      <c r="F493" s="412">
        <f>SUM(F473:F492)</f>
        <v>0</v>
      </c>
      <c r="G493" s="412">
        <f t="shared" ref="G493:L493" si="16">SUM(G473:G492)</f>
        <v>4258.45</v>
      </c>
      <c r="H493" s="412">
        <f>SUM(H473:H492)</f>
        <v>13.68</v>
      </c>
      <c r="I493" s="412">
        <f t="shared" si="16"/>
        <v>0</v>
      </c>
      <c r="J493" s="412">
        <f t="shared" si="16"/>
        <v>0</v>
      </c>
      <c r="K493" s="412">
        <f t="shared" si="16"/>
        <v>0</v>
      </c>
      <c r="L493" s="412">
        <f t="shared" si="16"/>
        <v>0</v>
      </c>
    </row>
    <row r="494" spans="1:12" ht="15.75" x14ac:dyDescent="0.25">
      <c r="A494" s="420"/>
      <c r="B494" s="420"/>
      <c r="C494" s="415"/>
      <c r="D494" s="415"/>
      <c r="E494" s="415"/>
      <c r="F494" s="390"/>
      <c r="G494" s="412"/>
      <c r="H494" s="412"/>
      <c r="I494" s="412"/>
      <c r="J494" s="412"/>
      <c r="K494" s="412"/>
      <c r="L494" s="412"/>
    </row>
    <row r="495" spans="1:12" ht="15.75" x14ac:dyDescent="0.25">
      <c r="A495" s="420"/>
      <c r="B495" s="420"/>
      <c r="C495" s="415" t="s">
        <v>653</v>
      </c>
      <c r="D495" s="415"/>
      <c r="E495" s="415"/>
      <c r="F495" s="390"/>
      <c r="G495" s="412"/>
      <c r="H495" s="412">
        <f>+F493</f>
        <v>0</v>
      </c>
      <c r="I495" s="412"/>
      <c r="J495" s="412"/>
      <c r="K495" s="412"/>
      <c r="L495" s="412"/>
    </row>
    <row r="496" spans="1:12" ht="15.75" x14ac:dyDescent="0.25">
      <c r="A496" s="420"/>
      <c r="B496" s="420"/>
      <c r="C496" s="415"/>
      <c r="D496" s="415"/>
      <c r="E496" s="415"/>
      <c r="F496" s="390"/>
      <c r="G496" s="412"/>
      <c r="H496" s="412"/>
      <c r="I496" s="412"/>
      <c r="J496" s="412"/>
      <c r="K496" s="412"/>
      <c r="L496" s="412"/>
    </row>
    <row r="497" spans="1:12" ht="15.75" x14ac:dyDescent="0.25">
      <c r="A497" s="420"/>
      <c r="B497" s="420"/>
      <c r="C497" s="415" t="s">
        <v>654</v>
      </c>
      <c r="D497" s="415"/>
      <c r="E497" s="415"/>
      <c r="F497" s="390"/>
      <c r="G497" s="412"/>
      <c r="H497" s="412">
        <f>+G493</f>
        <v>4258.45</v>
      </c>
      <c r="I497" s="412"/>
      <c r="J497" s="412"/>
      <c r="K497" s="412"/>
      <c r="L497" s="412"/>
    </row>
    <row r="498" spans="1:12" ht="15.75" x14ac:dyDescent="0.25">
      <c r="A498" s="420"/>
      <c r="B498" s="420"/>
      <c r="C498" s="415"/>
      <c r="D498" s="415"/>
      <c r="E498" s="415"/>
      <c r="F498" s="390"/>
      <c r="G498" s="412"/>
      <c r="H498" s="412"/>
      <c r="I498" s="412"/>
      <c r="J498" s="412"/>
      <c r="K498" s="412"/>
      <c r="L498" s="412"/>
    </row>
    <row r="499" spans="1:12" ht="15.75" x14ac:dyDescent="0.25">
      <c r="A499" s="420"/>
      <c r="B499" s="420"/>
      <c r="C499" s="415"/>
      <c r="D499" s="415"/>
      <c r="E499" s="415"/>
      <c r="F499" s="390"/>
      <c r="G499" s="421"/>
      <c r="H499" s="391"/>
      <c r="I499" s="391"/>
      <c r="J499" s="391"/>
      <c r="K499" s="391"/>
      <c r="L499" s="391"/>
    </row>
    <row r="500" spans="1:12" ht="15.75" x14ac:dyDescent="0.25">
      <c r="A500" s="420"/>
      <c r="B500" s="420"/>
      <c r="C500" s="415" t="s">
        <v>590</v>
      </c>
      <c r="D500" s="415"/>
      <c r="E500" s="415"/>
      <c r="F500" s="390"/>
      <c r="G500" s="391"/>
      <c r="H500" s="393"/>
      <c r="I500" s="393"/>
      <c r="J500" s="393"/>
      <c r="K500" s="393"/>
      <c r="L500" s="391"/>
    </row>
    <row r="501" spans="1:12" ht="15.75" x14ac:dyDescent="0.25">
      <c r="A501" s="420"/>
      <c r="B501" s="420"/>
      <c r="C501" s="415" t="s">
        <v>141</v>
      </c>
      <c r="D501" s="415"/>
      <c r="E501" s="415"/>
      <c r="F501" s="390"/>
      <c r="G501" s="391"/>
      <c r="H501" s="351">
        <f>ROUND(H493/1.13,2)</f>
        <v>12.11</v>
      </c>
      <c r="I501" s="412"/>
      <c r="J501" s="412"/>
      <c r="K501" s="412"/>
      <c r="L501" s="422"/>
    </row>
    <row r="502" spans="1:12" ht="15.75" x14ac:dyDescent="0.25">
      <c r="A502" s="420"/>
      <c r="B502" s="420"/>
      <c r="C502" s="415" t="s">
        <v>591</v>
      </c>
      <c r="D502" s="415"/>
      <c r="E502" s="415"/>
      <c r="F502" s="390"/>
      <c r="G502" s="391"/>
      <c r="H502" s="435">
        <f>(H501*0.13)</f>
        <v>1.5743</v>
      </c>
      <c r="I502" s="423"/>
      <c r="J502" s="423"/>
      <c r="K502" s="423"/>
      <c r="L502" s="422"/>
    </row>
    <row r="503" spans="1:12" ht="16.5" thickBot="1" x14ac:dyDescent="0.3">
      <c r="A503" s="420"/>
      <c r="B503" s="420"/>
      <c r="C503" s="415"/>
      <c r="D503" s="415"/>
      <c r="E503" s="415"/>
      <c r="F503" s="390"/>
      <c r="G503" s="391"/>
      <c r="H503" s="424"/>
      <c r="I503" s="425"/>
      <c r="J503" s="425"/>
      <c r="K503" s="425"/>
      <c r="L503" s="422"/>
    </row>
    <row r="504" spans="1:12" ht="16.5" thickTop="1" x14ac:dyDescent="0.25">
      <c r="A504" s="420"/>
      <c r="B504" s="420"/>
      <c r="C504" s="415" t="s">
        <v>592</v>
      </c>
      <c r="D504" s="415"/>
      <c r="E504" s="415"/>
      <c r="F504" s="390"/>
      <c r="G504" s="391"/>
      <c r="H504" s="406">
        <f>SUM(H501:H503)</f>
        <v>13.6843</v>
      </c>
      <c r="I504" s="406"/>
      <c r="J504" s="406"/>
      <c r="K504" s="406"/>
      <c r="L504" s="391"/>
    </row>
    <row r="505" spans="1:12" ht="16.5" thickBot="1" x14ac:dyDescent="0.3">
      <c r="A505" s="420"/>
      <c r="B505" s="420"/>
      <c r="C505" s="415"/>
      <c r="D505" s="415"/>
      <c r="E505" s="415"/>
      <c r="F505" s="390"/>
      <c r="G505" s="391"/>
      <c r="H505" s="424"/>
      <c r="I505" s="425"/>
      <c r="J505" s="425"/>
      <c r="K505" s="425"/>
      <c r="L505" s="391"/>
    </row>
    <row r="506" spans="1:12" ht="16.5" thickTop="1" x14ac:dyDescent="0.25">
      <c r="A506" s="420"/>
      <c r="B506" s="420"/>
      <c r="C506" s="415"/>
      <c r="D506" s="415"/>
      <c r="E506" s="415"/>
      <c r="F506" s="390"/>
      <c r="G506" s="391"/>
      <c r="H506" s="426"/>
      <c r="I506" s="426"/>
      <c r="J506" s="426"/>
      <c r="K506" s="426"/>
      <c r="L506" s="391"/>
    </row>
    <row r="507" spans="1:12" ht="15.75" x14ac:dyDescent="0.25">
      <c r="A507" s="420"/>
      <c r="B507" s="420"/>
      <c r="C507" s="415"/>
      <c r="D507" s="415"/>
      <c r="E507" s="415"/>
      <c r="F507" s="390"/>
      <c r="G507" s="391"/>
      <c r="H507" s="398"/>
      <c r="I507" s="398"/>
      <c r="J507" s="398"/>
      <c r="K507" s="398"/>
      <c r="L507" s="391"/>
    </row>
    <row r="508" spans="1:12" ht="15.75" x14ac:dyDescent="0.25">
      <c r="A508" s="420"/>
      <c r="B508" s="420"/>
      <c r="C508" s="415"/>
      <c r="D508" s="415"/>
      <c r="E508" s="415"/>
      <c r="F508" s="434"/>
      <c r="G508" s="391" t="s">
        <v>655</v>
      </c>
      <c r="H508" s="398">
        <v>-1.57</v>
      </c>
      <c r="I508" s="398"/>
      <c r="J508" s="398"/>
      <c r="K508" s="398"/>
      <c r="L508" s="391"/>
    </row>
    <row r="509" spans="1:12" ht="15.75" x14ac:dyDescent="0.25">
      <c r="A509" s="420"/>
      <c r="B509" s="420"/>
      <c r="C509" s="415"/>
      <c r="D509" s="415"/>
      <c r="E509" s="415"/>
      <c r="F509" s="390"/>
      <c r="G509" s="432" t="s">
        <v>656</v>
      </c>
      <c r="H509" s="433">
        <f>+H502+H508</f>
        <v>4.2999999999999705E-3</v>
      </c>
      <c r="I509" s="398"/>
      <c r="J509" s="398"/>
      <c r="K509" s="398"/>
      <c r="L509" s="391"/>
    </row>
    <row r="513" spans="1:12" ht="20.25" x14ac:dyDescent="0.3">
      <c r="A513" s="387" t="s">
        <v>640</v>
      </c>
      <c r="B513" s="388"/>
      <c r="C513" s="389"/>
      <c r="D513" s="389"/>
      <c r="E513" s="389"/>
      <c r="F513" s="390"/>
      <c r="G513" s="391"/>
      <c r="H513" s="391"/>
      <c r="I513" s="391"/>
      <c r="J513" s="391"/>
      <c r="K513" s="391"/>
      <c r="L513" s="391"/>
    </row>
    <row r="514" spans="1:12" ht="15.75" x14ac:dyDescent="0.25">
      <c r="A514" s="389" t="s">
        <v>252</v>
      </c>
      <c r="B514" s="389"/>
      <c r="C514" s="389"/>
      <c r="D514" s="389"/>
      <c r="E514" s="389"/>
      <c r="F514" s="390"/>
      <c r="G514" s="391"/>
      <c r="H514" s="391"/>
      <c r="I514" s="391"/>
      <c r="J514" s="391"/>
      <c r="K514" s="391"/>
      <c r="L514" s="391"/>
    </row>
    <row r="515" spans="1:12" ht="15.75" x14ac:dyDescent="0.25">
      <c r="A515" s="388" t="s">
        <v>253</v>
      </c>
      <c r="B515" s="389"/>
      <c r="C515" s="389"/>
      <c r="D515" s="389"/>
      <c r="E515" s="389"/>
      <c r="F515" s="390"/>
      <c r="G515" s="393"/>
      <c r="H515" s="393"/>
      <c r="I515" s="391"/>
      <c r="J515" s="391"/>
      <c r="K515" s="391"/>
      <c r="L515" s="391"/>
    </row>
    <row r="516" spans="1:12" ht="15.75" x14ac:dyDescent="0.25">
      <c r="A516" s="389" t="s">
        <v>356</v>
      </c>
      <c r="B516" s="389"/>
      <c r="C516" s="389"/>
      <c r="D516" s="389"/>
      <c r="E516" s="389"/>
      <c r="F516" s="390"/>
      <c r="G516" s="391"/>
      <c r="H516" s="391"/>
      <c r="I516" s="391"/>
      <c r="J516" s="391"/>
      <c r="K516" s="391"/>
      <c r="L516" s="391"/>
    </row>
    <row r="517" spans="1:12" ht="15.75" x14ac:dyDescent="0.25">
      <c r="A517" s="394" t="s">
        <v>457</v>
      </c>
      <c r="B517" s="395" t="s">
        <v>639</v>
      </c>
      <c r="C517" s="396"/>
      <c r="D517" s="437">
        <v>2019</v>
      </c>
      <c r="E517" s="389"/>
      <c r="F517" s="390"/>
      <c r="G517" s="391"/>
      <c r="H517" s="397"/>
      <c r="I517" s="397"/>
      <c r="J517" s="397"/>
      <c r="K517" s="397"/>
      <c r="L517" s="397"/>
    </row>
    <row r="518" spans="1:12" ht="15.75" x14ac:dyDescent="0.25">
      <c r="A518" s="392"/>
      <c r="B518" s="392"/>
      <c r="C518" s="389"/>
      <c r="D518" s="389"/>
      <c r="E518" s="389"/>
      <c r="F518" s="390"/>
      <c r="G518" s="391"/>
      <c r="H518" s="391"/>
      <c r="I518" s="391"/>
      <c r="J518" s="391"/>
      <c r="K518" s="391"/>
      <c r="L518" s="391"/>
    </row>
    <row r="519" spans="1:12" ht="15.75" x14ac:dyDescent="0.25">
      <c r="A519" s="392"/>
      <c r="B519" s="392"/>
      <c r="C519" s="389"/>
      <c r="D519" s="389"/>
      <c r="E519" s="389"/>
      <c r="F519" s="390"/>
      <c r="G519" s="391"/>
      <c r="H519" s="391"/>
      <c r="I519" s="391"/>
      <c r="J519" s="391"/>
      <c r="K519" s="391"/>
      <c r="L519" s="391"/>
    </row>
    <row r="520" spans="1:12" ht="15.75" x14ac:dyDescent="0.25">
      <c r="A520" s="392"/>
      <c r="B520" s="392"/>
      <c r="C520" s="389"/>
      <c r="D520" s="389"/>
      <c r="E520" s="389"/>
      <c r="F520" s="390"/>
      <c r="G520" s="398" t="s">
        <v>94</v>
      </c>
      <c r="H520" s="398" t="s">
        <v>94</v>
      </c>
      <c r="I520" s="398" t="s">
        <v>641</v>
      </c>
      <c r="J520" s="398" t="s">
        <v>642</v>
      </c>
      <c r="K520" s="398" t="s">
        <v>94</v>
      </c>
      <c r="L520" s="398" t="s">
        <v>257</v>
      </c>
    </row>
    <row r="521" spans="1:12" ht="16.5" thickBot="1" x14ac:dyDescent="0.3">
      <c r="A521" s="399" t="s">
        <v>137</v>
      </c>
      <c r="B521" s="399"/>
      <c r="C521" s="399" t="s">
        <v>643</v>
      </c>
      <c r="D521" s="399"/>
      <c r="E521" s="399" t="s">
        <v>644</v>
      </c>
      <c r="F521" s="400" t="s">
        <v>140</v>
      </c>
      <c r="G521" s="401" t="s">
        <v>327</v>
      </c>
      <c r="H521" s="430" t="s">
        <v>645</v>
      </c>
      <c r="I521" s="401" t="s">
        <v>646</v>
      </c>
      <c r="J521" s="401" t="s">
        <v>647</v>
      </c>
      <c r="K521" s="401" t="s">
        <v>326</v>
      </c>
      <c r="L521" s="401" t="s">
        <v>94</v>
      </c>
    </row>
    <row r="522" spans="1:12" ht="16.5" thickTop="1" x14ac:dyDescent="0.25">
      <c r="A522" s="431"/>
      <c r="B522" s="402"/>
      <c r="C522" s="403"/>
      <c r="D522" s="403"/>
      <c r="E522" s="403"/>
      <c r="F522" s="404"/>
      <c r="G522" s="404"/>
      <c r="H522" s="405"/>
      <c r="I522" s="405"/>
      <c r="J522" s="405"/>
      <c r="K522" s="405"/>
      <c r="L522" s="406"/>
    </row>
    <row r="523" spans="1:12" ht="15.75" x14ac:dyDescent="0.25">
      <c r="A523" s="407"/>
      <c r="B523" s="408"/>
      <c r="C523" s="409"/>
      <c r="D523" s="408"/>
      <c r="E523" s="409"/>
      <c r="F523" s="411">
        <v>0</v>
      </c>
      <c r="G523" s="411">
        <v>0</v>
      </c>
      <c r="H523" s="413"/>
      <c r="I523" s="405"/>
      <c r="J523" s="405"/>
      <c r="K523" s="413">
        <v>0</v>
      </c>
      <c r="L523" s="412"/>
    </row>
    <row r="524" spans="1:12" ht="15.75" x14ac:dyDescent="0.25">
      <c r="A524" s="407">
        <v>43760</v>
      </c>
      <c r="B524" s="408"/>
      <c r="C524" s="409" t="s">
        <v>987</v>
      </c>
      <c r="D524" s="408"/>
      <c r="E524" s="410" t="str">
        <f t="shared" ref="E524:E531" si="17">C524</f>
        <v>2021</v>
      </c>
      <c r="F524" s="411">
        <v>0</v>
      </c>
      <c r="G524" s="411">
        <v>0</v>
      </c>
      <c r="H524" s="413">
        <v>2.06</v>
      </c>
      <c r="I524" s="405"/>
      <c r="J524" s="405"/>
      <c r="K524" s="413">
        <v>0</v>
      </c>
      <c r="L524" s="412"/>
    </row>
    <row r="525" spans="1:12" ht="15.75" x14ac:dyDescent="0.25">
      <c r="A525" s="407">
        <v>43760</v>
      </c>
      <c r="B525" s="408"/>
      <c r="C525" s="409" t="s">
        <v>988</v>
      </c>
      <c r="D525" s="408"/>
      <c r="E525" s="410" t="str">
        <f t="shared" si="17"/>
        <v>2022</v>
      </c>
      <c r="F525" s="411">
        <v>0</v>
      </c>
      <c r="G525" s="436">
        <v>0</v>
      </c>
      <c r="H525" s="413">
        <v>13.03</v>
      </c>
      <c r="I525" s="405"/>
      <c r="J525" s="405"/>
      <c r="K525" s="413">
        <v>0</v>
      </c>
      <c r="L525" s="412"/>
    </row>
    <row r="526" spans="1:12" ht="15.75" x14ac:dyDescent="0.25">
      <c r="A526" s="407">
        <v>43745</v>
      </c>
      <c r="B526" s="408"/>
      <c r="C526" s="409" t="s">
        <v>989</v>
      </c>
      <c r="D526" s="408"/>
      <c r="E526" s="410" t="str">
        <f t="shared" si="17"/>
        <v>2023</v>
      </c>
      <c r="F526" s="411">
        <v>0</v>
      </c>
      <c r="G526" s="411">
        <v>22.33</v>
      </c>
      <c r="H526" s="413">
        <v>0</v>
      </c>
      <c r="I526" s="405"/>
      <c r="J526" s="405"/>
      <c r="K526" s="413">
        <v>0</v>
      </c>
      <c r="L526" s="406"/>
    </row>
    <row r="527" spans="1:12" ht="15.75" x14ac:dyDescent="0.25">
      <c r="A527" s="407">
        <v>43745</v>
      </c>
      <c r="B527" s="408"/>
      <c r="C527" s="409" t="s">
        <v>990</v>
      </c>
      <c r="D527" s="408"/>
      <c r="E527" s="410" t="str">
        <f t="shared" si="17"/>
        <v>2024</v>
      </c>
      <c r="F527" s="411">
        <v>0</v>
      </c>
      <c r="G527" s="411">
        <v>114.41</v>
      </c>
      <c r="H527" s="413">
        <v>0</v>
      </c>
      <c r="I527" s="405"/>
      <c r="J527" s="405"/>
      <c r="K527" s="413">
        <v>0</v>
      </c>
      <c r="L527" s="412"/>
    </row>
    <row r="528" spans="1:12" ht="15.75" x14ac:dyDescent="0.25">
      <c r="A528" s="407">
        <v>43745</v>
      </c>
      <c r="B528" s="408"/>
      <c r="C528" s="409" t="s">
        <v>991</v>
      </c>
      <c r="D528" s="414"/>
      <c r="E528" s="410" t="str">
        <f t="shared" si="17"/>
        <v>2025</v>
      </c>
      <c r="F528" s="411">
        <v>0</v>
      </c>
      <c r="G528" s="411">
        <v>784.81</v>
      </c>
      <c r="H528" s="413">
        <v>0</v>
      </c>
      <c r="I528" s="405"/>
      <c r="J528" s="405"/>
      <c r="K528" s="413">
        <v>0</v>
      </c>
      <c r="L528" s="406"/>
    </row>
    <row r="529" spans="1:12" ht="15.75" x14ac:dyDescent="0.25">
      <c r="A529" s="407">
        <v>43745</v>
      </c>
      <c r="B529" s="408"/>
      <c r="C529" s="409" t="s">
        <v>992</v>
      </c>
      <c r="D529" s="414"/>
      <c r="E529" s="410" t="str">
        <f t="shared" si="17"/>
        <v>2026</v>
      </c>
      <c r="F529" s="411">
        <v>0</v>
      </c>
      <c r="G529" s="411">
        <v>13.79</v>
      </c>
      <c r="H529" s="413">
        <v>0</v>
      </c>
      <c r="I529" s="405"/>
      <c r="J529" s="405"/>
      <c r="K529" s="413">
        <v>0</v>
      </c>
      <c r="L529" s="406"/>
    </row>
    <row r="530" spans="1:12" ht="15.75" x14ac:dyDescent="0.25">
      <c r="A530" s="407"/>
      <c r="B530" s="408"/>
      <c r="C530" s="409"/>
      <c r="D530" s="414"/>
      <c r="E530" s="410">
        <f t="shared" si="17"/>
        <v>0</v>
      </c>
      <c r="F530" s="411">
        <v>0</v>
      </c>
      <c r="G530" s="411">
        <v>0</v>
      </c>
      <c r="H530" s="413">
        <v>0</v>
      </c>
      <c r="I530" s="405"/>
      <c r="J530" s="405"/>
      <c r="K530" s="413">
        <v>0</v>
      </c>
      <c r="L530" s="406"/>
    </row>
    <row r="531" spans="1:12" ht="15.75" x14ac:dyDescent="0.25">
      <c r="A531" s="407"/>
      <c r="B531" s="408"/>
      <c r="C531" s="409"/>
      <c r="D531" s="414"/>
      <c r="E531" s="410">
        <f t="shared" si="17"/>
        <v>0</v>
      </c>
      <c r="F531" s="411">
        <v>0</v>
      </c>
      <c r="G531" s="411">
        <v>0</v>
      </c>
      <c r="H531" s="413">
        <v>0</v>
      </c>
      <c r="I531" s="405"/>
      <c r="J531" s="405"/>
      <c r="K531" s="413">
        <v>0</v>
      </c>
      <c r="L531" s="406"/>
    </row>
    <row r="532" spans="1:12" ht="15.75" x14ac:dyDescent="0.25">
      <c r="A532" s="407"/>
      <c r="B532" s="408"/>
      <c r="C532" s="409"/>
      <c r="D532" s="414"/>
      <c r="E532" s="410"/>
      <c r="F532" s="411"/>
      <c r="G532" s="284"/>
      <c r="H532" s="413"/>
      <c r="I532" s="405"/>
      <c r="J532" s="405"/>
      <c r="K532" s="405"/>
      <c r="L532" s="406"/>
    </row>
    <row r="533" spans="1:12" ht="15.75" x14ac:dyDescent="0.25">
      <c r="A533" s="407"/>
      <c r="B533" s="408"/>
      <c r="C533" s="409"/>
      <c r="D533" s="414"/>
      <c r="E533" s="410"/>
      <c r="F533" s="411"/>
      <c r="G533" s="284"/>
      <c r="H533" s="413"/>
      <c r="I533" s="405"/>
      <c r="J533" s="405"/>
      <c r="K533" s="405"/>
      <c r="L533" s="406"/>
    </row>
    <row r="534" spans="1:12" ht="15.75" x14ac:dyDescent="0.25">
      <c r="A534" s="407"/>
      <c r="B534" s="408"/>
      <c r="C534" s="409"/>
      <c r="D534" s="414"/>
      <c r="E534" s="410"/>
      <c r="F534" s="411"/>
      <c r="G534" s="284"/>
      <c r="H534" s="413"/>
      <c r="I534" s="405"/>
      <c r="J534" s="405"/>
      <c r="K534" s="405"/>
      <c r="L534" s="406"/>
    </row>
    <row r="535" spans="1:12" ht="15.75" x14ac:dyDescent="0.25">
      <c r="A535" s="407"/>
      <c r="B535" s="408"/>
      <c r="C535" s="409"/>
      <c r="D535" s="414"/>
      <c r="E535" s="410"/>
      <c r="F535" s="411"/>
      <c r="G535" s="284"/>
      <c r="H535" s="282"/>
      <c r="I535" s="405"/>
      <c r="J535" s="405"/>
      <c r="K535" s="405"/>
      <c r="L535" s="406"/>
    </row>
    <row r="536" spans="1:12" ht="15.75" x14ac:dyDescent="0.25">
      <c r="A536" s="407"/>
      <c r="B536" s="408"/>
      <c r="C536" s="409"/>
      <c r="D536" s="414"/>
      <c r="E536" s="410"/>
      <c r="F536" s="411"/>
      <c r="G536" s="284"/>
      <c r="H536" s="282"/>
      <c r="I536" s="405"/>
      <c r="J536" s="405"/>
      <c r="K536" s="405"/>
      <c r="L536" s="406"/>
    </row>
    <row r="537" spans="1:12" ht="15.75" x14ac:dyDescent="0.25">
      <c r="A537" s="285"/>
      <c r="B537" s="286"/>
      <c r="C537" s="409"/>
      <c r="D537" s="415"/>
      <c r="E537" s="410"/>
      <c r="F537" s="390"/>
      <c r="G537" s="284"/>
      <c r="H537" s="282"/>
      <c r="I537" s="405"/>
      <c r="J537" s="405"/>
      <c r="K537" s="405"/>
      <c r="L537" s="406"/>
    </row>
    <row r="538" spans="1:12" ht="15.75" x14ac:dyDescent="0.25">
      <c r="A538" s="285"/>
      <c r="B538" s="288"/>
      <c r="C538" s="289"/>
      <c r="D538" s="290"/>
      <c r="E538" s="410"/>
      <c r="F538" s="291"/>
      <c r="G538" s="284"/>
      <c r="H538" s="282"/>
      <c r="I538" s="405"/>
      <c r="J538" s="405"/>
      <c r="K538" s="405"/>
      <c r="L538" s="406"/>
    </row>
    <row r="539" spans="1:12" ht="15.75" x14ac:dyDescent="0.25">
      <c r="A539" s="285"/>
      <c r="B539" s="286"/>
      <c r="C539" s="289"/>
      <c r="D539" s="415"/>
      <c r="E539" s="410"/>
      <c r="F539" s="390"/>
      <c r="G539" s="284"/>
      <c r="H539" s="282"/>
      <c r="I539" s="405"/>
      <c r="J539" s="405"/>
      <c r="K539" s="405"/>
      <c r="L539" s="406"/>
    </row>
    <row r="540" spans="1:12" ht="15.75" x14ac:dyDescent="0.25">
      <c r="A540" s="285"/>
      <c r="B540" s="286"/>
      <c r="C540" s="292"/>
      <c r="D540" s="415"/>
      <c r="E540" s="410"/>
      <c r="F540" s="390"/>
      <c r="G540" s="284"/>
      <c r="H540" s="405"/>
      <c r="I540" s="405"/>
      <c r="J540" s="405"/>
      <c r="K540" s="405"/>
      <c r="L540" s="406"/>
    </row>
    <row r="541" spans="1:12" ht="16.5" thickBot="1" x14ac:dyDescent="0.3">
      <c r="A541" s="416"/>
      <c r="B541" s="416"/>
      <c r="C541" s="417"/>
      <c r="D541" s="417"/>
      <c r="E541" s="417"/>
      <c r="F541" s="400"/>
      <c r="G541" s="400"/>
      <c r="H541" s="418"/>
      <c r="I541" s="418"/>
      <c r="J541" s="418"/>
      <c r="K541" s="418"/>
      <c r="L541" s="419"/>
    </row>
    <row r="542" spans="1:12" ht="16.5" thickTop="1" x14ac:dyDescent="0.25">
      <c r="A542" s="420"/>
      <c r="B542" s="420"/>
      <c r="C542" s="415"/>
      <c r="D542" s="415"/>
      <c r="E542" s="415"/>
      <c r="F542" s="412">
        <f>SUM(F522:F541)</f>
        <v>0</v>
      </c>
      <c r="G542" s="412">
        <f t="shared" ref="G542:L542" si="18">SUM(G522:G541)</f>
        <v>935.33999999999992</v>
      </c>
      <c r="H542" s="412">
        <f>SUM(H522:H541)</f>
        <v>15.09</v>
      </c>
      <c r="I542" s="412">
        <f t="shared" si="18"/>
        <v>0</v>
      </c>
      <c r="J542" s="412">
        <f t="shared" si="18"/>
        <v>0</v>
      </c>
      <c r="K542" s="412">
        <f t="shared" si="18"/>
        <v>0</v>
      </c>
      <c r="L542" s="412">
        <f t="shared" si="18"/>
        <v>0</v>
      </c>
    </row>
    <row r="543" spans="1:12" ht="15.75" x14ac:dyDescent="0.25">
      <c r="A543" s="420"/>
      <c r="B543" s="420"/>
      <c r="C543" s="415"/>
      <c r="D543" s="415"/>
      <c r="E543" s="415"/>
      <c r="F543" s="390"/>
      <c r="G543" s="412"/>
      <c r="H543" s="412"/>
      <c r="I543" s="412"/>
      <c r="J543" s="412"/>
      <c r="K543" s="412"/>
      <c r="L543" s="412"/>
    </row>
    <row r="544" spans="1:12" ht="15.75" x14ac:dyDescent="0.25">
      <c r="A544" s="420"/>
      <c r="B544" s="420"/>
      <c r="C544" s="415" t="s">
        <v>653</v>
      </c>
      <c r="D544" s="415"/>
      <c r="E544" s="415"/>
      <c r="F544" s="390"/>
      <c r="G544" s="412"/>
      <c r="H544" s="412">
        <f>+F542</f>
        <v>0</v>
      </c>
      <c r="I544" s="412"/>
      <c r="J544" s="412"/>
      <c r="K544" s="412"/>
      <c r="L544" s="412"/>
    </row>
    <row r="545" spans="1:12" ht="15.75" x14ac:dyDescent="0.25">
      <c r="A545" s="420"/>
      <c r="B545" s="420"/>
      <c r="C545" s="415"/>
      <c r="D545" s="415"/>
      <c r="E545" s="415"/>
      <c r="F545" s="390"/>
      <c r="G545" s="412"/>
      <c r="H545" s="412"/>
      <c r="I545" s="412"/>
      <c r="J545" s="412"/>
      <c r="K545" s="412"/>
      <c r="L545" s="412"/>
    </row>
    <row r="546" spans="1:12" ht="15.75" x14ac:dyDescent="0.25">
      <c r="A546" s="420"/>
      <c r="B546" s="420"/>
      <c r="C546" s="415" t="s">
        <v>654</v>
      </c>
      <c r="D546" s="415"/>
      <c r="E546" s="415"/>
      <c r="F546" s="390"/>
      <c r="G546" s="412"/>
      <c r="H546" s="412">
        <f>+G542</f>
        <v>935.33999999999992</v>
      </c>
      <c r="I546" s="412"/>
      <c r="J546" s="412"/>
      <c r="K546" s="412"/>
      <c r="L546" s="412"/>
    </row>
    <row r="547" spans="1:12" ht="15.75" x14ac:dyDescent="0.25">
      <c r="A547" s="420"/>
      <c r="B547" s="420"/>
      <c r="C547" s="415"/>
      <c r="D547" s="415"/>
      <c r="E547" s="415"/>
      <c r="F547" s="390"/>
      <c r="G547" s="412"/>
      <c r="H547" s="412"/>
      <c r="I547" s="412"/>
      <c r="J547" s="412"/>
      <c r="K547" s="412"/>
      <c r="L547" s="412"/>
    </row>
    <row r="548" spans="1:12" ht="15.75" x14ac:dyDescent="0.25">
      <c r="A548" s="420"/>
      <c r="B548" s="420"/>
      <c r="C548" s="415"/>
      <c r="D548" s="415"/>
      <c r="E548" s="415"/>
      <c r="F548" s="390"/>
      <c r="G548" s="421"/>
      <c r="H548" s="391"/>
      <c r="I548" s="391"/>
      <c r="J548" s="391"/>
      <c r="K548" s="391"/>
      <c r="L548" s="391"/>
    </row>
    <row r="549" spans="1:12" ht="15.75" x14ac:dyDescent="0.25">
      <c r="A549" s="420"/>
      <c r="B549" s="420"/>
      <c r="C549" s="415" t="s">
        <v>590</v>
      </c>
      <c r="D549" s="415"/>
      <c r="E549" s="415"/>
      <c r="F549" s="390"/>
      <c r="G549" s="391"/>
      <c r="H549" s="393"/>
      <c r="I549" s="393"/>
      <c r="J549" s="393"/>
      <c r="K549" s="393"/>
      <c r="L549" s="391"/>
    </row>
    <row r="550" spans="1:12" ht="15.75" x14ac:dyDescent="0.25">
      <c r="A550" s="420"/>
      <c r="B550" s="420"/>
      <c r="C550" s="415" t="s">
        <v>141</v>
      </c>
      <c r="D550" s="415"/>
      <c r="E550" s="415"/>
      <c r="F550" s="390"/>
      <c r="G550" s="391"/>
      <c r="H550" s="332">
        <f>ROUND(H542/1.13,2)</f>
        <v>13.35</v>
      </c>
      <c r="I550" s="412"/>
      <c r="J550" s="412"/>
      <c r="K550" s="412"/>
      <c r="L550" s="422"/>
    </row>
    <row r="551" spans="1:12" ht="15.75" x14ac:dyDescent="0.25">
      <c r="A551" s="420"/>
      <c r="B551" s="420"/>
      <c r="C551" s="415" t="s">
        <v>591</v>
      </c>
      <c r="D551" s="415"/>
      <c r="E551" s="415"/>
      <c r="F551" s="390"/>
      <c r="G551" s="391"/>
      <c r="H551" s="435">
        <f>(H550*0.13)</f>
        <v>1.7355</v>
      </c>
      <c r="I551" s="423"/>
      <c r="J551" s="423"/>
      <c r="K551" s="423"/>
      <c r="L551" s="422"/>
    </row>
    <row r="552" spans="1:12" ht="16.5" thickBot="1" x14ac:dyDescent="0.3">
      <c r="A552" s="420"/>
      <c r="B552" s="420"/>
      <c r="C552" s="415"/>
      <c r="D552" s="415"/>
      <c r="E552" s="415"/>
      <c r="F552" s="390"/>
      <c r="G552" s="391"/>
      <c r="H552" s="424"/>
      <c r="I552" s="425"/>
      <c r="J552" s="425"/>
      <c r="K552" s="425"/>
      <c r="L552" s="422"/>
    </row>
    <row r="553" spans="1:12" ht="16.5" thickTop="1" x14ac:dyDescent="0.25">
      <c r="A553" s="420"/>
      <c r="B553" s="420"/>
      <c r="C553" s="415" t="s">
        <v>592</v>
      </c>
      <c r="D553" s="415"/>
      <c r="E553" s="415"/>
      <c r="F553" s="390"/>
      <c r="G553" s="391"/>
      <c r="H553" s="406">
        <f>SUM(H550:H552)</f>
        <v>15.0855</v>
      </c>
      <c r="I553" s="406"/>
      <c r="J553" s="406"/>
      <c r="K553" s="406"/>
      <c r="L553" s="391"/>
    </row>
    <row r="554" spans="1:12" ht="16.5" thickBot="1" x14ac:dyDescent="0.3">
      <c r="A554" s="420"/>
      <c r="B554" s="420"/>
      <c r="C554" s="415"/>
      <c r="D554" s="415"/>
      <c r="E554" s="415"/>
      <c r="F554" s="390"/>
      <c r="G554" s="391"/>
      <c r="H554" s="424"/>
      <c r="I554" s="425"/>
      <c r="J554" s="425"/>
      <c r="K554" s="425"/>
      <c r="L554" s="391"/>
    </row>
    <row r="555" spans="1:12" ht="16.5" thickTop="1" x14ac:dyDescent="0.25">
      <c r="A555" s="420"/>
      <c r="B555" s="420"/>
      <c r="C555" s="415"/>
      <c r="D555" s="415"/>
      <c r="E555" s="415"/>
      <c r="F555" s="390"/>
      <c r="G555" s="391"/>
      <c r="H555" s="426"/>
      <c r="I555" s="426"/>
      <c r="J555" s="426"/>
      <c r="K555" s="426"/>
      <c r="L555" s="391"/>
    </row>
    <row r="556" spans="1:12" ht="15.75" x14ac:dyDescent="0.25">
      <c r="A556" s="420"/>
      <c r="B556" s="420"/>
      <c r="C556" s="415"/>
      <c r="D556" s="415"/>
      <c r="E556" s="415"/>
      <c r="F556" s="390"/>
      <c r="G556" s="391"/>
      <c r="H556" s="398"/>
      <c r="I556" s="398"/>
      <c r="J556" s="398"/>
      <c r="K556" s="398"/>
      <c r="L556" s="391"/>
    </row>
    <row r="557" spans="1:12" ht="15.75" x14ac:dyDescent="0.25">
      <c r="A557" s="420"/>
      <c r="B557" s="420"/>
      <c r="C557" s="415"/>
      <c r="D557" s="415"/>
      <c r="E557" s="415"/>
      <c r="F557" s="434"/>
      <c r="G557" s="391" t="s">
        <v>655</v>
      </c>
      <c r="H557" s="398">
        <v>-1.74</v>
      </c>
      <c r="I557" s="398"/>
      <c r="J557" s="398"/>
      <c r="K557" s="398"/>
      <c r="L557" s="391"/>
    </row>
    <row r="558" spans="1:12" ht="15.75" x14ac:dyDescent="0.25">
      <c r="A558" s="420"/>
      <c r="B558" s="420"/>
      <c r="C558" s="415"/>
      <c r="D558" s="415"/>
      <c r="E558" s="415"/>
      <c r="F558" s="390"/>
      <c r="G558" s="432" t="s">
        <v>656</v>
      </c>
      <c r="H558" s="433">
        <f>+H551+H557</f>
        <v>-4.4999999999999485E-3</v>
      </c>
      <c r="I558" s="398"/>
      <c r="J558" s="398"/>
      <c r="K558" s="398"/>
      <c r="L558" s="391"/>
    </row>
    <row r="564" spans="1:12" ht="20.25" x14ac:dyDescent="0.3">
      <c r="A564" s="387" t="s">
        <v>640</v>
      </c>
      <c r="B564" s="388"/>
      <c r="C564" s="389"/>
      <c r="D564" s="389"/>
      <c r="E564" s="389"/>
      <c r="F564" s="390"/>
      <c r="G564" s="391"/>
      <c r="H564" s="391"/>
      <c r="I564" s="391"/>
      <c r="J564" s="391"/>
      <c r="K564" s="391"/>
      <c r="L564" s="391"/>
    </row>
    <row r="565" spans="1:12" ht="15.75" x14ac:dyDescent="0.25">
      <c r="A565" s="389" t="s">
        <v>252</v>
      </c>
      <c r="B565" s="389"/>
      <c r="C565" s="389"/>
      <c r="D565" s="389"/>
      <c r="E565" s="389"/>
      <c r="F565" s="390"/>
      <c r="G565" s="391"/>
      <c r="H565" s="391"/>
      <c r="I565" s="391"/>
      <c r="J565" s="391"/>
      <c r="K565" s="391"/>
      <c r="L565" s="391"/>
    </row>
    <row r="566" spans="1:12" ht="15.75" x14ac:dyDescent="0.25">
      <c r="A566" s="388" t="s">
        <v>253</v>
      </c>
      <c r="B566" s="389"/>
      <c r="C566" s="389"/>
      <c r="D566" s="389"/>
      <c r="E566" s="389"/>
      <c r="F566" s="390"/>
      <c r="G566" s="393"/>
      <c r="H566" s="393"/>
      <c r="I566" s="391"/>
      <c r="J566" s="391"/>
      <c r="K566" s="391"/>
      <c r="L566" s="391"/>
    </row>
    <row r="567" spans="1:12" ht="15.75" x14ac:dyDescent="0.25">
      <c r="A567" s="389" t="s">
        <v>356</v>
      </c>
      <c r="B567" s="389"/>
      <c r="C567" s="389"/>
      <c r="D567" s="389"/>
      <c r="E567" s="389"/>
      <c r="F567" s="390"/>
      <c r="G567" s="391"/>
      <c r="H567" s="391"/>
      <c r="I567" s="391"/>
      <c r="J567" s="391"/>
      <c r="K567" s="391"/>
      <c r="L567" s="391"/>
    </row>
    <row r="568" spans="1:12" ht="15.75" x14ac:dyDescent="0.25">
      <c r="A568" s="394" t="s">
        <v>457</v>
      </c>
      <c r="B568" s="395" t="s">
        <v>1007</v>
      </c>
      <c r="C568" s="396"/>
      <c r="D568" s="437">
        <v>2019</v>
      </c>
      <c r="E568" s="389"/>
      <c r="F568" s="390"/>
      <c r="G568" s="391"/>
      <c r="H568" s="397"/>
      <c r="I568" s="397"/>
      <c r="J568" s="397"/>
      <c r="K568" s="397"/>
      <c r="L568" s="397"/>
    </row>
    <row r="569" spans="1:12" ht="15.75" x14ac:dyDescent="0.25">
      <c r="A569" s="392"/>
      <c r="B569" s="392"/>
      <c r="C569" s="389"/>
      <c r="D569" s="389"/>
      <c r="E569" s="389"/>
      <c r="F569" s="390"/>
      <c r="G569" s="391"/>
      <c r="H569" s="391"/>
      <c r="I569" s="391"/>
      <c r="J569" s="391"/>
      <c r="K569" s="391"/>
      <c r="L569" s="391"/>
    </row>
    <row r="570" spans="1:12" ht="15.75" x14ac:dyDescent="0.25">
      <c r="A570" s="392"/>
      <c r="B570" s="392"/>
      <c r="C570" s="389"/>
      <c r="D570" s="389"/>
      <c r="E570" s="389"/>
      <c r="F570" s="390"/>
      <c r="G570" s="391"/>
      <c r="H570" s="391"/>
      <c r="I570" s="391"/>
      <c r="J570" s="391"/>
      <c r="K570" s="391"/>
      <c r="L570" s="391"/>
    </row>
    <row r="571" spans="1:12" ht="15.75" x14ac:dyDescent="0.25">
      <c r="A571" s="392"/>
      <c r="B571" s="392"/>
      <c r="C571" s="389"/>
      <c r="D571" s="389"/>
      <c r="E571" s="389"/>
      <c r="F571" s="390"/>
      <c r="G571" s="398" t="s">
        <v>94</v>
      </c>
      <c r="H571" s="398" t="s">
        <v>94</v>
      </c>
      <c r="I571" s="398" t="s">
        <v>641</v>
      </c>
      <c r="J571" s="398" t="s">
        <v>642</v>
      </c>
      <c r="K571" s="398" t="s">
        <v>94</v>
      </c>
      <c r="L571" s="398" t="s">
        <v>257</v>
      </c>
    </row>
    <row r="572" spans="1:12" ht="16.5" thickBot="1" x14ac:dyDescent="0.3">
      <c r="A572" s="399" t="s">
        <v>137</v>
      </c>
      <c r="B572" s="399"/>
      <c r="C572" s="399" t="s">
        <v>643</v>
      </c>
      <c r="D572" s="399"/>
      <c r="E572" s="399" t="s">
        <v>644</v>
      </c>
      <c r="F572" s="400" t="s">
        <v>140</v>
      </c>
      <c r="G572" s="401" t="s">
        <v>327</v>
      </c>
      <c r="H572" s="430" t="s">
        <v>645</v>
      </c>
      <c r="I572" s="401" t="s">
        <v>646</v>
      </c>
      <c r="J572" s="401" t="s">
        <v>647</v>
      </c>
      <c r="K572" s="401" t="s">
        <v>326</v>
      </c>
      <c r="L572" s="401" t="s">
        <v>94</v>
      </c>
    </row>
    <row r="573" spans="1:12" ht="16.5" thickTop="1" x14ac:dyDescent="0.25">
      <c r="A573" s="431"/>
      <c r="B573" s="402"/>
      <c r="C573" s="403"/>
      <c r="D573" s="403"/>
      <c r="E573" s="403"/>
      <c r="F573" s="404"/>
      <c r="G573" s="404"/>
      <c r="H573" s="405"/>
      <c r="I573" s="405"/>
      <c r="J573" s="405"/>
      <c r="K573" s="405"/>
      <c r="L573" s="406"/>
    </row>
    <row r="574" spans="1:12" ht="15.75" x14ac:dyDescent="0.25">
      <c r="A574" s="407"/>
      <c r="B574" s="408"/>
      <c r="C574" s="409"/>
      <c r="D574" s="408"/>
      <c r="E574" s="409"/>
      <c r="F574" s="411">
        <v>0</v>
      </c>
      <c r="G574" s="411">
        <v>0</v>
      </c>
      <c r="H574" s="413"/>
      <c r="I574" s="405"/>
      <c r="J574" s="405"/>
      <c r="K574" s="413">
        <v>0</v>
      </c>
      <c r="L574" s="412"/>
    </row>
    <row r="575" spans="1:12" ht="15.75" x14ac:dyDescent="0.25">
      <c r="A575" s="407">
        <v>43784</v>
      </c>
      <c r="B575" s="408"/>
      <c r="C575" s="409" t="s">
        <v>1005</v>
      </c>
      <c r="D575" s="408"/>
      <c r="E575" s="410" t="str">
        <f t="shared" ref="E575:E582" si="19">C575</f>
        <v>2033</v>
      </c>
      <c r="F575" s="411">
        <v>0</v>
      </c>
      <c r="G575" s="411">
        <v>0</v>
      </c>
      <c r="H575" s="413">
        <v>26.24</v>
      </c>
      <c r="I575" s="405"/>
      <c r="J575" s="405"/>
      <c r="K575" s="413">
        <v>0</v>
      </c>
      <c r="L575" s="412"/>
    </row>
    <row r="576" spans="1:12" ht="15.75" x14ac:dyDescent="0.25">
      <c r="A576" s="407">
        <v>43784</v>
      </c>
      <c r="B576" s="408"/>
      <c r="C576" s="409" t="s">
        <v>1006</v>
      </c>
      <c r="D576" s="408"/>
      <c r="E576" s="410" t="str">
        <f t="shared" si="19"/>
        <v>2034</v>
      </c>
      <c r="F576" s="411">
        <v>0</v>
      </c>
      <c r="G576" s="436">
        <v>0</v>
      </c>
      <c r="H576" s="413">
        <v>13.02</v>
      </c>
      <c r="I576" s="405"/>
      <c r="J576" s="405"/>
      <c r="K576" s="413">
        <v>0</v>
      </c>
      <c r="L576" s="412"/>
    </row>
    <row r="577" spans="1:12" ht="15.75" x14ac:dyDescent="0.25">
      <c r="A577" s="407"/>
      <c r="B577" s="408"/>
      <c r="C577" s="409"/>
      <c r="D577" s="408"/>
      <c r="E577" s="410">
        <f t="shared" si="19"/>
        <v>0</v>
      </c>
      <c r="F577" s="411">
        <v>0</v>
      </c>
      <c r="G577" s="411">
        <v>0</v>
      </c>
      <c r="H577" s="413">
        <v>0</v>
      </c>
      <c r="I577" s="405"/>
      <c r="J577" s="405"/>
      <c r="K577" s="413">
        <v>0</v>
      </c>
      <c r="L577" s="406"/>
    </row>
    <row r="578" spans="1:12" ht="15.75" x14ac:dyDescent="0.25">
      <c r="A578" s="407"/>
      <c r="B578" s="408"/>
      <c r="C578" s="409"/>
      <c r="D578" s="408"/>
      <c r="E578" s="410">
        <f t="shared" si="19"/>
        <v>0</v>
      </c>
      <c r="F578" s="411">
        <v>0</v>
      </c>
      <c r="G578" s="411">
        <v>0</v>
      </c>
      <c r="H578" s="413">
        <v>0</v>
      </c>
      <c r="I578" s="405"/>
      <c r="J578" s="405"/>
      <c r="K578" s="413">
        <v>0</v>
      </c>
      <c r="L578" s="412"/>
    </row>
    <row r="579" spans="1:12" ht="15.75" x14ac:dyDescent="0.25">
      <c r="A579" s="407"/>
      <c r="B579" s="408"/>
      <c r="C579" s="409"/>
      <c r="D579" s="414"/>
      <c r="E579" s="410">
        <f t="shared" si="19"/>
        <v>0</v>
      </c>
      <c r="F579" s="411">
        <v>0</v>
      </c>
      <c r="G579" s="411">
        <v>0</v>
      </c>
      <c r="H579" s="413">
        <v>0</v>
      </c>
      <c r="I579" s="405"/>
      <c r="J579" s="405"/>
      <c r="K579" s="413">
        <v>0</v>
      </c>
      <c r="L579" s="406"/>
    </row>
    <row r="580" spans="1:12" ht="15.75" x14ac:dyDescent="0.25">
      <c r="A580" s="407"/>
      <c r="B580" s="408"/>
      <c r="C580" s="409"/>
      <c r="D580" s="414"/>
      <c r="E580" s="410">
        <f t="shared" si="19"/>
        <v>0</v>
      </c>
      <c r="F580" s="411">
        <v>0</v>
      </c>
      <c r="G580" s="411">
        <v>0</v>
      </c>
      <c r="H580" s="413">
        <v>0</v>
      </c>
      <c r="I580" s="405"/>
      <c r="J580" s="405"/>
      <c r="K580" s="413">
        <v>0</v>
      </c>
      <c r="L580" s="406"/>
    </row>
    <row r="581" spans="1:12" ht="15.75" x14ac:dyDescent="0.25">
      <c r="A581" s="407"/>
      <c r="B581" s="408"/>
      <c r="C581" s="409"/>
      <c r="D581" s="414"/>
      <c r="E581" s="410">
        <f t="shared" si="19"/>
        <v>0</v>
      </c>
      <c r="F581" s="411">
        <v>0</v>
      </c>
      <c r="G581" s="411">
        <v>0</v>
      </c>
      <c r="H581" s="413">
        <v>0</v>
      </c>
      <c r="I581" s="405"/>
      <c r="J581" s="405"/>
      <c r="K581" s="413">
        <v>0</v>
      </c>
      <c r="L581" s="406"/>
    </row>
    <row r="582" spans="1:12" ht="15.75" x14ac:dyDescent="0.25">
      <c r="A582" s="407"/>
      <c r="B582" s="408"/>
      <c r="C582" s="409"/>
      <c r="D582" s="414"/>
      <c r="E582" s="410">
        <f t="shared" si="19"/>
        <v>0</v>
      </c>
      <c r="F582" s="411">
        <v>0</v>
      </c>
      <c r="G582" s="411">
        <v>0</v>
      </c>
      <c r="H582" s="413">
        <v>0</v>
      </c>
      <c r="I582" s="405"/>
      <c r="J582" s="405"/>
      <c r="K582" s="413">
        <v>0</v>
      </c>
      <c r="L582" s="406"/>
    </row>
    <row r="583" spans="1:12" ht="15.75" x14ac:dyDescent="0.25">
      <c r="A583" s="407"/>
      <c r="B583" s="408"/>
      <c r="C583" s="409"/>
      <c r="D583" s="414"/>
      <c r="E583" s="410"/>
      <c r="F583" s="411"/>
      <c r="G583" s="284"/>
      <c r="H583" s="413"/>
      <c r="I583" s="405"/>
      <c r="J583" s="405"/>
      <c r="K583" s="405"/>
      <c r="L583" s="406"/>
    </row>
    <row r="584" spans="1:12" ht="15.75" x14ac:dyDescent="0.25">
      <c r="A584" s="285"/>
      <c r="B584" s="286"/>
      <c r="C584" s="292"/>
      <c r="D584" s="415"/>
      <c r="E584" s="410"/>
      <c r="F584" s="390"/>
      <c r="G584" s="284"/>
      <c r="H584" s="405"/>
      <c r="I584" s="405"/>
      <c r="J584" s="405"/>
      <c r="K584" s="405"/>
      <c r="L584" s="406"/>
    </row>
    <row r="585" spans="1:12" ht="16.5" thickBot="1" x14ac:dyDescent="0.3">
      <c r="A585" s="416"/>
      <c r="B585" s="416"/>
      <c r="C585" s="417"/>
      <c r="D585" s="417"/>
      <c r="E585" s="417"/>
      <c r="F585" s="400"/>
      <c r="G585" s="400"/>
      <c r="H585" s="418"/>
      <c r="I585" s="418"/>
      <c r="J585" s="418"/>
      <c r="K585" s="418"/>
      <c r="L585" s="419"/>
    </row>
    <row r="586" spans="1:12" ht="16.5" thickTop="1" x14ac:dyDescent="0.25">
      <c r="A586" s="420"/>
      <c r="B586" s="420"/>
      <c r="C586" s="415"/>
      <c r="D586" s="415"/>
      <c r="E586" s="415"/>
      <c r="F586" s="412">
        <f>SUM(F573:F585)</f>
        <v>0</v>
      </c>
      <c r="G586" s="412">
        <f t="shared" ref="G586:L586" si="20">SUM(G573:G585)</f>
        <v>0</v>
      </c>
      <c r="H586" s="412">
        <f>SUM(H573:H585)</f>
        <v>39.26</v>
      </c>
      <c r="I586" s="412">
        <f t="shared" si="20"/>
        <v>0</v>
      </c>
      <c r="J586" s="412">
        <f t="shared" si="20"/>
        <v>0</v>
      </c>
      <c r="K586" s="412">
        <f t="shared" si="20"/>
        <v>0</v>
      </c>
      <c r="L586" s="412">
        <f t="shared" si="20"/>
        <v>0</v>
      </c>
    </row>
    <row r="587" spans="1:12" ht="15.75" x14ac:dyDescent="0.25">
      <c r="A587" s="420"/>
      <c r="B587" s="420"/>
      <c r="C587" s="415"/>
      <c r="D587" s="415"/>
      <c r="E587" s="415"/>
      <c r="F587" s="390"/>
      <c r="G587" s="412"/>
      <c r="H587" s="412"/>
      <c r="I587" s="412"/>
      <c r="J587" s="412"/>
      <c r="K587" s="412"/>
      <c r="L587" s="412"/>
    </row>
    <row r="588" spans="1:12" ht="15.75" x14ac:dyDescent="0.25">
      <c r="A588" s="420"/>
      <c r="B588" s="420"/>
      <c r="C588" s="415" t="s">
        <v>653</v>
      </c>
      <c r="D588" s="415"/>
      <c r="E588" s="415"/>
      <c r="F588" s="390"/>
      <c r="G588" s="412"/>
      <c r="H588" s="412">
        <f>+F586</f>
        <v>0</v>
      </c>
      <c r="I588" s="412"/>
      <c r="J588" s="412"/>
      <c r="K588" s="412"/>
      <c r="L588" s="412"/>
    </row>
    <row r="589" spans="1:12" ht="15.75" x14ac:dyDescent="0.25">
      <c r="A589" s="420"/>
      <c r="B589" s="420"/>
      <c r="C589" s="415"/>
      <c r="D589" s="415"/>
      <c r="E589" s="415"/>
      <c r="F589" s="390"/>
      <c r="G589" s="412"/>
      <c r="H589" s="412"/>
      <c r="I589" s="412"/>
      <c r="J589" s="412"/>
      <c r="K589" s="412"/>
      <c r="L589" s="412"/>
    </row>
    <row r="590" spans="1:12" ht="15.75" x14ac:dyDescent="0.25">
      <c r="A590" s="420"/>
      <c r="B590" s="420"/>
      <c r="C590" s="415" t="s">
        <v>654</v>
      </c>
      <c r="D590" s="415"/>
      <c r="E590" s="415"/>
      <c r="F590" s="390"/>
      <c r="G590" s="412"/>
      <c r="H590" s="412">
        <f>+G586</f>
        <v>0</v>
      </c>
      <c r="I590" s="412"/>
      <c r="J590" s="412"/>
      <c r="K590" s="412"/>
      <c r="L590" s="412"/>
    </row>
    <row r="591" spans="1:12" ht="15.75" x14ac:dyDescent="0.25">
      <c r="A591" s="420"/>
      <c r="B591" s="420"/>
      <c r="C591" s="415"/>
      <c r="D591" s="415"/>
      <c r="E591" s="415"/>
      <c r="F591" s="390"/>
      <c r="G591" s="412"/>
      <c r="H591" s="412"/>
      <c r="I591" s="412"/>
      <c r="J591" s="412"/>
      <c r="K591" s="412"/>
      <c r="L591" s="412"/>
    </row>
    <row r="592" spans="1:12" ht="15.75" x14ac:dyDescent="0.25">
      <c r="A592" s="420"/>
      <c r="B592" s="420"/>
      <c r="C592" s="415"/>
      <c r="D592" s="415"/>
      <c r="E592" s="415"/>
      <c r="F592" s="390"/>
      <c r="G592" s="421"/>
      <c r="H592" s="391"/>
      <c r="I592" s="391"/>
      <c r="J592" s="391"/>
      <c r="K592" s="391"/>
      <c r="L592" s="391"/>
    </row>
    <row r="593" spans="1:12" ht="15.75" x14ac:dyDescent="0.25">
      <c r="A593" s="420"/>
      <c r="B593" s="420"/>
      <c r="C593" s="415" t="s">
        <v>590</v>
      </c>
      <c r="D593" s="415"/>
      <c r="E593" s="415"/>
      <c r="F593" s="390"/>
      <c r="G593" s="391"/>
      <c r="H593" s="393"/>
      <c r="I593" s="393"/>
      <c r="J593" s="393"/>
      <c r="K593" s="393"/>
      <c r="L593" s="391"/>
    </row>
    <row r="594" spans="1:12" ht="18" x14ac:dyDescent="0.25">
      <c r="A594" s="420"/>
      <c r="B594" s="420"/>
      <c r="C594" s="415" t="s">
        <v>141</v>
      </c>
      <c r="D594" s="415"/>
      <c r="E594" s="415"/>
      <c r="F594" s="390"/>
      <c r="G594" s="391"/>
      <c r="H594" s="442">
        <f>ROUND(H586/1.13,2)</f>
        <v>34.74</v>
      </c>
      <c r="I594" s="412"/>
      <c r="J594" s="412"/>
      <c r="K594" s="412"/>
      <c r="L594" s="422"/>
    </row>
    <row r="595" spans="1:12" ht="15.75" x14ac:dyDescent="0.25">
      <c r="A595" s="420"/>
      <c r="B595" s="420"/>
      <c r="C595" s="415" t="s">
        <v>591</v>
      </c>
      <c r="D595" s="415"/>
      <c r="E595" s="415"/>
      <c r="F595" s="390"/>
      <c r="G595" s="391"/>
      <c r="H595" s="435">
        <f>(H594*0.13)</f>
        <v>4.5162000000000004</v>
      </c>
      <c r="I595" s="423"/>
      <c r="J595" s="423"/>
      <c r="K595" s="423"/>
      <c r="L595" s="422"/>
    </row>
    <row r="596" spans="1:12" ht="16.5" thickBot="1" x14ac:dyDescent="0.3">
      <c r="A596" s="420"/>
      <c r="B596" s="420"/>
      <c r="C596" s="415"/>
      <c r="D596" s="415"/>
      <c r="E596" s="415"/>
      <c r="F596" s="390"/>
      <c r="G596" s="391"/>
      <c r="H596" s="424"/>
      <c r="I596" s="425"/>
      <c r="J596" s="425"/>
      <c r="K596" s="425"/>
      <c r="L596" s="422"/>
    </row>
    <row r="597" spans="1:12" ht="16.5" thickTop="1" x14ac:dyDescent="0.25">
      <c r="A597" s="420"/>
      <c r="B597" s="420"/>
      <c r="C597" s="415" t="s">
        <v>592</v>
      </c>
      <c r="D597" s="415"/>
      <c r="E597" s="415"/>
      <c r="F597" s="390"/>
      <c r="G597" s="391"/>
      <c r="H597" s="406">
        <f>SUM(H594:H596)</f>
        <v>39.2562</v>
      </c>
      <c r="I597" s="406"/>
      <c r="J597" s="406"/>
      <c r="K597" s="406"/>
      <c r="L597" s="391"/>
    </row>
    <row r="598" spans="1:12" ht="16.5" thickBot="1" x14ac:dyDescent="0.3">
      <c r="A598" s="420"/>
      <c r="B598" s="420"/>
      <c r="C598" s="415"/>
      <c r="D598" s="415"/>
      <c r="E598" s="415"/>
      <c r="F598" s="390"/>
      <c r="G598" s="391"/>
      <c r="H598" s="424"/>
      <c r="I598" s="425"/>
      <c r="J598" s="425"/>
      <c r="K598" s="425"/>
      <c r="L598" s="391"/>
    </row>
    <row r="599" spans="1:12" ht="16.5" thickTop="1" x14ac:dyDescent="0.25">
      <c r="A599" s="420"/>
      <c r="B599" s="420"/>
      <c r="C599" s="415"/>
      <c r="D599" s="415"/>
      <c r="E599" s="415"/>
      <c r="F599" s="390"/>
      <c r="G599" s="391"/>
      <c r="H599" s="426"/>
      <c r="I599" s="426"/>
      <c r="J599" s="426"/>
      <c r="K599" s="426"/>
      <c r="L599" s="391"/>
    </row>
    <row r="600" spans="1:12" ht="15.75" x14ac:dyDescent="0.25">
      <c r="A600" s="420"/>
      <c r="B600" s="420"/>
      <c r="C600" s="415"/>
      <c r="D600" s="415"/>
      <c r="E600" s="415"/>
      <c r="F600" s="390"/>
      <c r="G600" s="391"/>
      <c r="H600" s="398"/>
      <c r="I600" s="398"/>
      <c r="J600" s="398"/>
      <c r="K600" s="398"/>
      <c r="L600" s="391"/>
    </row>
    <row r="601" spans="1:12" ht="15.75" x14ac:dyDescent="0.25">
      <c r="A601" s="420"/>
      <c r="B601" s="420"/>
      <c r="C601" s="415"/>
      <c r="D601" s="415"/>
      <c r="E601" s="415"/>
      <c r="F601" s="434"/>
      <c r="G601" s="391" t="s">
        <v>655</v>
      </c>
      <c r="H601" s="398">
        <v>-4.5199999999999996</v>
      </c>
      <c r="I601" s="398"/>
      <c r="J601" s="398"/>
      <c r="K601" s="398"/>
      <c r="L601" s="391"/>
    </row>
    <row r="602" spans="1:12" ht="15.75" x14ac:dyDescent="0.25">
      <c r="A602" s="420"/>
      <c r="B602" s="420"/>
      <c r="C602" s="415"/>
      <c r="D602" s="415"/>
      <c r="E602" s="415"/>
      <c r="F602" s="390"/>
      <c r="G602" s="432" t="s">
        <v>656</v>
      </c>
      <c r="H602" s="433">
        <f>+H595+H601</f>
        <v>-3.7999999999991374E-3</v>
      </c>
      <c r="I602" s="398"/>
      <c r="J602" s="398"/>
      <c r="K602" s="398"/>
      <c r="L602" s="391"/>
    </row>
    <row r="606" spans="1:12" ht="20.25" x14ac:dyDescent="0.3">
      <c r="A606" s="387" t="s">
        <v>640</v>
      </c>
      <c r="B606" s="388"/>
      <c r="C606" s="389"/>
      <c r="D606" s="389"/>
      <c r="E606" s="389"/>
      <c r="F606" s="390"/>
      <c r="G606" s="391"/>
      <c r="H606" s="391"/>
      <c r="I606" s="391"/>
      <c r="J606" s="391"/>
      <c r="K606" s="391"/>
      <c r="L606" s="391"/>
    </row>
    <row r="607" spans="1:12" ht="15.75" x14ac:dyDescent="0.25">
      <c r="A607" s="389" t="s">
        <v>252</v>
      </c>
      <c r="B607" s="389"/>
      <c r="C607" s="389"/>
      <c r="D607" s="389"/>
      <c r="E607" s="389"/>
      <c r="F607" s="390"/>
      <c r="G607" s="391"/>
      <c r="H607" s="391"/>
      <c r="I607" s="391"/>
      <c r="J607" s="391"/>
      <c r="K607" s="391"/>
      <c r="L607" s="391"/>
    </row>
    <row r="608" spans="1:12" ht="15.75" x14ac:dyDescent="0.25">
      <c r="A608" s="388" t="s">
        <v>253</v>
      </c>
      <c r="B608" s="389"/>
      <c r="C608" s="389"/>
      <c r="D608" s="389"/>
      <c r="E608" s="389"/>
      <c r="F608" s="390"/>
      <c r="G608" s="393"/>
      <c r="H608" s="393"/>
      <c r="I608" s="391"/>
      <c r="J608" s="391"/>
      <c r="K608" s="391"/>
      <c r="L608" s="391"/>
    </row>
    <row r="609" spans="1:12" ht="15.75" x14ac:dyDescent="0.25">
      <c r="A609" s="389" t="s">
        <v>356</v>
      </c>
      <c r="B609" s="389"/>
      <c r="C609" s="389"/>
      <c r="D609" s="389"/>
      <c r="E609" s="389"/>
      <c r="F609" s="390"/>
      <c r="G609" s="391"/>
      <c r="H609" s="391"/>
      <c r="I609" s="391"/>
      <c r="J609" s="391"/>
      <c r="K609" s="391"/>
      <c r="L609" s="391"/>
    </row>
    <row r="610" spans="1:12" ht="15.75" x14ac:dyDescent="0.25">
      <c r="A610" s="394" t="s">
        <v>457</v>
      </c>
      <c r="B610" s="395" t="s">
        <v>681</v>
      </c>
      <c r="C610" s="396"/>
      <c r="D610" s="437">
        <v>2019</v>
      </c>
      <c r="E610" s="389"/>
      <c r="F610" s="390"/>
      <c r="G610" s="391"/>
      <c r="H610" s="397"/>
      <c r="I610" s="397"/>
      <c r="J610" s="397"/>
      <c r="K610" s="397"/>
      <c r="L610" s="397"/>
    </row>
    <row r="611" spans="1:12" ht="15.75" x14ac:dyDescent="0.25">
      <c r="A611" s="392"/>
      <c r="B611" s="392"/>
      <c r="C611" s="389"/>
      <c r="D611" s="389"/>
      <c r="E611" s="389"/>
      <c r="F611" s="390"/>
      <c r="G611" s="391"/>
      <c r="H611" s="391"/>
      <c r="I611" s="391"/>
      <c r="J611" s="391"/>
      <c r="K611" s="391"/>
      <c r="L611" s="391"/>
    </row>
    <row r="612" spans="1:12" ht="15.75" x14ac:dyDescent="0.25">
      <c r="A612" s="392"/>
      <c r="B612" s="392"/>
      <c r="C612" s="389"/>
      <c r="D612" s="389"/>
      <c r="E612" s="389"/>
      <c r="F612" s="390"/>
      <c r="G612" s="391"/>
      <c r="H612" s="391"/>
      <c r="I612" s="391"/>
      <c r="J612" s="391"/>
      <c r="K612" s="391"/>
      <c r="L612" s="391"/>
    </row>
    <row r="613" spans="1:12" ht="15.75" x14ac:dyDescent="0.25">
      <c r="A613" s="392"/>
      <c r="B613" s="392"/>
      <c r="C613" s="389"/>
      <c r="D613" s="389"/>
      <c r="E613" s="389"/>
      <c r="F613" s="390"/>
      <c r="G613" s="398" t="s">
        <v>94</v>
      </c>
      <c r="H613" s="398" t="s">
        <v>94</v>
      </c>
      <c r="I613" s="398" t="s">
        <v>641</v>
      </c>
      <c r="J613" s="398" t="s">
        <v>642</v>
      </c>
      <c r="K613" s="398" t="s">
        <v>94</v>
      </c>
      <c r="L613" s="398" t="s">
        <v>257</v>
      </c>
    </row>
    <row r="614" spans="1:12" ht="16.5" thickBot="1" x14ac:dyDescent="0.3">
      <c r="A614" s="399" t="s">
        <v>137</v>
      </c>
      <c r="B614" s="399"/>
      <c r="C614" s="399" t="s">
        <v>643</v>
      </c>
      <c r="D614" s="399"/>
      <c r="E614" s="399" t="s">
        <v>644</v>
      </c>
      <c r="F614" s="400" t="s">
        <v>140</v>
      </c>
      <c r="G614" s="401" t="s">
        <v>327</v>
      </c>
      <c r="H614" s="430" t="s">
        <v>645</v>
      </c>
      <c r="I614" s="401" t="s">
        <v>646</v>
      </c>
      <c r="J614" s="401" t="s">
        <v>647</v>
      </c>
      <c r="K614" s="401" t="s">
        <v>326</v>
      </c>
      <c r="L614" s="401" t="s">
        <v>94</v>
      </c>
    </row>
    <row r="615" spans="1:12" ht="16.5" thickTop="1" x14ac:dyDescent="0.25">
      <c r="A615" s="431"/>
      <c r="B615" s="402"/>
      <c r="C615" s="403"/>
      <c r="D615" s="403"/>
      <c r="E615" s="403"/>
      <c r="F615" s="404"/>
      <c r="G615" s="404"/>
      <c r="H615" s="405"/>
      <c r="I615" s="405"/>
      <c r="J615" s="405"/>
      <c r="K615" s="405"/>
      <c r="L615" s="406"/>
    </row>
    <row r="616" spans="1:12" ht="15.75" x14ac:dyDescent="0.25">
      <c r="A616" s="407" t="s">
        <v>1014</v>
      </c>
      <c r="B616" s="408"/>
      <c r="C616" s="409" t="s">
        <v>1024</v>
      </c>
      <c r="D616" s="408"/>
      <c r="E616" s="409" t="s">
        <v>1024</v>
      </c>
      <c r="F616" s="411">
        <v>0</v>
      </c>
      <c r="G616" s="411">
        <v>0</v>
      </c>
      <c r="H616" s="413">
        <v>2.09</v>
      </c>
      <c r="I616" s="405"/>
      <c r="J616" s="405"/>
      <c r="K616" s="413">
        <v>0</v>
      </c>
      <c r="L616" s="412"/>
    </row>
    <row r="617" spans="1:12" ht="15.75" x14ac:dyDescent="0.25">
      <c r="A617" s="407" t="s">
        <v>1014</v>
      </c>
      <c r="B617" s="408"/>
      <c r="C617" s="447" t="s">
        <v>1025</v>
      </c>
      <c r="D617" s="408"/>
      <c r="E617" s="410">
        <v>2036</v>
      </c>
      <c r="F617" s="411">
        <v>0</v>
      </c>
      <c r="G617" s="411">
        <v>0</v>
      </c>
      <c r="H617" s="413">
        <v>13.24</v>
      </c>
      <c r="I617" s="405"/>
      <c r="J617" s="405"/>
      <c r="K617" s="413">
        <v>0</v>
      </c>
      <c r="L617" s="412"/>
    </row>
    <row r="618" spans="1:12" ht="15.75" x14ac:dyDescent="0.25">
      <c r="A618" s="407">
        <v>43830</v>
      </c>
      <c r="B618" s="408"/>
      <c r="C618" s="447" t="s">
        <v>1026</v>
      </c>
      <c r="D618" s="408"/>
      <c r="E618" s="410">
        <v>2027</v>
      </c>
      <c r="F618" s="411">
        <v>0</v>
      </c>
      <c r="G618" s="436">
        <v>13.79</v>
      </c>
      <c r="H618" s="413">
        <v>0</v>
      </c>
      <c r="I618" s="405"/>
      <c r="J618" s="405"/>
      <c r="K618" s="413">
        <v>0</v>
      </c>
      <c r="L618" s="412"/>
    </row>
    <row r="619" spans="1:12" ht="15.75" x14ac:dyDescent="0.25">
      <c r="A619" s="407">
        <v>43830</v>
      </c>
      <c r="B619" s="408"/>
      <c r="C619" s="447" t="s">
        <v>1027</v>
      </c>
      <c r="D619" s="408"/>
      <c r="E619" s="410" t="str">
        <f t="shared" ref="E619:E624" si="21">C619</f>
        <v>2028</v>
      </c>
      <c r="F619" s="411">
        <v>0</v>
      </c>
      <c r="G619" s="411">
        <v>457.67</v>
      </c>
      <c r="H619" s="413">
        <v>0</v>
      </c>
      <c r="I619" s="405"/>
      <c r="J619" s="405"/>
      <c r="K619" s="413">
        <v>0</v>
      </c>
      <c r="L619" s="406"/>
    </row>
    <row r="620" spans="1:12" ht="15.75" x14ac:dyDescent="0.25">
      <c r="A620" s="407">
        <v>43830</v>
      </c>
      <c r="B620" s="408"/>
      <c r="C620" s="447" t="s">
        <v>1028</v>
      </c>
      <c r="D620" s="408"/>
      <c r="E620" s="410" t="str">
        <f t="shared" si="21"/>
        <v>2029</v>
      </c>
      <c r="F620" s="411">
        <v>0</v>
      </c>
      <c r="G620" s="411">
        <v>7745.18</v>
      </c>
      <c r="H620" s="413">
        <v>0</v>
      </c>
      <c r="I620" s="405"/>
      <c r="J620" s="405"/>
      <c r="K620" s="413">
        <v>0</v>
      </c>
      <c r="L620" s="412"/>
    </row>
    <row r="621" spans="1:12" ht="15.75" x14ac:dyDescent="0.25">
      <c r="A621" s="407">
        <v>43830</v>
      </c>
      <c r="B621" s="408"/>
      <c r="C621" s="447" t="s">
        <v>704</v>
      </c>
      <c r="D621" s="414"/>
      <c r="E621" s="410" t="str">
        <f t="shared" si="21"/>
        <v>2030</v>
      </c>
      <c r="F621" s="411">
        <v>0</v>
      </c>
      <c r="G621" s="411">
        <v>22.82</v>
      </c>
      <c r="H621" s="413">
        <v>0</v>
      </c>
      <c r="I621" s="405"/>
      <c r="J621" s="405"/>
      <c r="K621" s="413">
        <v>0</v>
      </c>
      <c r="L621" s="406"/>
    </row>
    <row r="622" spans="1:12" ht="15.75" x14ac:dyDescent="0.25">
      <c r="A622" s="407"/>
      <c r="B622" s="408"/>
      <c r="C622" s="409"/>
      <c r="D622" s="414"/>
      <c r="E622" s="410">
        <f t="shared" si="21"/>
        <v>0</v>
      </c>
      <c r="F622" s="411">
        <v>0</v>
      </c>
      <c r="G622" s="411">
        <v>0</v>
      </c>
      <c r="H622" s="413">
        <v>0</v>
      </c>
      <c r="I622" s="405"/>
      <c r="J622" s="405"/>
      <c r="K622" s="413">
        <v>0</v>
      </c>
      <c r="L622" s="406"/>
    </row>
    <row r="623" spans="1:12" ht="15.75" x14ac:dyDescent="0.25">
      <c r="A623" s="407"/>
      <c r="B623" s="408"/>
      <c r="C623" s="409"/>
      <c r="D623" s="414"/>
      <c r="E623" s="410">
        <f t="shared" si="21"/>
        <v>0</v>
      </c>
      <c r="F623" s="411">
        <v>0</v>
      </c>
      <c r="G623" s="411">
        <v>0</v>
      </c>
      <c r="H623" s="413">
        <v>0</v>
      </c>
      <c r="I623" s="405"/>
      <c r="J623" s="405"/>
      <c r="K623" s="413">
        <v>0</v>
      </c>
      <c r="L623" s="406"/>
    </row>
    <row r="624" spans="1:12" ht="15.75" x14ac:dyDescent="0.25">
      <c r="A624" s="407"/>
      <c r="B624" s="408"/>
      <c r="C624" s="409"/>
      <c r="D624" s="414"/>
      <c r="E624" s="410">
        <f t="shared" si="21"/>
        <v>0</v>
      </c>
      <c r="F624" s="411">
        <v>0</v>
      </c>
      <c r="G624" s="411">
        <v>0</v>
      </c>
      <c r="H624" s="413">
        <v>0</v>
      </c>
      <c r="I624" s="405"/>
      <c r="J624" s="405"/>
      <c r="K624" s="413">
        <v>0</v>
      </c>
      <c r="L624" s="406"/>
    </row>
    <row r="625" spans="1:12" ht="15.75" x14ac:dyDescent="0.25">
      <c r="A625" s="407"/>
      <c r="B625" s="408"/>
      <c r="C625" s="409"/>
      <c r="D625" s="414"/>
      <c r="E625" s="410"/>
      <c r="F625" s="411"/>
      <c r="G625" s="284"/>
      <c r="H625" s="413"/>
      <c r="I625" s="405"/>
      <c r="J625" s="405"/>
      <c r="K625" s="405"/>
      <c r="L625" s="406"/>
    </row>
    <row r="626" spans="1:12" ht="15.75" x14ac:dyDescent="0.25">
      <c r="A626" s="407"/>
      <c r="B626" s="408"/>
      <c r="C626" s="409"/>
      <c r="D626" s="414"/>
      <c r="E626" s="410"/>
      <c r="F626" s="411"/>
      <c r="G626" s="284"/>
      <c r="H626" s="413"/>
      <c r="I626" s="405"/>
      <c r="J626" s="405"/>
      <c r="K626" s="405"/>
      <c r="L626" s="406"/>
    </row>
    <row r="627" spans="1:12" ht="15.75" x14ac:dyDescent="0.25">
      <c r="A627" s="407"/>
      <c r="B627" s="408"/>
      <c r="C627" s="409"/>
      <c r="D627" s="414"/>
      <c r="E627" s="410"/>
      <c r="F627" s="411"/>
      <c r="G627" s="284"/>
      <c r="H627" s="413"/>
      <c r="I627" s="405"/>
      <c r="J627" s="405"/>
      <c r="K627" s="405"/>
      <c r="L627" s="406"/>
    </row>
    <row r="628" spans="1:12" ht="15.75" x14ac:dyDescent="0.25">
      <c r="A628" s="407"/>
      <c r="B628" s="408"/>
      <c r="C628" s="409"/>
      <c r="D628" s="414"/>
      <c r="E628" s="410"/>
      <c r="F628" s="411"/>
      <c r="G628" s="284"/>
      <c r="H628" s="282"/>
      <c r="I628" s="405"/>
      <c r="J628" s="405"/>
      <c r="K628" s="405"/>
      <c r="L628" s="406"/>
    </row>
    <row r="629" spans="1:12" ht="15.75" x14ac:dyDescent="0.25">
      <c r="A629" s="407"/>
      <c r="B629" s="408"/>
      <c r="C629" s="409"/>
      <c r="D629" s="414"/>
      <c r="E629" s="410"/>
      <c r="F629" s="411"/>
      <c r="G629" s="284"/>
      <c r="H629" s="282"/>
      <c r="I629" s="405"/>
      <c r="J629" s="405"/>
      <c r="K629" s="405"/>
      <c r="L629" s="406"/>
    </row>
    <row r="630" spans="1:12" ht="15.75" x14ac:dyDescent="0.25">
      <c r="A630" s="285"/>
      <c r="B630" s="286"/>
      <c r="C630" s="409"/>
      <c r="D630" s="415"/>
      <c r="E630" s="410"/>
      <c r="F630" s="390"/>
      <c r="G630" s="284"/>
      <c r="H630" s="282"/>
      <c r="I630" s="405"/>
      <c r="J630" s="405"/>
      <c r="K630" s="405"/>
      <c r="L630" s="406"/>
    </row>
    <row r="631" spans="1:12" ht="15.75" x14ac:dyDescent="0.25">
      <c r="A631" s="285"/>
      <c r="B631" s="288"/>
      <c r="C631" s="289"/>
      <c r="D631" s="290"/>
      <c r="E631" s="410"/>
      <c r="F631" s="291"/>
      <c r="G631" s="284"/>
      <c r="H631" s="282"/>
      <c r="I631" s="405"/>
      <c r="J631" s="405"/>
      <c r="K631" s="405"/>
      <c r="L631" s="406"/>
    </row>
    <row r="632" spans="1:12" ht="15.75" x14ac:dyDescent="0.25">
      <c r="A632" s="285"/>
      <c r="B632" s="286"/>
      <c r="C632" s="289"/>
      <c r="D632" s="415"/>
      <c r="E632" s="410"/>
      <c r="F632" s="390"/>
      <c r="G632" s="284"/>
      <c r="H632" s="282"/>
      <c r="I632" s="405"/>
      <c r="J632" s="405"/>
      <c r="K632" s="405"/>
      <c r="L632" s="406"/>
    </row>
    <row r="633" spans="1:12" ht="15.75" x14ac:dyDescent="0.25">
      <c r="A633" s="285"/>
      <c r="B633" s="286"/>
      <c r="C633" s="292"/>
      <c r="D633" s="415"/>
      <c r="E633" s="410"/>
      <c r="F633" s="390"/>
      <c r="G633" s="284"/>
      <c r="H633" s="405"/>
      <c r="I633" s="405"/>
      <c r="J633" s="405"/>
      <c r="K633" s="405"/>
      <c r="L633" s="406"/>
    </row>
    <row r="634" spans="1:12" ht="16.5" thickBot="1" x14ac:dyDescent="0.3">
      <c r="A634" s="416"/>
      <c r="B634" s="416"/>
      <c r="C634" s="417"/>
      <c r="D634" s="417"/>
      <c r="E634" s="417"/>
      <c r="F634" s="400"/>
      <c r="G634" s="400"/>
      <c r="H634" s="418"/>
      <c r="I634" s="418"/>
      <c r="J634" s="418"/>
      <c r="K634" s="418"/>
      <c r="L634" s="419"/>
    </row>
    <row r="635" spans="1:12" ht="16.5" thickTop="1" x14ac:dyDescent="0.25">
      <c r="A635" s="420"/>
      <c r="B635" s="420"/>
      <c r="C635" s="415"/>
      <c r="D635" s="415"/>
      <c r="E635" s="415"/>
      <c r="F635" s="412">
        <f>SUM(F615:F634)</f>
        <v>0</v>
      </c>
      <c r="G635" s="412">
        <f t="shared" ref="G635:L635" si="22">SUM(G615:G634)</f>
        <v>8239.4599999999991</v>
      </c>
      <c r="H635" s="412">
        <f>SUM(H615:H634)</f>
        <v>15.33</v>
      </c>
      <c r="I635" s="412">
        <f t="shared" si="22"/>
        <v>0</v>
      </c>
      <c r="J635" s="412">
        <f t="shared" si="22"/>
        <v>0</v>
      </c>
      <c r="K635" s="412">
        <f t="shared" si="22"/>
        <v>0</v>
      </c>
      <c r="L635" s="412">
        <f t="shared" si="22"/>
        <v>0</v>
      </c>
    </row>
    <row r="636" spans="1:12" ht="15.75" x14ac:dyDescent="0.25">
      <c r="A636" s="420"/>
      <c r="B636" s="420"/>
      <c r="C636" s="415"/>
      <c r="D636" s="415"/>
      <c r="E636" s="415"/>
      <c r="F636" s="390"/>
      <c r="G636" s="412"/>
      <c r="H636" s="412"/>
      <c r="I636" s="412"/>
      <c r="J636" s="412"/>
      <c r="K636" s="412"/>
      <c r="L636" s="412"/>
    </row>
    <row r="637" spans="1:12" ht="15.75" x14ac:dyDescent="0.25">
      <c r="A637" s="420"/>
      <c r="B637" s="420"/>
      <c r="C637" s="415" t="s">
        <v>653</v>
      </c>
      <c r="D637" s="415"/>
      <c r="E637" s="415"/>
      <c r="F637" s="390"/>
      <c r="G637" s="412"/>
      <c r="H637" s="412">
        <f>+F635</f>
        <v>0</v>
      </c>
      <c r="I637" s="412"/>
      <c r="J637" s="412"/>
      <c r="K637" s="412"/>
      <c r="L637" s="412"/>
    </row>
    <row r="638" spans="1:12" ht="15.75" x14ac:dyDescent="0.25">
      <c r="A638" s="420"/>
      <c r="B638" s="420"/>
      <c r="C638" s="415"/>
      <c r="D638" s="415"/>
      <c r="E638" s="415"/>
      <c r="F638" s="390"/>
      <c r="G638" s="412"/>
      <c r="H638" s="412"/>
      <c r="I638" s="412"/>
      <c r="J638" s="412"/>
      <c r="K638" s="412"/>
      <c r="L638" s="412"/>
    </row>
    <row r="639" spans="1:12" ht="15.75" x14ac:dyDescent="0.25">
      <c r="A639" s="420"/>
      <c r="B639" s="420"/>
      <c r="C639" s="415" t="s">
        <v>654</v>
      </c>
      <c r="D639" s="415"/>
      <c r="E639" s="415"/>
      <c r="F639" s="390"/>
      <c r="G639" s="412"/>
      <c r="H639" s="412">
        <f>+G635</f>
        <v>8239.4599999999991</v>
      </c>
      <c r="I639" s="412"/>
      <c r="J639" s="412"/>
      <c r="K639" s="412"/>
      <c r="L639" s="412"/>
    </row>
    <row r="640" spans="1:12" ht="15.75" x14ac:dyDescent="0.25">
      <c r="A640" s="420"/>
      <c r="B640" s="420"/>
      <c r="C640" s="415"/>
      <c r="D640" s="415"/>
      <c r="E640" s="415"/>
      <c r="F640" s="390"/>
      <c r="G640" s="412"/>
      <c r="H640" s="412"/>
      <c r="I640" s="412"/>
      <c r="J640" s="412"/>
      <c r="K640" s="412"/>
      <c r="L640" s="412"/>
    </row>
    <row r="641" spans="1:12" ht="15.75" x14ac:dyDescent="0.25">
      <c r="A641" s="420"/>
      <c r="B641" s="420"/>
      <c r="C641" s="415"/>
      <c r="D641" s="415"/>
      <c r="E641" s="415"/>
      <c r="F641" s="390"/>
      <c r="G641" s="421"/>
      <c r="H641" s="391"/>
      <c r="I641" s="391"/>
      <c r="J641" s="391"/>
      <c r="K641" s="391"/>
      <c r="L641" s="391"/>
    </row>
    <row r="642" spans="1:12" ht="15.75" x14ac:dyDescent="0.25">
      <c r="A642" s="420"/>
      <c r="B642" s="420"/>
      <c r="C642" s="415" t="s">
        <v>590</v>
      </c>
      <c r="D642" s="415"/>
      <c r="E642" s="415"/>
      <c r="F642" s="390"/>
      <c r="G642" s="391"/>
      <c r="H642" s="393"/>
      <c r="I642" s="393"/>
      <c r="J642" s="393"/>
      <c r="K642" s="393"/>
      <c r="L642" s="391"/>
    </row>
    <row r="643" spans="1:12" ht="18" x14ac:dyDescent="0.25">
      <c r="A643" s="420"/>
      <c r="B643" s="420"/>
      <c r="C643" s="415" t="s">
        <v>141</v>
      </c>
      <c r="D643" s="415"/>
      <c r="E643" s="415"/>
      <c r="F643" s="390"/>
      <c r="G643" s="391"/>
      <c r="H643" s="442">
        <f>ROUND(H635/1.13,2)</f>
        <v>13.57</v>
      </c>
      <c r="I643" s="412"/>
      <c r="J643" s="412"/>
      <c r="K643" s="412"/>
      <c r="L643" s="422"/>
    </row>
    <row r="644" spans="1:12" ht="15.75" x14ac:dyDescent="0.25">
      <c r="A644" s="420"/>
      <c r="B644" s="420"/>
      <c r="C644" s="415" t="s">
        <v>591</v>
      </c>
      <c r="D644" s="415"/>
      <c r="E644" s="415"/>
      <c r="F644" s="390"/>
      <c r="G644" s="391"/>
      <c r="H644" s="435">
        <f>(H643*0.13)</f>
        <v>1.7641</v>
      </c>
      <c r="I644" s="423"/>
      <c r="J644" s="423"/>
      <c r="K644" s="423"/>
      <c r="L644" s="422"/>
    </row>
    <row r="645" spans="1:12" ht="16.5" thickBot="1" x14ac:dyDescent="0.3">
      <c r="A645" s="420"/>
      <c r="B645" s="420"/>
      <c r="C645" s="415"/>
      <c r="D645" s="415"/>
      <c r="E645" s="415"/>
      <c r="F645" s="390"/>
      <c r="G645" s="391"/>
      <c r="H645" s="424"/>
      <c r="I645" s="425"/>
      <c r="J645" s="425"/>
      <c r="K645" s="425"/>
      <c r="L645" s="422"/>
    </row>
    <row r="646" spans="1:12" ht="16.5" thickTop="1" x14ac:dyDescent="0.25">
      <c r="A646" s="420"/>
      <c r="B646" s="420"/>
      <c r="C646" s="415" t="s">
        <v>592</v>
      </c>
      <c r="D646" s="415"/>
      <c r="E646" s="415"/>
      <c r="F646" s="390"/>
      <c r="G646" s="391"/>
      <c r="H646" s="406">
        <f>SUM(H643:H645)</f>
        <v>15.334099999999999</v>
      </c>
      <c r="I646" s="406"/>
      <c r="J646" s="406"/>
      <c r="K646" s="406"/>
      <c r="L646" s="391"/>
    </row>
    <row r="647" spans="1:12" ht="16.5" thickBot="1" x14ac:dyDescent="0.3">
      <c r="A647" s="420"/>
      <c r="B647" s="420"/>
      <c r="C647" s="415"/>
      <c r="D647" s="415"/>
      <c r="E647" s="415"/>
      <c r="F647" s="390"/>
      <c r="G647" s="391"/>
      <c r="H647" s="424"/>
      <c r="I647" s="425"/>
      <c r="J647" s="425"/>
      <c r="K647" s="425"/>
      <c r="L647" s="391"/>
    </row>
    <row r="648" spans="1:12" ht="16.5" thickTop="1" x14ac:dyDescent="0.25">
      <c r="A648" s="420"/>
      <c r="B648" s="420"/>
      <c r="C648" s="415"/>
      <c r="D648" s="415"/>
      <c r="E648" s="415"/>
      <c r="F648" s="390"/>
      <c r="G648" s="391"/>
      <c r="H648" s="426"/>
      <c r="I648" s="426"/>
      <c r="J648" s="426"/>
      <c r="K648" s="426"/>
      <c r="L648" s="391"/>
    </row>
    <row r="649" spans="1:12" ht="15.75" x14ac:dyDescent="0.25">
      <c r="A649" s="420"/>
      <c r="B649" s="420"/>
      <c r="C649" s="415"/>
      <c r="D649" s="415"/>
      <c r="E649" s="415"/>
      <c r="F649" s="390"/>
      <c r="G649" s="391"/>
      <c r="H649" s="398"/>
      <c r="I649" s="398"/>
      <c r="J649" s="398"/>
      <c r="K649" s="398"/>
      <c r="L649" s="391"/>
    </row>
    <row r="650" spans="1:12" ht="15.75" x14ac:dyDescent="0.25">
      <c r="A650" s="420"/>
      <c r="B650" s="420"/>
      <c r="C650" s="415"/>
      <c r="D650" s="415"/>
      <c r="E650" s="415"/>
      <c r="F650" s="434"/>
      <c r="G650" s="391" t="s">
        <v>655</v>
      </c>
      <c r="H650" s="398">
        <v>-1.76</v>
      </c>
      <c r="I650" s="398"/>
      <c r="J650" s="398"/>
      <c r="K650" s="398"/>
      <c r="L650" s="391"/>
    </row>
    <row r="651" spans="1:12" ht="15.75" x14ac:dyDescent="0.25">
      <c r="A651" s="420"/>
      <c r="B651" s="420"/>
      <c r="C651" s="415"/>
      <c r="D651" s="415"/>
      <c r="E651" s="415"/>
      <c r="F651" s="390"/>
      <c r="G651" s="432" t="s">
        <v>656</v>
      </c>
      <c r="H651" s="433">
        <f>+H644+H650</f>
        <v>4.0999999999999925E-3</v>
      </c>
      <c r="I651" s="398"/>
      <c r="J651" s="398"/>
      <c r="K651" s="398"/>
      <c r="L651" s="391"/>
    </row>
    <row r="656" spans="1:12" ht="20.25" x14ac:dyDescent="0.3">
      <c r="A656" s="387" t="s">
        <v>640</v>
      </c>
      <c r="B656" s="388"/>
      <c r="C656" s="389"/>
      <c r="D656" s="389"/>
      <c r="E656" s="389"/>
      <c r="F656" s="390"/>
      <c r="G656" s="391"/>
      <c r="H656" s="391"/>
      <c r="I656" s="391"/>
      <c r="J656" s="391"/>
      <c r="K656" s="391"/>
      <c r="L656" s="391"/>
    </row>
    <row r="657" spans="1:12" ht="15.75" x14ac:dyDescent="0.25">
      <c r="A657" s="389" t="s">
        <v>252</v>
      </c>
      <c r="B657" s="389"/>
      <c r="C657" s="389"/>
      <c r="D657" s="389"/>
      <c r="E657" s="389"/>
      <c r="F657" s="390"/>
      <c r="G657" s="391"/>
      <c r="H657" s="391"/>
      <c r="I657" s="391"/>
      <c r="J657" s="391"/>
      <c r="K657" s="391"/>
      <c r="L657" s="391"/>
    </row>
    <row r="658" spans="1:12" ht="15.75" x14ac:dyDescent="0.25">
      <c r="A658" s="388" t="s">
        <v>253</v>
      </c>
      <c r="B658" s="389"/>
      <c r="C658" s="389"/>
      <c r="D658" s="389"/>
      <c r="E658" s="389"/>
      <c r="F658" s="390"/>
      <c r="G658" s="393"/>
      <c r="H658" s="393"/>
      <c r="I658" s="391"/>
      <c r="J658" s="391"/>
      <c r="K658" s="391"/>
      <c r="L658" s="391"/>
    </row>
    <row r="659" spans="1:12" ht="15.75" x14ac:dyDescent="0.25">
      <c r="A659" s="389" t="s">
        <v>356</v>
      </c>
      <c r="B659" s="389"/>
      <c r="C659" s="389"/>
      <c r="D659" s="389"/>
      <c r="E659" s="389"/>
      <c r="F659" s="390"/>
      <c r="G659" s="391"/>
      <c r="H659" s="391"/>
      <c r="I659" s="391"/>
      <c r="J659" s="391"/>
      <c r="K659" s="391"/>
      <c r="L659" s="391"/>
    </row>
    <row r="660" spans="1:12" ht="15.75" x14ac:dyDescent="0.25">
      <c r="A660" s="394" t="s">
        <v>457</v>
      </c>
      <c r="B660" s="395" t="s">
        <v>1036</v>
      </c>
      <c r="C660" s="396"/>
      <c r="D660" s="437">
        <v>2020</v>
      </c>
      <c r="E660" s="389"/>
      <c r="F660" s="390"/>
      <c r="G660" s="391"/>
      <c r="H660" s="397"/>
      <c r="I660" s="397"/>
      <c r="J660" s="397"/>
      <c r="K660" s="397"/>
      <c r="L660" s="397"/>
    </row>
    <row r="661" spans="1:12" ht="15.75" x14ac:dyDescent="0.25">
      <c r="A661" s="392"/>
      <c r="B661" s="392"/>
      <c r="C661" s="389"/>
      <c r="D661" s="389"/>
      <c r="E661" s="389"/>
      <c r="F661" s="390"/>
      <c r="G661" s="391"/>
      <c r="H661" s="391"/>
      <c r="I661" s="391"/>
      <c r="J661" s="391"/>
      <c r="K661" s="391"/>
      <c r="L661" s="391"/>
    </row>
    <row r="662" spans="1:12" ht="15.75" x14ac:dyDescent="0.25">
      <c r="A662" s="392"/>
      <c r="B662" s="392"/>
      <c r="C662" s="389"/>
      <c r="D662" s="389"/>
      <c r="E662" s="389"/>
      <c r="F662" s="390"/>
      <c r="G662" s="391"/>
      <c r="H662" s="391"/>
      <c r="I662" s="391"/>
      <c r="J662" s="391"/>
      <c r="K662" s="391"/>
      <c r="L662" s="391"/>
    </row>
    <row r="663" spans="1:12" ht="15.75" x14ac:dyDescent="0.25">
      <c r="A663" s="392"/>
      <c r="B663" s="392"/>
      <c r="C663" s="389"/>
      <c r="D663" s="389"/>
      <c r="E663" s="389"/>
      <c r="F663" s="390"/>
      <c r="G663" s="398" t="s">
        <v>94</v>
      </c>
      <c r="H663" s="398" t="s">
        <v>94</v>
      </c>
      <c r="I663" s="398" t="s">
        <v>641</v>
      </c>
      <c r="J663" s="398" t="s">
        <v>642</v>
      </c>
      <c r="K663" s="398" t="s">
        <v>94</v>
      </c>
      <c r="L663" s="398" t="s">
        <v>257</v>
      </c>
    </row>
    <row r="664" spans="1:12" ht="16.5" thickBot="1" x14ac:dyDescent="0.3">
      <c r="A664" s="399" t="s">
        <v>137</v>
      </c>
      <c r="B664" s="399"/>
      <c r="C664" s="399" t="s">
        <v>643</v>
      </c>
      <c r="D664" s="399"/>
      <c r="E664" s="399" t="s">
        <v>644</v>
      </c>
      <c r="F664" s="400" t="s">
        <v>140</v>
      </c>
      <c r="G664" s="401" t="s">
        <v>327</v>
      </c>
      <c r="H664" s="430" t="s">
        <v>645</v>
      </c>
      <c r="I664" s="401" t="s">
        <v>646</v>
      </c>
      <c r="J664" s="401" t="s">
        <v>647</v>
      </c>
      <c r="K664" s="401" t="s">
        <v>326</v>
      </c>
      <c r="L664" s="401" t="s">
        <v>94</v>
      </c>
    </row>
    <row r="665" spans="1:12" ht="16.5" thickTop="1" x14ac:dyDescent="0.25">
      <c r="A665" s="431"/>
      <c r="B665" s="402"/>
      <c r="C665" s="403"/>
      <c r="D665" s="403"/>
      <c r="E665" s="403"/>
      <c r="F665" s="404"/>
      <c r="G665" s="404"/>
      <c r="H665" s="405"/>
      <c r="I665" s="405"/>
      <c r="J665" s="405"/>
      <c r="K665" s="405"/>
      <c r="L665" s="406"/>
    </row>
    <row r="666" spans="1:12" ht="15.75" x14ac:dyDescent="0.25">
      <c r="A666" s="407">
        <v>43854</v>
      </c>
      <c r="B666" s="408"/>
      <c r="C666" s="449">
        <v>2037</v>
      </c>
      <c r="D666" s="408"/>
      <c r="E666" s="410">
        <f>C666</f>
        <v>2037</v>
      </c>
      <c r="F666" s="411">
        <v>0</v>
      </c>
      <c r="G666" s="411"/>
      <c r="H666" s="413">
        <v>3.27</v>
      </c>
      <c r="I666" s="405"/>
      <c r="J666" s="405"/>
      <c r="K666" s="413">
        <v>0</v>
      </c>
      <c r="L666" s="412"/>
    </row>
    <row r="667" spans="1:12" ht="15.75" x14ac:dyDescent="0.25">
      <c r="A667" s="407">
        <v>43854</v>
      </c>
      <c r="B667" s="408"/>
      <c r="C667" s="449">
        <v>2038</v>
      </c>
      <c r="D667" s="408" t="s">
        <v>482</v>
      </c>
      <c r="E667" s="410">
        <f>C667</f>
        <v>2038</v>
      </c>
      <c r="F667" s="411">
        <v>0</v>
      </c>
      <c r="G667" s="411"/>
      <c r="H667" s="413">
        <v>0</v>
      </c>
      <c r="I667" s="405"/>
      <c r="J667" s="405"/>
      <c r="K667" s="413">
        <v>0</v>
      </c>
      <c r="L667" s="412"/>
    </row>
    <row r="668" spans="1:12" ht="15.75" x14ac:dyDescent="0.25">
      <c r="A668" s="407">
        <v>43854</v>
      </c>
      <c r="B668" s="408"/>
      <c r="C668" s="409" t="s">
        <v>1035</v>
      </c>
      <c r="D668" s="408"/>
      <c r="E668" s="410" t="str">
        <f>C668</f>
        <v>2039</v>
      </c>
      <c r="F668" s="411">
        <v>0</v>
      </c>
      <c r="G668" s="436"/>
      <c r="H668" s="413">
        <v>47.79</v>
      </c>
      <c r="I668" s="405"/>
      <c r="J668" s="405"/>
      <c r="K668" s="413">
        <v>0</v>
      </c>
      <c r="L668" s="412"/>
    </row>
    <row r="672" spans="1:12" ht="15.75" x14ac:dyDescent="0.25">
      <c r="A672" s="285"/>
      <c r="B672" s="286"/>
      <c r="C672" s="292"/>
      <c r="D672" s="415"/>
      <c r="E672" s="410"/>
      <c r="F672" s="390"/>
      <c r="G672" s="284"/>
      <c r="H672" s="405"/>
      <c r="I672" s="405"/>
      <c r="J672" s="405"/>
      <c r="K672" s="405"/>
      <c r="L672" s="406"/>
    </row>
    <row r="673" spans="1:12" ht="16.5" thickBot="1" x14ac:dyDescent="0.3">
      <c r="A673" s="416"/>
      <c r="B673" s="416"/>
      <c r="C673" s="417"/>
      <c r="D673" s="417"/>
      <c r="E673" s="417"/>
      <c r="F673" s="400"/>
      <c r="G673" s="400"/>
      <c r="H673" s="418"/>
      <c r="I673" s="418"/>
      <c r="J673" s="418"/>
      <c r="K673" s="418"/>
      <c r="L673" s="419"/>
    </row>
    <row r="674" spans="1:12" ht="16.5" thickTop="1" x14ac:dyDescent="0.25">
      <c r="A674" s="420"/>
      <c r="B674" s="420"/>
      <c r="C674" s="415"/>
      <c r="D674" s="415"/>
      <c r="E674" s="415"/>
      <c r="F674" s="412">
        <f>SUM(F654:F673)</f>
        <v>0</v>
      </c>
      <c r="G674" s="412">
        <f t="shared" ref="G674:L674" si="23">SUM(G654:G673)</f>
        <v>0</v>
      </c>
      <c r="H674" s="412">
        <f>SUM(H654:H673)</f>
        <v>51.06</v>
      </c>
      <c r="I674" s="412">
        <f t="shared" si="23"/>
        <v>0</v>
      </c>
      <c r="J674" s="412">
        <f t="shared" si="23"/>
        <v>0</v>
      </c>
      <c r="K674" s="412">
        <f t="shared" si="23"/>
        <v>0</v>
      </c>
      <c r="L674" s="412">
        <f t="shared" si="23"/>
        <v>0</v>
      </c>
    </row>
    <row r="675" spans="1:12" ht="15.75" x14ac:dyDescent="0.25">
      <c r="A675" s="420"/>
      <c r="B675" s="420"/>
      <c r="C675" s="415"/>
      <c r="D675" s="415"/>
      <c r="E675" s="415"/>
      <c r="F675" s="390"/>
      <c r="G675" s="412"/>
      <c r="H675" s="412"/>
      <c r="I675" s="412"/>
      <c r="J675" s="412"/>
      <c r="K675" s="412"/>
      <c r="L675" s="412"/>
    </row>
    <row r="676" spans="1:12" ht="15.75" x14ac:dyDescent="0.25">
      <c r="A676" s="420"/>
      <c r="B676" s="420"/>
      <c r="C676" s="415" t="s">
        <v>653</v>
      </c>
      <c r="D676" s="415"/>
      <c r="E676" s="415"/>
      <c r="F676" s="390"/>
      <c r="G676" s="412"/>
      <c r="H676" s="412">
        <f>+F674</f>
        <v>0</v>
      </c>
      <c r="I676" s="412"/>
      <c r="J676" s="412"/>
      <c r="K676" s="412"/>
      <c r="L676" s="412"/>
    </row>
    <row r="677" spans="1:12" ht="15.75" x14ac:dyDescent="0.25">
      <c r="A677" s="420"/>
      <c r="B677" s="420"/>
      <c r="C677" s="415"/>
      <c r="D677" s="415"/>
      <c r="E677" s="415"/>
      <c r="F677" s="390"/>
      <c r="G677" s="412"/>
      <c r="H677" s="412"/>
      <c r="I677" s="412"/>
      <c r="J677" s="412"/>
      <c r="K677" s="412"/>
      <c r="L677" s="412"/>
    </row>
    <row r="678" spans="1:12" ht="15.75" x14ac:dyDescent="0.25">
      <c r="A678" s="420"/>
      <c r="B678" s="420"/>
      <c r="C678" s="415" t="s">
        <v>654</v>
      </c>
      <c r="D678" s="415"/>
      <c r="E678" s="415"/>
      <c r="F678" s="390"/>
      <c r="G678" s="412"/>
      <c r="H678" s="412">
        <f>+G674</f>
        <v>0</v>
      </c>
      <c r="I678" s="412"/>
      <c r="J678" s="412"/>
      <c r="K678" s="412"/>
      <c r="L678" s="412"/>
    </row>
    <row r="679" spans="1:12" ht="15.75" x14ac:dyDescent="0.25">
      <c r="A679" s="420"/>
      <c r="B679" s="420"/>
      <c r="C679" s="415"/>
      <c r="D679" s="415"/>
      <c r="E679" s="415"/>
      <c r="F679" s="390"/>
      <c r="G679" s="412"/>
      <c r="H679" s="412"/>
      <c r="I679" s="412"/>
      <c r="J679" s="412"/>
      <c r="K679" s="412"/>
      <c r="L679" s="412"/>
    </row>
    <row r="680" spans="1:12" ht="15.75" x14ac:dyDescent="0.25">
      <c r="A680" s="420"/>
      <c r="B680" s="420"/>
      <c r="C680" s="415"/>
      <c r="D680" s="415"/>
      <c r="E680" s="415"/>
      <c r="F680" s="390"/>
      <c r="G680" s="421"/>
      <c r="H680" s="391"/>
      <c r="I680" s="391"/>
      <c r="J680" s="391"/>
      <c r="K680" s="391"/>
      <c r="L680" s="391"/>
    </row>
    <row r="681" spans="1:12" ht="15.75" x14ac:dyDescent="0.25">
      <c r="A681" s="420"/>
      <c r="B681" s="420"/>
      <c r="C681" s="415" t="s">
        <v>590</v>
      </c>
      <c r="D681" s="415"/>
      <c r="E681" s="415"/>
      <c r="F681" s="390"/>
      <c r="G681" s="391"/>
      <c r="H681" s="393"/>
      <c r="I681" s="393"/>
      <c r="J681" s="393"/>
      <c r="K681" s="393"/>
      <c r="L681" s="391"/>
    </row>
    <row r="682" spans="1:12" ht="15.75" x14ac:dyDescent="0.25">
      <c r="A682" s="420"/>
      <c r="B682" s="420"/>
      <c r="C682" s="415" t="s">
        <v>141</v>
      </c>
      <c r="D682" s="415"/>
      <c r="E682" s="415"/>
      <c r="F682" s="390"/>
      <c r="G682" s="391"/>
      <c r="H682" s="320">
        <v>45.18</v>
      </c>
      <c r="I682" s="412"/>
      <c r="J682" s="412"/>
      <c r="K682" s="412"/>
      <c r="L682" s="422"/>
    </row>
    <row r="683" spans="1:12" ht="15.75" x14ac:dyDescent="0.25">
      <c r="A683" s="420"/>
      <c r="B683" s="420"/>
      <c r="C683" s="415" t="s">
        <v>591</v>
      </c>
      <c r="D683" s="415"/>
      <c r="E683" s="415"/>
      <c r="F683" s="390"/>
      <c r="G683" s="391"/>
      <c r="H683" s="435">
        <v>5.88</v>
      </c>
      <c r="I683" s="423"/>
      <c r="J683" s="423"/>
      <c r="K683" s="423"/>
      <c r="L683" s="422"/>
    </row>
    <row r="684" spans="1:12" ht="16.5" thickBot="1" x14ac:dyDescent="0.3">
      <c r="A684" s="420"/>
      <c r="B684" s="420"/>
      <c r="C684" s="415"/>
      <c r="D684" s="415"/>
      <c r="E684" s="415"/>
      <c r="F684" s="390"/>
      <c r="G684" s="391"/>
      <c r="H684" s="424"/>
      <c r="I684" s="425"/>
      <c r="J684" s="425"/>
      <c r="K684" s="425"/>
      <c r="L684" s="422"/>
    </row>
    <row r="685" spans="1:12" ht="16.5" thickTop="1" x14ac:dyDescent="0.25">
      <c r="A685" s="420"/>
      <c r="B685" s="420"/>
      <c r="C685" s="415" t="s">
        <v>592</v>
      </c>
      <c r="D685" s="415"/>
      <c r="E685" s="415"/>
      <c r="F685" s="390"/>
      <c r="G685" s="391"/>
      <c r="H685" s="406">
        <f>SUM(H682:H684)</f>
        <v>51.06</v>
      </c>
      <c r="I685" s="406"/>
      <c r="J685" s="406"/>
      <c r="K685" s="406"/>
      <c r="L685" s="391"/>
    </row>
    <row r="686" spans="1:12" ht="16.5" thickBot="1" x14ac:dyDescent="0.3">
      <c r="A686" s="420"/>
      <c r="B686" s="420"/>
      <c r="C686" s="415"/>
      <c r="D686" s="415"/>
      <c r="E686" s="415"/>
      <c r="F686" s="390"/>
      <c r="G686" s="391"/>
      <c r="H686" s="424"/>
      <c r="I686" s="425"/>
      <c r="J686" s="425"/>
      <c r="K686" s="425"/>
      <c r="L686" s="391"/>
    </row>
    <row r="687" spans="1:12" ht="16.5" thickTop="1" x14ac:dyDescent="0.25">
      <c r="A687" s="420"/>
      <c r="B687" s="420"/>
      <c r="C687" s="415"/>
      <c r="D687" s="415"/>
      <c r="E687" s="415"/>
      <c r="F687" s="390"/>
      <c r="G687" s="391"/>
      <c r="H687" s="426"/>
      <c r="I687" s="426"/>
      <c r="J687" s="426"/>
      <c r="K687" s="426"/>
      <c r="L687" s="391"/>
    </row>
    <row r="688" spans="1:12" ht="15.75" x14ac:dyDescent="0.25">
      <c r="A688" s="420"/>
      <c r="B688" s="420"/>
      <c r="C688" s="415"/>
      <c r="D688" s="415"/>
      <c r="E688" s="415"/>
      <c r="F688" s="390"/>
      <c r="G688" s="391"/>
      <c r="H688" s="398"/>
      <c r="I688" s="398"/>
      <c r="J688" s="398"/>
      <c r="K688" s="398"/>
      <c r="L688" s="391"/>
    </row>
    <row r="689" spans="1:12" ht="15.75" x14ac:dyDescent="0.25">
      <c r="A689" s="420"/>
      <c r="B689" s="420"/>
      <c r="C689" s="415"/>
      <c r="D689" s="415"/>
      <c r="E689" s="415"/>
      <c r="F689" s="434"/>
      <c r="G689" s="391" t="s">
        <v>655</v>
      </c>
      <c r="H689" s="398">
        <v>-5.88</v>
      </c>
      <c r="I689" s="398"/>
      <c r="J689" s="398"/>
      <c r="K689" s="398"/>
      <c r="L689" s="391"/>
    </row>
    <row r="690" spans="1:12" ht="15.75" x14ac:dyDescent="0.25">
      <c r="A690" s="420"/>
      <c r="B690" s="420"/>
      <c r="C690" s="415"/>
      <c r="D690" s="415"/>
      <c r="E690" s="415"/>
      <c r="F690" s="390"/>
      <c r="G690" s="432" t="s">
        <v>656</v>
      </c>
      <c r="H690" s="433">
        <f>+H683+H689</f>
        <v>0</v>
      </c>
      <c r="I690" s="398"/>
      <c r="J690" s="398"/>
      <c r="K690" s="398"/>
      <c r="L690" s="391"/>
    </row>
    <row r="691" spans="1:12" ht="15.75" x14ac:dyDescent="0.25">
      <c r="A691" s="420"/>
      <c r="B691" s="420"/>
      <c r="C691" s="415"/>
      <c r="D691" s="415"/>
      <c r="E691" s="415"/>
      <c r="F691" s="390"/>
      <c r="G691" s="391"/>
      <c r="H691" s="398"/>
      <c r="I691" s="398"/>
      <c r="J691" s="398"/>
      <c r="K691" s="398"/>
      <c r="L691" s="391"/>
    </row>
    <row r="692" spans="1:12" ht="15.75" x14ac:dyDescent="0.25">
      <c r="A692" s="420"/>
      <c r="B692" s="420"/>
      <c r="C692" s="415"/>
      <c r="D692" s="415"/>
      <c r="E692" s="415"/>
      <c r="F692" s="390"/>
      <c r="G692" s="391"/>
      <c r="H692" s="398"/>
      <c r="I692" s="398"/>
      <c r="J692" s="398"/>
      <c r="K692" s="398"/>
      <c r="L692" s="391"/>
    </row>
    <row r="693" spans="1:12" ht="15.75" x14ac:dyDescent="0.25">
      <c r="A693" s="420"/>
      <c r="B693" s="420"/>
      <c r="C693" s="415"/>
      <c r="D693" s="415"/>
      <c r="E693" s="415"/>
      <c r="F693" s="390"/>
      <c r="G693" s="391"/>
      <c r="H693" s="308"/>
      <c r="I693" s="308"/>
      <c r="J693" s="308"/>
      <c r="K693" s="308"/>
      <c r="L693" s="391"/>
    </row>
    <row r="695" spans="1:12" ht="20.25" x14ac:dyDescent="0.3">
      <c r="A695" s="387" t="s">
        <v>640</v>
      </c>
      <c r="B695" s="388"/>
      <c r="C695" s="389"/>
      <c r="D695" s="389"/>
      <c r="E695" s="389"/>
      <c r="F695" s="390"/>
      <c r="G695" s="391"/>
      <c r="H695" s="391"/>
      <c r="I695" s="391"/>
      <c r="J695" s="391"/>
      <c r="K695" s="391"/>
      <c r="L695" s="391"/>
    </row>
    <row r="696" spans="1:12" ht="15.75" x14ac:dyDescent="0.25">
      <c r="A696" s="389" t="s">
        <v>252</v>
      </c>
      <c r="B696" s="389"/>
      <c r="C696" s="389"/>
      <c r="D696" s="389"/>
      <c r="E696" s="389"/>
      <c r="F696" s="390"/>
      <c r="G696" s="391"/>
      <c r="H696" s="391"/>
      <c r="I696" s="391"/>
      <c r="J696" s="391"/>
      <c r="K696" s="391"/>
      <c r="L696" s="391"/>
    </row>
    <row r="697" spans="1:12" ht="15.75" x14ac:dyDescent="0.25">
      <c r="A697" s="388" t="s">
        <v>253</v>
      </c>
      <c r="B697" s="389"/>
      <c r="C697" s="389"/>
      <c r="D697" s="389"/>
      <c r="E697" s="389"/>
      <c r="F697" s="390"/>
      <c r="G697" s="393"/>
      <c r="H697" s="393"/>
      <c r="I697" s="391"/>
      <c r="J697" s="391"/>
      <c r="K697" s="391"/>
      <c r="L697" s="391"/>
    </row>
    <row r="698" spans="1:12" ht="15.75" x14ac:dyDescent="0.25">
      <c r="A698" s="389" t="s">
        <v>356</v>
      </c>
      <c r="B698" s="389"/>
      <c r="C698" s="389"/>
      <c r="D698" s="389"/>
      <c r="E698" s="389"/>
      <c r="F698" s="390"/>
      <c r="G698" s="391"/>
      <c r="H698" s="391"/>
      <c r="I698" s="391"/>
      <c r="J698" s="391"/>
      <c r="K698" s="391"/>
      <c r="L698" s="391"/>
    </row>
    <row r="699" spans="1:12" ht="15.75" x14ac:dyDescent="0.25">
      <c r="A699" s="394" t="s">
        <v>457</v>
      </c>
      <c r="B699" s="395" t="s">
        <v>148</v>
      </c>
      <c r="C699" s="396"/>
      <c r="D699" s="437">
        <v>2020</v>
      </c>
      <c r="E699" s="389"/>
      <c r="F699" s="390"/>
      <c r="G699" s="391"/>
      <c r="H699" s="397"/>
      <c r="I699" s="397"/>
      <c r="J699" s="397"/>
      <c r="K699" s="397"/>
      <c r="L699" s="397"/>
    </row>
    <row r="700" spans="1:12" ht="15.75" x14ac:dyDescent="0.25">
      <c r="A700" s="392"/>
      <c r="B700" s="392"/>
      <c r="C700" s="389"/>
      <c r="D700" s="389"/>
      <c r="E700" s="389"/>
      <c r="F700" s="390"/>
      <c r="G700" s="391"/>
      <c r="H700" s="391"/>
      <c r="I700" s="391"/>
      <c r="J700" s="391"/>
      <c r="K700" s="391"/>
      <c r="L700" s="391"/>
    </row>
    <row r="701" spans="1:12" ht="15.75" x14ac:dyDescent="0.25">
      <c r="A701" s="392"/>
      <c r="B701" s="392"/>
      <c r="C701" s="389"/>
      <c r="D701" s="389"/>
      <c r="E701" s="389"/>
      <c r="F701" s="390"/>
      <c r="G701" s="391"/>
      <c r="H701" s="391"/>
      <c r="I701" s="391"/>
      <c r="J701" s="391"/>
      <c r="K701" s="391"/>
      <c r="L701" s="391"/>
    </row>
    <row r="702" spans="1:12" ht="15.75" x14ac:dyDescent="0.25">
      <c r="A702" s="392"/>
      <c r="B702" s="392"/>
      <c r="C702" s="389"/>
      <c r="D702" s="389"/>
      <c r="E702" s="389"/>
      <c r="F702" s="390"/>
      <c r="G702" s="398" t="s">
        <v>94</v>
      </c>
      <c r="H702" s="398" t="s">
        <v>94</v>
      </c>
      <c r="I702" s="398" t="s">
        <v>641</v>
      </c>
      <c r="J702" s="398" t="s">
        <v>642</v>
      </c>
      <c r="K702" s="398" t="s">
        <v>94</v>
      </c>
      <c r="L702" s="398" t="s">
        <v>257</v>
      </c>
    </row>
    <row r="703" spans="1:12" ht="16.5" thickBot="1" x14ac:dyDescent="0.3">
      <c r="A703" s="399" t="s">
        <v>137</v>
      </c>
      <c r="B703" s="399"/>
      <c r="C703" s="399" t="s">
        <v>643</v>
      </c>
      <c r="D703" s="399"/>
      <c r="E703" s="399" t="s">
        <v>644</v>
      </c>
      <c r="F703" s="400" t="s">
        <v>140</v>
      </c>
      <c r="G703" s="401" t="s">
        <v>327</v>
      </c>
      <c r="H703" s="430" t="s">
        <v>645</v>
      </c>
      <c r="I703" s="401" t="s">
        <v>646</v>
      </c>
      <c r="J703" s="401" t="s">
        <v>647</v>
      </c>
      <c r="K703" s="401" t="s">
        <v>326</v>
      </c>
      <c r="L703" s="401" t="s">
        <v>94</v>
      </c>
    </row>
    <row r="704" spans="1:12" ht="16.5" thickTop="1" x14ac:dyDescent="0.25">
      <c r="A704" s="431"/>
      <c r="B704" s="402"/>
      <c r="C704" s="403"/>
      <c r="D704" s="403"/>
      <c r="E704" s="403"/>
      <c r="F704" s="404"/>
      <c r="G704" s="404"/>
      <c r="H704" s="405"/>
      <c r="I704" s="405"/>
      <c r="J704" s="405"/>
      <c r="K704" s="405"/>
      <c r="L704" s="406"/>
    </row>
    <row r="705" spans="1:12" ht="15.75" x14ac:dyDescent="0.25">
      <c r="A705" s="407">
        <v>43882</v>
      </c>
      <c r="B705" s="408"/>
      <c r="C705" s="449">
        <v>2040</v>
      </c>
      <c r="D705" s="408"/>
      <c r="E705" s="410">
        <f>C705</f>
        <v>2040</v>
      </c>
      <c r="F705" s="411">
        <v>0</v>
      </c>
      <c r="G705" s="411"/>
      <c r="H705" s="413">
        <v>2.1800000000000002</v>
      </c>
      <c r="I705" s="405"/>
      <c r="J705" s="405"/>
      <c r="K705" s="413">
        <v>0</v>
      </c>
      <c r="L705" s="412"/>
    </row>
    <row r="706" spans="1:12" ht="15.75" x14ac:dyDescent="0.25">
      <c r="A706" s="407">
        <v>43882</v>
      </c>
      <c r="B706" s="408"/>
      <c r="C706" s="449">
        <v>2041</v>
      </c>
      <c r="D706" s="408"/>
      <c r="E706" s="410">
        <f>C706</f>
        <v>2041</v>
      </c>
      <c r="F706" s="411">
        <v>0</v>
      </c>
      <c r="G706" s="411"/>
      <c r="H706" s="413">
        <v>14</v>
      </c>
      <c r="I706" s="405"/>
      <c r="J706" s="405"/>
      <c r="K706" s="413">
        <v>0</v>
      </c>
      <c r="L706" s="412"/>
    </row>
    <row r="711" spans="1:12" ht="16.5" thickBot="1" x14ac:dyDescent="0.3">
      <c r="A711" s="416"/>
      <c r="B711" s="416"/>
      <c r="C711" s="417"/>
      <c r="D711" s="417"/>
      <c r="E711" s="417"/>
      <c r="F711" s="400"/>
      <c r="G711" s="400"/>
      <c r="H711" s="418"/>
      <c r="I711" s="418"/>
      <c r="J711" s="418"/>
      <c r="K711" s="418"/>
      <c r="L711" s="419"/>
    </row>
    <row r="712" spans="1:12" ht="16.5" thickTop="1" x14ac:dyDescent="0.25">
      <c r="A712" s="420"/>
      <c r="B712" s="420"/>
      <c r="C712" s="415"/>
      <c r="D712" s="415"/>
      <c r="E712" s="415"/>
      <c r="F712" s="412">
        <f>SUM(F692:F711)</f>
        <v>0</v>
      </c>
      <c r="G712" s="412">
        <f t="shared" ref="G712:L712" si="24">SUM(G692:G711)</f>
        <v>0</v>
      </c>
      <c r="H712" s="412">
        <f>SUM(H692:H711)</f>
        <v>16.18</v>
      </c>
      <c r="I712" s="412">
        <f t="shared" si="24"/>
        <v>0</v>
      </c>
      <c r="J712" s="412">
        <f t="shared" si="24"/>
        <v>0</v>
      </c>
      <c r="K712" s="412">
        <f t="shared" si="24"/>
        <v>0</v>
      </c>
      <c r="L712" s="412">
        <f t="shared" si="24"/>
        <v>0</v>
      </c>
    </row>
    <row r="713" spans="1:12" ht="15.75" x14ac:dyDescent="0.25">
      <c r="A713" s="420"/>
      <c r="B713" s="420"/>
      <c r="C713" s="415"/>
      <c r="D713" s="415"/>
      <c r="E713" s="415"/>
      <c r="F713" s="390"/>
      <c r="G713" s="412"/>
      <c r="H713" s="412"/>
      <c r="I713" s="412"/>
      <c r="J713" s="412"/>
      <c r="K713" s="412"/>
      <c r="L713" s="412"/>
    </row>
    <row r="714" spans="1:12" ht="15.75" x14ac:dyDescent="0.25">
      <c r="A714" s="420"/>
      <c r="B714" s="420"/>
      <c r="C714" s="415" t="s">
        <v>653</v>
      </c>
      <c r="D714" s="415"/>
      <c r="E714" s="415"/>
      <c r="F714" s="390"/>
      <c r="G714" s="412"/>
      <c r="H714" s="412">
        <f>+F712</f>
        <v>0</v>
      </c>
      <c r="I714" s="412"/>
      <c r="J714" s="412"/>
      <c r="K714" s="412"/>
      <c r="L714" s="412"/>
    </row>
    <row r="715" spans="1:12" ht="15.75" x14ac:dyDescent="0.25">
      <c r="A715" s="420"/>
      <c r="B715" s="420"/>
      <c r="C715" s="415"/>
      <c r="D715" s="415"/>
      <c r="E715" s="415"/>
      <c r="F715" s="390"/>
      <c r="G715" s="412"/>
      <c r="H715" s="412"/>
      <c r="I715" s="412"/>
      <c r="J715" s="412"/>
      <c r="K715" s="412"/>
      <c r="L715" s="412"/>
    </row>
    <row r="716" spans="1:12" ht="15.75" x14ac:dyDescent="0.25">
      <c r="A716" s="420"/>
      <c r="B716" s="420"/>
      <c r="C716" s="415" t="s">
        <v>654</v>
      </c>
      <c r="D716" s="415"/>
      <c r="E716" s="415"/>
      <c r="F716" s="390"/>
      <c r="G716" s="412"/>
      <c r="H716" s="412">
        <f>+G712</f>
        <v>0</v>
      </c>
      <c r="I716" s="412"/>
      <c r="J716" s="412"/>
      <c r="K716" s="412"/>
      <c r="L716" s="412"/>
    </row>
    <row r="717" spans="1:12" ht="15.75" x14ac:dyDescent="0.25">
      <c r="A717" s="420"/>
      <c r="B717" s="420"/>
      <c r="C717" s="415"/>
      <c r="D717" s="415"/>
      <c r="E717" s="415"/>
      <c r="F717" s="390"/>
      <c r="G717" s="412"/>
      <c r="H717" s="412"/>
      <c r="I717" s="412"/>
      <c r="J717" s="412"/>
      <c r="K717" s="412"/>
      <c r="L717" s="412"/>
    </row>
    <row r="718" spans="1:12" ht="15.75" x14ac:dyDescent="0.25">
      <c r="A718" s="420"/>
      <c r="B718" s="420"/>
      <c r="C718" s="415"/>
      <c r="D718" s="415"/>
      <c r="E718" s="415"/>
      <c r="F718" s="390"/>
      <c r="G718" s="421"/>
      <c r="H718" s="391"/>
      <c r="I718" s="391"/>
      <c r="J718" s="391"/>
      <c r="K718" s="391"/>
      <c r="L718" s="391"/>
    </row>
    <row r="719" spans="1:12" ht="15.75" x14ac:dyDescent="0.25">
      <c r="A719" s="420"/>
      <c r="B719" s="420"/>
      <c r="C719" s="415" t="s">
        <v>590</v>
      </c>
      <c r="D719" s="415"/>
      <c r="E719" s="415"/>
      <c r="F719" s="390"/>
      <c r="G719" s="391"/>
      <c r="H719" s="393"/>
      <c r="I719" s="393"/>
      <c r="J719" s="393"/>
      <c r="K719" s="393"/>
      <c r="L719" s="391"/>
    </row>
    <row r="720" spans="1:12" ht="15.75" x14ac:dyDescent="0.25">
      <c r="A720" s="420"/>
      <c r="B720" s="420"/>
      <c r="C720" s="415" t="s">
        <v>141</v>
      </c>
      <c r="D720" s="415"/>
      <c r="E720" s="415"/>
      <c r="F720" s="390"/>
      <c r="G720" s="391"/>
      <c r="H720" s="332">
        <f>ROUND(H712/1.13,2)</f>
        <v>14.32</v>
      </c>
      <c r="I720" s="412"/>
      <c r="J720" s="412"/>
      <c r="K720" s="412"/>
      <c r="L720" s="422"/>
    </row>
    <row r="721" spans="1:12" ht="15.75" x14ac:dyDescent="0.25">
      <c r="A721" s="420"/>
      <c r="B721" s="420"/>
      <c r="C721" s="415" t="s">
        <v>591</v>
      </c>
      <c r="D721" s="415"/>
      <c r="E721" s="415"/>
      <c r="F721" s="390"/>
      <c r="G721" s="391"/>
      <c r="H721" s="435">
        <f>ROUND(H720*0.13,2)</f>
        <v>1.86</v>
      </c>
      <c r="I721" s="423"/>
      <c r="J721" s="423"/>
      <c r="K721" s="423"/>
      <c r="L721" s="422"/>
    </row>
    <row r="722" spans="1:12" ht="16.5" thickBot="1" x14ac:dyDescent="0.3">
      <c r="A722" s="420"/>
      <c r="B722" s="420"/>
      <c r="C722" s="415"/>
      <c r="D722" s="415"/>
      <c r="E722" s="415"/>
      <c r="F722" s="390"/>
      <c r="G722" s="391"/>
      <c r="H722" s="424"/>
      <c r="I722" s="425"/>
      <c r="J722" s="425"/>
      <c r="K722" s="425"/>
      <c r="L722" s="422"/>
    </row>
    <row r="723" spans="1:12" ht="16.5" thickTop="1" x14ac:dyDescent="0.25">
      <c r="A723" s="420"/>
      <c r="B723" s="420"/>
      <c r="C723" s="415" t="s">
        <v>592</v>
      </c>
      <c r="D723" s="415"/>
      <c r="E723" s="415"/>
      <c r="F723" s="390"/>
      <c r="G723" s="391"/>
      <c r="H723" s="406">
        <f>SUM(H720:H722)</f>
        <v>16.18</v>
      </c>
      <c r="I723" s="406"/>
      <c r="J723" s="406"/>
      <c r="K723" s="406"/>
      <c r="L723" s="391"/>
    </row>
    <row r="724" spans="1:12" ht="16.5" thickBot="1" x14ac:dyDescent="0.3">
      <c r="A724" s="420"/>
      <c r="B724" s="420"/>
      <c r="C724" s="415"/>
      <c r="D724" s="415"/>
      <c r="E724" s="415"/>
      <c r="F724" s="390"/>
      <c r="G724" s="391"/>
      <c r="H724" s="424"/>
      <c r="I724" s="425"/>
      <c r="J724" s="425"/>
      <c r="K724" s="425"/>
      <c r="L724" s="391"/>
    </row>
    <row r="725" spans="1:12" ht="16.5" thickTop="1" x14ac:dyDescent="0.25">
      <c r="A725" s="420"/>
      <c r="B725" s="420"/>
      <c r="C725" s="415"/>
      <c r="D725" s="415"/>
      <c r="E725" s="415"/>
      <c r="F725" s="390"/>
      <c r="G725" s="391"/>
      <c r="H725" s="426"/>
      <c r="I725" s="426"/>
      <c r="J725" s="426"/>
      <c r="K725" s="426"/>
      <c r="L725" s="391"/>
    </row>
    <row r="726" spans="1:12" ht="15.75" x14ac:dyDescent="0.25">
      <c r="A726" s="420"/>
      <c r="B726" s="420"/>
      <c r="C726" s="415"/>
      <c r="D726" s="415"/>
      <c r="E726" s="415"/>
      <c r="F726" s="390"/>
      <c r="G726" s="391"/>
      <c r="H726" s="398"/>
      <c r="I726" s="398"/>
      <c r="J726" s="398"/>
      <c r="K726" s="398"/>
      <c r="L726" s="391"/>
    </row>
    <row r="727" spans="1:12" ht="15.75" x14ac:dyDescent="0.25">
      <c r="A727" s="420"/>
      <c r="B727" s="420"/>
      <c r="C727" s="415"/>
      <c r="D727" s="415"/>
      <c r="E727" s="415"/>
      <c r="F727" s="434"/>
      <c r="G727" s="391" t="s">
        <v>655</v>
      </c>
      <c r="H727" s="398">
        <v>0</v>
      </c>
      <c r="I727" s="398"/>
      <c r="J727" s="398"/>
      <c r="K727" s="398"/>
      <c r="L727" s="391"/>
    </row>
    <row r="728" spans="1:12" ht="15.75" x14ac:dyDescent="0.25">
      <c r="A728" s="420"/>
      <c r="B728" s="420"/>
      <c r="C728" s="415"/>
      <c r="D728" s="415"/>
      <c r="E728" s="415"/>
      <c r="F728" s="390"/>
      <c r="G728" s="432" t="s">
        <v>656</v>
      </c>
      <c r="H728" s="433">
        <f>+H721+H727</f>
        <v>1.86</v>
      </c>
      <c r="I728" s="398"/>
      <c r="J728" s="398"/>
      <c r="K728" s="398"/>
      <c r="L728" s="391"/>
    </row>
    <row r="729" spans="1:12" ht="15.75" x14ac:dyDescent="0.25">
      <c r="A729" s="420"/>
      <c r="B729" s="420"/>
      <c r="C729" s="415"/>
      <c r="D729" s="415"/>
      <c r="E729" s="415"/>
      <c r="F729" s="390"/>
      <c r="G729" s="391"/>
      <c r="H729" s="398"/>
      <c r="I729" s="398"/>
      <c r="J729" s="398"/>
      <c r="K729" s="398"/>
      <c r="L729" s="391"/>
    </row>
    <row r="731" spans="1:12" ht="20.25" x14ac:dyDescent="0.3">
      <c r="A731" s="387" t="s">
        <v>640</v>
      </c>
      <c r="B731" s="388"/>
      <c r="C731" s="389"/>
      <c r="D731" s="389"/>
      <c r="E731" s="389"/>
      <c r="F731" s="390"/>
      <c r="G731" s="391"/>
      <c r="H731" s="391"/>
    </row>
    <row r="732" spans="1:12" ht="15.75" x14ac:dyDescent="0.25">
      <c r="A732" s="389" t="s">
        <v>252</v>
      </c>
      <c r="B732" s="389"/>
      <c r="C732" s="389"/>
      <c r="D732" s="389"/>
      <c r="E732" s="389"/>
      <c r="F732" s="390"/>
      <c r="G732" s="391"/>
      <c r="H732" s="391"/>
    </row>
    <row r="733" spans="1:12" ht="15.75" x14ac:dyDescent="0.25">
      <c r="A733" s="388" t="s">
        <v>253</v>
      </c>
      <c r="B733" s="389"/>
      <c r="C733" s="389"/>
      <c r="D733" s="389"/>
      <c r="E733" s="389"/>
      <c r="F733" s="390"/>
      <c r="G733" s="393"/>
      <c r="H733" s="393"/>
    </row>
    <row r="734" spans="1:12" ht="15.75" x14ac:dyDescent="0.25">
      <c r="A734" s="389" t="s">
        <v>356</v>
      </c>
      <c r="B734" s="389"/>
      <c r="C734" s="389"/>
      <c r="D734" s="389"/>
      <c r="E734" s="389"/>
      <c r="F734" s="390"/>
      <c r="G734" s="391"/>
      <c r="H734" s="391"/>
    </row>
    <row r="735" spans="1:12" ht="15.75" x14ac:dyDescent="0.25">
      <c r="A735" s="394" t="s">
        <v>457</v>
      </c>
      <c r="B735" s="395" t="s">
        <v>1576</v>
      </c>
      <c r="C735" s="396"/>
      <c r="D735" s="437">
        <v>2019</v>
      </c>
      <c r="E735" s="389"/>
      <c r="F735" s="390"/>
      <c r="G735" s="391"/>
      <c r="H735" s="397"/>
    </row>
    <row r="736" spans="1:12" ht="15.75" x14ac:dyDescent="0.25">
      <c r="A736" s="392"/>
      <c r="B736" s="392"/>
      <c r="C736" s="389"/>
      <c r="D736" s="389"/>
      <c r="E736" s="389"/>
      <c r="F736" s="390"/>
      <c r="G736" s="391"/>
      <c r="H736" s="391"/>
    </row>
    <row r="737" spans="1:8" ht="15.75" x14ac:dyDescent="0.25">
      <c r="A737" s="392"/>
      <c r="B737" s="392"/>
      <c r="C737" s="389"/>
      <c r="D737" s="389"/>
      <c r="E737" s="389"/>
      <c r="F737" s="390"/>
      <c r="G737" s="391"/>
      <c r="H737" s="391"/>
    </row>
    <row r="738" spans="1:8" ht="15.75" x14ac:dyDescent="0.25">
      <c r="A738" s="392"/>
      <c r="B738" s="392"/>
      <c r="C738" s="389"/>
      <c r="D738" s="389"/>
      <c r="E738" s="389"/>
      <c r="F738" s="390"/>
      <c r="G738" s="398" t="s">
        <v>94</v>
      </c>
      <c r="H738" s="398" t="s">
        <v>94</v>
      </c>
    </row>
    <row r="739" spans="1:8" ht="16.5" thickBot="1" x14ac:dyDescent="0.3">
      <c r="A739" s="399" t="s">
        <v>137</v>
      </c>
      <c r="B739" s="399"/>
      <c r="C739" s="399" t="s">
        <v>643</v>
      </c>
      <c r="D739" s="399"/>
      <c r="E739" s="399" t="s">
        <v>644</v>
      </c>
      <c r="F739" s="400" t="s">
        <v>140</v>
      </c>
      <c r="G739" s="401" t="s">
        <v>327</v>
      </c>
      <c r="H739" s="430" t="s">
        <v>645</v>
      </c>
    </row>
    <row r="740" spans="1:8" ht="16.5" thickTop="1" x14ac:dyDescent="0.25">
      <c r="A740" s="431"/>
      <c r="B740" s="402"/>
      <c r="C740" s="403"/>
      <c r="D740" s="403"/>
      <c r="E740" s="403"/>
      <c r="F740" s="404"/>
      <c r="G740" s="404"/>
      <c r="H740" s="405"/>
    </row>
    <row r="741" spans="1:8" ht="15.75" x14ac:dyDescent="0.25">
      <c r="A741" s="407">
        <v>43906</v>
      </c>
      <c r="B741" s="408"/>
      <c r="C741" s="449">
        <v>2042</v>
      </c>
      <c r="D741" s="408"/>
      <c r="E741" s="410">
        <f>C741</f>
        <v>2042</v>
      </c>
      <c r="F741" s="411">
        <v>0</v>
      </c>
      <c r="G741" s="411"/>
      <c r="H741" s="413">
        <v>2.21</v>
      </c>
    </row>
    <row r="742" spans="1:8" ht="15.75" x14ac:dyDescent="0.25">
      <c r="A742" s="407">
        <v>43906</v>
      </c>
      <c r="B742" s="408"/>
      <c r="C742" s="449">
        <v>2043</v>
      </c>
      <c r="D742" s="408"/>
      <c r="E742" s="410">
        <f>C742</f>
        <v>2043</v>
      </c>
      <c r="F742" s="411">
        <v>0</v>
      </c>
      <c r="G742" s="411"/>
      <c r="H742" s="413">
        <v>14.11</v>
      </c>
    </row>
    <row r="743" spans="1:8" ht="15.75" x14ac:dyDescent="0.25">
      <c r="A743" s="407">
        <v>43921</v>
      </c>
      <c r="B743" s="408"/>
      <c r="C743" s="409" t="s">
        <v>1575</v>
      </c>
      <c r="D743" s="408"/>
      <c r="E743" s="410" t="str">
        <f>C743</f>
        <v>2044</v>
      </c>
      <c r="F743" s="411">
        <v>0</v>
      </c>
      <c r="G743" s="436">
        <v>777.88</v>
      </c>
      <c r="H743" s="413">
        <v>0</v>
      </c>
    </row>
    <row r="747" spans="1:8" ht="16.5" thickBot="1" x14ac:dyDescent="0.3">
      <c r="A747" s="416"/>
      <c r="B747" s="416"/>
      <c r="C747" s="417"/>
      <c r="D747" s="417"/>
      <c r="E747" s="417"/>
      <c r="F747" s="400"/>
      <c r="G747" s="400"/>
      <c r="H747" s="418"/>
    </row>
    <row r="748" spans="1:8" ht="16.5" thickTop="1" x14ac:dyDescent="0.25">
      <c r="A748" s="420"/>
      <c r="B748" s="420"/>
      <c r="C748" s="415"/>
      <c r="D748" s="415"/>
      <c r="E748" s="415"/>
      <c r="F748" s="412">
        <f>SUM(F728:F747)</f>
        <v>0</v>
      </c>
      <c r="G748" s="412">
        <f>SUM(G728:G747)</f>
        <v>777.88</v>
      </c>
      <c r="H748" s="412">
        <f>SUM(H740:H747)</f>
        <v>16.32</v>
      </c>
    </row>
    <row r="749" spans="1:8" ht="15.75" x14ac:dyDescent="0.25">
      <c r="A749" s="420"/>
      <c r="B749" s="420"/>
      <c r="C749" s="415"/>
      <c r="D749" s="415"/>
      <c r="E749" s="415"/>
      <c r="F749" s="390"/>
      <c r="G749" s="412"/>
      <c r="H749" s="412"/>
    </row>
    <row r="750" spans="1:8" ht="15.75" x14ac:dyDescent="0.25">
      <c r="A750" s="420"/>
      <c r="B750" s="420"/>
      <c r="C750" s="415" t="s">
        <v>653</v>
      </c>
      <c r="D750" s="415"/>
      <c r="E750" s="415"/>
      <c r="F750" s="390"/>
      <c r="G750" s="412"/>
      <c r="H750" s="412">
        <f>+F748</f>
        <v>0</v>
      </c>
    </row>
    <row r="751" spans="1:8" ht="15.75" x14ac:dyDescent="0.25">
      <c r="A751" s="420"/>
      <c r="B751" s="420"/>
      <c r="C751" s="415"/>
      <c r="D751" s="415"/>
      <c r="E751" s="415"/>
      <c r="F751" s="390"/>
      <c r="G751" s="412"/>
      <c r="H751" s="412"/>
    </row>
    <row r="752" spans="1:8" ht="15.75" x14ac:dyDescent="0.25">
      <c r="A752" s="420"/>
      <c r="B752" s="420"/>
      <c r="C752" s="415" t="s">
        <v>654</v>
      </c>
      <c r="D752" s="415"/>
      <c r="E752" s="415"/>
      <c r="F752" s="390"/>
      <c r="G752" s="412"/>
      <c r="H752" s="412">
        <f>+G748</f>
        <v>777.88</v>
      </c>
    </row>
    <row r="753" spans="1:12" ht="15.75" x14ac:dyDescent="0.25">
      <c r="A753" s="420"/>
      <c r="B753" s="420"/>
      <c r="C753" s="415"/>
      <c r="D753" s="415"/>
      <c r="E753" s="415"/>
      <c r="F753" s="390"/>
      <c r="G753" s="412"/>
      <c r="H753" s="412"/>
    </row>
    <row r="754" spans="1:12" ht="15.75" x14ac:dyDescent="0.25">
      <c r="A754" s="420"/>
      <c r="B754" s="420"/>
      <c r="C754" s="415"/>
      <c r="D754" s="415"/>
      <c r="E754" s="415"/>
      <c r="F754" s="390"/>
      <c r="G754" s="421"/>
      <c r="H754" s="391"/>
    </row>
    <row r="755" spans="1:12" ht="15.75" x14ac:dyDescent="0.25">
      <c r="A755" s="420"/>
      <c r="B755" s="420"/>
      <c r="C755" s="415" t="s">
        <v>590</v>
      </c>
      <c r="D755" s="415"/>
      <c r="E755" s="415"/>
      <c r="F755" s="390"/>
      <c r="G755" s="391"/>
      <c r="H755" s="393"/>
    </row>
    <row r="756" spans="1:12" ht="15.75" x14ac:dyDescent="0.25">
      <c r="A756" s="420"/>
      <c r="B756" s="420"/>
      <c r="C756" s="415" t="s">
        <v>141</v>
      </c>
      <c r="D756" s="415"/>
      <c r="E756" s="415"/>
      <c r="F756" s="390"/>
      <c r="G756" s="391"/>
      <c r="H756" s="332">
        <f>ROUND(H748/1.13,2)</f>
        <v>14.44</v>
      </c>
    </row>
    <row r="757" spans="1:12" ht="15.75" x14ac:dyDescent="0.25">
      <c r="A757" s="420"/>
      <c r="B757" s="420"/>
      <c r="C757" s="415" t="s">
        <v>591</v>
      </c>
      <c r="D757" s="415"/>
      <c r="E757" s="415"/>
      <c r="F757" s="390"/>
      <c r="G757" s="391"/>
      <c r="H757" s="435">
        <v>1.87</v>
      </c>
    </row>
    <row r="758" spans="1:12" ht="16.5" thickBot="1" x14ac:dyDescent="0.3">
      <c r="A758" s="420"/>
      <c r="B758" s="420"/>
      <c r="C758" s="415"/>
      <c r="D758" s="415"/>
      <c r="E758" s="415"/>
      <c r="F758" s="390"/>
      <c r="G758" s="391"/>
      <c r="H758" s="424"/>
    </row>
    <row r="759" spans="1:12" ht="16.5" thickTop="1" x14ac:dyDescent="0.25">
      <c r="A759" s="420"/>
      <c r="B759" s="420"/>
      <c r="C759" s="415" t="s">
        <v>592</v>
      </c>
      <c r="D759" s="415"/>
      <c r="E759" s="415"/>
      <c r="F759" s="390"/>
      <c r="G759" s="391"/>
      <c r="H759" s="406">
        <f>SUM(H756:H758)</f>
        <v>16.309999999999999</v>
      </c>
    </row>
    <row r="760" spans="1:12" ht="16.5" thickBot="1" x14ac:dyDescent="0.3">
      <c r="A760" s="420"/>
      <c r="B760" s="420"/>
      <c r="C760" s="415"/>
      <c r="D760" s="415"/>
      <c r="E760" s="415"/>
      <c r="F760" s="390"/>
      <c r="G760" s="391"/>
      <c r="H760" s="424"/>
    </row>
    <row r="761" spans="1:12" ht="16.5" thickTop="1" x14ac:dyDescent="0.25">
      <c r="A761" s="420"/>
      <c r="B761" s="420"/>
      <c r="C761" s="415"/>
      <c r="D761" s="415"/>
      <c r="E761" s="415"/>
      <c r="F761" s="390"/>
      <c r="G761" s="391"/>
      <c r="H761" s="426"/>
    </row>
    <row r="762" spans="1:12" ht="15.75" x14ac:dyDescent="0.25">
      <c r="A762" s="420"/>
      <c r="B762" s="420"/>
      <c r="C762" s="415"/>
      <c r="D762" s="415"/>
      <c r="E762" s="415"/>
      <c r="F762" s="390"/>
      <c r="G762" s="391"/>
      <c r="H762" s="398"/>
    </row>
    <row r="763" spans="1:12" ht="15.75" x14ac:dyDescent="0.25">
      <c r="A763" s="420"/>
      <c r="B763" s="420"/>
      <c r="C763" s="415"/>
      <c r="D763" s="415"/>
      <c r="E763" s="415"/>
      <c r="F763" s="434"/>
      <c r="G763" s="391" t="s">
        <v>655</v>
      </c>
      <c r="H763" s="398">
        <v>0</v>
      </c>
    </row>
    <row r="764" spans="1:12" ht="15.75" x14ac:dyDescent="0.25">
      <c r="A764" s="420"/>
      <c r="B764" s="420"/>
      <c r="C764" s="415"/>
      <c r="D764" s="415"/>
      <c r="E764" s="415"/>
      <c r="F764" s="390"/>
      <c r="G764" s="432" t="s">
        <v>656</v>
      </c>
      <c r="H764" s="433">
        <f>+H757+H763</f>
        <v>1.87</v>
      </c>
    </row>
    <row r="767" spans="1:12" ht="20.25" x14ac:dyDescent="0.3">
      <c r="A767" s="387" t="s">
        <v>640</v>
      </c>
      <c r="B767" s="388"/>
      <c r="C767" s="389"/>
      <c r="D767" s="389"/>
      <c r="E767" s="389"/>
      <c r="F767" s="390"/>
      <c r="G767" s="391"/>
      <c r="H767" s="391"/>
      <c r="I767" s="391"/>
      <c r="J767" s="391"/>
      <c r="K767" s="391"/>
      <c r="L767" s="391"/>
    </row>
    <row r="768" spans="1:12" ht="15.75" x14ac:dyDescent="0.25">
      <c r="A768" s="389" t="s">
        <v>252</v>
      </c>
      <c r="B768" s="389"/>
      <c r="C768" s="389"/>
      <c r="D768" s="389"/>
      <c r="E768" s="389"/>
      <c r="F768" s="390"/>
      <c r="G768" s="391"/>
      <c r="H768" s="391"/>
      <c r="I768" s="391"/>
      <c r="J768" s="391"/>
      <c r="K768" s="391"/>
      <c r="L768" s="391"/>
    </row>
    <row r="769" spans="1:12" ht="15.75" x14ac:dyDescent="0.25">
      <c r="A769" s="388" t="s">
        <v>253</v>
      </c>
      <c r="B769" s="389"/>
      <c r="C769" s="389"/>
      <c r="D769" s="389"/>
      <c r="E769" s="389"/>
      <c r="F769" s="390"/>
      <c r="G769" s="393"/>
      <c r="H769" s="393"/>
      <c r="I769" s="391"/>
      <c r="J769" s="391"/>
      <c r="K769" s="391"/>
      <c r="L769" s="391"/>
    </row>
    <row r="770" spans="1:12" ht="15.75" x14ac:dyDescent="0.25">
      <c r="A770" s="389" t="s">
        <v>356</v>
      </c>
      <c r="B770" s="389"/>
      <c r="C770" s="389"/>
      <c r="D770" s="389"/>
      <c r="E770" s="389"/>
      <c r="F770" s="390"/>
      <c r="G770" s="391"/>
      <c r="H770" s="391"/>
      <c r="I770" s="391"/>
      <c r="J770" s="391"/>
      <c r="K770" s="391"/>
      <c r="L770" s="391"/>
    </row>
    <row r="771" spans="1:12" ht="15.75" x14ac:dyDescent="0.25">
      <c r="A771" s="394" t="s">
        <v>457</v>
      </c>
      <c r="B771" s="395">
        <f>'[18]Integracion '!B772</f>
        <v>0</v>
      </c>
      <c r="C771" s="396"/>
      <c r="D771" s="437">
        <v>2019</v>
      </c>
      <c r="E771" s="389"/>
      <c r="F771" s="390"/>
      <c r="G771" s="391"/>
      <c r="H771" s="397"/>
      <c r="I771" s="397"/>
      <c r="J771" s="397"/>
      <c r="K771" s="397"/>
      <c r="L771" s="397"/>
    </row>
    <row r="772" spans="1:12" ht="15.75" x14ac:dyDescent="0.25">
      <c r="A772" s="392"/>
      <c r="B772" s="392"/>
      <c r="C772" s="389"/>
      <c r="D772" s="389"/>
      <c r="E772" s="389"/>
      <c r="F772" s="390"/>
      <c r="G772" s="391"/>
      <c r="H772" s="391"/>
      <c r="I772" s="391"/>
      <c r="J772" s="391"/>
      <c r="K772" s="391"/>
      <c r="L772" s="391"/>
    </row>
    <row r="773" spans="1:12" ht="15.75" x14ac:dyDescent="0.25">
      <c r="A773" s="392"/>
      <c r="B773" s="392"/>
      <c r="C773" s="389"/>
      <c r="D773" s="389"/>
      <c r="E773" s="389"/>
      <c r="F773" s="390"/>
      <c r="G773" s="391"/>
      <c r="H773" s="391"/>
      <c r="I773" s="391"/>
      <c r="J773" s="391"/>
      <c r="K773" s="391"/>
      <c r="L773" s="391"/>
    </row>
    <row r="774" spans="1:12" ht="15.75" x14ac:dyDescent="0.25">
      <c r="A774" s="392"/>
      <c r="B774" s="392"/>
      <c r="C774" s="389"/>
      <c r="D774" s="389"/>
      <c r="E774" s="389"/>
      <c r="F774" s="390"/>
      <c r="G774" s="398" t="s">
        <v>94</v>
      </c>
      <c r="H774" s="398" t="s">
        <v>94</v>
      </c>
      <c r="I774" s="398" t="s">
        <v>641</v>
      </c>
      <c r="J774" s="398" t="s">
        <v>642</v>
      </c>
      <c r="K774" s="398" t="s">
        <v>94</v>
      </c>
      <c r="L774" s="398" t="s">
        <v>257</v>
      </c>
    </row>
    <row r="775" spans="1:12" ht="16.5" thickBot="1" x14ac:dyDescent="0.3">
      <c r="A775" s="399" t="s">
        <v>137</v>
      </c>
      <c r="B775" s="399"/>
      <c r="C775" s="399" t="s">
        <v>643</v>
      </c>
      <c r="D775" s="399"/>
      <c r="E775" s="399" t="s">
        <v>644</v>
      </c>
      <c r="F775" s="400" t="s">
        <v>140</v>
      </c>
      <c r="G775" s="401" t="s">
        <v>327</v>
      </c>
      <c r="H775" s="430" t="s">
        <v>645</v>
      </c>
      <c r="I775" s="401" t="s">
        <v>646</v>
      </c>
      <c r="J775" s="401" t="s">
        <v>647</v>
      </c>
      <c r="K775" s="401" t="s">
        <v>326</v>
      </c>
      <c r="L775" s="401" t="s">
        <v>94</v>
      </c>
    </row>
    <row r="776" spans="1:12" ht="16.5" thickTop="1" x14ac:dyDescent="0.25">
      <c r="A776" s="431"/>
      <c r="B776" s="402"/>
      <c r="C776" s="403"/>
      <c r="D776" s="403"/>
      <c r="E776" s="403"/>
      <c r="F776" s="404"/>
      <c r="G776" s="404"/>
      <c r="H776" s="405"/>
      <c r="I776" s="405"/>
      <c r="J776" s="405"/>
      <c r="K776" s="405"/>
      <c r="L776" s="406"/>
    </row>
    <row r="777" spans="1:12" ht="15.75" x14ac:dyDescent="0.25">
      <c r="A777" s="407">
        <v>43943</v>
      </c>
      <c r="B777" s="408"/>
      <c r="C777" s="449">
        <v>2045</v>
      </c>
      <c r="D777" s="408"/>
      <c r="E777" s="410">
        <f>C777</f>
        <v>2045</v>
      </c>
      <c r="F777" s="411">
        <v>0</v>
      </c>
      <c r="G777" s="411"/>
      <c r="H777" s="413">
        <v>11.58</v>
      </c>
      <c r="I777" s="405"/>
      <c r="J777" s="405"/>
      <c r="K777" s="413">
        <v>0</v>
      </c>
      <c r="L777" s="412"/>
    </row>
    <row r="778" spans="1:12" ht="15.75" x14ac:dyDescent="0.25">
      <c r="A778" s="407">
        <v>43943</v>
      </c>
      <c r="B778" s="408"/>
      <c r="C778" s="449">
        <v>2046</v>
      </c>
      <c r="D778" s="408"/>
      <c r="E778" s="410">
        <f>C778</f>
        <v>2046</v>
      </c>
      <c r="F778" s="411">
        <v>0</v>
      </c>
      <c r="G778" s="411"/>
      <c r="H778" s="413">
        <v>1.89</v>
      </c>
      <c r="I778" s="405"/>
      <c r="J778" s="405"/>
      <c r="K778" s="413">
        <v>0</v>
      </c>
      <c r="L778" s="412"/>
    </row>
    <row r="779" spans="1:12" ht="15.75" x14ac:dyDescent="0.25">
      <c r="A779" s="407">
        <v>43951</v>
      </c>
      <c r="B779" s="408"/>
      <c r="C779" s="409" t="s">
        <v>1593</v>
      </c>
      <c r="D779" s="408"/>
      <c r="E779" s="410" t="str">
        <f>C779</f>
        <v>2049</v>
      </c>
      <c r="F779" s="411">
        <v>0</v>
      </c>
      <c r="G779" s="436">
        <v>18.13</v>
      </c>
      <c r="H779" s="413">
        <v>0</v>
      </c>
      <c r="I779" s="405"/>
      <c r="J779" s="405"/>
      <c r="K779" s="413">
        <v>0</v>
      </c>
      <c r="L779" s="412"/>
    </row>
    <row r="780" spans="1:12" ht="15.75" x14ac:dyDescent="0.25">
      <c r="A780" s="407">
        <v>43951</v>
      </c>
      <c r="B780" s="408"/>
      <c r="C780" s="409" t="s">
        <v>1594</v>
      </c>
      <c r="D780" s="408"/>
      <c r="E780" s="410" t="str">
        <f>C780</f>
        <v>2050</v>
      </c>
      <c r="F780" s="411">
        <v>0</v>
      </c>
      <c r="G780" s="411">
        <v>73.27</v>
      </c>
      <c r="H780" s="413">
        <v>0</v>
      </c>
      <c r="I780" s="405"/>
      <c r="J780" s="405"/>
      <c r="K780" s="413">
        <v>0</v>
      </c>
      <c r="L780" s="406"/>
    </row>
    <row r="781" spans="1:12" ht="15.75" x14ac:dyDescent="0.25">
      <c r="A781" s="407">
        <v>43951</v>
      </c>
      <c r="B781" s="408"/>
      <c r="C781" s="409" t="s">
        <v>1595</v>
      </c>
      <c r="D781" s="408"/>
      <c r="E781" s="410" t="str">
        <f>C781</f>
        <v>2051</v>
      </c>
      <c r="F781" s="411">
        <v>0</v>
      </c>
      <c r="G781" s="411">
        <v>22.31</v>
      </c>
      <c r="H781" s="413">
        <v>0</v>
      </c>
      <c r="I781" s="405"/>
      <c r="J781" s="405"/>
      <c r="K781" s="413">
        <v>0</v>
      </c>
      <c r="L781" s="412"/>
    </row>
    <row r="782" spans="1:12" x14ac:dyDescent="0.2">
      <c r="H782" s="704">
        <f>SUM(H777:H781)</f>
        <v>13.47</v>
      </c>
    </row>
    <row r="784" spans="1:12" ht="15.75" x14ac:dyDescent="0.25">
      <c r="A784" s="420"/>
      <c r="B784" s="420"/>
      <c r="C784" s="415" t="s">
        <v>653</v>
      </c>
      <c r="D784" s="415"/>
      <c r="E784" s="415"/>
      <c r="F784" s="390"/>
      <c r="G784" s="412"/>
      <c r="H784" s="412">
        <f>+F782</f>
        <v>0</v>
      </c>
    </row>
    <row r="785" spans="1:12" ht="15.75" x14ac:dyDescent="0.25">
      <c r="A785" s="420"/>
      <c r="B785" s="420"/>
      <c r="C785" s="415"/>
      <c r="D785" s="415"/>
      <c r="E785" s="415"/>
      <c r="F785" s="390"/>
      <c r="G785" s="412"/>
      <c r="H785" s="412"/>
    </row>
    <row r="786" spans="1:12" ht="15.75" x14ac:dyDescent="0.25">
      <c r="A786" s="420"/>
      <c r="B786" s="420"/>
      <c r="C786" s="415" t="s">
        <v>654</v>
      </c>
      <c r="D786" s="415"/>
      <c r="E786" s="415"/>
      <c r="F786" s="390"/>
      <c r="G786" s="412"/>
      <c r="H786" s="412">
        <f>+G782</f>
        <v>0</v>
      </c>
    </row>
    <row r="787" spans="1:12" ht="15.75" x14ac:dyDescent="0.25">
      <c r="A787" s="420"/>
      <c r="B787" s="420"/>
      <c r="C787" s="415"/>
      <c r="D787" s="415"/>
      <c r="E787" s="415"/>
      <c r="F787" s="390"/>
      <c r="G787" s="412"/>
      <c r="H787" s="412"/>
    </row>
    <row r="788" spans="1:12" ht="15.75" x14ac:dyDescent="0.25">
      <c r="A788" s="420"/>
      <c r="B788" s="420"/>
      <c r="C788" s="415"/>
      <c r="D788" s="415"/>
      <c r="E788" s="415"/>
      <c r="F788" s="390"/>
      <c r="G788" s="421"/>
      <c r="H788" s="391"/>
    </row>
    <row r="789" spans="1:12" ht="15.75" x14ac:dyDescent="0.25">
      <c r="A789" s="420"/>
      <c r="B789" s="420"/>
      <c r="C789" s="415" t="s">
        <v>590</v>
      </c>
      <c r="D789" s="415"/>
      <c r="E789" s="415"/>
      <c r="F789" s="390"/>
      <c r="G789" s="391"/>
      <c r="H789" s="393"/>
    </row>
    <row r="790" spans="1:12" ht="15.75" x14ac:dyDescent="0.25">
      <c r="A790" s="420"/>
      <c r="B790" s="420"/>
      <c r="C790" s="415" t="s">
        <v>141</v>
      </c>
      <c r="D790" s="415"/>
      <c r="E790" s="415"/>
      <c r="F790" s="390"/>
      <c r="G790" s="391"/>
      <c r="H790" s="332">
        <f>ROUND(H782/1.13,2)</f>
        <v>11.92</v>
      </c>
    </row>
    <row r="791" spans="1:12" ht="15.75" x14ac:dyDescent="0.25">
      <c r="A791" s="420"/>
      <c r="B791" s="420"/>
      <c r="C791" s="415" t="s">
        <v>591</v>
      </c>
      <c r="D791" s="415"/>
      <c r="E791" s="415"/>
      <c r="F791" s="390"/>
      <c r="G791" s="391"/>
      <c r="H791" s="435">
        <v>1.55</v>
      </c>
    </row>
    <row r="792" spans="1:12" ht="16.5" thickBot="1" x14ac:dyDescent="0.3">
      <c r="A792" s="420"/>
      <c r="B792" s="420"/>
      <c r="C792" s="415"/>
      <c r="D792" s="415"/>
      <c r="E792" s="415"/>
      <c r="F792" s="390"/>
      <c r="G792" s="391"/>
      <c r="H792" s="424"/>
    </row>
    <row r="793" spans="1:12" ht="16.5" thickTop="1" x14ac:dyDescent="0.25">
      <c r="A793" s="420"/>
      <c r="B793" s="420"/>
      <c r="C793" s="415" t="s">
        <v>592</v>
      </c>
      <c r="D793" s="415"/>
      <c r="E793" s="415"/>
      <c r="F793" s="390"/>
      <c r="G793" s="391"/>
      <c r="H793" s="406">
        <f>SUM(H790:H792)</f>
        <v>13.47</v>
      </c>
    </row>
    <row r="794" spans="1:12" ht="16.5" thickBot="1" x14ac:dyDescent="0.3">
      <c r="A794" s="420"/>
      <c r="B794" s="420"/>
      <c r="C794" s="415"/>
      <c r="D794" s="415"/>
      <c r="E794" s="415"/>
      <c r="F794" s="390"/>
      <c r="G794" s="391"/>
      <c r="H794" s="424"/>
    </row>
    <row r="795" spans="1:12" ht="16.5" thickTop="1" x14ac:dyDescent="0.25">
      <c r="A795" s="420"/>
      <c r="B795" s="420"/>
      <c r="C795" s="415"/>
      <c r="D795" s="415"/>
      <c r="E795" s="415"/>
      <c r="F795" s="390"/>
      <c r="G795" s="391"/>
      <c r="H795" s="426"/>
    </row>
    <row r="796" spans="1:12" ht="15.75" x14ac:dyDescent="0.25">
      <c r="A796" s="420"/>
      <c r="B796" s="420"/>
      <c r="C796" s="415"/>
      <c r="D796" s="415"/>
      <c r="E796" s="415"/>
      <c r="F796" s="390"/>
      <c r="G796" s="391"/>
      <c r="H796" s="398"/>
      <c r="I796" s="391"/>
      <c r="J796" s="391"/>
      <c r="K796" s="391"/>
      <c r="L796" s="391"/>
    </row>
    <row r="797" spans="1:12" ht="15.75" x14ac:dyDescent="0.25">
      <c r="A797" s="420"/>
      <c r="B797" s="420"/>
      <c r="C797" s="415"/>
      <c r="D797" s="415"/>
      <c r="E797" s="415"/>
      <c r="F797" s="434"/>
      <c r="G797" s="391" t="s">
        <v>655</v>
      </c>
      <c r="H797" s="398">
        <v>-1.55</v>
      </c>
      <c r="I797" s="391"/>
      <c r="J797" s="391"/>
      <c r="K797" s="391"/>
      <c r="L797" s="391"/>
    </row>
    <row r="798" spans="1:12" ht="15.75" x14ac:dyDescent="0.25">
      <c r="A798" s="420"/>
      <c r="B798" s="420"/>
      <c r="C798" s="415"/>
      <c r="D798" s="415"/>
      <c r="E798" s="415"/>
      <c r="F798" s="390"/>
      <c r="G798" s="432" t="s">
        <v>656</v>
      </c>
      <c r="H798" s="433">
        <f>+H791+H797</f>
        <v>0</v>
      </c>
      <c r="I798" s="391"/>
      <c r="J798" s="391"/>
      <c r="K798" s="391"/>
      <c r="L798" s="391"/>
    </row>
    <row r="799" spans="1:12" ht="15.75" x14ac:dyDescent="0.25">
      <c r="A799" s="420"/>
      <c r="B799" s="420"/>
      <c r="C799" s="415"/>
      <c r="D799" s="415"/>
      <c r="E799" s="415"/>
      <c r="F799" s="390"/>
      <c r="G799" s="432"/>
      <c r="H799" s="433"/>
      <c r="I799" s="391"/>
      <c r="J799" s="391"/>
      <c r="K799" s="391"/>
      <c r="L799" s="391"/>
    </row>
    <row r="800" spans="1:12" ht="20.25" x14ac:dyDescent="0.3">
      <c r="A800" s="387" t="s">
        <v>640</v>
      </c>
      <c r="B800" s="388"/>
      <c r="C800" s="389"/>
      <c r="D800" s="389"/>
      <c r="E800" s="389"/>
      <c r="F800" s="390"/>
      <c r="G800" s="391"/>
      <c r="H800" s="391"/>
      <c r="I800" s="391"/>
      <c r="J800" s="391"/>
      <c r="K800" s="391"/>
      <c r="L800" s="391"/>
    </row>
    <row r="801" spans="1:12" ht="15.75" x14ac:dyDescent="0.25">
      <c r="A801" s="389" t="s">
        <v>252</v>
      </c>
      <c r="B801" s="389"/>
      <c r="C801" s="389"/>
      <c r="D801" s="389"/>
      <c r="E801" s="389"/>
      <c r="F801" s="390"/>
      <c r="G801" s="391"/>
      <c r="H801" s="391"/>
      <c r="I801" s="391"/>
      <c r="J801" s="391"/>
      <c r="K801" s="391"/>
      <c r="L801" s="391"/>
    </row>
    <row r="802" spans="1:12" ht="15.75" x14ac:dyDescent="0.25">
      <c r="A802" s="388" t="s">
        <v>253</v>
      </c>
      <c r="B802" s="389"/>
      <c r="C802" s="389"/>
      <c r="D802" s="389"/>
      <c r="E802" s="389"/>
      <c r="F802" s="390"/>
      <c r="G802" s="393"/>
      <c r="H802" s="393"/>
      <c r="I802" s="391"/>
      <c r="J802" s="391"/>
      <c r="K802" s="391"/>
      <c r="L802" s="391"/>
    </row>
    <row r="803" spans="1:12" ht="15.75" x14ac:dyDescent="0.25">
      <c r="A803" s="389" t="s">
        <v>356</v>
      </c>
      <c r="B803" s="389"/>
      <c r="C803" s="389"/>
      <c r="D803" s="389"/>
      <c r="E803" s="389"/>
      <c r="F803" s="390"/>
      <c r="G803" s="391"/>
      <c r="H803" s="391"/>
      <c r="I803" s="391"/>
      <c r="J803" s="391"/>
      <c r="K803" s="391"/>
      <c r="L803" s="391"/>
    </row>
    <row r="804" spans="1:12" ht="15.75" x14ac:dyDescent="0.25">
      <c r="A804" s="394" t="s">
        <v>457</v>
      </c>
      <c r="B804" s="395">
        <f>'[26]Integracion '!B805</f>
        <v>0</v>
      </c>
      <c r="C804" s="396"/>
      <c r="D804" s="437">
        <v>2019</v>
      </c>
      <c r="E804" s="389"/>
      <c r="F804" s="390"/>
      <c r="G804" s="391"/>
      <c r="H804" s="397"/>
      <c r="I804" s="391"/>
      <c r="J804" s="391"/>
      <c r="K804" s="391"/>
      <c r="L804" s="391"/>
    </row>
    <row r="805" spans="1:12" ht="15.75" x14ac:dyDescent="0.25">
      <c r="A805" s="392"/>
      <c r="B805" s="392"/>
      <c r="C805" s="389"/>
      <c r="D805" s="389"/>
      <c r="E805" s="389"/>
      <c r="F805" s="390"/>
      <c r="G805" s="391"/>
      <c r="H805" s="391"/>
      <c r="I805" s="391"/>
      <c r="J805" s="391"/>
      <c r="K805" s="391"/>
      <c r="L805" s="391"/>
    </row>
    <row r="806" spans="1:12" ht="15.75" x14ac:dyDescent="0.25">
      <c r="A806" s="392"/>
      <c r="B806" s="392"/>
      <c r="C806" s="389"/>
      <c r="D806" s="389"/>
      <c r="E806" s="389"/>
      <c r="F806" s="390"/>
      <c r="G806" s="391"/>
      <c r="H806" s="391"/>
      <c r="I806" s="391"/>
      <c r="J806" s="391"/>
      <c r="K806" s="391"/>
      <c r="L806" s="391"/>
    </row>
    <row r="807" spans="1:12" ht="15.75" x14ac:dyDescent="0.25">
      <c r="A807" s="392"/>
      <c r="B807" s="392"/>
      <c r="C807" s="389"/>
      <c r="D807" s="389"/>
      <c r="E807" s="389"/>
      <c r="F807" s="390"/>
      <c r="G807" s="398" t="s">
        <v>94</v>
      </c>
      <c r="H807" s="398" t="s">
        <v>94</v>
      </c>
      <c r="I807" s="391"/>
      <c r="J807" s="391"/>
      <c r="K807" s="391"/>
      <c r="L807" s="391"/>
    </row>
    <row r="808" spans="1:12" ht="16.5" thickBot="1" x14ac:dyDescent="0.3">
      <c r="A808" s="399" t="s">
        <v>137</v>
      </c>
      <c r="B808" s="399"/>
      <c r="C808" s="399" t="s">
        <v>643</v>
      </c>
      <c r="D808" s="399"/>
      <c r="E808" s="399" t="s">
        <v>644</v>
      </c>
      <c r="F808" s="400" t="s">
        <v>140</v>
      </c>
      <c r="G808" s="401" t="s">
        <v>327</v>
      </c>
      <c r="H808" s="430" t="s">
        <v>645</v>
      </c>
      <c r="I808" s="391"/>
      <c r="J808" s="391"/>
      <c r="K808" s="391"/>
      <c r="L808" s="391"/>
    </row>
    <row r="809" spans="1:12" ht="16.5" thickTop="1" x14ac:dyDescent="0.25">
      <c r="A809" s="431"/>
      <c r="B809" s="402"/>
      <c r="C809" s="403"/>
      <c r="D809" s="403"/>
      <c r="E809" s="403"/>
      <c r="F809" s="404"/>
      <c r="G809" s="404"/>
      <c r="H809" s="405"/>
      <c r="I809" s="391"/>
      <c r="J809" s="391"/>
      <c r="K809" s="391"/>
      <c r="L809" s="391"/>
    </row>
    <row r="810" spans="1:12" ht="15.75" x14ac:dyDescent="0.25">
      <c r="A810" s="407">
        <v>43943</v>
      </c>
      <c r="B810" s="408"/>
      <c r="C810" s="449">
        <v>2047</v>
      </c>
      <c r="D810" s="408"/>
      <c r="E810" s="410">
        <f>C810</f>
        <v>2047</v>
      </c>
      <c r="F810" s="411">
        <v>0</v>
      </c>
      <c r="G810" s="411"/>
      <c r="H810" s="413">
        <v>25.66</v>
      </c>
      <c r="I810" s="391"/>
      <c r="J810" s="391"/>
      <c r="K810" s="391"/>
      <c r="L810" s="391"/>
    </row>
    <row r="811" spans="1:12" ht="15.75" x14ac:dyDescent="0.25">
      <c r="A811" s="407">
        <v>43943</v>
      </c>
      <c r="B811" s="408"/>
      <c r="C811" s="449">
        <v>2048</v>
      </c>
      <c r="D811" s="408"/>
      <c r="E811" s="410">
        <f>C811</f>
        <v>2048</v>
      </c>
      <c r="F811" s="411">
        <v>0</v>
      </c>
      <c r="G811" s="411"/>
      <c r="H811" s="413">
        <v>8.99</v>
      </c>
      <c r="I811" s="391"/>
      <c r="J811" s="391"/>
      <c r="K811" s="391"/>
      <c r="L811" s="391"/>
    </row>
    <row r="812" spans="1:12" ht="15.75" x14ac:dyDescent="0.25">
      <c r="A812" s="407"/>
      <c r="B812" s="408"/>
      <c r="C812" s="449"/>
      <c r="D812" s="408"/>
      <c r="E812" s="410"/>
      <c r="F812" s="411"/>
      <c r="G812" s="411"/>
      <c r="H812" s="413"/>
      <c r="I812" s="391"/>
      <c r="J812" s="391"/>
      <c r="K812" s="391"/>
      <c r="L812" s="391"/>
    </row>
    <row r="813" spans="1:12" ht="15.75" x14ac:dyDescent="0.25">
      <c r="A813" s="420"/>
      <c r="B813" s="420"/>
      <c r="C813" s="415"/>
      <c r="D813" s="415"/>
      <c r="E813" s="415"/>
      <c r="F813" s="412">
        <f>SUM(F793:F812)</f>
        <v>0</v>
      </c>
      <c r="G813" s="412">
        <f>SUM(G793:G812)</f>
        <v>0</v>
      </c>
      <c r="H813" s="412">
        <f>SUM(H809:H812)</f>
        <v>34.65</v>
      </c>
      <c r="I813" s="391"/>
      <c r="J813" s="391"/>
      <c r="K813" s="391"/>
      <c r="L813" s="391"/>
    </row>
    <row r="814" spans="1:12" ht="15.75" x14ac:dyDescent="0.25">
      <c r="A814" s="420"/>
      <c r="B814" s="420"/>
      <c r="C814" s="415"/>
      <c r="D814" s="415"/>
      <c r="E814" s="415"/>
      <c r="F814" s="390"/>
      <c r="G814" s="412"/>
      <c r="H814" s="412"/>
      <c r="I814" s="391"/>
      <c r="J814" s="391"/>
      <c r="K814" s="391"/>
      <c r="L814" s="391"/>
    </row>
    <row r="815" spans="1:12" ht="15.75" x14ac:dyDescent="0.25">
      <c r="A815" s="420"/>
      <c r="B815" s="420"/>
      <c r="C815" s="415" t="s">
        <v>653</v>
      </c>
      <c r="D815" s="415"/>
      <c r="E815" s="415"/>
      <c r="F815" s="390"/>
      <c r="G815" s="412"/>
      <c r="H815" s="412">
        <f>+F813</f>
        <v>0</v>
      </c>
      <c r="I815" s="391"/>
      <c r="J815" s="391"/>
      <c r="K815" s="391"/>
      <c r="L815" s="391"/>
    </row>
    <row r="816" spans="1:12" ht="15.75" x14ac:dyDescent="0.25">
      <c r="A816" s="420"/>
      <c r="B816" s="420"/>
      <c r="C816" s="415"/>
      <c r="D816" s="415"/>
      <c r="E816" s="415"/>
      <c r="F816" s="390"/>
      <c r="G816" s="412"/>
      <c r="H816" s="412"/>
      <c r="I816" s="391"/>
      <c r="J816" s="391"/>
      <c r="K816" s="391"/>
      <c r="L816" s="391"/>
    </row>
    <row r="817" spans="1:12" ht="15.75" x14ac:dyDescent="0.25">
      <c r="A817" s="420"/>
      <c r="B817" s="420"/>
      <c r="C817" s="415" t="s">
        <v>654</v>
      </c>
      <c r="D817" s="415"/>
      <c r="E817" s="415"/>
      <c r="F817" s="390"/>
      <c r="G817" s="412"/>
      <c r="H817" s="412">
        <f>+G813</f>
        <v>0</v>
      </c>
      <c r="I817" s="391"/>
      <c r="J817" s="391"/>
      <c r="K817" s="391"/>
      <c r="L817" s="391"/>
    </row>
    <row r="818" spans="1:12" ht="15.75" x14ac:dyDescent="0.25">
      <c r="A818" s="420"/>
      <c r="B818" s="420"/>
      <c r="C818" s="415"/>
      <c r="D818" s="415"/>
      <c r="E818" s="415"/>
      <c r="F818" s="390"/>
      <c r="G818" s="412"/>
      <c r="H818" s="412"/>
      <c r="I818" s="391"/>
      <c r="J818" s="391"/>
      <c r="K818" s="391"/>
      <c r="L818" s="391"/>
    </row>
    <row r="819" spans="1:12" ht="15.75" x14ac:dyDescent="0.25">
      <c r="A819" s="420"/>
      <c r="B819" s="420"/>
      <c r="C819" s="415"/>
      <c r="D819" s="415"/>
      <c r="E819" s="415"/>
      <c r="F819" s="390"/>
      <c r="G819" s="421"/>
      <c r="H819" s="391"/>
      <c r="I819" s="391"/>
      <c r="J819" s="391"/>
      <c r="K819" s="391"/>
      <c r="L819" s="391"/>
    </row>
    <row r="820" spans="1:12" ht="15.75" x14ac:dyDescent="0.25">
      <c r="A820" s="420"/>
      <c r="B820" s="420"/>
      <c r="C820" s="415" t="s">
        <v>590</v>
      </c>
      <c r="D820" s="415"/>
      <c r="E820" s="415"/>
      <c r="F820" s="390"/>
      <c r="G820" s="391"/>
      <c r="H820" s="393"/>
      <c r="I820" s="391"/>
      <c r="J820" s="391"/>
      <c r="K820" s="391"/>
      <c r="L820" s="391"/>
    </row>
    <row r="821" spans="1:12" ht="15.75" x14ac:dyDescent="0.25">
      <c r="A821" s="420"/>
      <c r="B821" s="420"/>
      <c r="C821" s="415" t="s">
        <v>141</v>
      </c>
      <c r="D821" s="415"/>
      <c r="E821" s="415"/>
      <c r="F821" s="390"/>
      <c r="G821" s="391"/>
      <c r="H821" s="706">
        <f>ROUND(H813/1.13,2)</f>
        <v>30.66</v>
      </c>
      <c r="I821" s="391"/>
      <c r="J821" s="391"/>
      <c r="K821" s="391"/>
      <c r="L821" s="391"/>
    </row>
    <row r="822" spans="1:12" ht="15.75" x14ac:dyDescent="0.25">
      <c r="A822" s="420"/>
      <c r="B822" s="420"/>
      <c r="C822" s="415" t="s">
        <v>591</v>
      </c>
      <c r="D822" s="415"/>
      <c r="E822" s="415"/>
      <c r="F822" s="390"/>
      <c r="G822" s="391"/>
      <c r="H822" s="435">
        <v>3.98</v>
      </c>
      <c r="I822" s="391"/>
      <c r="J822" s="391"/>
      <c r="K822" s="391"/>
      <c r="L822" s="391"/>
    </row>
    <row r="823" spans="1:12" ht="16.5" thickBot="1" x14ac:dyDescent="0.3">
      <c r="A823" s="420"/>
      <c r="B823" s="420"/>
      <c r="C823" s="415"/>
      <c r="D823" s="415"/>
      <c r="E823" s="415"/>
      <c r="F823" s="390"/>
      <c r="G823" s="391"/>
      <c r="H823" s="424"/>
      <c r="I823" s="391"/>
      <c r="J823" s="391"/>
      <c r="K823" s="391"/>
      <c r="L823" s="391"/>
    </row>
    <row r="824" spans="1:12" ht="16.5" thickTop="1" x14ac:dyDescent="0.25">
      <c r="A824" s="420"/>
      <c r="B824" s="420"/>
      <c r="C824" s="415" t="s">
        <v>592</v>
      </c>
      <c r="D824" s="415"/>
      <c r="E824" s="415"/>
      <c r="F824" s="390"/>
      <c r="G824" s="391"/>
      <c r="H824" s="406">
        <f>SUM(H821:H823)</f>
        <v>34.64</v>
      </c>
      <c r="I824" s="391"/>
      <c r="J824" s="391"/>
      <c r="K824" s="391"/>
      <c r="L824" s="391"/>
    </row>
    <row r="825" spans="1:12" ht="16.5" thickBot="1" x14ac:dyDescent="0.3">
      <c r="A825" s="420"/>
      <c r="B825" s="420"/>
      <c r="C825" s="415"/>
      <c r="D825" s="415"/>
      <c r="E825" s="415"/>
      <c r="F825" s="390"/>
      <c r="G825" s="391"/>
      <c r="H825" s="424"/>
      <c r="I825" s="391"/>
      <c r="J825" s="391"/>
      <c r="K825" s="391"/>
      <c r="L825" s="391"/>
    </row>
    <row r="826" spans="1:12" ht="16.5" thickTop="1" x14ac:dyDescent="0.25">
      <c r="A826" s="420"/>
      <c r="B826" s="420"/>
      <c r="C826" s="415"/>
      <c r="D826" s="415"/>
      <c r="E826" s="415"/>
      <c r="F826" s="390"/>
      <c r="G826" s="391"/>
      <c r="H826" s="426"/>
      <c r="I826" s="391"/>
      <c r="J826" s="391"/>
      <c r="K826" s="391"/>
      <c r="L826" s="391"/>
    </row>
    <row r="827" spans="1:12" ht="15.75" x14ac:dyDescent="0.25">
      <c r="A827" s="420"/>
      <c r="B827" s="420"/>
      <c r="C827" s="415"/>
      <c r="D827" s="415"/>
      <c r="E827" s="415"/>
      <c r="F827" s="390"/>
      <c r="G827" s="391"/>
      <c r="H827" s="398"/>
      <c r="I827" s="391"/>
      <c r="J827" s="391"/>
      <c r="K827" s="391"/>
      <c r="L827" s="391"/>
    </row>
    <row r="828" spans="1:12" ht="15.75" x14ac:dyDescent="0.25">
      <c r="A828" s="420"/>
      <c r="B828" s="420"/>
      <c r="C828" s="415"/>
      <c r="D828" s="415"/>
      <c r="E828" s="415"/>
      <c r="F828" s="434"/>
      <c r="G828" s="391" t="s">
        <v>655</v>
      </c>
      <c r="H828" s="398">
        <v>-3.98</v>
      </c>
      <c r="I828" s="391"/>
      <c r="J828" s="391"/>
      <c r="K828" s="391"/>
      <c r="L828" s="391"/>
    </row>
    <row r="829" spans="1:12" ht="15.75" x14ac:dyDescent="0.25">
      <c r="A829" s="420"/>
      <c r="B829" s="420"/>
      <c r="C829" s="415"/>
      <c r="D829" s="415"/>
      <c r="E829" s="415"/>
      <c r="F829" s="390"/>
      <c r="G829" s="432" t="s">
        <v>656</v>
      </c>
      <c r="H829" s="433">
        <f>+H822+H828</f>
        <v>0</v>
      </c>
      <c r="I829" s="391"/>
      <c r="J829" s="391"/>
      <c r="K829" s="391"/>
      <c r="L829" s="391"/>
    </row>
    <row r="830" spans="1:12" ht="15.75" x14ac:dyDescent="0.25">
      <c r="A830" s="394" t="s">
        <v>457</v>
      </c>
      <c r="B830" s="395" t="s">
        <v>152</v>
      </c>
      <c r="C830" s="396"/>
      <c r="D830" s="437">
        <v>2019</v>
      </c>
      <c r="E830" s="389"/>
      <c r="F830" s="390"/>
      <c r="G830" s="391"/>
      <c r="H830" s="397"/>
      <c r="I830" s="397"/>
      <c r="J830" s="397"/>
      <c r="K830" s="397"/>
      <c r="L830" s="397"/>
    </row>
    <row r="831" spans="1:12" ht="15.75" x14ac:dyDescent="0.25">
      <c r="A831" s="392"/>
      <c r="B831" s="392"/>
      <c r="C831" s="389"/>
      <c r="D831" s="389"/>
      <c r="E831" s="389"/>
      <c r="F831" s="390"/>
      <c r="G831" s="391"/>
      <c r="H831" s="391"/>
      <c r="I831" s="391"/>
      <c r="J831" s="391"/>
      <c r="K831" s="391"/>
      <c r="L831" s="391"/>
    </row>
    <row r="832" spans="1:12" ht="15.75" x14ac:dyDescent="0.25">
      <c r="A832" s="392"/>
      <c r="B832" s="392"/>
      <c r="C832" s="389"/>
      <c r="D832" s="389"/>
      <c r="E832" s="389"/>
      <c r="F832" s="390"/>
      <c r="G832" s="391"/>
      <c r="H832" s="391"/>
      <c r="I832" s="391"/>
      <c r="J832" s="391"/>
      <c r="K832" s="391"/>
      <c r="L832" s="391"/>
    </row>
    <row r="833" spans="1:12" ht="15.75" x14ac:dyDescent="0.25">
      <c r="A833" s="392"/>
      <c r="B833" s="392"/>
      <c r="C833" s="389"/>
      <c r="D833" s="389"/>
      <c r="E833" s="389"/>
      <c r="F833" s="390"/>
      <c r="G833" s="398" t="s">
        <v>94</v>
      </c>
      <c r="H833" s="398" t="s">
        <v>94</v>
      </c>
      <c r="I833" s="398" t="s">
        <v>641</v>
      </c>
      <c r="J833" s="398" t="s">
        <v>642</v>
      </c>
      <c r="K833" s="398" t="s">
        <v>94</v>
      </c>
      <c r="L833" s="398" t="s">
        <v>257</v>
      </c>
    </row>
    <row r="834" spans="1:12" ht="16.5" thickBot="1" x14ac:dyDescent="0.3">
      <c r="A834" s="399" t="s">
        <v>137</v>
      </c>
      <c r="B834" s="399"/>
      <c r="C834" s="399" t="s">
        <v>643</v>
      </c>
      <c r="D834" s="399"/>
      <c r="E834" s="399" t="s">
        <v>644</v>
      </c>
      <c r="F834" s="400" t="s">
        <v>140</v>
      </c>
      <c r="G834" s="401" t="s">
        <v>327</v>
      </c>
      <c r="H834" s="430" t="s">
        <v>645</v>
      </c>
      <c r="I834" s="401" t="s">
        <v>646</v>
      </c>
      <c r="J834" s="401" t="s">
        <v>647</v>
      </c>
      <c r="K834" s="401" t="s">
        <v>326</v>
      </c>
      <c r="L834" s="401" t="s">
        <v>94</v>
      </c>
    </row>
    <row r="835" spans="1:12" ht="16.5" thickTop="1" x14ac:dyDescent="0.25">
      <c r="A835" s="431"/>
      <c r="B835" s="402"/>
      <c r="C835" s="403"/>
      <c r="D835" s="403"/>
      <c r="E835" s="403"/>
      <c r="F835" s="404"/>
      <c r="G835" s="404"/>
      <c r="H835" s="405"/>
      <c r="I835" s="405"/>
      <c r="J835" s="405"/>
      <c r="K835" s="405"/>
      <c r="L835" s="406"/>
    </row>
    <row r="836" spans="1:12" ht="15.75" x14ac:dyDescent="0.25">
      <c r="A836" s="696">
        <v>43994</v>
      </c>
      <c r="B836" s="697"/>
      <c r="C836" s="698"/>
      <c r="D836" s="697"/>
      <c r="E836" s="699">
        <f>C836</f>
        <v>0</v>
      </c>
      <c r="F836" s="700">
        <v>0</v>
      </c>
      <c r="G836" s="700"/>
      <c r="H836" s="701">
        <v>1.4</v>
      </c>
      <c r="I836" s="702"/>
      <c r="J836" s="702"/>
      <c r="K836" s="701">
        <v>0</v>
      </c>
      <c r="L836" s="412"/>
    </row>
    <row r="837" spans="1:12" ht="15.75" x14ac:dyDescent="0.25">
      <c r="A837" s="696">
        <v>43994</v>
      </c>
      <c r="B837" s="697"/>
      <c r="C837" s="698"/>
      <c r="D837" s="697"/>
      <c r="E837" s="699">
        <f>C837</f>
        <v>0</v>
      </c>
      <c r="F837" s="700">
        <v>0</v>
      </c>
      <c r="G837" s="700"/>
      <c r="H837" s="701">
        <v>9.4</v>
      </c>
      <c r="I837" s="702"/>
      <c r="J837" s="702"/>
      <c r="K837" s="701">
        <v>0</v>
      </c>
      <c r="L837" s="412"/>
    </row>
    <row r="838" spans="1:12" ht="15.75" x14ac:dyDescent="0.25">
      <c r="A838" s="407">
        <v>44012</v>
      </c>
      <c r="B838" s="408"/>
      <c r="C838" s="409" t="s">
        <v>1588</v>
      </c>
      <c r="D838" s="408"/>
      <c r="E838" s="410" t="str">
        <f>C838</f>
        <v>2056</v>
      </c>
      <c r="F838" s="411">
        <v>0</v>
      </c>
      <c r="G838" s="436">
        <v>8202.2800000000007</v>
      </c>
      <c r="H838" s="413">
        <v>0</v>
      </c>
      <c r="I838" s="405"/>
      <c r="J838" s="405"/>
      <c r="K838" s="413">
        <v>0</v>
      </c>
      <c r="L838" s="412"/>
    </row>
    <row r="843" spans="1:12" ht="16.5" thickBot="1" x14ac:dyDescent="0.3">
      <c r="A843" s="416"/>
      <c r="B843" s="416"/>
      <c r="C843" s="417"/>
      <c r="D843" s="417"/>
      <c r="E843" s="417"/>
      <c r="F843" s="400"/>
      <c r="G843" s="400"/>
      <c r="H843" s="418"/>
    </row>
    <row r="844" spans="1:12" ht="16.5" thickTop="1" x14ac:dyDescent="0.25">
      <c r="A844" s="420"/>
      <c r="B844" s="420"/>
      <c r="C844" s="415"/>
      <c r="D844" s="415"/>
      <c r="E844" s="415"/>
      <c r="F844" s="412">
        <f>SUM(F794:F843)</f>
        <v>0</v>
      </c>
      <c r="G844" s="412">
        <f>SUM(G794:G843)</f>
        <v>8202.2800000000007</v>
      </c>
      <c r="H844" s="412">
        <f>SUM(H836:H843)</f>
        <v>10.8</v>
      </c>
    </row>
    <row r="845" spans="1:12" ht="15.75" x14ac:dyDescent="0.25">
      <c r="A845" s="420"/>
      <c r="B845" s="420"/>
      <c r="C845" s="415"/>
      <c r="D845" s="415"/>
      <c r="E845" s="415"/>
      <c r="F845" s="390"/>
      <c r="G845" s="412"/>
      <c r="H845" s="412"/>
    </row>
    <row r="846" spans="1:12" ht="15.75" x14ac:dyDescent="0.25">
      <c r="A846" s="420"/>
      <c r="B846" s="420"/>
      <c r="C846" s="415" t="s">
        <v>653</v>
      </c>
      <c r="D846" s="415"/>
      <c r="E846" s="415"/>
      <c r="F846" s="390"/>
      <c r="G846" s="412"/>
      <c r="H846" s="412">
        <f>+F844</f>
        <v>0</v>
      </c>
    </row>
    <row r="847" spans="1:12" ht="15.75" x14ac:dyDescent="0.25">
      <c r="A847" s="420"/>
      <c r="B847" s="420"/>
      <c r="C847" s="415"/>
      <c r="D847" s="415"/>
      <c r="E847" s="415"/>
      <c r="F847" s="390"/>
      <c r="G847" s="412"/>
      <c r="H847" s="412"/>
    </row>
    <row r="848" spans="1:12" ht="15.75" x14ac:dyDescent="0.25">
      <c r="A848" s="420"/>
      <c r="B848" s="420"/>
      <c r="C848" s="415" t="s">
        <v>654</v>
      </c>
      <c r="D848" s="415"/>
      <c r="E848" s="415"/>
      <c r="F848" s="390"/>
      <c r="G848" s="412"/>
      <c r="H848" s="412">
        <f>+G844</f>
        <v>8202.2800000000007</v>
      </c>
    </row>
    <row r="849" spans="1:12" ht="15.75" x14ac:dyDescent="0.25">
      <c r="A849" s="420"/>
      <c r="B849" s="420"/>
      <c r="C849" s="415"/>
      <c r="D849" s="415"/>
      <c r="E849" s="415"/>
      <c r="F849" s="390"/>
      <c r="G849" s="412"/>
      <c r="H849" s="412"/>
    </row>
    <row r="850" spans="1:12" ht="15.75" x14ac:dyDescent="0.25">
      <c r="A850" s="420"/>
      <c r="B850" s="420"/>
      <c r="C850" s="415"/>
      <c r="D850" s="415"/>
      <c r="E850" s="415"/>
      <c r="F850" s="390"/>
      <c r="G850" s="421"/>
      <c r="H850" s="391"/>
    </row>
    <row r="851" spans="1:12" ht="15.75" x14ac:dyDescent="0.25">
      <c r="A851" s="420"/>
      <c r="B851" s="420"/>
      <c r="C851" s="415" t="s">
        <v>590</v>
      </c>
      <c r="D851" s="415"/>
      <c r="E851" s="415"/>
      <c r="F851" s="390"/>
      <c r="G851" s="391"/>
      <c r="H851" s="393"/>
    </row>
    <row r="852" spans="1:12" ht="15.75" x14ac:dyDescent="0.25">
      <c r="A852" s="420"/>
      <c r="B852" s="420"/>
      <c r="C852" s="415" t="s">
        <v>141</v>
      </c>
      <c r="D852" s="415"/>
      <c r="E852" s="415"/>
      <c r="F852" s="390"/>
      <c r="G852" s="391"/>
      <c r="H852" s="706">
        <f>ROUND(H844/1.13,2)</f>
        <v>9.56</v>
      </c>
    </row>
    <row r="853" spans="1:12" ht="15.75" x14ac:dyDescent="0.25">
      <c r="A853" s="420"/>
      <c r="B853" s="420"/>
      <c r="C853" s="415" t="s">
        <v>591</v>
      </c>
      <c r="D853" s="415"/>
      <c r="E853" s="415"/>
      <c r="F853" s="390"/>
      <c r="G853" s="391"/>
      <c r="H853" s="435">
        <f>H852*0.13</f>
        <v>1.2428000000000001</v>
      </c>
    </row>
    <row r="854" spans="1:12" ht="16.5" thickBot="1" x14ac:dyDescent="0.3">
      <c r="A854" s="420"/>
      <c r="B854" s="420"/>
      <c r="C854" s="415"/>
      <c r="D854" s="415"/>
      <c r="E854" s="415"/>
      <c r="F854" s="390"/>
      <c r="G854" s="391"/>
      <c r="H854" s="424"/>
    </row>
    <row r="855" spans="1:12" ht="16.5" thickTop="1" x14ac:dyDescent="0.25">
      <c r="A855" s="420"/>
      <c r="B855" s="420"/>
      <c r="C855" s="415" t="s">
        <v>592</v>
      </c>
      <c r="D855" s="415"/>
      <c r="E855" s="415"/>
      <c r="F855" s="390"/>
      <c r="G855" s="391"/>
      <c r="H855" s="406">
        <f>SUM(H852:H854)</f>
        <v>10.802800000000001</v>
      </c>
    </row>
    <row r="856" spans="1:12" ht="16.5" thickBot="1" x14ac:dyDescent="0.3">
      <c r="A856" s="420"/>
      <c r="B856" s="420"/>
      <c r="C856" s="415"/>
      <c r="D856" s="415"/>
      <c r="E856" s="415"/>
      <c r="F856" s="390"/>
      <c r="G856" s="391"/>
      <c r="H856" s="424"/>
    </row>
    <row r="857" spans="1:12" ht="16.5" thickTop="1" x14ac:dyDescent="0.25">
      <c r="A857" s="420"/>
      <c r="B857" s="420"/>
      <c r="C857" s="415"/>
      <c r="D857" s="415"/>
      <c r="E857" s="415"/>
      <c r="F857" s="390"/>
      <c r="G857" s="391"/>
      <c r="H857" s="426"/>
    </row>
    <row r="858" spans="1:12" ht="15.75" x14ac:dyDescent="0.25">
      <c r="A858" s="420"/>
      <c r="B858" s="420"/>
      <c r="C858" s="415"/>
      <c r="D858" s="415"/>
      <c r="E858" s="415"/>
      <c r="F858" s="390"/>
      <c r="G858" s="391"/>
      <c r="H858" s="398"/>
    </row>
    <row r="859" spans="1:12" ht="15.75" x14ac:dyDescent="0.25">
      <c r="A859" s="420"/>
      <c r="B859" s="420"/>
      <c r="C859" s="415"/>
      <c r="D859" s="415"/>
      <c r="E859" s="415"/>
      <c r="F859" s="434"/>
      <c r="G859" s="391" t="s">
        <v>655</v>
      </c>
      <c r="H859" s="398">
        <v>-1.24</v>
      </c>
    </row>
    <row r="860" spans="1:12" ht="15.75" x14ac:dyDescent="0.25">
      <c r="A860" s="420"/>
      <c r="B860" s="420"/>
      <c r="C860" s="415"/>
      <c r="D860" s="415"/>
      <c r="E860" s="415"/>
      <c r="F860" s="390"/>
      <c r="G860" s="432" t="s">
        <v>656</v>
      </c>
      <c r="H860" s="433">
        <f>+H853+H859</f>
        <v>2.8000000000001357E-3</v>
      </c>
    </row>
    <row r="863" spans="1:12" ht="20.25" x14ac:dyDescent="0.3">
      <c r="A863" s="387" t="s">
        <v>640</v>
      </c>
      <c r="B863" s="388"/>
      <c r="C863" s="389"/>
      <c r="D863" s="389"/>
      <c r="E863" s="389"/>
      <c r="F863" s="390"/>
      <c r="G863" s="391"/>
      <c r="H863" s="391"/>
      <c r="I863" s="391"/>
      <c r="J863" s="391"/>
      <c r="K863" s="391"/>
      <c r="L863" s="391"/>
    </row>
    <row r="864" spans="1:12" ht="15.75" x14ac:dyDescent="0.25">
      <c r="A864" s="389" t="s">
        <v>252</v>
      </c>
      <c r="B864" s="389"/>
      <c r="C864" s="389"/>
      <c r="D864" s="389"/>
      <c r="E864" s="389"/>
      <c r="F864" s="390"/>
      <c r="G864" s="391"/>
      <c r="H864" s="391"/>
      <c r="I864" s="391"/>
      <c r="J864" s="391"/>
      <c r="K864" s="391"/>
      <c r="L864" s="391"/>
    </row>
    <row r="865" spans="1:12" ht="15.75" x14ac:dyDescent="0.25">
      <c r="A865" s="388" t="s">
        <v>253</v>
      </c>
      <c r="B865" s="389"/>
      <c r="C865" s="389"/>
      <c r="D865" s="389"/>
      <c r="E865" s="389"/>
      <c r="F865" s="390"/>
      <c r="G865" s="393"/>
      <c r="H865" s="393"/>
      <c r="I865" s="391"/>
      <c r="J865" s="391"/>
      <c r="K865" s="391"/>
      <c r="L865" s="391"/>
    </row>
    <row r="866" spans="1:12" ht="15.75" x14ac:dyDescent="0.25">
      <c r="A866" s="389" t="s">
        <v>356</v>
      </c>
      <c r="B866" s="389"/>
      <c r="C866" s="389"/>
      <c r="D866" s="389"/>
      <c r="E866" s="389"/>
      <c r="F866" s="390"/>
      <c r="G866" s="391"/>
      <c r="H866" s="391"/>
      <c r="I866" s="391"/>
      <c r="J866" s="391"/>
      <c r="K866" s="391"/>
      <c r="L866" s="391"/>
    </row>
    <row r="867" spans="1:12" ht="15.75" x14ac:dyDescent="0.25">
      <c r="A867" s="709" t="s">
        <v>457</v>
      </c>
      <c r="B867" s="710" t="s">
        <v>153</v>
      </c>
      <c r="C867" s="711"/>
      <c r="D867" s="712">
        <v>2020</v>
      </c>
      <c r="E867" s="389"/>
      <c r="F867" s="390"/>
      <c r="G867" s="391"/>
      <c r="H867" s="397"/>
      <c r="I867" s="397"/>
      <c r="J867" s="397"/>
      <c r="K867" s="397"/>
      <c r="L867" s="397"/>
    </row>
    <row r="868" spans="1:12" ht="15.75" x14ac:dyDescent="0.25">
      <c r="A868" s="392"/>
      <c r="B868" s="392"/>
      <c r="C868" s="389"/>
      <c r="D868" s="389"/>
      <c r="E868" s="389"/>
      <c r="F868" s="390"/>
      <c r="G868" s="391"/>
      <c r="H868" s="391"/>
      <c r="I868" s="391"/>
      <c r="J868" s="391"/>
      <c r="K868" s="391"/>
      <c r="L868" s="391"/>
    </row>
    <row r="869" spans="1:12" ht="15.75" x14ac:dyDescent="0.25">
      <c r="A869" s="392"/>
      <c r="B869" s="392"/>
      <c r="C869" s="389"/>
      <c r="D869" s="389"/>
      <c r="E869" s="389"/>
      <c r="F869" s="390"/>
      <c r="G869" s="391"/>
      <c r="H869" s="391"/>
      <c r="I869" s="391"/>
      <c r="J869" s="391"/>
      <c r="K869" s="391"/>
      <c r="L869" s="391"/>
    </row>
    <row r="870" spans="1:12" ht="15.75" x14ac:dyDescent="0.25">
      <c r="A870" s="392"/>
      <c r="B870" s="392"/>
      <c r="C870" s="389"/>
      <c r="D870" s="389"/>
      <c r="E870" s="389"/>
      <c r="F870" s="390"/>
      <c r="G870" s="398" t="s">
        <v>94</v>
      </c>
      <c r="H870" s="398" t="s">
        <v>94</v>
      </c>
      <c r="I870" s="398" t="s">
        <v>641</v>
      </c>
      <c r="J870" s="398" t="s">
        <v>642</v>
      </c>
      <c r="K870" s="398" t="s">
        <v>94</v>
      </c>
      <c r="L870" s="398" t="s">
        <v>257</v>
      </c>
    </row>
    <row r="871" spans="1:12" ht="16.5" thickBot="1" x14ac:dyDescent="0.3">
      <c r="A871" s="399" t="s">
        <v>137</v>
      </c>
      <c r="B871" s="399" t="s">
        <v>1602</v>
      </c>
      <c r="C871" s="399" t="s">
        <v>643</v>
      </c>
      <c r="D871" s="399"/>
      <c r="E871" s="399" t="s">
        <v>644</v>
      </c>
      <c r="F871" s="400" t="s">
        <v>140</v>
      </c>
      <c r="G871" s="401" t="s">
        <v>327</v>
      </c>
      <c r="H871" s="708" t="s">
        <v>645</v>
      </c>
      <c r="I871" s="401" t="s">
        <v>646</v>
      </c>
      <c r="J871" s="401" t="s">
        <v>647</v>
      </c>
      <c r="K871" s="401" t="s">
        <v>326</v>
      </c>
      <c r="L871" s="401" t="s">
        <v>94</v>
      </c>
    </row>
    <row r="872" spans="1:12" ht="16.5" thickTop="1" x14ac:dyDescent="0.25">
      <c r="A872" s="431"/>
      <c r="B872" s="402"/>
      <c r="C872" s="403"/>
      <c r="D872" s="403"/>
      <c r="E872" s="403"/>
      <c r="F872" s="404"/>
      <c r="G872" s="404"/>
      <c r="H872" s="405"/>
      <c r="I872" s="405"/>
      <c r="J872" s="405"/>
      <c r="K872" s="405"/>
      <c r="L872" s="406"/>
    </row>
    <row r="873" spans="1:12" ht="15.75" x14ac:dyDescent="0.25">
      <c r="A873" s="407">
        <v>44019</v>
      </c>
      <c r="B873" s="408" t="s">
        <v>1606</v>
      </c>
      <c r="C873" s="449">
        <v>2054</v>
      </c>
      <c r="D873" s="408"/>
      <c r="E873" s="410">
        <f>C873</f>
        <v>2054</v>
      </c>
      <c r="F873" s="411">
        <v>0</v>
      </c>
      <c r="G873" s="411">
        <v>0</v>
      </c>
      <c r="H873" s="413">
        <v>2.23</v>
      </c>
      <c r="I873" s="405"/>
      <c r="J873" s="405"/>
      <c r="K873" s="413">
        <v>0</v>
      </c>
      <c r="L873" s="412"/>
    </row>
    <row r="874" spans="1:12" ht="15.75" x14ac:dyDescent="0.25">
      <c r="A874" s="407">
        <v>44019</v>
      </c>
      <c r="B874" s="408" t="s">
        <v>1606</v>
      </c>
      <c r="C874" s="449">
        <v>2055</v>
      </c>
      <c r="D874" s="408"/>
      <c r="E874" s="410">
        <f>C874</f>
        <v>2055</v>
      </c>
      <c r="F874" s="411">
        <v>0</v>
      </c>
      <c r="G874" s="411">
        <v>0</v>
      </c>
      <c r="H874" s="413">
        <v>28</v>
      </c>
      <c r="I874" s="405"/>
      <c r="J874" s="405"/>
      <c r="K874" s="413">
        <v>0</v>
      </c>
      <c r="L874" s="412"/>
    </row>
    <row r="875" spans="1:12" ht="15.75" x14ac:dyDescent="0.25">
      <c r="A875" s="407">
        <v>44043</v>
      </c>
      <c r="B875" s="408" t="s">
        <v>1606</v>
      </c>
      <c r="C875" s="409" t="s">
        <v>864</v>
      </c>
      <c r="D875" s="408"/>
      <c r="E875" s="410" t="str">
        <f>C875</f>
        <v>2099</v>
      </c>
      <c r="F875" s="411">
        <v>0</v>
      </c>
      <c r="G875" s="436">
        <v>11065.58</v>
      </c>
      <c r="H875" s="413">
        <v>0</v>
      </c>
      <c r="I875" s="405"/>
      <c r="J875" s="405"/>
      <c r="K875" s="413">
        <v>0</v>
      </c>
      <c r="L875" s="412"/>
    </row>
    <row r="876" spans="1:12" ht="15.75" x14ac:dyDescent="0.25">
      <c r="A876" s="407"/>
      <c r="B876" s="408"/>
      <c r="C876" s="409"/>
      <c r="D876" s="408"/>
      <c r="E876" s="410"/>
      <c r="F876" s="411"/>
      <c r="G876" s="411"/>
      <c r="H876" s="413"/>
      <c r="I876" s="405"/>
      <c r="J876" s="405"/>
      <c r="K876" s="413"/>
      <c r="L876" s="406"/>
    </row>
    <row r="877" spans="1:12" ht="16.5" thickBot="1" x14ac:dyDescent="0.3">
      <c r="A877" s="416"/>
      <c r="B877" s="416"/>
      <c r="C877" s="417"/>
      <c r="D877" s="417"/>
      <c r="E877" s="417"/>
      <c r="F877" s="400"/>
      <c r="G877" s="400"/>
      <c r="H877" s="418"/>
      <c r="I877" s="418"/>
      <c r="J877" s="418"/>
      <c r="K877" s="418"/>
      <c r="L877" s="419"/>
    </row>
    <row r="878" spans="1:12" ht="16.5" thickTop="1" x14ac:dyDescent="0.25">
      <c r="A878" s="420"/>
      <c r="B878" s="420"/>
      <c r="C878" s="415"/>
      <c r="D878" s="415"/>
      <c r="E878" s="415"/>
      <c r="F878" s="412">
        <f t="shared" ref="F878:L878" si="25">SUM(F872:F877)</f>
        <v>0</v>
      </c>
      <c r="G878" s="412">
        <f t="shared" si="25"/>
        <v>11065.58</v>
      </c>
      <c r="H878" s="412">
        <f t="shared" si="25"/>
        <v>30.23</v>
      </c>
      <c r="I878" s="412">
        <f t="shared" si="25"/>
        <v>0</v>
      </c>
      <c r="J878" s="412">
        <f t="shared" si="25"/>
        <v>0</v>
      </c>
      <c r="K878" s="412">
        <f t="shared" si="25"/>
        <v>0</v>
      </c>
      <c r="L878" s="412">
        <f t="shared" si="25"/>
        <v>0</v>
      </c>
    </row>
    <row r="879" spans="1:12" ht="15.75" x14ac:dyDescent="0.25">
      <c r="A879" s="420"/>
      <c r="B879" s="420"/>
      <c r="C879" s="415"/>
      <c r="D879" s="415"/>
      <c r="E879" s="415"/>
      <c r="F879" s="390"/>
      <c r="G879" s="412"/>
      <c r="H879" s="412"/>
      <c r="I879" s="412"/>
      <c r="J879" s="412"/>
      <c r="K879" s="412"/>
      <c r="L879" s="412"/>
    </row>
    <row r="880" spans="1:12" ht="15.75" x14ac:dyDescent="0.25">
      <c r="A880" s="420"/>
      <c r="B880" s="420"/>
      <c r="C880" s="415" t="s">
        <v>653</v>
      </c>
      <c r="D880" s="415"/>
      <c r="E880" s="415"/>
      <c r="F880" s="390"/>
      <c r="G880" s="412"/>
      <c r="H880" s="412">
        <f>+F878</f>
        <v>0</v>
      </c>
      <c r="I880" s="412"/>
      <c r="J880" s="412"/>
      <c r="K880" s="412"/>
      <c r="L880" s="412"/>
    </row>
    <row r="881" spans="1:12" ht="15.75" x14ac:dyDescent="0.25">
      <c r="A881" s="420"/>
      <c r="B881" s="420"/>
      <c r="C881" s="415"/>
      <c r="D881" s="415"/>
      <c r="E881" s="415"/>
      <c r="F881" s="390"/>
      <c r="G881" s="412"/>
      <c r="H881" s="412"/>
      <c r="I881" s="412"/>
      <c r="J881" s="412"/>
      <c r="K881" s="412"/>
      <c r="L881" s="412"/>
    </row>
    <row r="882" spans="1:12" ht="15.75" x14ac:dyDescent="0.25">
      <c r="A882" s="420"/>
      <c r="B882" s="420"/>
      <c r="C882" s="415" t="s">
        <v>654</v>
      </c>
      <c r="D882" s="415"/>
      <c r="E882" s="415"/>
      <c r="F882" s="390"/>
      <c r="G882" s="412"/>
      <c r="H882" s="412">
        <f>+G878</f>
        <v>11065.58</v>
      </c>
      <c r="I882" s="412"/>
      <c r="J882" s="412"/>
      <c r="K882" s="412"/>
      <c r="L882" s="412"/>
    </row>
    <row r="883" spans="1:12" ht="15.75" x14ac:dyDescent="0.25">
      <c r="A883" s="420"/>
      <c r="B883" s="420"/>
      <c r="C883" s="415"/>
      <c r="D883" s="415"/>
      <c r="E883" s="415"/>
      <c r="F883" s="390"/>
      <c r="G883" s="412"/>
      <c r="H883" s="412"/>
      <c r="I883" s="412"/>
      <c r="J883" s="412"/>
      <c r="K883" s="412"/>
      <c r="L883" s="412"/>
    </row>
    <row r="884" spans="1:12" ht="15.75" x14ac:dyDescent="0.25">
      <c r="A884" s="420"/>
      <c r="B884" s="420"/>
      <c r="C884" s="415"/>
      <c r="D884" s="415"/>
      <c r="E884" s="415"/>
      <c r="F884" s="390"/>
      <c r="G884" s="421"/>
      <c r="H884" s="391"/>
      <c r="I884" s="391"/>
      <c r="J884" s="391"/>
      <c r="K884" s="391"/>
      <c r="L884" s="391"/>
    </row>
    <row r="885" spans="1:12" ht="15.75" x14ac:dyDescent="0.25">
      <c r="A885" s="420"/>
      <c r="B885" s="420"/>
      <c r="C885" s="415" t="s">
        <v>590</v>
      </c>
      <c r="D885" s="415"/>
      <c r="E885" s="415"/>
      <c r="F885" s="390"/>
      <c r="G885" s="391"/>
      <c r="H885" s="393"/>
      <c r="I885" s="393"/>
      <c r="J885" s="393"/>
      <c r="K885" s="393"/>
      <c r="L885" s="391"/>
    </row>
    <row r="886" spans="1:12" ht="15.75" x14ac:dyDescent="0.25">
      <c r="A886" s="420"/>
      <c r="B886" s="420"/>
      <c r="C886" s="415" t="s">
        <v>141</v>
      </c>
      <c r="D886" s="415"/>
      <c r="E886" s="415"/>
      <c r="F886" s="390"/>
      <c r="G886" s="391"/>
      <c r="H886" s="320">
        <f>ROUND(H878/1.13,2)</f>
        <v>26.75</v>
      </c>
      <c r="I886" s="412"/>
      <c r="J886" s="412"/>
      <c r="K886" s="412"/>
      <c r="L886" s="422"/>
    </row>
    <row r="887" spans="1:12" ht="15.75" x14ac:dyDescent="0.25">
      <c r="A887" s="420"/>
      <c r="B887" s="420"/>
      <c r="C887" s="415" t="s">
        <v>591</v>
      </c>
      <c r="D887" s="415"/>
      <c r="E887" s="415"/>
      <c r="F887" s="390"/>
      <c r="G887" s="391"/>
      <c r="H887" s="435">
        <f>H886*0.13</f>
        <v>3.4775</v>
      </c>
      <c r="I887" s="423"/>
      <c r="J887" s="423"/>
      <c r="K887" s="423"/>
      <c r="L887" s="422"/>
    </row>
    <row r="888" spans="1:12" ht="16.5" thickBot="1" x14ac:dyDescent="0.3">
      <c r="A888" s="420"/>
      <c r="B888" s="420"/>
      <c r="C888" s="415"/>
      <c r="D888" s="415"/>
      <c r="E888" s="415"/>
      <c r="F888" s="390"/>
      <c r="G888" s="391"/>
      <c r="H888" s="424"/>
      <c r="I888" s="425"/>
      <c r="J888" s="425"/>
      <c r="K888" s="425"/>
      <c r="L888" s="422"/>
    </row>
    <row r="889" spans="1:12" ht="16.5" thickTop="1" x14ac:dyDescent="0.25">
      <c r="A889" s="420"/>
      <c r="B889" s="420"/>
      <c r="C889" s="415" t="s">
        <v>592</v>
      </c>
      <c r="D889" s="415"/>
      <c r="E889" s="415"/>
      <c r="F889" s="390"/>
      <c r="G889" s="391"/>
      <c r="H889" s="406">
        <f>SUM(H886:H888)</f>
        <v>30.227499999999999</v>
      </c>
      <c r="I889" s="406"/>
      <c r="J889" s="406"/>
      <c r="K889" s="406"/>
      <c r="L889" s="391"/>
    </row>
    <row r="890" spans="1:12" ht="16.5" thickBot="1" x14ac:dyDescent="0.3">
      <c r="A890" s="420"/>
      <c r="B890" s="420"/>
      <c r="C890" s="415"/>
      <c r="D890" s="415"/>
      <c r="E890" s="415"/>
      <c r="F890" s="390"/>
      <c r="G890" s="391"/>
      <c r="H890" s="424"/>
      <c r="I890" s="425"/>
      <c r="J890" s="425"/>
      <c r="K890" s="425"/>
      <c r="L890" s="391"/>
    </row>
    <row r="891" spans="1:12" ht="16.5" thickTop="1" x14ac:dyDescent="0.25">
      <c r="A891" s="420"/>
      <c r="B891" s="420"/>
      <c r="C891" s="415"/>
      <c r="D891" s="415"/>
      <c r="E891" s="415"/>
      <c r="F891" s="390"/>
      <c r="G891" s="391"/>
      <c r="H891" s="426"/>
      <c r="I891" s="426"/>
      <c r="J891" s="426"/>
      <c r="K891" s="426"/>
      <c r="L891" s="391"/>
    </row>
    <row r="892" spans="1:12" ht="15.75" x14ac:dyDescent="0.25">
      <c r="A892" s="420"/>
      <c r="B892" s="420"/>
      <c r="C892" s="415"/>
      <c r="D892" s="415"/>
      <c r="E892" s="415"/>
      <c r="F892" s="390"/>
      <c r="G892" s="391"/>
      <c r="H892" s="398"/>
      <c r="I892" s="398"/>
      <c r="J892" s="398"/>
      <c r="K892" s="398"/>
      <c r="L892" s="391"/>
    </row>
    <row r="893" spans="1:12" ht="15.75" x14ac:dyDescent="0.25">
      <c r="A893" s="420"/>
      <c r="B893" s="420"/>
      <c r="C893" s="415"/>
      <c r="D893" s="415"/>
      <c r="E893" s="415"/>
      <c r="F893" s="434"/>
      <c r="G893" s="391" t="s">
        <v>655</v>
      </c>
      <c r="H893" s="398">
        <v>-3.48</v>
      </c>
      <c r="I893" s="398"/>
      <c r="J893" s="398"/>
      <c r="K893" s="398"/>
      <c r="L893" s="391"/>
    </row>
    <row r="894" spans="1:12" ht="15.75" x14ac:dyDescent="0.25">
      <c r="A894" s="420"/>
      <c r="B894" s="420"/>
      <c r="C894" s="415"/>
      <c r="D894" s="415"/>
      <c r="E894" s="415"/>
      <c r="F894" s="390"/>
      <c r="G894" s="432" t="s">
        <v>656</v>
      </c>
      <c r="H894" s="433">
        <f>+H887+H893</f>
        <v>-2.4999999999999467E-3</v>
      </c>
      <c r="I894" s="398"/>
      <c r="J894" s="398"/>
      <c r="K894" s="398"/>
      <c r="L894" s="391"/>
    </row>
    <row r="896" spans="1:12" ht="20.25" x14ac:dyDescent="0.3">
      <c r="A896" s="739" t="s">
        <v>640</v>
      </c>
      <c r="B896" s="739"/>
      <c r="C896" s="740"/>
      <c r="D896" s="741"/>
      <c r="E896" s="741"/>
      <c r="F896" s="741"/>
      <c r="G896" s="742"/>
      <c r="H896" s="743"/>
      <c r="I896" s="743"/>
      <c r="J896" s="743"/>
      <c r="K896" s="743"/>
    </row>
    <row r="897" spans="1:11" ht="15.75" x14ac:dyDescent="0.25">
      <c r="A897" s="741" t="s">
        <v>252</v>
      </c>
      <c r="B897" s="741"/>
      <c r="C897" s="741"/>
      <c r="D897" s="741"/>
      <c r="E897" s="741"/>
      <c r="F897" s="741"/>
      <c r="G897" s="742"/>
      <c r="H897" s="743"/>
      <c r="I897" s="743"/>
      <c r="J897" s="743"/>
      <c r="K897" s="743"/>
    </row>
    <row r="898" spans="1:11" ht="15.75" x14ac:dyDescent="0.25">
      <c r="A898" s="740" t="s">
        <v>253</v>
      </c>
      <c r="B898" s="740"/>
      <c r="C898" s="741"/>
      <c r="D898" s="741"/>
      <c r="E898" s="741"/>
      <c r="F898" s="741"/>
      <c r="G898" s="742"/>
      <c r="H898" s="745"/>
      <c r="I898" s="745"/>
      <c r="J898" s="743"/>
      <c r="K898" s="743"/>
    </row>
    <row r="899" spans="1:11" ht="15.75" x14ac:dyDescent="0.25">
      <c r="A899" s="741" t="s">
        <v>356</v>
      </c>
      <c r="B899" s="741"/>
      <c r="C899" s="741"/>
      <c r="D899" s="741"/>
      <c r="E899" s="741"/>
      <c r="F899" s="741"/>
      <c r="G899" s="742"/>
      <c r="H899" s="743"/>
      <c r="I899" s="743"/>
      <c r="J899" s="743"/>
      <c r="K899" s="743"/>
    </row>
    <row r="900" spans="1:11" ht="15.75" x14ac:dyDescent="0.25">
      <c r="A900" s="746" t="s">
        <v>457</v>
      </c>
      <c r="B900" s="746"/>
      <c r="C900" s="747" t="s">
        <v>154</v>
      </c>
      <c r="D900" s="738"/>
      <c r="E900" s="748">
        <v>2020</v>
      </c>
      <c r="F900" s="741"/>
      <c r="G900" s="742"/>
      <c r="H900" s="743"/>
      <c r="I900" s="738"/>
      <c r="J900" s="738"/>
      <c r="K900" s="738"/>
    </row>
    <row r="901" spans="1:11" ht="15.75" x14ac:dyDescent="0.25">
      <c r="A901" s="744"/>
      <c r="B901" s="744"/>
      <c r="C901" s="744"/>
      <c r="D901" s="741"/>
      <c r="E901" s="741"/>
      <c r="F901" s="741"/>
      <c r="G901" s="742"/>
      <c r="H901" s="743"/>
      <c r="I901" s="743"/>
      <c r="J901" s="743"/>
      <c r="K901" s="743"/>
    </row>
    <row r="902" spans="1:11" ht="15.75" x14ac:dyDescent="0.25">
      <c r="A902" s="744"/>
      <c r="B902" s="744"/>
      <c r="C902" s="744"/>
      <c r="D902" s="741"/>
      <c r="E902" s="741"/>
      <c r="F902" s="741"/>
      <c r="G902" s="742"/>
      <c r="H902" s="743"/>
      <c r="I902" s="743"/>
      <c r="J902" s="743"/>
      <c r="K902" s="743"/>
    </row>
    <row r="903" spans="1:11" ht="15.75" x14ac:dyDescent="0.25">
      <c r="A903" s="744"/>
      <c r="B903" s="744"/>
      <c r="C903" s="744"/>
      <c r="D903" s="741"/>
      <c r="E903" s="741"/>
      <c r="F903" s="741"/>
      <c r="G903" s="742"/>
      <c r="H903" s="749" t="s">
        <v>94</v>
      </c>
      <c r="I903" s="749" t="s">
        <v>94</v>
      </c>
      <c r="J903" s="749" t="s">
        <v>641</v>
      </c>
      <c r="K903" s="749" t="s">
        <v>642</v>
      </c>
    </row>
    <row r="904" spans="1:11" ht="16.5" thickBot="1" x14ac:dyDescent="0.3">
      <c r="A904" s="750" t="s">
        <v>137</v>
      </c>
      <c r="B904" s="750" t="s">
        <v>1610</v>
      </c>
      <c r="C904" s="750" t="s">
        <v>1602</v>
      </c>
      <c r="D904" s="750" t="s">
        <v>643</v>
      </c>
      <c r="E904" s="750" t="s">
        <v>644</v>
      </c>
      <c r="F904" s="750" t="s">
        <v>1611</v>
      </c>
      <c r="G904" s="751" t="s">
        <v>140</v>
      </c>
      <c r="H904" s="752" t="s">
        <v>327</v>
      </c>
      <c r="I904" s="753" t="s">
        <v>645</v>
      </c>
      <c r="J904" s="752" t="s">
        <v>646</v>
      </c>
      <c r="K904" s="752" t="s">
        <v>647</v>
      </c>
    </row>
    <row r="905" spans="1:11" ht="16.5" thickTop="1" x14ac:dyDescent="0.25">
      <c r="A905" s="754"/>
      <c r="B905" s="754"/>
      <c r="C905" s="755"/>
      <c r="D905" s="756"/>
      <c r="E905" s="756"/>
      <c r="F905" s="756"/>
      <c r="G905" s="757"/>
      <c r="H905" s="757"/>
      <c r="I905" s="758"/>
      <c r="J905" s="758"/>
      <c r="K905" s="758"/>
    </row>
    <row r="906" spans="1:11" ht="15.75" x14ac:dyDescent="0.25">
      <c r="A906" s="759">
        <v>44070</v>
      </c>
      <c r="B906" s="759" t="s">
        <v>1612</v>
      </c>
      <c r="C906" s="760" t="s">
        <v>1606</v>
      </c>
      <c r="D906" s="761">
        <v>2091</v>
      </c>
      <c r="E906" s="761">
        <v>2091</v>
      </c>
      <c r="F906" s="762" t="s">
        <v>1613</v>
      </c>
      <c r="G906" s="763">
        <v>0</v>
      </c>
      <c r="H906" s="763">
        <v>0</v>
      </c>
      <c r="I906" s="764">
        <v>1.7</v>
      </c>
      <c r="J906" s="765"/>
      <c r="K906" s="765"/>
    </row>
    <row r="907" spans="1:11" ht="15.75" x14ac:dyDescent="0.25">
      <c r="A907" s="759">
        <v>44074</v>
      </c>
      <c r="B907" s="759" t="s">
        <v>1614</v>
      </c>
      <c r="C907" s="760" t="s">
        <v>1606</v>
      </c>
      <c r="D907" s="761">
        <v>2057</v>
      </c>
      <c r="E907" s="761">
        <v>2057</v>
      </c>
      <c r="F907" s="762" t="s">
        <v>1613</v>
      </c>
      <c r="G907" s="763">
        <v>0</v>
      </c>
      <c r="H907" s="763">
        <v>11065.58</v>
      </c>
      <c r="I907" s="764">
        <v>0</v>
      </c>
      <c r="J907" s="765"/>
      <c r="K907" s="765"/>
    </row>
    <row r="908" spans="1:11" ht="15.75" x14ac:dyDescent="0.25">
      <c r="A908" s="759">
        <v>44070</v>
      </c>
      <c r="B908" s="759" t="s">
        <v>1615</v>
      </c>
      <c r="C908" s="760" t="s">
        <v>1606</v>
      </c>
      <c r="D908" s="767" t="s">
        <v>1616</v>
      </c>
      <c r="E908" s="761" t="s">
        <v>1616</v>
      </c>
      <c r="F908" s="762" t="s">
        <v>1613</v>
      </c>
      <c r="G908" s="763">
        <v>0</v>
      </c>
      <c r="H908" s="768">
        <v>0</v>
      </c>
      <c r="I908" s="764">
        <v>10.72</v>
      </c>
      <c r="J908" s="765"/>
      <c r="K908" s="765"/>
    </row>
    <row r="909" spans="1:11" ht="15.75" x14ac:dyDescent="0.25">
      <c r="A909" s="759"/>
      <c r="B909" s="759"/>
      <c r="C909" s="760"/>
      <c r="D909" s="767"/>
      <c r="E909" s="761"/>
      <c r="F909" s="762"/>
      <c r="G909" s="763"/>
      <c r="H909" s="763"/>
      <c r="I909" s="764"/>
      <c r="J909" s="765"/>
      <c r="K909" s="765"/>
    </row>
    <row r="910" spans="1:11" ht="15.75" x14ac:dyDescent="0.25">
      <c r="A910" s="759"/>
      <c r="B910" s="759"/>
      <c r="C910" s="760"/>
      <c r="D910" s="767"/>
      <c r="E910" s="761"/>
      <c r="F910" s="762"/>
      <c r="G910" s="763"/>
      <c r="H910" s="763"/>
      <c r="I910" s="764"/>
      <c r="J910" s="765"/>
      <c r="K910" s="765"/>
    </row>
    <row r="911" spans="1:11" ht="15.75" x14ac:dyDescent="0.25">
      <c r="A911" s="771"/>
      <c r="B911" s="771"/>
      <c r="C911" s="772"/>
      <c r="D911" s="773"/>
      <c r="E911" s="774"/>
      <c r="F911" s="762"/>
      <c r="G911" s="775"/>
      <c r="H911" s="776"/>
      <c r="I911" s="777"/>
      <c r="J911" s="765"/>
      <c r="K911" s="765"/>
    </row>
    <row r="912" spans="1:11" ht="15.75" x14ac:dyDescent="0.25">
      <c r="A912" s="771"/>
      <c r="B912" s="771"/>
      <c r="C912" s="772"/>
      <c r="D912" s="778"/>
      <c r="E912" s="774"/>
      <c r="F912" s="762"/>
      <c r="G912" s="775"/>
      <c r="H912" s="776"/>
      <c r="I912" s="765"/>
      <c r="J912" s="765"/>
      <c r="K912" s="765"/>
    </row>
    <row r="913" spans="1:11" ht="16.5" thickBot="1" x14ac:dyDescent="0.3">
      <c r="A913" s="779"/>
      <c r="B913" s="779"/>
      <c r="C913" s="779"/>
      <c r="D913" s="780"/>
      <c r="E913" s="780"/>
      <c r="F913" s="780"/>
      <c r="G913" s="781"/>
      <c r="H913" s="781"/>
      <c r="I913" s="782"/>
      <c r="J913" s="782"/>
      <c r="K913" s="782"/>
    </row>
    <row r="914" spans="1:11" ht="16.5" thickTop="1" x14ac:dyDescent="0.25">
      <c r="A914" s="783"/>
      <c r="B914" s="783"/>
      <c r="C914" s="783"/>
      <c r="D914" s="774"/>
      <c r="E914" s="774"/>
      <c r="F914" s="774"/>
      <c r="G914" s="766">
        <v>0</v>
      </c>
      <c r="H914" s="766">
        <v>11065.58</v>
      </c>
      <c r="I914" s="766">
        <v>12.42</v>
      </c>
      <c r="J914" s="766">
        <v>0</v>
      </c>
      <c r="K914" s="766">
        <v>0</v>
      </c>
    </row>
    <row r="915" spans="1:11" ht="15.75" x14ac:dyDescent="0.25">
      <c r="A915" s="783"/>
      <c r="B915" s="783"/>
      <c r="C915" s="783"/>
      <c r="D915" s="774"/>
      <c r="E915" s="774"/>
      <c r="F915" s="774"/>
      <c r="G915" s="775"/>
      <c r="H915" s="766"/>
      <c r="I915" s="766"/>
      <c r="J915" s="766"/>
      <c r="K915" s="766"/>
    </row>
    <row r="916" spans="1:11" ht="15.75" x14ac:dyDescent="0.25">
      <c r="A916" s="783"/>
      <c r="B916" s="783"/>
      <c r="C916" s="783"/>
      <c r="D916" s="774" t="s">
        <v>653</v>
      </c>
      <c r="E916" s="774"/>
      <c r="F916" s="774"/>
      <c r="G916" s="775"/>
      <c r="H916" s="766"/>
      <c r="I916" s="766">
        <v>0</v>
      </c>
      <c r="J916" s="766"/>
      <c r="K916" s="766"/>
    </row>
    <row r="917" spans="1:11" ht="15.75" x14ac:dyDescent="0.25">
      <c r="A917" s="783"/>
      <c r="B917" s="783"/>
      <c r="C917" s="783"/>
      <c r="D917" s="774"/>
      <c r="E917" s="774"/>
      <c r="F917" s="774"/>
      <c r="G917" s="775"/>
      <c r="H917" s="766"/>
      <c r="I917" s="766"/>
      <c r="J917" s="766"/>
      <c r="K917" s="766"/>
    </row>
    <row r="918" spans="1:11" ht="15.75" x14ac:dyDescent="0.25">
      <c r="A918" s="783"/>
      <c r="B918" s="783"/>
      <c r="C918" s="783"/>
      <c r="D918" s="774" t="s">
        <v>654</v>
      </c>
      <c r="E918" s="774"/>
      <c r="F918" s="774"/>
      <c r="G918" s="775"/>
      <c r="H918" s="766"/>
      <c r="I918" s="766">
        <v>11065.58</v>
      </c>
      <c r="J918" s="766"/>
      <c r="K918" s="766"/>
    </row>
    <row r="919" spans="1:11" ht="15.75" x14ac:dyDescent="0.25">
      <c r="A919" s="783"/>
      <c r="B919" s="783"/>
      <c r="C919" s="783"/>
      <c r="D919" s="774"/>
      <c r="E919" s="774"/>
      <c r="F919" s="774"/>
      <c r="G919" s="775"/>
      <c r="H919" s="766"/>
      <c r="I919" s="766"/>
      <c r="J919" s="766"/>
      <c r="K919" s="766"/>
    </row>
    <row r="920" spans="1:11" ht="15.75" x14ac:dyDescent="0.25">
      <c r="A920" s="783"/>
      <c r="B920" s="783"/>
      <c r="C920" s="783"/>
      <c r="D920" s="774"/>
      <c r="E920" s="774"/>
      <c r="F920" s="774"/>
      <c r="G920" s="775"/>
      <c r="H920" s="784"/>
      <c r="I920" s="770"/>
      <c r="J920" s="770"/>
      <c r="K920" s="770"/>
    </row>
    <row r="921" spans="1:11" ht="15.75" x14ac:dyDescent="0.25">
      <c r="A921" s="783"/>
      <c r="B921" s="783"/>
      <c r="C921" s="783"/>
      <c r="D921" s="774" t="s">
        <v>590</v>
      </c>
      <c r="E921" s="774"/>
      <c r="F921" s="774"/>
      <c r="G921" s="775"/>
      <c r="H921" s="770"/>
      <c r="I921" s="764"/>
      <c r="J921" s="764"/>
      <c r="K921" s="764"/>
    </row>
    <row r="922" spans="1:11" ht="15.75" x14ac:dyDescent="0.25">
      <c r="A922" s="783"/>
      <c r="B922" s="783"/>
      <c r="C922" s="783"/>
      <c r="D922" s="774" t="s">
        <v>141</v>
      </c>
      <c r="E922" s="774"/>
      <c r="F922" s="774"/>
      <c r="G922" s="775"/>
      <c r="H922" s="770"/>
      <c r="I922" s="713">
        <v>10.99</v>
      </c>
      <c r="J922" s="766"/>
      <c r="K922" s="766"/>
    </row>
    <row r="923" spans="1:11" ht="15.75" x14ac:dyDescent="0.25">
      <c r="A923" s="783"/>
      <c r="B923" s="783"/>
      <c r="C923" s="783"/>
      <c r="D923" s="774" t="s">
        <v>591</v>
      </c>
      <c r="E923" s="774"/>
      <c r="F923" s="774"/>
      <c r="G923" s="775"/>
      <c r="H923" s="770"/>
      <c r="I923" s="785">
        <v>1.4287000000000001</v>
      </c>
      <c r="J923" s="785"/>
      <c r="K923" s="785"/>
    </row>
    <row r="924" spans="1:11" ht="16.5" thickBot="1" x14ac:dyDescent="0.3">
      <c r="A924" s="783"/>
      <c r="B924" s="783"/>
      <c r="C924" s="783"/>
      <c r="D924" s="774"/>
      <c r="E924" s="774"/>
      <c r="F924" s="774"/>
      <c r="G924" s="775"/>
      <c r="H924" s="770"/>
      <c r="I924" s="786"/>
      <c r="J924" s="787"/>
      <c r="K924" s="787"/>
    </row>
    <row r="925" spans="1:11" ht="16.5" thickTop="1" x14ac:dyDescent="0.25">
      <c r="A925" s="783"/>
      <c r="B925" s="783"/>
      <c r="C925" s="783"/>
      <c r="D925" s="774" t="s">
        <v>592</v>
      </c>
      <c r="E925" s="774"/>
      <c r="F925" s="774"/>
      <c r="G925" s="775"/>
      <c r="H925" s="770"/>
      <c r="I925" s="769">
        <v>12.418700000000001</v>
      </c>
      <c r="J925" s="769"/>
      <c r="K925" s="769"/>
    </row>
    <row r="926" spans="1:11" ht="16.5" thickBot="1" x14ac:dyDescent="0.3">
      <c r="A926" s="783"/>
      <c r="B926" s="783"/>
      <c r="C926" s="783"/>
      <c r="D926" s="774"/>
      <c r="E926" s="774"/>
      <c r="F926" s="774"/>
      <c r="G926" s="775"/>
      <c r="H926" s="770"/>
      <c r="I926" s="786"/>
      <c r="J926" s="787"/>
      <c r="K926" s="787"/>
    </row>
    <row r="927" spans="1:11" ht="16.5" thickTop="1" x14ac:dyDescent="0.25">
      <c r="A927" s="783"/>
      <c r="B927" s="783"/>
      <c r="C927" s="783"/>
      <c r="D927" s="774"/>
      <c r="E927" s="774"/>
      <c r="F927" s="774"/>
      <c r="G927" s="742"/>
      <c r="H927" s="743"/>
      <c r="I927" s="788"/>
      <c r="J927" s="788"/>
      <c r="K927" s="788"/>
    </row>
    <row r="928" spans="1:11" ht="15.75" x14ac:dyDescent="0.25">
      <c r="A928" s="783"/>
      <c r="B928" s="783"/>
      <c r="C928" s="783"/>
      <c r="D928" s="774"/>
      <c r="E928" s="774"/>
      <c r="F928" s="774"/>
      <c r="G928" s="742"/>
      <c r="H928" s="743"/>
      <c r="I928" s="749"/>
      <c r="J928" s="749"/>
      <c r="K928" s="749"/>
    </row>
    <row r="929" spans="1:13" ht="15.75" x14ac:dyDescent="0.25">
      <c r="A929" s="783"/>
      <c r="B929" s="783"/>
      <c r="C929" s="783"/>
      <c r="D929" s="774"/>
      <c r="E929" s="774"/>
      <c r="F929" s="774"/>
      <c r="G929" s="789"/>
      <c r="H929" s="743" t="s">
        <v>655</v>
      </c>
      <c r="I929" s="749">
        <v>-1.43</v>
      </c>
      <c r="J929" s="749"/>
      <c r="K929" s="749"/>
    </row>
    <row r="930" spans="1:13" ht="15.75" x14ac:dyDescent="0.25">
      <c r="A930" s="783"/>
      <c r="B930" s="783"/>
      <c r="C930" s="783"/>
      <c r="D930" s="774"/>
      <c r="E930" s="774"/>
      <c r="F930" s="774"/>
      <c r="G930" s="742"/>
      <c r="H930" s="790" t="s">
        <v>656</v>
      </c>
      <c r="I930" s="791">
        <v>-1.2999999999998568E-3</v>
      </c>
      <c r="J930" s="749"/>
      <c r="K930" s="749"/>
    </row>
    <row r="931" spans="1:13" ht="15.75" x14ac:dyDescent="0.25">
      <c r="A931" s="783"/>
      <c r="B931" s="783"/>
      <c r="C931" s="783"/>
      <c r="D931" s="774"/>
      <c r="E931" s="774"/>
      <c r="F931" s="774"/>
      <c r="G931" s="742"/>
      <c r="H931" s="743"/>
      <c r="I931" s="749"/>
      <c r="J931" s="749"/>
      <c r="K931" s="749"/>
    </row>
    <row r="933" spans="1:13" ht="20.25" x14ac:dyDescent="0.3">
      <c r="A933" s="739" t="s">
        <v>640</v>
      </c>
      <c r="B933" s="739"/>
      <c r="C933" s="740"/>
      <c r="D933" s="741"/>
      <c r="E933" s="741"/>
      <c r="F933" s="741"/>
      <c r="G933" s="742"/>
      <c r="H933" s="743"/>
      <c r="I933" s="743"/>
      <c r="J933" s="743"/>
      <c r="K933" s="743"/>
      <c r="L933" s="743"/>
      <c r="M933" s="743"/>
    </row>
    <row r="934" spans="1:13" ht="15.75" x14ac:dyDescent="0.25">
      <c r="A934" s="741" t="s">
        <v>252</v>
      </c>
      <c r="B934" s="741"/>
      <c r="C934" s="741"/>
      <c r="D934" s="741"/>
      <c r="E934" s="741"/>
      <c r="F934" s="741"/>
      <c r="G934" s="742"/>
      <c r="H934" s="743"/>
      <c r="I934" s="743"/>
      <c r="J934" s="743"/>
      <c r="K934" s="743"/>
      <c r="L934" s="743"/>
      <c r="M934" s="743"/>
    </row>
    <row r="935" spans="1:13" ht="15.75" x14ac:dyDescent="0.25">
      <c r="A935" s="740" t="s">
        <v>253</v>
      </c>
      <c r="B935" s="740"/>
      <c r="C935" s="741"/>
      <c r="D935" s="741"/>
      <c r="E935" s="741"/>
      <c r="F935" s="741"/>
      <c r="G935" s="742"/>
      <c r="H935" s="745"/>
      <c r="I935" s="745"/>
      <c r="J935" s="743"/>
      <c r="K935" s="743"/>
      <c r="L935" s="743"/>
      <c r="M935" s="743"/>
    </row>
    <row r="936" spans="1:13" ht="15.75" x14ac:dyDescent="0.25">
      <c r="A936" s="741" t="s">
        <v>356</v>
      </c>
      <c r="B936" s="741"/>
      <c r="C936" s="741"/>
      <c r="D936" s="741"/>
      <c r="E936" s="741"/>
      <c r="F936" s="741"/>
      <c r="G936" s="742"/>
      <c r="H936" s="743"/>
      <c r="I936" s="743"/>
      <c r="J936" s="743"/>
      <c r="K936" s="743"/>
      <c r="L936" s="743"/>
      <c r="M936" s="743"/>
    </row>
    <row r="937" spans="1:13" ht="15.75" x14ac:dyDescent="0.25">
      <c r="A937" s="746" t="s">
        <v>457</v>
      </c>
      <c r="B937" s="746"/>
      <c r="C937" s="747" t="s">
        <v>582</v>
      </c>
      <c r="D937" s="396"/>
      <c r="E937" s="437">
        <v>2020</v>
      </c>
      <c r="F937" s="741"/>
      <c r="G937" s="742"/>
      <c r="H937" s="743"/>
      <c r="I937" s="397"/>
      <c r="J937" s="397"/>
      <c r="K937" s="397"/>
      <c r="L937" s="397"/>
      <c r="M937" s="397"/>
    </row>
    <row r="938" spans="1:13" ht="15.75" x14ac:dyDescent="0.25">
      <c r="A938" s="744"/>
      <c r="B938" s="744"/>
      <c r="C938" s="744"/>
      <c r="D938" s="741"/>
      <c r="E938" s="741"/>
      <c r="F938" s="741"/>
      <c r="G938" s="742"/>
      <c r="H938" s="743"/>
      <c r="I938" s="743"/>
      <c r="J938" s="743"/>
      <c r="K938" s="743"/>
      <c r="L938" s="743"/>
      <c r="M938" s="743"/>
    </row>
    <row r="939" spans="1:13" ht="15.75" x14ac:dyDescent="0.25">
      <c r="A939" s="744"/>
      <c r="B939" s="744"/>
      <c r="C939" s="744"/>
      <c r="D939" s="741"/>
      <c r="E939" s="741"/>
      <c r="F939" s="741"/>
      <c r="G939" s="742"/>
      <c r="H939" s="743"/>
      <c r="I939" s="743"/>
      <c r="J939" s="743"/>
      <c r="K939" s="743"/>
      <c r="L939" s="743"/>
      <c r="M939" s="743"/>
    </row>
    <row r="940" spans="1:13" ht="15.75" x14ac:dyDescent="0.25">
      <c r="A940" s="744"/>
      <c r="B940" s="744"/>
      <c r="C940" s="744"/>
      <c r="D940" s="741"/>
      <c r="E940" s="741"/>
      <c r="F940" s="741"/>
      <c r="G940" s="742"/>
      <c r="H940" s="749" t="s">
        <v>94</v>
      </c>
      <c r="I940" s="749" t="s">
        <v>94</v>
      </c>
      <c r="J940" s="749" t="s">
        <v>641</v>
      </c>
      <c r="K940" s="749" t="s">
        <v>642</v>
      </c>
      <c r="L940" s="749" t="s">
        <v>94</v>
      </c>
      <c r="M940" s="749" t="s">
        <v>257</v>
      </c>
    </row>
    <row r="941" spans="1:13" ht="16.5" thickBot="1" x14ac:dyDescent="0.3">
      <c r="A941" s="750" t="s">
        <v>137</v>
      </c>
      <c r="B941" s="750" t="s">
        <v>1610</v>
      </c>
      <c r="C941" s="750" t="s">
        <v>1602</v>
      </c>
      <c r="D941" s="750" t="s">
        <v>643</v>
      </c>
      <c r="E941" s="750" t="s">
        <v>644</v>
      </c>
      <c r="F941" s="750" t="s">
        <v>1611</v>
      </c>
      <c r="G941" s="751" t="s">
        <v>140</v>
      </c>
      <c r="H941" s="752" t="s">
        <v>327</v>
      </c>
      <c r="I941" s="753" t="s">
        <v>645</v>
      </c>
      <c r="J941" s="752" t="s">
        <v>646</v>
      </c>
      <c r="K941" s="752" t="s">
        <v>647</v>
      </c>
      <c r="L941" s="752" t="s">
        <v>326</v>
      </c>
      <c r="M941" s="752" t="s">
        <v>94</v>
      </c>
    </row>
    <row r="942" spans="1:13" ht="16.5" thickTop="1" x14ac:dyDescent="0.25">
      <c r="A942" s="754"/>
      <c r="B942" s="754"/>
      <c r="C942" s="755"/>
      <c r="D942" s="756"/>
      <c r="E942" s="756"/>
      <c r="F942" s="756"/>
      <c r="G942" s="757"/>
      <c r="H942" s="757"/>
      <c r="I942" s="758"/>
      <c r="J942" s="758"/>
      <c r="K942" s="758"/>
      <c r="L942" s="758"/>
      <c r="M942" s="406"/>
    </row>
    <row r="943" spans="1:13" ht="15.75" x14ac:dyDescent="0.25">
      <c r="A943" s="759">
        <v>44104</v>
      </c>
      <c r="B943" s="759" t="s">
        <v>1633</v>
      </c>
      <c r="C943" s="760" t="s">
        <v>1634</v>
      </c>
      <c r="D943" s="761">
        <v>2058</v>
      </c>
      <c r="E943" s="761">
        <v>2058</v>
      </c>
      <c r="F943" s="762" t="s">
        <v>1613</v>
      </c>
      <c r="G943" s="803">
        <v>0</v>
      </c>
      <c r="H943" s="803">
        <v>4.5</v>
      </c>
      <c r="I943" s="804">
        <v>0</v>
      </c>
      <c r="J943" s="805"/>
      <c r="K943" s="805"/>
      <c r="L943" s="804">
        <v>0</v>
      </c>
      <c r="M943" s="806">
        <f>+G943+H943+I943+K943+L943</f>
        <v>4.5</v>
      </c>
    </row>
    <row r="944" spans="1:13" ht="15.75" x14ac:dyDescent="0.25">
      <c r="A944" s="759">
        <v>44104</v>
      </c>
      <c r="B944" s="759" t="s">
        <v>1635</v>
      </c>
      <c r="C944" s="760" t="s">
        <v>1634</v>
      </c>
      <c r="D944" s="761">
        <v>2061</v>
      </c>
      <c r="E944" s="761">
        <v>2061</v>
      </c>
      <c r="F944" s="762" t="s">
        <v>1613</v>
      </c>
      <c r="G944" s="803">
        <v>0</v>
      </c>
      <c r="H944" s="803">
        <v>20.39</v>
      </c>
      <c r="I944" s="804">
        <v>0</v>
      </c>
      <c r="J944" s="805"/>
      <c r="K944" s="805"/>
      <c r="L944" s="804">
        <v>0</v>
      </c>
      <c r="M944" s="806">
        <f t="shared" ref="M944:M951" si="26">+G944+H944+I944+K944+L944</f>
        <v>20.39</v>
      </c>
    </row>
    <row r="945" spans="1:13" ht="15.75" x14ac:dyDescent="0.25">
      <c r="A945" s="759">
        <v>44104</v>
      </c>
      <c r="B945" s="759" t="s">
        <v>1614</v>
      </c>
      <c r="C945" s="760" t="s">
        <v>1634</v>
      </c>
      <c r="D945" s="761">
        <v>2062</v>
      </c>
      <c r="E945" s="761">
        <v>2062</v>
      </c>
      <c r="F945" s="762" t="s">
        <v>1613</v>
      </c>
      <c r="G945" s="803">
        <v>0</v>
      </c>
      <c r="H945" s="807">
        <v>23587</v>
      </c>
      <c r="I945" s="804">
        <v>0</v>
      </c>
      <c r="J945" s="805"/>
      <c r="K945" s="805"/>
      <c r="L945" s="804">
        <v>0</v>
      </c>
      <c r="M945" s="806">
        <f t="shared" si="26"/>
        <v>23587</v>
      </c>
    </row>
    <row r="946" spans="1:13" ht="15.75" x14ac:dyDescent="0.25">
      <c r="A946" s="759">
        <v>44104</v>
      </c>
      <c r="B946" s="759" t="s">
        <v>460</v>
      </c>
      <c r="C946" s="760" t="s">
        <v>1634</v>
      </c>
      <c r="D946" s="761">
        <v>2063</v>
      </c>
      <c r="E946" s="761">
        <v>2063</v>
      </c>
      <c r="F946" s="762" t="s">
        <v>1613</v>
      </c>
      <c r="G946" s="803">
        <v>0</v>
      </c>
      <c r="H946" s="803">
        <v>133.66999999999999</v>
      </c>
      <c r="I946" s="804">
        <v>0</v>
      </c>
      <c r="J946" s="805"/>
      <c r="K946" s="805"/>
      <c r="L946" s="804">
        <v>0</v>
      </c>
      <c r="M946" s="806">
        <f t="shared" si="26"/>
        <v>133.66999999999999</v>
      </c>
    </row>
    <row r="947" spans="1:13" ht="15.75" x14ac:dyDescent="0.25">
      <c r="A947" s="759">
        <v>44104</v>
      </c>
      <c r="B947" s="759" t="s">
        <v>1614</v>
      </c>
      <c r="C947" s="760" t="s">
        <v>1634</v>
      </c>
      <c r="D947" s="761">
        <v>2065</v>
      </c>
      <c r="E947" s="761">
        <v>2065</v>
      </c>
      <c r="F947" s="762" t="s">
        <v>1613</v>
      </c>
      <c r="G947" s="803">
        <v>0</v>
      </c>
      <c r="H947" s="803">
        <v>11065.57</v>
      </c>
      <c r="I947" s="804">
        <v>0</v>
      </c>
      <c r="J947" s="805"/>
      <c r="K947" s="805"/>
      <c r="L947" s="804">
        <v>0</v>
      </c>
      <c r="M947" s="806">
        <f t="shared" si="26"/>
        <v>11065.57</v>
      </c>
    </row>
    <row r="948" spans="1:13" ht="15.75" x14ac:dyDescent="0.25">
      <c r="A948" s="771">
        <v>44104</v>
      </c>
      <c r="B948" s="771" t="s">
        <v>1633</v>
      </c>
      <c r="C948" s="760" t="s">
        <v>1634</v>
      </c>
      <c r="D948" s="761">
        <v>2066</v>
      </c>
      <c r="E948" s="761">
        <v>2066</v>
      </c>
      <c r="F948" s="762" t="s">
        <v>1613</v>
      </c>
      <c r="G948" s="803">
        <v>0</v>
      </c>
      <c r="H948" s="808">
        <v>18.440000000000001</v>
      </c>
      <c r="I948" s="809">
        <v>0</v>
      </c>
      <c r="J948" s="805"/>
      <c r="K948" s="805"/>
      <c r="L948" s="804">
        <v>0</v>
      </c>
      <c r="M948" s="806">
        <f t="shared" si="26"/>
        <v>18.440000000000001</v>
      </c>
    </row>
    <row r="949" spans="1:13" ht="15.75" x14ac:dyDescent="0.25">
      <c r="A949" s="771">
        <v>44104</v>
      </c>
      <c r="B949" s="771" t="s">
        <v>1635</v>
      </c>
      <c r="C949" s="760" t="s">
        <v>1634</v>
      </c>
      <c r="D949" s="761">
        <v>2067</v>
      </c>
      <c r="E949" s="761">
        <v>2067</v>
      </c>
      <c r="F949" s="762" t="s">
        <v>1613</v>
      </c>
      <c r="G949" s="803">
        <v>0</v>
      </c>
      <c r="H949" s="808">
        <v>22.47</v>
      </c>
      <c r="I949" s="805">
        <v>0</v>
      </c>
      <c r="J949" s="805"/>
      <c r="K949" s="805"/>
      <c r="L949" s="804">
        <v>0</v>
      </c>
      <c r="M949" s="806">
        <f t="shared" si="26"/>
        <v>22.47</v>
      </c>
    </row>
    <row r="950" spans="1:13" ht="15.75" x14ac:dyDescent="0.25">
      <c r="A950" s="771">
        <v>37522</v>
      </c>
      <c r="B950" s="771" t="s">
        <v>1636</v>
      </c>
      <c r="C950" s="760" t="s">
        <v>1634</v>
      </c>
      <c r="D950" s="761">
        <v>2059</v>
      </c>
      <c r="E950" s="761">
        <v>2059</v>
      </c>
      <c r="F950" s="762" t="s">
        <v>1613</v>
      </c>
      <c r="G950" s="803">
        <v>0</v>
      </c>
      <c r="H950" s="808">
        <v>0</v>
      </c>
      <c r="I950" s="805">
        <v>11.27</v>
      </c>
      <c r="J950" s="805"/>
      <c r="K950" s="805"/>
      <c r="L950" s="804">
        <v>0</v>
      </c>
      <c r="M950" s="806">
        <f t="shared" si="26"/>
        <v>11.27</v>
      </c>
    </row>
    <row r="951" spans="1:13" ht="15.75" x14ac:dyDescent="0.25">
      <c r="A951" s="771">
        <v>44097</v>
      </c>
      <c r="B951" s="771" t="s">
        <v>1637</v>
      </c>
      <c r="C951" s="760" t="s">
        <v>1634</v>
      </c>
      <c r="D951" s="761">
        <v>2060</v>
      </c>
      <c r="E951" s="761">
        <v>2060</v>
      </c>
      <c r="F951" s="762" t="s">
        <v>1613</v>
      </c>
      <c r="G951" s="803">
        <v>0</v>
      </c>
      <c r="H951" s="808">
        <v>0</v>
      </c>
      <c r="I951" s="805">
        <v>1.75</v>
      </c>
      <c r="J951" s="805"/>
      <c r="K951" s="805"/>
      <c r="L951" s="804">
        <v>0</v>
      </c>
      <c r="M951" s="806">
        <f t="shared" si="26"/>
        <v>1.75</v>
      </c>
    </row>
    <row r="952" spans="1:13" ht="15.75" x14ac:dyDescent="0.25">
      <c r="A952" s="771"/>
      <c r="B952" s="771"/>
      <c r="C952" s="760"/>
      <c r="D952" s="761"/>
      <c r="E952" s="761"/>
      <c r="F952" s="762"/>
      <c r="G952" s="803"/>
      <c r="H952" s="808"/>
      <c r="I952" s="805"/>
      <c r="J952" s="805"/>
      <c r="K952" s="805"/>
      <c r="L952" s="804"/>
      <c r="M952" s="806"/>
    </row>
    <row r="953" spans="1:13" ht="16.5" thickBot="1" x14ac:dyDescent="0.3">
      <c r="A953" s="779"/>
      <c r="B953" s="779"/>
      <c r="C953" s="779"/>
      <c r="D953" s="780"/>
      <c r="E953" s="780"/>
      <c r="F953" s="780"/>
      <c r="G953" s="810"/>
      <c r="H953" s="810"/>
      <c r="I953" s="811"/>
      <c r="J953" s="811"/>
      <c r="K953" s="811"/>
      <c r="L953" s="811"/>
      <c r="M953" s="812"/>
    </row>
    <row r="954" spans="1:13" ht="16.5" thickTop="1" x14ac:dyDescent="0.25">
      <c r="A954" s="783"/>
      <c r="B954" s="783"/>
      <c r="C954" s="783"/>
      <c r="D954" s="774"/>
      <c r="E954" s="774"/>
      <c r="F954" s="774"/>
      <c r="G954" s="806">
        <f>SUM(G942:G953)</f>
        <v>0</v>
      </c>
      <c r="H954" s="806">
        <f t="shared" ref="H954:M954" si="27">SUM(H942:H953)</f>
        <v>34852.04</v>
      </c>
      <c r="I954" s="806">
        <f>SUM(I942:I953)</f>
        <v>13.02</v>
      </c>
      <c r="J954" s="806">
        <f t="shared" si="27"/>
        <v>0</v>
      </c>
      <c r="K954" s="806">
        <f t="shared" si="27"/>
        <v>0</v>
      </c>
      <c r="L954" s="806">
        <f t="shared" si="27"/>
        <v>0</v>
      </c>
      <c r="M954" s="806">
        <f t="shared" si="27"/>
        <v>34865.06</v>
      </c>
    </row>
    <row r="955" spans="1:13" ht="15.75" x14ac:dyDescent="0.25">
      <c r="A955" s="783"/>
      <c r="B955" s="783"/>
      <c r="C955" s="783"/>
      <c r="D955" s="774"/>
      <c r="E955" s="774"/>
      <c r="F955" s="774"/>
      <c r="G955" s="813"/>
      <c r="H955" s="806"/>
      <c r="I955" s="806"/>
      <c r="J955" s="806"/>
      <c r="K955" s="806"/>
      <c r="L955" s="806"/>
      <c r="M955" s="806"/>
    </row>
    <row r="956" spans="1:13" ht="15.75" x14ac:dyDescent="0.25">
      <c r="A956" s="783"/>
      <c r="B956" s="783"/>
      <c r="C956" s="783"/>
      <c r="D956" s="774" t="s">
        <v>653</v>
      </c>
      <c r="E956" s="774"/>
      <c r="F956" s="774"/>
      <c r="G956" s="813"/>
      <c r="H956" s="806"/>
      <c r="I956" s="806">
        <f>+G954</f>
        <v>0</v>
      </c>
      <c r="J956" s="806"/>
      <c r="K956" s="806"/>
      <c r="L956" s="806"/>
      <c r="M956" s="806"/>
    </row>
    <row r="957" spans="1:13" ht="15.75" x14ac:dyDescent="0.25">
      <c r="A957" s="783"/>
      <c r="B957" s="783"/>
      <c r="C957" s="783"/>
      <c r="D957" s="774"/>
      <c r="E957" s="774"/>
      <c r="F957" s="774"/>
      <c r="G957" s="813"/>
      <c r="H957" s="806"/>
      <c r="I957" s="806"/>
      <c r="J957" s="806"/>
      <c r="K957" s="806"/>
      <c r="L957" s="806"/>
      <c r="M957" s="806"/>
    </row>
    <row r="958" spans="1:13" ht="15.75" x14ac:dyDescent="0.25">
      <c r="A958" s="783"/>
      <c r="B958" s="783"/>
      <c r="C958" s="783"/>
      <c r="D958" s="774" t="s">
        <v>654</v>
      </c>
      <c r="E958" s="774"/>
      <c r="F958" s="774"/>
      <c r="G958" s="813"/>
      <c r="H958" s="806"/>
      <c r="I958" s="806">
        <f>+H954</f>
        <v>34852.04</v>
      </c>
      <c r="J958" s="806"/>
      <c r="K958" s="806"/>
      <c r="L958" s="806"/>
      <c r="M958" s="806"/>
    </row>
    <row r="959" spans="1:13" ht="15.75" x14ac:dyDescent="0.25">
      <c r="A959" s="783"/>
      <c r="B959" s="783"/>
      <c r="C959" s="783"/>
      <c r="D959" s="774"/>
      <c r="E959" s="774"/>
      <c r="F959" s="774"/>
      <c r="G959" s="813"/>
      <c r="H959" s="806"/>
      <c r="I959" s="806"/>
      <c r="J959" s="806"/>
      <c r="K959" s="806"/>
      <c r="L959" s="806"/>
      <c r="M959" s="806"/>
    </row>
    <row r="960" spans="1:13" ht="15.75" x14ac:dyDescent="0.25">
      <c r="A960" s="783"/>
      <c r="B960" s="783"/>
      <c r="C960" s="783"/>
      <c r="D960" s="774"/>
      <c r="E960" s="774"/>
      <c r="F960" s="774"/>
      <c r="G960" s="813"/>
      <c r="H960" s="814"/>
      <c r="I960" s="815"/>
      <c r="J960" s="815"/>
      <c r="K960" s="815"/>
      <c r="L960" s="815"/>
      <c r="M960" s="815"/>
    </row>
    <row r="961" spans="1:13" ht="15.75" x14ac:dyDescent="0.25">
      <c r="A961" s="783"/>
      <c r="B961" s="783"/>
      <c r="C961" s="783"/>
      <c r="D961" s="774" t="s">
        <v>590</v>
      </c>
      <c r="E961" s="774"/>
      <c r="F961" s="774"/>
      <c r="G961" s="813"/>
      <c r="H961" s="815"/>
      <c r="I961" s="804"/>
      <c r="J961" s="804"/>
      <c r="K961" s="804"/>
      <c r="L961" s="804"/>
      <c r="M961" s="815"/>
    </row>
    <row r="962" spans="1:13" ht="15.75" x14ac:dyDescent="0.25">
      <c r="A962" s="783"/>
      <c r="B962" s="783"/>
      <c r="C962" s="783"/>
      <c r="D962" s="774" t="s">
        <v>141</v>
      </c>
      <c r="E962" s="774"/>
      <c r="F962" s="774"/>
      <c r="G962" s="813"/>
      <c r="H962" s="815"/>
      <c r="I962" s="820">
        <f>ROUND(I954/1.13,2)</f>
        <v>11.52</v>
      </c>
      <c r="J962" s="806"/>
      <c r="K962" s="806"/>
      <c r="L962" s="806"/>
      <c r="M962" s="427"/>
    </row>
    <row r="963" spans="1:13" ht="15.75" x14ac:dyDescent="0.25">
      <c r="A963" s="783"/>
      <c r="B963" s="783"/>
      <c r="C963" s="783"/>
      <c r="D963" s="774" t="s">
        <v>591</v>
      </c>
      <c r="E963" s="774"/>
      <c r="F963" s="774"/>
      <c r="G963" s="813"/>
      <c r="H963" s="815"/>
      <c r="I963" s="816">
        <f>I962*0.13</f>
        <v>1.4976</v>
      </c>
      <c r="J963" s="816"/>
      <c r="K963" s="816"/>
      <c r="L963" s="816"/>
      <c r="M963" s="427"/>
    </row>
    <row r="964" spans="1:13" ht="16.5" thickBot="1" x14ac:dyDescent="0.3">
      <c r="A964" s="783"/>
      <c r="B964" s="783"/>
      <c r="C964" s="783"/>
      <c r="D964" s="774"/>
      <c r="E964" s="774"/>
      <c r="F964" s="774"/>
      <c r="G964" s="813"/>
      <c r="H964" s="815"/>
      <c r="I964" s="817"/>
      <c r="J964" s="818"/>
      <c r="K964" s="818"/>
      <c r="L964" s="818"/>
      <c r="M964" s="427"/>
    </row>
    <row r="965" spans="1:13" ht="16.5" thickTop="1" x14ac:dyDescent="0.25">
      <c r="A965" s="783"/>
      <c r="B965" s="783"/>
      <c r="C965" s="783"/>
      <c r="D965" s="774" t="s">
        <v>592</v>
      </c>
      <c r="E965" s="774"/>
      <c r="F965" s="774"/>
      <c r="G965" s="813"/>
      <c r="H965" s="815"/>
      <c r="I965" s="819">
        <f>SUM(I962:I964)</f>
        <v>13.0176</v>
      </c>
      <c r="J965" s="819"/>
      <c r="K965" s="819"/>
      <c r="L965" s="819"/>
      <c r="M965" s="815"/>
    </row>
    <row r="966" spans="1:13" ht="16.5" thickBot="1" x14ac:dyDescent="0.3">
      <c r="A966" s="783"/>
      <c r="B966" s="783"/>
      <c r="C966" s="783"/>
      <c r="D966" s="774"/>
      <c r="E966" s="774"/>
      <c r="F966" s="774"/>
      <c r="G966" s="813"/>
      <c r="H966" s="815"/>
      <c r="I966" s="817"/>
      <c r="J966" s="818"/>
      <c r="K966" s="818"/>
      <c r="L966" s="818"/>
      <c r="M966" s="815"/>
    </row>
    <row r="967" spans="1:13" ht="16.5" thickTop="1" x14ac:dyDescent="0.25">
      <c r="A967" s="783"/>
      <c r="B967" s="783"/>
      <c r="C967" s="783"/>
      <c r="D967" s="774"/>
      <c r="E967" s="774"/>
      <c r="F967" s="774"/>
      <c r="G967" s="742"/>
      <c r="H967" s="743"/>
      <c r="I967" s="788"/>
      <c r="J967" s="788"/>
      <c r="K967" s="788"/>
      <c r="L967" s="788"/>
      <c r="M967" s="743"/>
    </row>
    <row r="968" spans="1:13" ht="15.75" x14ac:dyDescent="0.25">
      <c r="A968" s="783"/>
      <c r="B968" s="783"/>
      <c r="C968" s="783"/>
      <c r="D968" s="774"/>
      <c r="E968" s="774"/>
      <c r="F968" s="774"/>
      <c r="G968" s="742"/>
      <c r="H968" s="743"/>
      <c r="I968" s="749"/>
      <c r="J968" s="749"/>
      <c r="K968" s="749"/>
      <c r="L968" s="749"/>
      <c r="M968" s="743"/>
    </row>
    <row r="969" spans="1:13" ht="15.75" x14ac:dyDescent="0.25">
      <c r="A969" s="783"/>
      <c r="B969" s="783"/>
      <c r="C969" s="783"/>
      <c r="D969" s="774"/>
      <c r="E969" s="774"/>
      <c r="F969" s="774"/>
      <c r="G969" s="789"/>
      <c r="H969" s="743" t="s">
        <v>655</v>
      </c>
      <c r="I969" s="749">
        <v>-1.5</v>
      </c>
      <c r="J969" s="749"/>
      <c r="K969" s="749"/>
      <c r="L969" s="749"/>
      <c r="M969" s="743"/>
    </row>
    <row r="970" spans="1:13" ht="15.75" x14ac:dyDescent="0.25">
      <c r="A970" s="783"/>
      <c r="B970" s="783"/>
      <c r="C970" s="783"/>
      <c r="D970" s="774"/>
      <c r="E970" s="774"/>
      <c r="F970" s="774"/>
      <c r="G970" s="742"/>
      <c r="H970" s="790" t="s">
        <v>656</v>
      </c>
      <c r="I970" s="791">
        <f>+I963+I969</f>
        <v>-2.3999999999999577E-3</v>
      </c>
      <c r="J970" s="749"/>
      <c r="K970" s="749"/>
      <c r="L970" s="749"/>
      <c r="M970" s="743"/>
    </row>
    <row r="971" spans="1:13" ht="15.75" x14ac:dyDescent="0.25">
      <c r="A971" s="783"/>
      <c r="B971" s="783"/>
      <c r="C971" s="783"/>
      <c r="D971" s="774"/>
      <c r="E971" s="774"/>
      <c r="F971" s="774"/>
      <c r="G971" s="742"/>
      <c r="H971" s="743"/>
      <c r="I971" s="749"/>
      <c r="J971" s="749"/>
      <c r="K971" s="749"/>
      <c r="L971" s="749"/>
      <c r="M971" s="743"/>
    </row>
    <row r="975" spans="1:13" ht="20.25" x14ac:dyDescent="0.3">
      <c r="A975" s="739" t="s">
        <v>640</v>
      </c>
      <c r="B975" s="739"/>
      <c r="C975" s="740"/>
      <c r="D975" s="741"/>
      <c r="E975" s="741"/>
      <c r="F975" s="741"/>
      <c r="G975" s="742"/>
      <c r="H975" s="743"/>
      <c r="I975" s="743"/>
    </row>
    <row r="976" spans="1:13" ht="15.75" x14ac:dyDescent="0.25">
      <c r="A976" s="741" t="s">
        <v>252</v>
      </c>
      <c r="B976" s="741"/>
      <c r="C976" s="741"/>
      <c r="D976" s="741"/>
      <c r="E976" s="741"/>
      <c r="F976" s="741"/>
      <c r="G976" s="742"/>
      <c r="H976" s="743"/>
      <c r="I976" s="743"/>
    </row>
    <row r="977" spans="1:9" ht="15.75" x14ac:dyDescent="0.25">
      <c r="A977" s="740" t="s">
        <v>253</v>
      </c>
      <c r="B977" s="740"/>
      <c r="C977" s="741"/>
      <c r="D977" s="741"/>
      <c r="E977" s="741"/>
      <c r="F977" s="741"/>
      <c r="G977" s="742"/>
      <c r="H977" s="745"/>
      <c r="I977" s="745"/>
    </row>
    <row r="978" spans="1:9" ht="15.75" x14ac:dyDescent="0.25">
      <c r="A978" s="741" t="s">
        <v>356</v>
      </c>
      <c r="B978" s="741"/>
      <c r="C978" s="741"/>
      <c r="D978" s="741"/>
      <c r="E978" s="741"/>
      <c r="F978" s="741"/>
      <c r="G978" s="742"/>
      <c r="H978" s="743"/>
      <c r="I978" s="743"/>
    </row>
    <row r="979" spans="1:9" ht="15.75" x14ac:dyDescent="0.25">
      <c r="A979" s="746" t="s">
        <v>457</v>
      </c>
      <c r="B979" s="746"/>
      <c r="C979" s="747" t="s">
        <v>639</v>
      </c>
      <c r="D979" s="396"/>
      <c r="E979" s="437">
        <v>2020</v>
      </c>
      <c r="F979" s="741"/>
      <c r="G979" s="742"/>
      <c r="H979" s="743"/>
      <c r="I979" s="397"/>
    </row>
    <row r="980" spans="1:9" ht="15.75" x14ac:dyDescent="0.25">
      <c r="A980" s="744"/>
      <c r="B980" s="744"/>
      <c r="C980" s="744"/>
      <c r="D980" s="741"/>
      <c r="E980" s="741"/>
      <c r="F980" s="741"/>
      <c r="G980" s="742"/>
      <c r="H980" s="743"/>
      <c r="I980" s="743"/>
    </row>
    <row r="981" spans="1:9" ht="15.75" x14ac:dyDescent="0.25">
      <c r="A981" s="744"/>
      <c r="B981" s="744"/>
      <c r="C981" s="744"/>
      <c r="D981" s="741"/>
      <c r="E981" s="741"/>
      <c r="F981" s="741"/>
      <c r="G981" s="742"/>
      <c r="H981" s="743"/>
      <c r="I981" s="743"/>
    </row>
    <row r="982" spans="1:9" ht="15.75" x14ac:dyDescent="0.25">
      <c r="A982" s="744"/>
      <c r="B982" s="744"/>
      <c r="C982" s="744"/>
      <c r="D982" s="741"/>
      <c r="E982" s="741"/>
      <c r="F982" s="741"/>
      <c r="G982" s="742"/>
      <c r="H982" s="749" t="s">
        <v>94</v>
      </c>
      <c r="I982" s="749" t="s">
        <v>94</v>
      </c>
    </row>
    <row r="983" spans="1:9" ht="18.75" thickBot="1" x14ac:dyDescent="0.3">
      <c r="A983" s="826" t="s">
        <v>137</v>
      </c>
      <c r="B983" s="826" t="s">
        <v>1610</v>
      </c>
      <c r="C983" s="826" t="s">
        <v>1602</v>
      </c>
      <c r="D983" s="826" t="s">
        <v>643</v>
      </c>
      <c r="E983" s="826" t="s">
        <v>644</v>
      </c>
      <c r="F983" s="826" t="s">
        <v>1611</v>
      </c>
      <c r="G983" s="827" t="s">
        <v>140</v>
      </c>
      <c r="H983" s="828" t="s">
        <v>327</v>
      </c>
      <c r="I983" s="829" t="s">
        <v>645</v>
      </c>
    </row>
    <row r="984" spans="1:9" ht="18.75" thickTop="1" x14ac:dyDescent="0.25">
      <c r="A984" s="830"/>
      <c r="B984" s="830"/>
      <c r="C984" s="831"/>
      <c r="D984" s="832"/>
      <c r="E984" s="832"/>
      <c r="F984" s="832"/>
      <c r="G984" s="833"/>
      <c r="H984" s="833"/>
      <c r="I984" s="834"/>
    </row>
    <row r="985" spans="1:9" ht="18" x14ac:dyDescent="0.25">
      <c r="A985" s="835">
        <v>44111</v>
      </c>
      <c r="B985" s="835" t="s">
        <v>482</v>
      </c>
      <c r="C985" s="836" t="s">
        <v>1634</v>
      </c>
      <c r="D985" s="837">
        <v>2093</v>
      </c>
      <c r="E985" s="837">
        <f t="shared" ref="E985:E992" si="28">+D985</f>
        <v>2093</v>
      </c>
      <c r="F985" s="838" t="s">
        <v>1613</v>
      </c>
      <c r="G985" s="839">
        <v>0</v>
      </c>
      <c r="H985" s="839">
        <v>0</v>
      </c>
      <c r="I985" s="840">
        <v>0</v>
      </c>
    </row>
    <row r="986" spans="1:9" ht="18" x14ac:dyDescent="0.25">
      <c r="A986" s="841">
        <v>44111</v>
      </c>
      <c r="B986" s="835" t="s">
        <v>482</v>
      </c>
      <c r="C986" s="836" t="s">
        <v>1634</v>
      </c>
      <c r="D986" s="837">
        <v>2094</v>
      </c>
      <c r="E986" s="837">
        <f t="shared" si="28"/>
        <v>2094</v>
      </c>
      <c r="F986" s="838" t="s">
        <v>1613</v>
      </c>
      <c r="G986" s="839">
        <v>0</v>
      </c>
      <c r="H986" s="842">
        <v>0</v>
      </c>
      <c r="I986" s="840">
        <v>0</v>
      </c>
    </row>
    <row r="987" spans="1:9" ht="18" x14ac:dyDescent="0.25">
      <c r="A987" s="835">
        <v>44118</v>
      </c>
      <c r="B987" s="835" t="s">
        <v>482</v>
      </c>
      <c r="C987" s="836" t="s">
        <v>1634</v>
      </c>
      <c r="D987" s="837">
        <v>2069</v>
      </c>
      <c r="E987" s="837">
        <f t="shared" si="28"/>
        <v>2069</v>
      </c>
      <c r="F987" s="838" t="s">
        <v>1613</v>
      </c>
      <c r="G987" s="839">
        <v>0</v>
      </c>
      <c r="H987" s="839">
        <v>0</v>
      </c>
      <c r="I987" s="840">
        <v>0</v>
      </c>
    </row>
    <row r="988" spans="1:9" ht="18" x14ac:dyDescent="0.25">
      <c r="A988" s="835">
        <v>44118</v>
      </c>
      <c r="B988" s="835" t="s">
        <v>482</v>
      </c>
      <c r="C988" s="836" t="s">
        <v>1634</v>
      </c>
      <c r="D988" s="837">
        <v>2070</v>
      </c>
      <c r="E988" s="837">
        <f t="shared" si="28"/>
        <v>2070</v>
      </c>
      <c r="F988" s="838" t="s">
        <v>1613</v>
      </c>
      <c r="G988" s="839">
        <v>0</v>
      </c>
      <c r="H988" s="839">
        <v>0</v>
      </c>
      <c r="I988" s="840">
        <v>0</v>
      </c>
    </row>
    <row r="989" spans="1:9" ht="18" x14ac:dyDescent="0.25">
      <c r="A989" s="835">
        <v>44118</v>
      </c>
      <c r="B989" s="835" t="s">
        <v>482</v>
      </c>
      <c r="C989" s="836" t="s">
        <v>1634</v>
      </c>
      <c r="D989" s="837">
        <v>2073</v>
      </c>
      <c r="E989" s="837">
        <f t="shared" si="28"/>
        <v>2073</v>
      </c>
      <c r="F989" s="838" t="s">
        <v>1613</v>
      </c>
      <c r="G989" s="839">
        <v>0</v>
      </c>
      <c r="H989" s="843">
        <v>0</v>
      </c>
      <c r="I989" s="840">
        <v>0</v>
      </c>
    </row>
    <row r="990" spans="1:9" ht="18" x14ac:dyDescent="0.25">
      <c r="A990" s="835">
        <v>44118</v>
      </c>
      <c r="B990" s="835" t="s">
        <v>482</v>
      </c>
      <c r="C990" s="836" t="s">
        <v>1634</v>
      </c>
      <c r="D990" s="837">
        <v>2074</v>
      </c>
      <c r="E990" s="837">
        <f t="shared" si="28"/>
        <v>2074</v>
      </c>
      <c r="F990" s="838" t="s">
        <v>1613</v>
      </c>
      <c r="G990" s="839">
        <v>0</v>
      </c>
      <c r="H990" s="839">
        <v>0</v>
      </c>
      <c r="I990" s="840">
        <v>0</v>
      </c>
    </row>
    <row r="991" spans="1:9" ht="18" x14ac:dyDescent="0.25">
      <c r="A991" s="841">
        <v>44125</v>
      </c>
      <c r="B991" s="841" t="s">
        <v>1651</v>
      </c>
      <c r="C991" s="836" t="s">
        <v>1634</v>
      </c>
      <c r="D991" s="837">
        <v>2071</v>
      </c>
      <c r="E991" s="837">
        <f t="shared" si="28"/>
        <v>2071</v>
      </c>
      <c r="F991" s="838" t="s">
        <v>1613</v>
      </c>
      <c r="G991" s="839">
        <v>0</v>
      </c>
      <c r="H991" s="842">
        <v>0</v>
      </c>
      <c r="I991" s="844">
        <v>1.76</v>
      </c>
    </row>
    <row r="992" spans="1:9" ht="18" x14ac:dyDescent="0.25">
      <c r="A992" s="841">
        <v>44125</v>
      </c>
      <c r="B992" s="841" t="s">
        <v>1652</v>
      </c>
      <c r="C992" s="836" t="s">
        <v>1634</v>
      </c>
      <c r="D992" s="837">
        <v>2072</v>
      </c>
      <c r="E992" s="837">
        <f t="shared" si="28"/>
        <v>2072</v>
      </c>
      <c r="F992" s="838" t="s">
        <v>1613</v>
      </c>
      <c r="G992" s="839">
        <v>0</v>
      </c>
      <c r="H992" s="842">
        <v>0</v>
      </c>
      <c r="I992" s="844">
        <v>11.4</v>
      </c>
    </row>
    <row r="993" spans="1:9" ht="18" x14ac:dyDescent="0.25">
      <c r="A993" s="841"/>
      <c r="B993" s="841"/>
      <c r="C993" s="836"/>
      <c r="D993" s="837"/>
      <c r="E993" s="837"/>
      <c r="F993" s="838"/>
      <c r="G993" s="839"/>
      <c r="H993" s="842"/>
      <c r="I993" s="844"/>
    </row>
    <row r="994" spans="1:9" ht="18" x14ac:dyDescent="0.25">
      <c r="A994" s="841"/>
      <c r="B994" s="841"/>
      <c r="C994" s="836"/>
      <c r="D994" s="837"/>
      <c r="E994" s="837"/>
      <c r="F994" s="838"/>
      <c r="G994" s="839"/>
      <c r="H994" s="842"/>
      <c r="I994" s="844"/>
    </row>
    <row r="995" spans="1:9" ht="18.75" thickBot="1" x14ac:dyDescent="0.3">
      <c r="A995" s="845"/>
      <c r="B995" s="845"/>
      <c r="C995" s="845"/>
      <c r="D995" s="846"/>
      <c r="E995" s="846"/>
      <c r="F995" s="846"/>
      <c r="G995" s="847"/>
      <c r="H995" s="847"/>
      <c r="I995" s="848"/>
    </row>
    <row r="996" spans="1:9" ht="18.75" thickTop="1" x14ac:dyDescent="0.25">
      <c r="A996" s="849"/>
      <c r="B996" s="849"/>
      <c r="C996" s="849"/>
      <c r="D996" s="850"/>
      <c r="E996" s="850"/>
      <c r="F996" s="850"/>
      <c r="G996" s="851">
        <f>SUM(G984:G995)</f>
        <v>0</v>
      </c>
      <c r="H996" s="851">
        <f>SUM(H984:H995)</f>
        <v>0</v>
      </c>
      <c r="I996" s="851">
        <f>SUM(I984:I995)</f>
        <v>13.16</v>
      </c>
    </row>
    <row r="997" spans="1:9" ht="18" x14ac:dyDescent="0.25">
      <c r="A997" s="849"/>
      <c r="B997" s="849"/>
      <c r="C997" s="849"/>
      <c r="D997" s="850"/>
      <c r="E997" s="850"/>
      <c r="F997" s="850"/>
      <c r="G997" s="852"/>
      <c r="H997" s="851"/>
      <c r="I997" s="851"/>
    </row>
    <row r="998" spans="1:9" ht="18" x14ac:dyDescent="0.25">
      <c r="A998" s="849"/>
      <c r="B998" s="849"/>
      <c r="C998" s="849"/>
      <c r="D998" s="850" t="s">
        <v>653</v>
      </c>
      <c r="E998" s="850"/>
      <c r="F998" s="850"/>
      <c r="G998" s="852"/>
      <c r="H998" s="851"/>
      <c r="I998" s="851">
        <f>+G996</f>
        <v>0</v>
      </c>
    </row>
    <row r="999" spans="1:9" ht="18" x14ac:dyDescent="0.25">
      <c r="A999" s="849"/>
      <c r="B999" s="849"/>
      <c r="C999" s="849"/>
      <c r="D999" s="850"/>
      <c r="E999" s="850"/>
      <c r="F999" s="850"/>
      <c r="G999" s="852"/>
      <c r="H999" s="851"/>
      <c r="I999" s="851"/>
    </row>
    <row r="1000" spans="1:9" ht="18" x14ac:dyDescent="0.25">
      <c r="A1000" s="849"/>
      <c r="B1000" s="849"/>
      <c r="C1000" s="849"/>
      <c r="D1000" s="850" t="s">
        <v>654</v>
      </c>
      <c r="E1000" s="850"/>
      <c r="F1000" s="850"/>
      <c r="G1000" s="852"/>
      <c r="H1000" s="851"/>
      <c r="I1000" s="851">
        <f>+H996</f>
        <v>0</v>
      </c>
    </row>
    <row r="1001" spans="1:9" ht="18" x14ac:dyDescent="0.25">
      <c r="A1001" s="849"/>
      <c r="B1001" s="849"/>
      <c r="C1001" s="849"/>
      <c r="D1001" s="850"/>
      <c r="E1001" s="850"/>
      <c r="F1001" s="850"/>
      <c r="G1001" s="852"/>
      <c r="H1001" s="851"/>
      <c r="I1001" s="851"/>
    </row>
    <row r="1002" spans="1:9" ht="18" x14ac:dyDescent="0.25">
      <c r="A1002" s="849"/>
      <c r="B1002" s="849"/>
      <c r="C1002" s="849"/>
      <c r="D1002" s="850"/>
      <c r="E1002" s="850"/>
      <c r="F1002" s="850"/>
      <c r="G1002" s="852"/>
      <c r="H1002" s="853"/>
      <c r="I1002" s="854"/>
    </row>
    <row r="1003" spans="1:9" ht="18" x14ac:dyDescent="0.25">
      <c r="A1003" s="849"/>
      <c r="B1003" s="849"/>
      <c r="C1003" s="849"/>
      <c r="D1003" s="850" t="s">
        <v>590</v>
      </c>
      <c r="E1003" s="850"/>
      <c r="F1003" s="850"/>
      <c r="G1003" s="852"/>
      <c r="H1003" s="854"/>
      <c r="I1003" s="840"/>
    </row>
    <row r="1004" spans="1:9" ht="18" x14ac:dyDescent="0.25">
      <c r="A1004" s="849"/>
      <c r="B1004" s="849"/>
      <c r="C1004" s="849"/>
      <c r="D1004" s="850" t="s">
        <v>141</v>
      </c>
      <c r="E1004" s="850"/>
      <c r="F1004" s="850"/>
      <c r="G1004" s="852"/>
      <c r="H1004" s="854"/>
      <c r="I1004" s="855">
        <f>ROUND(I996/1.13,2)</f>
        <v>11.65</v>
      </c>
    </row>
    <row r="1005" spans="1:9" ht="18" x14ac:dyDescent="0.25">
      <c r="A1005" s="849"/>
      <c r="B1005" s="849"/>
      <c r="C1005" s="849"/>
      <c r="D1005" s="850" t="s">
        <v>591</v>
      </c>
      <c r="E1005" s="850"/>
      <c r="F1005" s="850"/>
      <c r="G1005" s="852"/>
      <c r="H1005" s="854"/>
      <c r="I1005" s="856">
        <f>I1004*0.13</f>
        <v>1.5145000000000002</v>
      </c>
    </row>
    <row r="1006" spans="1:9" ht="18.75" thickBot="1" x14ac:dyDescent="0.3">
      <c r="A1006" s="849"/>
      <c r="B1006" s="849"/>
      <c r="C1006" s="849"/>
      <c r="D1006" s="850"/>
      <c r="E1006" s="850"/>
      <c r="F1006" s="850"/>
      <c r="G1006" s="852"/>
      <c r="H1006" s="854"/>
      <c r="I1006" s="857"/>
    </row>
    <row r="1007" spans="1:9" ht="18.75" thickTop="1" x14ac:dyDescent="0.25">
      <c r="A1007" s="849"/>
      <c r="B1007" s="849"/>
      <c r="C1007" s="849"/>
      <c r="D1007" s="850" t="s">
        <v>592</v>
      </c>
      <c r="E1007" s="850"/>
      <c r="F1007" s="850"/>
      <c r="G1007" s="852"/>
      <c r="H1007" s="854"/>
      <c r="I1007" s="858">
        <f>SUM(I1004:I1006)</f>
        <v>13.1645</v>
      </c>
    </row>
    <row r="1008" spans="1:9" ht="18.75" thickBot="1" x14ac:dyDescent="0.3">
      <c r="A1008" s="849"/>
      <c r="B1008" s="849"/>
      <c r="C1008" s="849"/>
      <c r="D1008" s="850"/>
      <c r="E1008" s="850"/>
      <c r="F1008" s="850"/>
      <c r="G1008" s="852"/>
      <c r="H1008" s="854"/>
      <c r="I1008" s="857"/>
    </row>
    <row r="1009" spans="1:11" ht="18.75" thickTop="1" x14ac:dyDescent="0.25">
      <c r="A1009" s="849"/>
      <c r="B1009" s="849"/>
      <c r="C1009" s="849"/>
      <c r="D1009" s="850"/>
      <c r="E1009" s="850"/>
      <c r="F1009" s="850"/>
      <c r="G1009" s="859"/>
      <c r="H1009" s="860"/>
      <c r="I1009" s="861"/>
    </row>
    <row r="1010" spans="1:11" ht="18" x14ac:dyDescent="0.25">
      <c r="A1010" s="849"/>
      <c r="B1010" s="849"/>
      <c r="C1010" s="849"/>
      <c r="D1010" s="850"/>
      <c r="E1010" s="850"/>
      <c r="F1010" s="850"/>
      <c r="G1010" s="859"/>
      <c r="H1010" s="860"/>
      <c r="I1010" s="862"/>
    </row>
    <row r="1011" spans="1:11" ht="18" x14ac:dyDescent="0.25">
      <c r="A1011" s="849"/>
      <c r="B1011" s="849"/>
      <c r="C1011" s="849"/>
      <c r="D1011" s="850"/>
      <c r="E1011" s="850"/>
      <c r="F1011" s="850"/>
      <c r="G1011" s="863"/>
      <c r="H1011" s="860" t="s">
        <v>655</v>
      </c>
      <c r="I1011" s="862">
        <v>-1.51</v>
      </c>
    </row>
    <row r="1012" spans="1:11" ht="18" x14ac:dyDescent="0.25">
      <c r="A1012" s="849"/>
      <c r="B1012" s="849"/>
      <c r="C1012" s="849"/>
      <c r="D1012" s="850"/>
      <c r="E1012" s="850"/>
      <c r="F1012" s="850"/>
      <c r="G1012" s="859"/>
      <c r="H1012" s="311" t="s">
        <v>656</v>
      </c>
      <c r="I1012" s="864">
        <f>+I1005+I1011</f>
        <v>4.5000000000001705E-3</v>
      </c>
    </row>
    <row r="1015" spans="1:11" ht="15.75" x14ac:dyDescent="0.25">
      <c r="A1015" s="898" t="s">
        <v>1653</v>
      </c>
      <c r="B1015" s="899"/>
      <c r="C1015" s="900"/>
      <c r="D1015" s="901"/>
      <c r="E1015" s="901"/>
      <c r="F1015" s="901"/>
      <c r="G1015" s="902" t="s">
        <v>1672</v>
      </c>
      <c r="H1015" s="903"/>
      <c r="I1015" s="903"/>
      <c r="J1015" s="903"/>
      <c r="K1015" s="903"/>
    </row>
    <row r="1016" spans="1:11" ht="15.75" x14ac:dyDescent="0.25">
      <c r="A1016" s="898" t="s">
        <v>253</v>
      </c>
      <c r="B1016" s="901"/>
      <c r="C1016" s="901"/>
      <c r="D1016" s="901"/>
      <c r="E1016" s="901"/>
      <c r="F1016" s="901"/>
      <c r="G1016" s="902"/>
      <c r="H1016" s="903"/>
      <c r="I1016" s="903"/>
      <c r="J1016" s="903"/>
      <c r="K1016" s="903"/>
    </row>
    <row r="1017" spans="1:11" ht="15.75" x14ac:dyDescent="0.25">
      <c r="A1017" s="898" t="s">
        <v>1655</v>
      </c>
      <c r="B1017" s="900"/>
      <c r="C1017" s="901"/>
      <c r="D1017" s="901"/>
      <c r="E1017" s="901"/>
      <c r="F1017" s="901"/>
      <c r="G1017" s="902" t="s">
        <v>1656</v>
      </c>
      <c r="H1017" s="904"/>
      <c r="I1017" s="904"/>
      <c r="J1017" s="903"/>
      <c r="K1017" s="903"/>
    </row>
    <row r="1018" spans="1:11" ht="15.75" x14ac:dyDescent="0.25">
      <c r="A1018" s="905"/>
      <c r="B1018" s="905"/>
      <c r="C1018" s="905"/>
      <c r="D1018" s="901"/>
      <c r="E1018" s="901"/>
      <c r="F1018" s="901"/>
      <c r="G1018" s="906"/>
      <c r="H1018" s="902"/>
      <c r="I1018" s="902"/>
      <c r="J1018" s="902"/>
      <c r="K1018" s="902"/>
    </row>
    <row r="1019" spans="1:11" ht="15.75" x14ac:dyDescent="0.25">
      <c r="A1019" s="907" t="s">
        <v>254</v>
      </c>
      <c r="B1019" s="907" t="s">
        <v>1610</v>
      </c>
      <c r="C1019" s="907" t="s">
        <v>1602</v>
      </c>
      <c r="D1019" s="907" t="s">
        <v>1673</v>
      </c>
      <c r="E1019" s="907" t="s">
        <v>1674</v>
      </c>
      <c r="F1019" s="907" t="s">
        <v>1611</v>
      </c>
      <c r="G1019" s="908" t="s">
        <v>140</v>
      </c>
      <c r="H1019" s="909" t="s">
        <v>589</v>
      </c>
      <c r="I1019" s="910" t="s">
        <v>141</v>
      </c>
      <c r="J1019" s="909" t="s">
        <v>1666</v>
      </c>
      <c r="K1019" s="909" t="s">
        <v>1661</v>
      </c>
    </row>
    <row r="1020" spans="1:11" ht="15.75" x14ac:dyDescent="0.25">
      <c r="A1020" s="911"/>
      <c r="B1020" s="911"/>
      <c r="C1020" s="912"/>
      <c r="D1020" s="913"/>
      <c r="E1020" s="913"/>
      <c r="F1020" s="913"/>
      <c r="G1020" s="914"/>
      <c r="H1020" s="914"/>
      <c r="I1020" s="915"/>
      <c r="J1020" s="915"/>
      <c r="K1020" s="916"/>
    </row>
    <row r="1021" spans="1:11" ht="15.75" x14ac:dyDescent="0.25">
      <c r="A1021" s="917">
        <v>44162</v>
      </c>
      <c r="B1021" s="917" t="s">
        <v>1612</v>
      </c>
      <c r="C1021" s="918"/>
      <c r="D1021" s="919" t="s">
        <v>1675</v>
      </c>
      <c r="E1021" s="919" t="s">
        <v>1676</v>
      </c>
      <c r="F1021" s="920" t="s">
        <v>1613</v>
      </c>
      <c r="G1021" s="921">
        <v>0</v>
      </c>
      <c r="H1021" s="922">
        <v>0</v>
      </c>
      <c r="I1021" s="922">
        <f>25.76+10.27</f>
        <v>36.03</v>
      </c>
      <c r="J1021" s="922">
        <v>0</v>
      </c>
      <c r="K1021" s="923">
        <f>SUM(G1021:J1021)</f>
        <v>36.03</v>
      </c>
    </row>
    <row r="1022" spans="1:11" ht="15.75" x14ac:dyDescent="0.25">
      <c r="A1022" s="924"/>
      <c r="B1022" s="924"/>
      <c r="C1022" s="924"/>
      <c r="D1022" s="925"/>
      <c r="E1022" s="925"/>
      <c r="F1022" s="925"/>
      <c r="G1022" s="926"/>
      <c r="H1022" s="926"/>
      <c r="I1022" s="926"/>
      <c r="J1022" s="926"/>
      <c r="K1022" s="927"/>
    </row>
    <row r="1023" spans="1:11" ht="15.75" x14ac:dyDescent="0.25">
      <c r="A1023" s="928"/>
      <c r="B1023" s="928"/>
      <c r="C1023" s="928"/>
      <c r="D1023" s="929"/>
      <c r="E1023" s="929"/>
      <c r="F1023" s="929"/>
      <c r="G1023" s="930">
        <f>SUM(G1021:G1022)</f>
        <v>0</v>
      </c>
      <c r="H1023" s="930">
        <f>SUM(H1021:H1022)</f>
        <v>0</v>
      </c>
      <c r="I1023" s="930">
        <f>SUM(I1021:I1022)</f>
        <v>36.03</v>
      </c>
      <c r="J1023" s="930">
        <f>SUM(J1021:J1022)</f>
        <v>0</v>
      </c>
      <c r="K1023" s="930">
        <f>SUM(K1021:K1022)</f>
        <v>36.03</v>
      </c>
    </row>
    <row r="1024" spans="1:11" ht="15.75" x14ac:dyDescent="0.25">
      <c r="A1024" s="931"/>
      <c r="B1024" s="931"/>
      <c r="C1024" s="931"/>
      <c r="D1024" s="932"/>
      <c r="E1024" s="932"/>
      <c r="F1024" s="932"/>
      <c r="G1024" s="906"/>
      <c r="H1024" s="903"/>
      <c r="I1024" s="903"/>
      <c r="J1024" s="903"/>
      <c r="K1024" s="903"/>
    </row>
    <row r="1025" spans="1:11" ht="15.75" x14ac:dyDescent="0.25">
      <c r="A1025" s="931"/>
      <c r="B1025" s="931"/>
      <c r="C1025" s="931"/>
      <c r="D1025" s="932"/>
      <c r="E1025" s="932"/>
      <c r="F1025" s="932"/>
      <c r="G1025" s="906"/>
      <c r="H1025" s="903"/>
      <c r="I1025" s="903"/>
      <c r="J1025" s="903"/>
      <c r="K1025" s="903"/>
    </row>
    <row r="1026" spans="1:11" ht="15.75" x14ac:dyDescent="0.25">
      <c r="A1026" s="931"/>
      <c r="B1026" s="931"/>
      <c r="C1026" s="931"/>
      <c r="D1026" s="932"/>
      <c r="E1026" s="932"/>
      <c r="F1026" s="932"/>
      <c r="G1026" s="906"/>
      <c r="H1026" s="903"/>
      <c r="I1026" s="903"/>
      <c r="J1026" s="903"/>
      <c r="K1026" s="903"/>
    </row>
    <row r="1027" spans="1:11" ht="15.75" x14ac:dyDescent="0.25">
      <c r="A1027" s="931"/>
      <c r="B1027" s="931"/>
      <c r="C1027" s="931"/>
      <c r="D1027" s="932"/>
      <c r="E1027" s="932"/>
      <c r="F1027" s="932"/>
      <c r="G1027" s="906"/>
      <c r="H1027" s="903"/>
      <c r="I1027" s="903"/>
      <c r="J1027" s="903"/>
      <c r="K1027" s="903"/>
    </row>
    <row r="1028" spans="1:11" ht="15.75" x14ac:dyDescent="0.25">
      <c r="A1028" s="928" t="s">
        <v>1677</v>
      </c>
      <c r="B1028" s="928"/>
      <c r="C1028" s="928"/>
      <c r="D1028" s="929"/>
      <c r="E1028" s="932"/>
      <c r="F1028" s="932"/>
      <c r="G1028" s="906"/>
      <c r="H1028" s="903"/>
      <c r="I1028" s="903"/>
      <c r="J1028" s="903"/>
      <c r="K1028" s="903"/>
    </row>
    <row r="1029" spans="1:11" ht="15.75" x14ac:dyDescent="0.25">
      <c r="A1029" s="931" t="s">
        <v>141</v>
      </c>
      <c r="B1029" s="931"/>
      <c r="C1029" s="931"/>
      <c r="D1029" s="935">
        <f>ROUND(I1023/1.13,2)</f>
        <v>31.88</v>
      </c>
      <c r="E1029" s="932"/>
      <c r="F1029" s="932"/>
      <c r="G1029" s="906" t="s">
        <v>1678</v>
      </c>
      <c r="H1029" s="903"/>
      <c r="I1029" s="903"/>
      <c r="J1029" s="903"/>
      <c r="K1029" s="903"/>
    </row>
    <row r="1030" spans="1:11" ht="15.75" x14ac:dyDescent="0.25">
      <c r="A1030" s="931" t="s">
        <v>1660</v>
      </c>
      <c r="B1030" s="931"/>
      <c r="C1030" s="931"/>
      <c r="D1030" s="933">
        <f>ROUND(D1029*0.13,2)</f>
        <v>4.1399999999999997</v>
      </c>
      <c r="E1030" s="932"/>
      <c r="F1030" s="932"/>
      <c r="G1030" s="906" t="s">
        <v>1679</v>
      </c>
      <c r="H1030" s="903"/>
      <c r="I1030" s="903"/>
      <c r="J1030" s="903"/>
      <c r="K1030" s="903"/>
    </row>
    <row r="1031" spans="1:11" ht="15.75" x14ac:dyDescent="0.25">
      <c r="A1031" s="928" t="s">
        <v>1661</v>
      </c>
      <c r="B1031" s="928"/>
      <c r="C1031" s="928"/>
      <c r="D1031" s="930">
        <f>SUM(D1029:D1030)</f>
        <v>36.019999999999996</v>
      </c>
      <c r="E1031" s="932"/>
      <c r="F1031" s="932"/>
      <c r="G1031" s="906" t="s">
        <v>1680</v>
      </c>
      <c r="H1031" s="934"/>
      <c r="I1031" s="903"/>
      <c r="J1031" s="903"/>
      <c r="K1031" s="903"/>
    </row>
    <row r="1032" spans="1:11" ht="15.75" x14ac:dyDescent="0.25">
      <c r="A1032" s="931"/>
      <c r="B1032" s="931"/>
      <c r="C1032" s="931"/>
      <c r="D1032" s="932"/>
      <c r="E1032" s="932"/>
      <c r="F1032" s="932"/>
      <c r="G1032" s="906"/>
      <c r="H1032" s="903"/>
      <c r="I1032" s="903"/>
      <c r="J1032" s="903"/>
      <c r="K1032" s="903"/>
    </row>
    <row r="1033" spans="1:11" ht="15.75" x14ac:dyDescent="0.25">
      <c r="A1033" s="931"/>
      <c r="B1033" s="931"/>
      <c r="C1033" s="931"/>
      <c r="D1033" s="932"/>
      <c r="E1033" s="932"/>
      <c r="F1033" s="932"/>
      <c r="G1033" s="906"/>
      <c r="H1033" s="903"/>
      <c r="I1033" s="903"/>
      <c r="J1033" s="903"/>
      <c r="K1033" s="903"/>
    </row>
    <row r="1037" spans="1:11" ht="20.25" x14ac:dyDescent="0.3">
      <c r="A1037" s="739" t="s">
        <v>640</v>
      </c>
      <c r="B1037" s="739"/>
      <c r="C1037" s="740"/>
      <c r="D1037" s="741"/>
      <c r="E1037" s="741"/>
      <c r="F1037" s="741"/>
      <c r="G1037" s="742"/>
      <c r="H1037" s="743"/>
      <c r="I1037" s="743"/>
    </row>
    <row r="1038" spans="1:11" ht="15.75" x14ac:dyDescent="0.25">
      <c r="A1038" s="741" t="s">
        <v>252</v>
      </c>
      <c r="B1038" s="741"/>
      <c r="C1038" s="741"/>
      <c r="D1038" s="741"/>
      <c r="E1038" s="741"/>
      <c r="F1038" s="741"/>
      <c r="G1038" s="742"/>
      <c r="H1038" s="743"/>
      <c r="I1038" s="743"/>
    </row>
    <row r="1039" spans="1:11" ht="15.75" x14ac:dyDescent="0.25">
      <c r="A1039" s="740" t="s">
        <v>253</v>
      </c>
      <c r="B1039" s="740"/>
      <c r="C1039" s="741"/>
      <c r="D1039" s="741"/>
      <c r="E1039" s="741"/>
      <c r="F1039" s="741"/>
      <c r="G1039" s="742"/>
      <c r="H1039" s="745"/>
      <c r="I1039" s="745"/>
    </row>
    <row r="1040" spans="1:11" ht="15.75" x14ac:dyDescent="0.25">
      <c r="A1040" s="741" t="s">
        <v>356</v>
      </c>
      <c r="B1040" s="741"/>
      <c r="C1040" s="741"/>
      <c r="D1040" s="741"/>
      <c r="E1040" s="741"/>
      <c r="F1040" s="741"/>
      <c r="G1040" s="742"/>
      <c r="H1040" s="743"/>
      <c r="I1040" s="743"/>
    </row>
    <row r="1041" spans="1:9" ht="15.75" x14ac:dyDescent="0.25">
      <c r="A1041" s="746" t="s">
        <v>457</v>
      </c>
      <c r="B1041" s="746"/>
      <c r="C1041" s="747" t="s">
        <v>681</v>
      </c>
      <c r="D1041" s="396"/>
      <c r="E1041" s="437">
        <v>2020</v>
      </c>
      <c r="F1041" s="741"/>
      <c r="G1041" s="742"/>
      <c r="H1041" s="743"/>
      <c r="I1041" s="397"/>
    </row>
    <row r="1042" spans="1:9" ht="15.75" x14ac:dyDescent="0.25">
      <c r="A1042" s="744"/>
      <c r="B1042" s="744"/>
      <c r="C1042" s="744"/>
      <c r="D1042" s="741"/>
      <c r="E1042" s="741"/>
      <c r="F1042" s="741"/>
      <c r="G1042" s="742"/>
      <c r="H1042" s="743"/>
      <c r="I1042" s="743"/>
    </row>
    <row r="1043" spans="1:9" ht="15.75" x14ac:dyDescent="0.25">
      <c r="A1043" s="744"/>
      <c r="B1043" s="744"/>
      <c r="C1043" s="744"/>
      <c r="D1043" s="741"/>
      <c r="E1043" s="741"/>
      <c r="F1043" s="741"/>
      <c r="G1043" s="742"/>
      <c r="H1043" s="743"/>
      <c r="I1043" s="743"/>
    </row>
    <row r="1044" spans="1:9" ht="15.75" x14ac:dyDescent="0.25">
      <c r="A1044" s="744"/>
      <c r="B1044" s="744"/>
      <c r="C1044" s="744"/>
      <c r="D1044" s="741"/>
      <c r="E1044" s="741"/>
      <c r="F1044" s="741"/>
      <c r="G1044" s="742"/>
      <c r="H1044" s="749" t="s">
        <v>94</v>
      </c>
      <c r="I1044" s="749" t="s">
        <v>94</v>
      </c>
    </row>
    <row r="1045" spans="1:9" ht="16.5" thickBot="1" x14ac:dyDescent="0.3">
      <c r="A1045" s="750" t="s">
        <v>137</v>
      </c>
      <c r="B1045" s="750" t="s">
        <v>1610</v>
      </c>
      <c r="C1045" s="750" t="s">
        <v>1602</v>
      </c>
      <c r="D1045" s="750" t="s">
        <v>643</v>
      </c>
      <c r="E1045" s="750" t="s">
        <v>644</v>
      </c>
      <c r="F1045" s="750" t="s">
        <v>1611</v>
      </c>
      <c r="G1045" s="751" t="s">
        <v>140</v>
      </c>
      <c r="H1045" s="752" t="s">
        <v>327</v>
      </c>
      <c r="I1045" s="753" t="s">
        <v>645</v>
      </c>
    </row>
    <row r="1046" spans="1:9" ht="16.5" thickTop="1" x14ac:dyDescent="0.25">
      <c r="A1046" s="754"/>
      <c r="B1046" s="754"/>
      <c r="C1046" s="755"/>
      <c r="D1046" s="756"/>
      <c r="E1046" s="756"/>
      <c r="F1046" s="756"/>
      <c r="G1046" s="757"/>
      <c r="H1046" s="757"/>
      <c r="I1046" s="758"/>
    </row>
    <row r="1047" spans="1:9" ht="15.75" x14ac:dyDescent="0.25">
      <c r="A1047" s="759">
        <v>44173</v>
      </c>
      <c r="B1047" s="759" t="s">
        <v>1612</v>
      </c>
      <c r="C1047" s="760" t="s">
        <v>1634</v>
      </c>
      <c r="D1047" s="761">
        <v>2089</v>
      </c>
      <c r="E1047" s="761">
        <v>2089</v>
      </c>
      <c r="F1047" s="762" t="s">
        <v>1613</v>
      </c>
      <c r="G1047" s="803">
        <v>0</v>
      </c>
      <c r="H1047" s="807">
        <v>0</v>
      </c>
      <c r="I1047" s="804">
        <v>1.58</v>
      </c>
    </row>
    <row r="1048" spans="1:9" ht="15.75" x14ac:dyDescent="0.25">
      <c r="A1048" s="759">
        <v>44173</v>
      </c>
      <c r="B1048" s="759" t="s">
        <v>1636</v>
      </c>
      <c r="C1048" s="760" t="s">
        <v>1634</v>
      </c>
      <c r="D1048" s="761">
        <v>2089</v>
      </c>
      <c r="E1048" s="761">
        <v>2089</v>
      </c>
      <c r="F1048" s="762" t="s">
        <v>1613</v>
      </c>
      <c r="G1048" s="803">
        <v>0</v>
      </c>
      <c r="H1048" s="803">
        <v>0</v>
      </c>
      <c r="I1048" s="804">
        <v>10.220000000000001</v>
      </c>
    </row>
    <row r="1049" spans="1:9" ht="15.75" x14ac:dyDescent="0.25">
      <c r="A1049" s="759"/>
      <c r="B1049" s="759"/>
      <c r="C1049" s="760"/>
      <c r="D1049" s="761"/>
      <c r="E1049" s="761"/>
      <c r="F1049" s="762"/>
      <c r="G1049" s="803">
        <v>0</v>
      </c>
      <c r="H1049" s="803">
        <v>0</v>
      </c>
      <c r="I1049" s="804">
        <v>0</v>
      </c>
    </row>
    <row r="1050" spans="1:9" ht="15.75" x14ac:dyDescent="0.25">
      <c r="A1050" s="771"/>
      <c r="B1050" s="771"/>
      <c r="C1050" s="760"/>
      <c r="D1050" s="761"/>
      <c r="E1050" s="761"/>
      <c r="F1050" s="762"/>
      <c r="G1050" s="803"/>
      <c r="H1050" s="808"/>
      <c r="I1050" s="805"/>
    </row>
    <row r="1051" spans="1:9" ht="16.5" thickBot="1" x14ac:dyDescent="0.3">
      <c r="A1051" s="779"/>
      <c r="B1051" s="779"/>
      <c r="C1051" s="779"/>
      <c r="D1051" s="780"/>
      <c r="E1051" s="780"/>
      <c r="F1051" s="780"/>
      <c r="G1051" s="810"/>
      <c r="H1051" s="810"/>
      <c r="I1051" s="811"/>
    </row>
    <row r="1052" spans="1:9" ht="16.5" thickTop="1" x14ac:dyDescent="0.25">
      <c r="A1052" s="783"/>
      <c r="B1052" s="783"/>
      <c r="C1052" s="783"/>
      <c r="D1052" s="774"/>
      <c r="E1052" s="774"/>
      <c r="F1052" s="774"/>
      <c r="G1052" s="806">
        <f>SUM(G1046:G1051)</f>
        <v>0</v>
      </c>
      <c r="H1052" s="806">
        <f>SUM(H1046:H1051)</f>
        <v>0</v>
      </c>
      <c r="I1052" s="806">
        <f>SUM(I1046:I1051)</f>
        <v>11.8</v>
      </c>
    </row>
    <row r="1053" spans="1:9" ht="15.75" x14ac:dyDescent="0.25">
      <c r="A1053" s="783"/>
      <c r="B1053" s="783"/>
      <c r="C1053" s="783"/>
      <c r="D1053" s="774"/>
      <c r="E1053" s="774"/>
      <c r="F1053" s="774"/>
      <c r="G1053" s="813"/>
      <c r="H1053" s="806"/>
      <c r="I1053" s="806"/>
    </row>
    <row r="1054" spans="1:9" ht="15.75" x14ac:dyDescent="0.25">
      <c r="A1054" s="783"/>
      <c r="B1054" s="783"/>
      <c r="C1054" s="783"/>
      <c r="D1054" s="774" t="s">
        <v>653</v>
      </c>
      <c r="E1054" s="774"/>
      <c r="F1054" s="774"/>
      <c r="G1054" s="813"/>
      <c r="H1054" s="806"/>
      <c r="I1054" s="806">
        <f>+G1052</f>
        <v>0</v>
      </c>
    </row>
    <row r="1055" spans="1:9" ht="15.75" x14ac:dyDescent="0.25">
      <c r="A1055" s="783"/>
      <c r="B1055" s="783"/>
      <c r="C1055" s="783"/>
      <c r="D1055" s="774"/>
      <c r="E1055" s="774"/>
      <c r="F1055" s="774"/>
      <c r="G1055" s="813"/>
      <c r="H1055" s="806"/>
      <c r="I1055" s="806"/>
    </row>
    <row r="1056" spans="1:9" ht="15.75" x14ac:dyDescent="0.25">
      <c r="A1056" s="783"/>
      <c r="B1056" s="783"/>
      <c r="C1056" s="783"/>
      <c r="D1056" s="774" t="s">
        <v>654</v>
      </c>
      <c r="E1056" s="774"/>
      <c r="F1056" s="774"/>
      <c r="G1056" s="813"/>
      <c r="H1056" s="806"/>
      <c r="I1056" s="806">
        <f>+H1052</f>
        <v>0</v>
      </c>
    </row>
    <row r="1057" spans="1:9" ht="15.75" x14ac:dyDescent="0.25">
      <c r="A1057" s="783"/>
      <c r="B1057" s="783"/>
      <c r="C1057" s="783"/>
      <c r="D1057" s="774"/>
      <c r="E1057" s="774"/>
      <c r="F1057" s="774"/>
      <c r="G1057" s="813"/>
      <c r="H1057" s="806"/>
      <c r="I1057" s="806"/>
    </row>
    <row r="1058" spans="1:9" ht="15.75" x14ac:dyDescent="0.25">
      <c r="A1058" s="783"/>
      <c r="B1058" s="783"/>
      <c r="C1058" s="783"/>
      <c r="D1058" s="774"/>
      <c r="E1058" s="774"/>
      <c r="F1058" s="774"/>
      <c r="G1058" s="813"/>
      <c r="H1058" s="814"/>
      <c r="I1058" s="815"/>
    </row>
    <row r="1059" spans="1:9" ht="15.75" x14ac:dyDescent="0.25">
      <c r="A1059" s="783"/>
      <c r="B1059" s="783"/>
      <c r="C1059" s="783"/>
      <c r="D1059" s="774" t="s">
        <v>590</v>
      </c>
      <c r="E1059" s="774"/>
      <c r="F1059" s="774"/>
      <c r="G1059" s="813"/>
      <c r="H1059" s="815"/>
      <c r="I1059" s="804"/>
    </row>
    <row r="1060" spans="1:9" ht="15.75" x14ac:dyDescent="0.25">
      <c r="A1060" s="783"/>
      <c r="B1060" s="783"/>
      <c r="C1060" s="783"/>
      <c r="D1060" s="774" t="s">
        <v>141</v>
      </c>
      <c r="E1060" s="774"/>
      <c r="F1060" s="774"/>
      <c r="G1060" s="813"/>
      <c r="H1060" s="815"/>
      <c r="I1060" s="936">
        <f>ROUND(I1052/1.13,2)</f>
        <v>10.44</v>
      </c>
    </row>
    <row r="1061" spans="1:9" ht="15.75" x14ac:dyDescent="0.25">
      <c r="A1061" s="783"/>
      <c r="B1061" s="783"/>
      <c r="C1061" s="783"/>
      <c r="D1061" s="774" t="s">
        <v>591</v>
      </c>
      <c r="E1061" s="774"/>
      <c r="F1061" s="774"/>
      <c r="G1061" s="813"/>
      <c r="H1061" s="815"/>
      <c r="I1061" s="816">
        <f>I1060*0.13</f>
        <v>1.3572</v>
      </c>
    </row>
    <row r="1062" spans="1:9" ht="16.5" thickBot="1" x14ac:dyDescent="0.3">
      <c r="A1062" s="783"/>
      <c r="B1062" s="783"/>
      <c r="C1062" s="783"/>
      <c r="D1062" s="774"/>
      <c r="E1062" s="774"/>
      <c r="F1062" s="774"/>
      <c r="G1062" s="813"/>
      <c r="H1062" s="815"/>
      <c r="I1062" s="817"/>
    </row>
    <row r="1063" spans="1:9" ht="16.5" thickTop="1" x14ac:dyDescent="0.25">
      <c r="A1063" s="783"/>
      <c r="B1063" s="783"/>
      <c r="C1063" s="783"/>
      <c r="D1063" s="774" t="s">
        <v>592</v>
      </c>
      <c r="E1063" s="774"/>
      <c r="F1063" s="774"/>
      <c r="G1063" s="813"/>
      <c r="H1063" s="815"/>
      <c r="I1063" s="819">
        <f>SUM(I1060:I1062)</f>
        <v>11.7972</v>
      </c>
    </row>
    <row r="1064" spans="1:9" ht="16.5" thickBot="1" x14ac:dyDescent="0.3">
      <c r="A1064" s="783"/>
      <c r="B1064" s="783"/>
      <c r="C1064" s="783"/>
      <c r="D1064" s="774"/>
      <c r="E1064" s="774"/>
      <c r="F1064" s="774"/>
      <c r="G1064" s="813"/>
      <c r="H1064" s="815"/>
      <c r="I1064" s="817"/>
    </row>
    <row r="1065" spans="1:9" ht="16.5" thickTop="1" x14ac:dyDescent="0.25">
      <c r="A1065" s="783"/>
      <c r="B1065" s="783"/>
      <c r="C1065" s="783"/>
      <c r="D1065" s="774"/>
      <c r="E1065" s="774"/>
      <c r="F1065" s="774"/>
      <c r="G1065" s="742"/>
      <c r="H1065" s="743"/>
      <c r="I1065" s="788"/>
    </row>
    <row r="1066" spans="1:9" ht="15.75" x14ac:dyDescent="0.25">
      <c r="A1066" s="783"/>
      <c r="B1066" s="783"/>
      <c r="C1066" s="783"/>
      <c r="D1066" s="774"/>
      <c r="E1066" s="774"/>
      <c r="F1066" s="774"/>
      <c r="G1066" s="742"/>
      <c r="H1066" s="743"/>
      <c r="I1066" s="749"/>
    </row>
    <row r="1067" spans="1:9" ht="15.75" x14ac:dyDescent="0.25">
      <c r="A1067" s="783"/>
      <c r="B1067" s="783"/>
      <c r="C1067" s="783"/>
      <c r="D1067" s="774"/>
      <c r="E1067" s="774"/>
      <c r="F1067" s="774"/>
      <c r="G1067" s="789"/>
      <c r="H1067" s="743" t="s">
        <v>655</v>
      </c>
      <c r="I1067" s="749">
        <v>-1.36</v>
      </c>
    </row>
    <row r="1068" spans="1:9" ht="15.75" x14ac:dyDescent="0.25">
      <c r="A1068" s="783"/>
      <c r="B1068" s="783"/>
      <c r="C1068" s="783"/>
      <c r="D1068" s="774"/>
      <c r="E1068" s="774"/>
      <c r="F1068" s="774"/>
      <c r="G1068" s="742"/>
      <c r="H1068" s="790" t="s">
        <v>656</v>
      </c>
      <c r="I1068" s="791">
        <f>+I1061+I1067</f>
        <v>-2.8000000000001357E-3</v>
      </c>
    </row>
    <row r="1075" spans="1:13" ht="20.25" x14ac:dyDescent="0.3">
      <c r="A1075" s="739" t="s">
        <v>640</v>
      </c>
      <c r="B1075" s="739"/>
      <c r="C1075" s="740"/>
      <c r="D1075" s="741"/>
      <c r="E1075" s="741"/>
      <c r="F1075" s="741"/>
      <c r="G1075" s="742"/>
      <c r="H1075" s="743"/>
      <c r="I1075" s="743"/>
      <c r="J1075" s="743"/>
      <c r="K1075" s="743"/>
      <c r="L1075" s="743"/>
      <c r="M1075" s="743"/>
    </row>
    <row r="1076" spans="1:13" ht="15.75" x14ac:dyDescent="0.25">
      <c r="A1076" s="741" t="s">
        <v>252</v>
      </c>
      <c r="B1076" s="741"/>
      <c r="C1076" s="741"/>
      <c r="D1076" s="741"/>
      <c r="E1076" s="741"/>
      <c r="F1076" s="741"/>
      <c r="G1076" s="742"/>
      <c r="H1076" s="743"/>
      <c r="I1076" s="743"/>
      <c r="J1076" s="743"/>
      <c r="K1076" s="743"/>
      <c r="L1076" s="743"/>
      <c r="M1076" s="743"/>
    </row>
    <row r="1077" spans="1:13" ht="15.75" x14ac:dyDescent="0.25">
      <c r="A1077" s="740" t="s">
        <v>253</v>
      </c>
      <c r="B1077" s="740"/>
      <c r="C1077" s="741"/>
      <c r="D1077" s="741"/>
      <c r="E1077" s="741"/>
      <c r="F1077" s="741"/>
      <c r="G1077" s="742"/>
      <c r="H1077" s="745"/>
      <c r="I1077" s="745"/>
      <c r="J1077" s="743"/>
      <c r="K1077" s="743"/>
      <c r="L1077" s="743"/>
      <c r="M1077" s="743"/>
    </row>
    <row r="1078" spans="1:13" ht="15.75" x14ac:dyDescent="0.25">
      <c r="A1078" s="741" t="s">
        <v>356</v>
      </c>
      <c r="B1078" s="741"/>
      <c r="C1078" s="741"/>
      <c r="D1078" s="741"/>
      <c r="E1078" s="741"/>
      <c r="F1078" s="741"/>
      <c r="G1078" s="742"/>
      <c r="H1078" s="743"/>
      <c r="I1078" s="743"/>
      <c r="J1078" s="743"/>
      <c r="K1078" s="743"/>
      <c r="L1078" s="743"/>
      <c r="M1078" s="743"/>
    </row>
    <row r="1079" spans="1:13" ht="15.75" x14ac:dyDescent="0.25">
      <c r="A1079" s="746" t="s">
        <v>457</v>
      </c>
      <c r="B1079" s="746"/>
      <c r="C1079" s="747" t="s">
        <v>147</v>
      </c>
      <c r="D1079" s="396"/>
      <c r="E1079" s="437">
        <v>2021</v>
      </c>
      <c r="F1079" s="741"/>
      <c r="G1079" s="742"/>
      <c r="H1079" s="743"/>
      <c r="I1079" s="397"/>
      <c r="J1079" s="397"/>
      <c r="K1079" s="397"/>
      <c r="L1079" s="397"/>
      <c r="M1079" s="397"/>
    </row>
    <row r="1080" spans="1:13" ht="15.75" x14ac:dyDescent="0.25">
      <c r="A1080" s="744"/>
      <c r="B1080" s="744"/>
      <c r="C1080" s="744"/>
      <c r="D1080" s="741"/>
      <c r="E1080" s="741"/>
      <c r="F1080" s="741"/>
      <c r="G1080" s="742"/>
      <c r="H1080" s="743"/>
      <c r="I1080" s="743"/>
      <c r="J1080" s="743"/>
      <c r="K1080" s="743"/>
      <c r="L1080" s="743"/>
      <c r="M1080" s="743"/>
    </row>
    <row r="1081" spans="1:13" ht="15.75" x14ac:dyDescent="0.25">
      <c r="A1081" s="744"/>
      <c r="B1081" s="744"/>
      <c r="C1081" s="744"/>
      <c r="D1081" s="741"/>
      <c r="E1081" s="741"/>
      <c r="F1081" s="741"/>
      <c r="G1081" s="742"/>
      <c r="H1081" s="743"/>
      <c r="I1081" s="743"/>
      <c r="J1081" s="743"/>
      <c r="K1081" s="743"/>
      <c r="L1081" s="743"/>
      <c r="M1081" s="743"/>
    </row>
    <row r="1082" spans="1:13" ht="15.75" x14ac:dyDescent="0.25">
      <c r="A1082" s="744"/>
      <c r="B1082" s="744"/>
      <c r="C1082" s="744"/>
      <c r="D1082" s="741"/>
      <c r="E1082" s="741"/>
      <c r="F1082" s="741"/>
      <c r="G1082" s="742"/>
      <c r="H1082" s="749" t="s">
        <v>94</v>
      </c>
      <c r="I1082" s="749" t="s">
        <v>94</v>
      </c>
      <c r="J1082" s="749" t="s">
        <v>641</v>
      </c>
      <c r="K1082" s="749" t="s">
        <v>642</v>
      </c>
      <c r="L1082" s="749" t="s">
        <v>94</v>
      </c>
      <c r="M1082" s="749" t="s">
        <v>257</v>
      </c>
    </row>
    <row r="1083" spans="1:13" ht="16.5" thickBot="1" x14ac:dyDescent="0.3">
      <c r="A1083" s="750" t="s">
        <v>137</v>
      </c>
      <c r="B1083" s="750" t="s">
        <v>1610</v>
      </c>
      <c r="C1083" s="750" t="s">
        <v>1602</v>
      </c>
      <c r="D1083" s="750" t="s">
        <v>643</v>
      </c>
      <c r="E1083" s="750" t="s">
        <v>644</v>
      </c>
      <c r="F1083" s="750" t="s">
        <v>1611</v>
      </c>
      <c r="G1083" s="751" t="s">
        <v>140</v>
      </c>
      <c r="H1083" s="752" t="s">
        <v>327</v>
      </c>
      <c r="I1083" s="753" t="s">
        <v>645</v>
      </c>
      <c r="J1083" s="752" t="s">
        <v>646</v>
      </c>
      <c r="K1083" s="752" t="s">
        <v>647</v>
      </c>
      <c r="L1083" s="752" t="s">
        <v>326</v>
      </c>
      <c r="M1083" s="752" t="s">
        <v>94</v>
      </c>
    </row>
    <row r="1084" spans="1:13" ht="16.5" thickTop="1" x14ac:dyDescent="0.25">
      <c r="A1084" s="754"/>
      <c r="B1084" s="754"/>
      <c r="C1084" s="755"/>
      <c r="D1084" s="756"/>
      <c r="E1084" s="756"/>
      <c r="F1084" s="756"/>
      <c r="G1084" s="757"/>
      <c r="H1084" s="757"/>
      <c r="I1084" s="758"/>
      <c r="J1084" s="758"/>
      <c r="K1084" s="758"/>
      <c r="L1084" s="758"/>
      <c r="M1084" s="406"/>
    </row>
    <row r="1085" spans="1:13" ht="15.75" x14ac:dyDescent="0.25">
      <c r="A1085" s="759">
        <v>44221</v>
      </c>
      <c r="B1085" s="759" t="s">
        <v>1612</v>
      </c>
      <c r="C1085" s="760" t="s">
        <v>1634</v>
      </c>
      <c r="D1085" s="761">
        <v>2081</v>
      </c>
      <c r="E1085" s="761">
        <v>2081</v>
      </c>
      <c r="F1085" s="762" t="s">
        <v>1613</v>
      </c>
      <c r="G1085" s="803">
        <v>0</v>
      </c>
      <c r="H1085" s="807">
        <v>0</v>
      </c>
      <c r="I1085" s="804">
        <v>2.33</v>
      </c>
      <c r="J1085" s="805"/>
      <c r="K1085" s="805"/>
      <c r="L1085" s="804">
        <v>0</v>
      </c>
      <c r="M1085" s="806">
        <f t="shared" ref="M1085:M1091" si="29">+G1085+H1085+I1085+K1085+L1085</f>
        <v>2.33</v>
      </c>
    </row>
    <row r="1086" spans="1:13" ht="15.75" x14ac:dyDescent="0.25">
      <c r="A1086" s="759">
        <v>44221</v>
      </c>
      <c r="B1086" s="759" t="s">
        <v>1636</v>
      </c>
      <c r="C1086" s="760" t="s">
        <v>1634</v>
      </c>
      <c r="D1086" s="761">
        <v>2082</v>
      </c>
      <c r="E1086" s="761">
        <v>2082</v>
      </c>
      <c r="F1086" s="762" t="s">
        <v>1613</v>
      </c>
      <c r="G1086" s="803">
        <v>0</v>
      </c>
      <c r="H1086" s="803">
        <v>0</v>
      </c>
      <c r="I1086" s="804">
        <v>28.84</v>
      </c>
      <c r="J1086" s="805"/>
      <c r="K1086" s="805"/>
      <c r="L1086" s="804">
        <v>0</v>
      </c>
      <c r="M1086" s="806">
        <f t="shared" si="29"/>
        <v>28.84</v>
      </c>
    </row>
    <row r="1087" spans="1:13" ht="15.75" x14ac:dyDescent="0.25">
      <c r="A1087" s="759"/>
      <c r="B1087" s="759"/>
      <c r="C1087" s="760"/>
      <c r="D1087" s="761"/>
      <c r="E1087" s="761"/>
      <c r="F1087" s="762"/>
      <c r="G1087" s="803">
        <v>0</v>
      </c>
      <c r="H1087" s="803">
        <v>0</v>
      </c>
      <c r="I1087" s="804">
        <v>0</v>
      </c>
      <c r="J1087" s="805"/>
      <c r="K1087" s="805"/>
      <c r="L1087" s="804">
        <v>0</v>
      </c>
      <c r="M1087" s="806">
        <f t="shared" si="29"/>
        <v>0</v>
      </c>
    </row>
    <row r="1088" spans="1:13" ht="15.75" x14ac:dyDescent="0.25">
      <c r="A1088" s="771"/>
      <c r="B1088" s="759"/>
      <c r="C1088" s="760"/>
      <c r="D1088" s="761"/>
      <c r="E1088" s="761"/>
      <c r="F1088" s="762"/>
      <c r="G1088" s="803">
        <v>0</v>
      </c>
      <c r="H1088" s="808">
        <v>0</v>
      </c>
      <c r="I1088" s="809">
        <v>0</v>
      </c>
      <c r="J1088" s="805"/>
      <c r="K1088" s="805"/>
      <c r="L1088" s="804">
        <v>0</v>
      </c>
      <c r="M1088" s="806">
        <f t="shared" si="29"/>
        <v>0</v>
      </c>
    </row>
    <row r="1089" spans="1:13" ht="15.75" x14ac:dyDescent="0.25">
      <c r="A1089" s="771"/>
      <c r="B1089" s="771"/>
      <c r="C1089" s="760"/>
      <c r="D1089" s="761"/>
      <c r="E1089" s="761"/>
      <c r="F1089" s="762"/>
      <c r="G1089" s="803">
        <v>0</v>
      </c>
      <c r="H1089" s="808">
        <v>0</v>
      </c>
      <c r="I1089" s="805">
        <v>0</v>
      </c>
      <c r="J1089" s="805"/>
      <c r="K1089" s="805"/>
      <c r="L1089" s="804">
        <v>0</v>
      </c>
      <c r="M1089" s="806">
        <f t="shared" si="29"/>
        <v>0</v>
      </c>
    </row>
    <row r="1090" spans="1:13" ht="15.75" x14ac:dyDescent="0.25">
      <c r="A1090" s="771"/>
      <c r="B1090" s="771"/>
      <c r="C1090" s="760"/>
      <c r="D1090" s="761"/>
      <c r="E1090" s="761"/>
      <c r="F1090" s="762"/>
      <c r="G1090" s="803">
        <v>0</v>
      </c>
      <c r="H1090" s="808">
        <v>0</v>
      </c>
      <c r="I1090" s="805">
        <v>0</v>
      </c>
      <c r="J1090" s="805"/>
      <c r="K1090" s="805"/>
      <c r="L1090" s="804">
        <v>0</v>
      </c>
      <c r="M1090" s="806">
        <f t="shared" si="29"/>
        <v>0</v>
      </c>
    </row>
    <row r="1091" spans="1:13" ht="15.75" x14ac:dyDescent="0.25">
      <c r="A1091" s="771"/>
      <c r="B1091" s="771"/>
      <c r="C1091" s="760"/>
      <c r="D1091" s="761"/>
      <c r="E1091" s="761"/>
      <c r="F1091" s="762"/>
      <c r="G1091" s="803">
        <v>0</v>
      </c>
      <c r="H1091" s="808">
        <v>0</v>
      </c>
      <c r="I1091" s="805">
        <v>0</v>
      </c>
      <c r="J1091" s="805"/>
      <c r="K1091" s="805"/>
      <c r="L1091" s="804">
        <v>0</v>
      </c>
      <c r="M1091" s="806">
        <f t="shared" si="29"/>
        <v>0</v>
      </c>
    </row>
    <row r="1092" spans="1:13" ht="15.75" x14ac:dyDescent="0.25">
      <c r="A1092" s="771"/>
      <c r="B1092" s="771"/>
      <c r="C1092" s="760"/>
      <c r="D1092" s="761"/>
      <c r="E1092" s="761"/>
      <c r="F1092" s="762"/>
      <c r="G1092" s="803"/>
      <c r="H1092" s="808"/>
      <c r="I1092" s="805"/>
      <c r="J1092" s="805"/>
      <c r="K1092" s="805"/>
      <c r="L1092" s="804"/>
      <c r="M1092" s="806"/>
    </row>
    <row r="1093" spans="1:13" ht="16.5" thickBot="1" x14ac:dyDescent="0.3">
      <c r="A1093" s="779"/>
      <c r="B1093" s="779"/>
      <c r="C1093" s="779"/>
      <c r="D1093" s="780"/>
      <c r="E1093" s="780"/>
      <c r="F1093" s="780"/>
      <c r="G1093" s="810"/>
      <c r="H1093" s="810"/>
      <c r="I1093" s="811"/>
      <c r="J1093" s="811"/>
      <c r="K1093" s="811"/>
      <c r="L1093" s="811"/>
      <c r="M1093" s="812"/>
    </row>
    <row r="1094" spans="1:13" ht="16.5" thickTop="1" x14ac:dyDescent="0.25">
      <c r="A1094" s="783"/>
      <c r="B1094" s="783"/>
      <c r="C1094" s="783"/>
      <c r="D1094" s="774"/>
      <c r="E1094" s="774"/>
      <c r="F1094" s="774"/>
      <c r="G1094" s="806">
        <f>SUM(G1084:G1093)</f>
        <v>0</v>
      </c>
      <c r="H1094" s="806">
        <f t="shared" ref="H1094:M1094" si="30">SUM(H1084:H1093)</f>
        <v>0</v>
      </c>
      <c r="I1094" s="806">
        <f>SUM(I1084:I1093)</f>
        <v>31.17</v>
      </c>
      <c r="J1094" s="806">
        <f t="shared" si="30"/>
        <v>0</v>
      </c>
      <c r="K1094" s="806">
        <f t="shared" si="30"/>
        <v>0</v>
      </c>
      <c r="L1094" s="806">
        <f t="shared" si="30"/>
        <v>0</v>
      </c>
      <c r="M1094" s="806">
        <f t="shared" si="30"/>
        <v>31.17</v>
      </c>
    </row>
    <row r="1095" spans="1:13" ht="15.75" x14ac:dyDescent="0.25">
      <c r="A1095" s="783"/>
      <c r="B1095" s="783"/>
      <c r="C1095" s="783"/>
      <c r="D1095" s="774"/>
      <c r="E1095" s="774"/>
      <c r="F1095" s="774"/>
      <c r="G1095" s="813"/>
      <c r="H1095" s="806"/>
      <c r="I1095" s="806"/>
      <c r="J1095" s="806"/>
      <c r="K1095" s="806"/>
      <c r="L1095" s="806"/>
      <c r="M1095" s="806"/>
    </row>
    <row r="1096" spans="1:13" ht="15.75" x14ac:dyDescent="0.25">
      <c r="A1096" s="783"/>
      <c r="B1096" s="783"/>
      <c r="C1096" s="783"/>
      <c r="D1096" s="774" t="s">
        <v>653</v>
      </c>
      <c r="E1096" s="774"/>
      <c r="F1096" s="774"/>
      <c r="G1096" s="813"/>
      <c r="H1096" s="806"/>
      <c r="I1096" s="806">
        <f>+G1094</f>
        <v>0</v>
      </c>
      <c r="J1096" s="806"/>
      <c r="K1096" s="806"/>
      <c r="L1096" s="806"/>
      <c r="M1096" s="806"/>
    </row>
    <row r="1097" spans="1:13" ht="15.75" x14ac:dyDescent="0.25">
      <c r="A1097" s="783"/>
      <c r="B1097" s="783"/>
      <c r="C1097" s="783"/>
      <c r="D1097" s="774"/>
      <c r="E1097" s="774"/>
      <c r="F1097" s="774"/>
      <c r="G1097" s="813"/>
      <c r="H1097" s="806"/>
      <c r="I1097" s="806"/>
      <c r="J1097" s="806"/>
      <c r="K1097" s="806"/>
      <c r="L1097" s="806"/>
      <c r="M1097" s="806"/>
    </row>
    <row r="1098" spans="1:13" ht="15.75" x14ac:dyDescent="0.25">
      <c r="A1098" s="783"/>
      <c r="B1098" s="783"/>
      <c r="C1098" s="783"/>
      <c r="D1098" s="774" t="s">
        <v>654</v>
      </c>
      <c r="E1098" s="774"/>
      <c r="F1098" s="774"/>
      <c r="G1098" s="813"/>
      <c r="H1098" s="806"/>
      <c r="I1098" s="806">
        <f>+H1094</f>
        <v>0</v>
      </c>
      <c r="J1098" s="806"/>
      <c r="K1098" s="806"/>
      <c r="L1098" s="806"/>
      <c r="M1098" s="806"/>
    </row>
    <row r="1099" spans="1:13" ht="15.75" x14ac:dyDescent="0.25">
      <c r="A1099" s="783"/>
      <c r="B1099" s="783"/>
      <c r="C1099" s="783"/>
      <c r="D1099" s="774"/>
      <c r="E1099" s="774"/>
      <c r="F1099" s="774"/>
      <c r="G1099" s="813"/>
      <c r="H1099" s="806"/>
      <c r="I1099" s="806"/>
      <c r="J1099" s="806"/>
      <c r="K1099" s="806"/>
      <c r="L1099" s="806"/>
      <c r="M1099" s="806"/>
    </row>
    <row r="1100" spans="1:13" ht="15.75" x14ac:dyDescent="0.25">
      <c r="A1100" s="783"/>
      <c r="B1100" s="783"/>
      <c r="C1100" s="783"/>
      <c r="D1100" s="774"/>
      <c r="E1100" s="774"/>
      <c r="F1100" s="774"/>
      <c r="G1100" s="813"/>
      <c r="H1100" s="814"/>
      <c r="I1100" s="815"/>
      <c r="J1100" s="806"/>
      <c r="K1100" s="815"/>
      <c r="L1100" s="815"/>
      <c r="M1100" s="815"/>
    </row>
    <row r="1101" spans="1:13" ht="15.75" x14ac:dyDescent="0.25">
      <c r="A1101" s="783"/>
      <c r="B1101" s="783"/>
      <c r="C1101" s="783"/>
      <c r="D1101" s="774" t="s">
        <v>590</v>
      </c>
      <c r="E1101" s="774"/>
      <c r="F1101" s="774"/>
      <c r="G1101" s="813"/>
      <c r="H1101" s="815"/>
      <c r="I1101" s="804"/>
      <c r="J1101" s="804"/>
      <c r="K1101" s="804"/>
      <c r="L1101" s="804"/>
      <c r="M1101" s="815"/>
    </row>
    <row r="1102" spans="1:13" ht="15.75" x14ac:dyDescent="0.25">
      <c r="A1102" s="783"/>
      <c r="B1102" s="783"/>
      <c r="C1102" s="783"/>
      <c r="D1102" s="774" t="s">
        <v>141</v>
      </c>
      <c r="E1102" s="774"/>
      <c r="F1102" s="774"/>
      <c r="G1102" s="813"/>
      <c r="H1102" s="815"/>
      <c r="I1102" s="820">
        <f>ROUND(I1094/1.13,2)</f>
        <v>27.58</v>
      </c>
      <c r="J1102" s="806"/>
      <c r="K1102" s="806"/>
      <c r="L1102" s="806"/>
      <c r="M1102" s="427"/>
    </row>
    <row r="1103" spans="1:13" ht="15.75" x14ac:dyDescent="0.25">
      <c r="A1103" s="783"/>
      <c r="B1103" s="783"/>
      <c r="C1103" s="783"/>
      <c r="D1103" s="774" t="s">
        <v>591</v>
      </c>
      <c r="E1103" s="774"/>
      <c r="F1103" s="774"/>
      <c r="G1103" s="813"/>
      <c r="H1103" s="815"/>
      <c r="I1103" s="816">
        <f>I1102*0.13</f>
        <v>3.5853999999999999</v>
      </c>
      <c r="J1103" s="816"/>
      <c r="K1103" s="816"/>
      <c r="L1103" s="816"/>
      <c r="M1103" s="427"/>
    </row>
    <row r="1104" spans="1:13" ht="16.5" thickBot="1" x14ac:dyDescent="0.3">
      <c r="A1104" s="783"/>
      <c r="B1104" s="783"/>
      <c r="C1104" s="783"/>
      <c r="D1104" s="774"/>
      <c r="E1104" s="774"/>
      <c r="F1104" s="774"/>
      <c r="G1104" s="813"/>
      <c r="H1104" s="815"/>
      <c r="I1104" s="817"/>
      <c r="J1104" s="818"/>
      <c r="K1104" s="818"/>
      <c r="L1104" s="818"/>
      <c r="M1104" s="427"/>
    </row>
    <row r="1105" spans="1:13" ht="16.5" thickTop="1" x14ac:dyDescent="0.25">
      <c r="A1105" s="783"/>
      <c r="B1105" s="783"/>
      <c r="C1105" s="783"/>
      <c r="D1105" s="774" t="s">
        <v>592</v>
      </c>
      <c r="E1105" s="774"/>
      <c r="F1105" s="774"/>
      <c r="G1105" s="813"/>
      <c r="H1105" s="815"/>
      <c r="I1105" s="819">
        <f>SUM(I1102:I1104)</f>
        <v>31.165399999999998</v>
      </c>
      <c r="J1105" s="819"/>
      <c r="K1105" s="819"/>
      <c r="L1105" s="819"/>
      <c r="M1105" s="815"/>
    </row>
    <row r="1106" spans="1:13" ht="16.5" thickBot="1" x14ac:dyDescent="0.3">
      <c r="A1106" s="783"/>
      <c r="B1106" s="783"/>
      <c r="C1106" s="783"/>
      <c r="D1106" s="774"/>
      <c r="E1106" s="774"/>
      <c r="F1106" s="774"/>
      <c r="G1106" s="813"/>
      <c r="H1106" s="815"/>
      <c r="I1106" s="817"/>
      <c r="J1106" s="818"/>
      <c r="K1106" s="818"/>
      <c r="L1106" s="818"/>
      <c r="M1106" s="815"/>
    </row>
    <row r="1107" spans="1:13" ht="16.5" thickTop="1" x14ac:dyDescent="0.25">
      <c r="A1107" s="783"/>
      <c r="B1107" s="783"/>
      <c r="C1107" s="783"/>
      <c r="D1107" s="774"/>
      <c r="E1107" s="774"/>
      <c r="F1107" s="774"/>
      <c r="G1107" s="742"/>
      <c r="H1107" s="743"/>
      <c r="I1107" s="788"/>
      <c r="J1107" s="788"/>
      <c r="K1107" s="788"/>
      <c r="L1107" s="788"/>
      <c r="M1107" s="743"/>
    </row>
    <row r="1108" spans="1:13" ht="15.75" x14ac:dyDescent="0.25">
      <c r="A1108" s="783"/>
      <c r="B1108" s="783"/>
      <c r="C1108" s="783"/>
      <c r="D1108" s="774"/>
      <c r="E1108" s="774"/>
      <c r="F1108" s="774"/>
      <c r="G1108" s="742"/>
      <c r="H1108" s="743"/>
      <c r="I1108" s="749"/>
      <c r="J1108" s="749"/>
      <c r="K1108" s="749"/>
      <c r="L1108" s="749"/>
      <c r="M1108" s="743"/>
    </row>
    <row r="1109" spans="1:13" ht="15.75" x14ac:dyDescent="0.25">
      <c r="A1109" s="783"/>
      <c r="B1109" s="783"/>
      <c r="C1109" s="783"/>
      <c r="D1109" s="774"/>
      <c r="E1109" s="774"/>
      <c r="F1109" s="774"/>
      <c r="G1109" s="789"/>
      <c r="H1109" s="743" t="s">
        <v>655</v>
      </c>
      <c r="I1109" s="749">
        <v>-3.59</v>
      </c>
      <c r="J1109" s="749"/>
      <c r="K1109" s="749"/>
      <c r="L1109" s="749"/>
      <c r="M1109" s="743"/>
    </row>
    <row r="1110" spans="1:13" ht="15.75" x14ac:dyDescent="0.25">
      <c r="A1110" s="783"/>
      <c r="B1110" s="783"/>
      <c r="C1110" s="783"/>
      <c r="D1110" s="774"/>
      <c r="E1110" s="774"/>
      <c r="F1110" s="774"/>
      <c r="G1110" s="742"/>
      <c r="H1110" s="790" t="s">
        <v>656</v>
      </c>
      <c r="I1110" s="791">
        <f>+I1103+I1109</f>
        <v>-4.5999999999999375E-3</v>
      </c>
      <c r="J1110" s="749"/>
      <c r="K1110" s="749"/>
      <c r="L1110" s="749"/>
      <c r="M1110" s="743"/>
    </row>
    <row r="1115" spans="1:13" ht="20.25" x14ac:dyDescent="0.3">
      <c r="A1115" s="1010" t="s">
        <v>640</v>
      </c>
      <c r="B1115" s="1010"/>
      <c r="C1115" s="1011"/>
      <c r="D1115" s="1012"/>
      <c r="E1115" s="1012"/>
      <c r="F1115" s="1012"/>
      <c r="G1115" s="1013"/>
      <c r="H1115" s="1014"/>
      <c r="I1115" s="1014"/>
      <c r="J1115" s="1014"/>
      <c r="K1115" s="1014"/>
      <c r="L1115" s="1014"/>
      <c r="M1115" s="1014"/>
    </row>
    <row r="1116" spans="1:13" ht="15.75" x14ac:dyDescent="0.25">
      <c r="A1116" s="1012" t="s">
        <v>252</v>
      </c>
      <c r="B1116" s="1012"/>
      <c r="C1116" s="1012"/>
      <c r="D1116" s="1012"/>
      <c r="E1116" s="1012"/>
      <c r="F1116" s="1012"/>
      <c r="G1116" s="1013"/>
      <c r="H1116" s="1014"/>
      <c r="I1116" s="1014"/>
      <c r="J1116" s="1014"/>
      <c r="K1116" s="1014"/>
      <c r="L1116" s="1014"/>
      <c r="M1116" s="1014"/>
    </row>
    <row r="1117" spans="1:13" ht="15.75" x14ac:dyDescent="0.25">
      <c r="A1117" s="1011" t="s">
        <v>253</v>
      </c>
      <c r="B1117" s="1011"/>
      <c r="C1117" s="1012"/>
      <c r="D1117" s="1012"/>
      <c r="E1117" s="1012"/>
      <c r="F1117" s="1012"/>
      <c r="G1117" s="1013"/>
      <c r="H1117" s="1016"/>
      <c r="I1117" s="1016"/>
      <c r="J1117" s="1014"/>
      <c r="K1117" s="1014"/>
      <c r="L1117" s="1014"/>
      <c r="M1117" s="1014"/>
    </row>
    <row r="1118" spans="1:13" ht="15.75" x14ac:dyDescent="0.25">
      <c r="A1118" s="1012" t="s">
        <v>356</v>
      </c>
      <c r="B1118" s="1012"/>
      <c r="C1118" s="1012"/>
      <c r="D1118" s="1012"/>
      <c r="E1118" s="1012"/>
      <c r="F1118" s="1012"/>
      <c r="G1118" s="1013"/>
      <c r="H1118" s="1014"/>
      <c r="I1118" s="1014"/>
      <c r="J1118" s="1014"/>
      <c r="K1118" s="1014"/>
      <c r="L1118" s="1014"/>
      <c r="M1118" s="1014"/>
    </row>
    <row r="1119" spans="1:13" ht="15.75" x14ac:dyDescent="0.25">
      <c r="A1119" s="1017" t="s">
        <v>457</v>
      </c>
      <c r="B1119" s="1017"/>
      <c r="C1119" s="1018">
        <v>44255</v>
      </c>
      <c r="D1119" s="1009"/>
      <c r="E1119" s="1042"/>
      <c r="F1119" s="1012"/>
      <c r="G1119" s="1013"/>
      <c r="H1119" s="1014"/>
      <c r="I1119" s="1009"/>
      <c r="J1119" s="1009"/>
      <c r="K1119" s="1009"/>
      <c r="L1119" s="1009"/>
      <c r="M1119" s="1009"/>
    </row>
    <row r="1120" spans="1:13" ht="15.75" x14ac:dyDescent="0.25">
      <c r="A1120" s="1015"/>
      <c r="B1120" s="1015"/>
      <c r="C1120" s="1015"/>
      <c r="D1120" s="1012"/>
      <c r="E1120" s="1012"/>
      <c r="F1120" s="1012"/>
      <c r="G1120" s="1013"/>
      <c r="H1120" s="1014"/>
      <c r="I1120" s="1014"/>
      <c r="J1120" s="1014"/>
      <c r="K1120" s="1014"/>
      <c r="L1120" s="1014"/>
      <c r="M1120" s="1014"/>
    </row>
    <row r="1121" spans="1:13" ht="15.75" x14ac:dyDescent="0.25">
      <c r="A1121" s="1015"/>
      <c r="B1121" s="1015"/>
      <c r="C1121" s="1015"/>
      <c r="D1121" s="1012"/>
      <c r="E1121" s="1012"/>
      <c r="F1121" s="1012"/>
      <c r="G1121" s="1013"/>
      <c r="H1121" s="1014"/>
      <c r="I1121" s="1014"/>
      <c r="J1121" s="1014"/>
      <c r="K1121" s="1014"/>
      <c r="L1121" s="1014"/>
      <c r="M1121" s="1014"/>
    </row>
    <row r="1122" spans="1:13" ht="15.75" x14ac:dyDescent="0.25">
      <c r="A1122" s="1015"/>
      <c r="B1122" s="1015"/>
      <c r="C1122" s="1015"/>
      <c r="D1122" s="1012"/>
      <c r="E1122" s="1012"/>
      <c r="F1122" s="1012"/>
      <c r="G1122" s="1013"/>
      <c r="H1122" s="1019" t="s">
        <v>94</v>
      </c>
      <c r="I1122" s="1019" t="s">
        <v>94</v>
      </c>
      <c r="J1122" s="1019" t="s">
        <v>641</v>
      </c>
      <c r="K1122" s="1019" t="s">
        <v>642</v>
      </c>
      <c r="L1122" s="1019" t="s">
        <v>94</v>
      </c>
      <c r="M1122" s="1019" t="s">
        <v>257</v>
      </c>
    </row>
    <row r="1123" spans="1:13" ht="16.5" thickBot="1" x14ac:dyDescent="0.3">
      <c r="A1123" s="1020" t="s">
        <v>137</v>
      </c>
      <c r="B1123" s="1020" t="s">
        <v>1610</v>
      </c>
      <c r="C1123" s="1020" t="s">
        <v>1602</v>
      </c>
      <c r="D1123" s="1020" t="s">
        <v>643</v>
      </c>
      <c r="E1123" s="1020" t="s">
        <v>644</v>
      </c>
      <c r="F1123" s="1020" t="s">
        <v>1611</v>
      </c>
      <c r="G1123" s="1021" t="s">
        <v>140</v>
      </c>
      <c r="H1123" s="1022" t="s">
        <v>327</v>
      </c>
      <c r="I1123" s="1044" t="s">
        <v>645</v>
      </c>
      <c r="J1123" s="1022" t="s">
        <v>646</v>
      </c>
      <c r="K1123" s="1022" t="s">
        <v>647</v>
      </c>
      <c r="L1123" s="1022" t="s">
        <v>326</v>
      </c>
      <c r="M1123" s="1022" t="s">
        <v>94</v>
      </c>
    </row>
    <row r="1124" spans="1:13" ht="16.5" thickTop="1" x14ac:dyDescent="0.25">
      <c r="A1124" s="1038"/>
      <c r="B1124" s="1038"/>
      <c r="C1124" s="1023"/>
      <c r="D1124" s="1024"/>
      <c r="E1124" s="1024"/>
      <c r="F1124" s="1024"/>
      <c r="G1124" s="1025"/>
      <c r="H1124" s="1025"/>
      <c r="I1124" s="1026"/>
      <c r="J1124" s="1026"/>
      <c r="K1124" s="1026"/>
      <c r="L1124" s="1026"/>
      <c r="M1124" s="1027"/>
    </row>
    <row r="1125" spans="1:13" ht="15.75" x14ac:dyDescent="0.25">
      <c r="A1125" s="1028">
        <v>44250</v>
      </c>
      <c r="B1125" s="1028" t="s">
        <v>1612</v>
      </c>
      <c r="C1125" s="1029" t="s">
        <v>1634</v>
      </c>
      <c r="D1125" s="1043">
        <v>2083</v>
      </c>
      <c r="E1125" s="1043">
        <v>2083</v>
      </c>
      <c r="F1125" s="1030" t="s">
        <v>1613</v>
      </c>
      <c r="G1125" s="1045">
        <v>0</v>
      </c>
      <c r="H1125" s="1049">
        <v>0</v>
      </c>
      <c r="I1125" s="1046">
        <v>1.74</v>
      </c>
      <c r="J1125" s="1047"/>
      <c r="K1125" s="1047"/>
      <c r="L1125" s="1046">
        <v>0</v>
      </c>
      <c r="M1125" s="1048">
        <v>1.74</v>
      </c>
    </row>
    <row r="1126" spans="1:13" ht="15.75" x14ac:dyDescent="0.25">
      <c r="A1126" s="1028">
        <v>44250</v>
      </c>
      <c r="B1126" s="1028" t="s">
        <v>1636</v>
      </c>
      <c r="C1126" s="1029" t="s">
        <v>1634</v>
      </c>
      <c r="D1126" s="1043">
        <v>2084</v>
      </c>
      <c r="E1126" s="1043">
        <v>2084</v>
      </c>
      <c r="F1126" s="1030" t="s">
        <v>1613</v>
      </c>
      <c r="G1126" s="1045">
        <v>0</v>
      </c>
      <c r="H1126" s="1045">
        <v>0</v>
      </c>
      <c r="I1126" s="1046">
        <v>11.29</v>
      </c>
      <c r="J1126" s="1047"/>
      <c r="K1126" s="1047"/>
      <c r="L1126" s="1046">
        <v>0</v>
      </c>
      <c r="M1126" s="1048">
        <v>11.29</v>
      </c>
    </row>
    <row r="1127" spans="1:13" ht="15.75" x14ac:dyDescent="0.25">
      <c r="A1127" s="1028"/>
      <c r="B1127" s="1028"/>
      <c r="C1127" s="1029"/>
      <c r="D1127" s="1043"/>
      <c r="E1127" s="1043"/>
      <c r="F1127" s="1030"/>
      <c r="G1127" s="1045">
        <v>0</v>
      </c>
      <c r="H1127" s="1045">
        <v>0</v>
      </c>
      <c r="I1127" s="1046">
        <v>0</v>
      </c>
      <c r="J1127" s="1047"/>
      <c r="K1127" s="1047"/>
      <c r="L1127" s="1046">
        <v>0</v>
      </c>
      <c r="M1127" s="1048">
        <v>0</v>
      </c>
    </row>
    <row r="1128" spans="1:13" ht="15.75" x14ac:dyDescent="0.25">
      <c r="A1128" s="1031"/>
      <c r="B1128" s="1028"/>
      <c r="C1128" s="1029"/>
      <c r="D1128" s="1043"/>
      <c r="E1128" s="1043"/>
      <c r="F1128" s="1030"/>
      <c r="G1128" s="1045">
        <v>0</v>
      </c>
      <c r="H1128" s="1052">
        <v>0</v>
      </c>
      <c r="I1128" s="1053">
        <v>0</v>
      </c>
      <c r="J1128" s="1047"/>
      <c r="K1128" s="1047"/>
      <c r="L1128" s="1046">
        <v>0</v>
      </c>
      <c r="M1128" s="1048">
        <v>0</v>
      </c>
    </row>
    <row r="1129" spans="1:13" ht="15.75" x14ac:dyDescent="0.25">
      <c r="A1129" s="1031"/>
      <c r="B1129" s="1031"/>
      <c r="C1129" s="1029"/>
      <c r="D1129" s="1043"/>
      <c r="E1129" s="1043"/>
      <c r="F1129" s="1030"/>
      <c r="G1129" s="1045">
        <v>0</v>
      </c>
      <c r="H1129" s="1052">
        <v>0</v>
      </c>
      <c r="I1129" s="1047">
        <v>0</v>
      </c>
      <c r="J1129" s="1047"/>
      <c r="K1129" s="1047"/>
      <c r="L1129" s="1046">
        <v>0</v>
      </c>
      <c r="M1129" s="1048">
        <v>0</v>
      </c>
    </row>
    <row r="1130" spans="1:13" ht="15.75" x14ac:dyDescent="0.25">
      <c r="A1130" s="1031"/>
      <c r="B1130" s="1031"/>
      <c r="C1130" s="1029"/>
      <c r="D1130" s="1043"/>
      <c r="E1130" s="1043"/>
      <c r="F1130" s="1030"/>
      <c r="G1130" s="1045">
        <v>0</v>
      </c>
      <c r="H1130" s="1052">
        <v>0</v>
      </c>
      <c r="I1130" s="1047">
        <v>0</v>
      </c>
      <c r="J1130" s="1047"/>
      <c r="K1130" s="1047"/>
      <c r="L1130" s="1046">
        <v>0</v>
      </c>
      <c r="M1130" s="1048">
        <v>0</v>
      </c>
    </row>
    <row r="1131" spans="1:13" ht="15.75" x14ac:dyDescent="0.25">
      <c r="A1131" s="1031"/>
      <c r="B1131" s="1031"/>
      <c r="C1131" s="1029"/>
      <c r="D1131" s="1043"/>
      <c r="E1131" s="1043"/>
      <c r="F1131" s="1030"/>
      <c r="G1131" s="1045">
        <v>0</v>
      </c>
      <c r="H1131" s="1052">
        <v>0</v>
      </c>
      <c r="I1131" s="1047">
        <v>0</v>
      </c>
      <c r="J1131" s="1047"/>
      <c r="K1131" s="1047"/>
      <c r="L1131" s="1046">
        <v>0</v>
      </c>
      <c r="M1131" s="1048">
        <v>0</v>
      </c>
    </row>
    <row r="1132" spans="1:13" ht="15.75" x14ac:dyDescent="0.25">
      <c r="A1132" s="1031"/>
      <c r="B1132" s="1031"/>
      <c r="C1132" s="1029"/>
      <c r="D1132" s="1043"/>
      <c r="E1132" s="1043"/>
      <c r="F1132" s="1030"/>
      <c r="G1132" s="1045"/>
      <c r="H1132" s="1052"/>
      <c r="I1132" s="1047"/>
      <c r="J1132" s="1047"/>
      <c r="K1132" s="1047"/>
      <c r="L1132" s="1046"/>
      <c r="M1132" s="1048"/>
    </row>
    <row r="1133" spans="1:13" ht="16.5" thickBot="1" x14ac:dyDescent="0.3">
      <c r="A1133" s="1033"/>
      <c r="B1133" s="1033"/>
      <c r="C1133" s="1033"/>
      <c r="D1133" s="1034"/>
      <c r="E1133" s="1034"/>
      <c r="F1133" s="1034"/>
      <c r="G1133" s="1055"/>
      <c r="H1133" s="1055"/>
      <c r="I1133" s="1056"/>
      <c r="J1133" s="1056"/>
      <c r="K1133" s="1056"/>
      <c r="L1133" s="1056"/>
      <c r="M1133" s="1057"/>
    </row>
    <row r="1134" spans="1:13" ht="16.5" thickTop="1" x14ac:dyDescent="0.25">
      <c r="A1134" s="1035"/>
      <c r="B1134" s="1035"/>
      <c r="C1134" s="1035"/>
      <c r="D1134" s="1032"/>
      <c r="E1134" s="1032"/>
      <c r="F1134" s="1032"/>
      <c r="G1134" s="1048">
        <v>0</v>
      </c>
      <c r="H1134" s="1048">
        <v>0</v>
      </c>
      <c r="I1134" s="1048">
        <v>13.03</v>
      </c>
      <c r="J1134" s="1048">
        <v>0</v>
      </c>
      <c r="K1134" s="1048">
        <v>0</v>
      </c>
      <c r="L1134" s="1048">
        <v>0</v>
      </c>
      <c r="M1134" s="1048">
        <v>13.03</v>
      </c>
    </row>
    <row r="1135" spans="1:13" ht="15.75" x14ac:dyDescent="0.25">
      <c r="A1135" s="1035"/>
      <c r="B1135" s="1035"/>
      <c r="C1135" s="1035"/>
      <c r="D1135" s="1032"/>
      <c r="E1135" s="1032"/>
      <c r="F1135" s="1032"/>
      <c r="G1135" s="1054"/>
      <c r="H1135" s="1048"/>
      <c r="I1135" s="1048"/>
      <c r="J1135" s="1048"/>
      <c r="K1135" s="1048"/>
      <c r="L1135" s="1048"/>
      <c r="M1135" s="1048"/>
    </row>
    <row r="1136" spans="1:13" ht="15.75" x14ac:dyDescent="0.25">
      <c r="A1136" s="1035"/>
      <c r="B1136" s="1035"/>
      <c r="C1136" s="1035"/>
      <c r="D1136" s="1032" t="s">
        <v>653</v>
      </c>
      <c r="E1136" s="1032"/>
      <c r="F1136" s="1032"/>
      <c r="G1136" s="1054"/>
      <c r="H1136" s="1048"/>
      <c r="I1136" s="1048">
        <v>0</v>
      </c>
      <c r="J1136" s="1048"/>
      <c r="K1136" s="1048"/>
      <c r="L1136" s="1048"/>
      <c r="M1136" s="1048"/>
    </row>
    <row r="1137" spans="1:13" ht="15.75" x14ac:dyDescent="0.25">
      <c r="A1137" s="1035"/>
      <c r="B1137" s="1035"/>
      <c r="C1137" s="1035"/>
      <c r="D1137" s="1032"/>
      <c r="E1137" s="1032"/>
      <c r="F1137" s="1032"/>
      <c r="G1137" s="1054"/>
      <c r="H1137" s="1048"/>
      <c r="I1137" s="1048"/>
      <c r="J1137" s="1048"/>
      <c r="K1137" s="1048"/>
      <c r="L1137" s="1048"/>
      <c r="M1137" s="1048"/>
    </row>
    <row r="1138" spans="1:13" ht="15.75" x14ac:dyDescent="0.25">
      <c r="A1138" s="1035"/>
      <c r="B1138" s="1035"/>
      <c r="C1138" s="1035"/>
      <c r="D1138" s="1032" t="s">
        <v>654</v>
      </c>
      <c r="E1138" s="1032"/>
      <c r="F1138" s="1032"/>
      <c r="G1138" s="1054"/>
      <c r="H1138" s="1048"/>
      <c r="I1138" s="1048">
        <v>0</v>
      </c>
      <c r="J1138" s="1048"/>
      <c r="K1138" s="1048"/>
      <c r="L1138" s="1048"/>
      <c r="M1138" s="1048"/>
    </row>
    <row r="1139" spans="1:13" ht="15.75" x14ac:dyDescent="0.25">
      <c r="A1139" s="1035"/>
      <c r="B1139" s="1035"/>
      <c r="C1139" s="1035"/>
      <c r="D1139" s="1032"/>
      <c r="E1139" s="1032"/>
      <c r="F1139" s="1032"/>
      <c r="G1139" s="1054"/>
      <c r="H1139" s="1048"/>
      <c r="I1139" s="1048"/>
      <c r="J1139" s="1048"/>
      <c r="K1139" s="1048"/>
      <c r="L1139" s="1048"/>
      <c r="M1139" s="1048"/>
    </row>
    <row r="1140" spans="1:13" ht="15.75" x14ac:dyDescent="0.25">
      <c r="A1140" s="1035"/>
      <c r="B1140" s="1035"/>
      <c r="C1140" s="1035"/>
      <c r="D1140" s="1032"/>
      <c r="E1140" s="1032"/>
      <c r="F1140" s="1032"/>
      <c r="G1140" s="1054"/>
      <c r="H1140" s="1058"/>
      <c r="I1140" s="1051"/>
      <c r="J1140" s="1048"/>
      <c r="K1140" s="1051"/>
      <c r="L1140" s="1051"/>
      <c r="M1140" s="1051"/>
    </row>
    <row r="1141" spans="1:13" ht="15.75" x14ac:dyDescent="0.25">
      <c r="A1141" s="1035"/>
      <c r="B1141" s="1035"/>
      <c r="C1141" s="1035"/>
      <c r="D1141" s="1032" t="s">
        <v>590</v>
      </c>
      <c r="E1141" s="1032"/>
      <c r="F1141" s="1032"/>
      <c r="G1141" s="1054"/>
      <c r="H1141" s="1051"/>
      <c r="I1141" s="1046"/>
      <c r="J1141" s="1046"/>
      <c r="K1141" s="1046"/>
      <c r="L1141" s="1046"/>
      <c r="M1141" s="1051"/>
    </row>
    <row r="1142" spans="1:13" ht="15.75" x14ac:dyDescent="0.25">
      <c r="A1142" s="1035"/>
      <c r="B1142" s="1035"/>
      <c r="C1142" s="1035"/>
      <c r="D1142" s="1032" t="s">
        <v>141</v>
      </c>
      <c r="E1142" s="1032"/>
      <c r="F1142" s="1032"/>
      <c r="G1142" s="1054"/>
      <c r="H1142" s="1051"/>
      <c r="I1142" s="713">
        <v>11.53</v>
      </c>
      <c r="J1142" s="1048"/>
      <c r="K1142" s="1048"/>
      <c r="L1142" s="1048"/>
      <c r="M1142" s="1037"/>
    </row>
    <row r="1143" spans="1:13" ht="15.75" x14ac:dyDescent="0.25">
      <c r="A1143" s="1035"/>
      <c r="B1143" s="1035"/>
      <c r="C1143" s="1035"/>
      <c r="D1143" s="1032" t="s">
        <v>591</v>
      </c>
      <c r="E1143" s="1032"/>
      <c r="F1143" s="1032"/>
      <c r="G1143" s="1054"/>
      <c r="H1143" s="1051"/>
      <c r="I1143" s="1059">
        <v>1.4988999999999999</v>
      </c>
      <c r="J1143" s="1059"/>
      <c r="K1143" s="1059"/>
      <c r="L1143" s="1059"/>
      <c r="M1143" s="1037"/>
    </row>
    <row r="1144" spans="1:13" ht="16.5" thickBot="1" x14ac:dyDescent="0.3">
      <c r="A1144" s="1035"/>
      <c r="B1144" s="1035"/>
      <c r="C1144" s="1035"/>
      <c r="D1144" s="1032"/>
      <c r="E1144" s="1032"/>
      <c r="F1144" s="1032"/>
      <c r="G1144" s="1054"/>
      <c r="H1144" s="1051"/>
      <c r="I1144" s="1060"/>
      <c r="J1144" s="1061"/>
      <c r="K1144" s="1061"/>
      <c r="L1144" s="1061"/>
      <c r="M1144" s="1037"/>
    </row>
    <row r="1145" spans="1:13" ht="16.5" thickTop="1" x14ac:dyDescent="0.25">
      <c r="A1145" s="1035"/>
      <c r="B1145" s="1035"/>
      <c r="C1145" s="1035"/>
      <c r="D1145" s="1032" t="s">
        <v>592</v>
      </c>
      <c r="E1145" s="1032"/>
      <c r="F1145" s="1032"/>
      <c r="G1145" s="1054"/>
      <c r="H1145" s="1051"/>
      <c r="I1145" s="1050">
        <v>13.0289</v>
      </c>
      <c r="J1145" s="1050"/>
      <c r="K1145" s="1050"/>
      <c r="L1145" s="1050"/>
      <c r="M1145" s="1051"/>
    </row>
    <row r="1146" spans="1:13" ht="16.5" thickBot="1" x14ac:dyDescent="0.3">
      <c r="A1146" s="1035"/>
      <c r="B1146" s="1035"/>
      <c r="C1146" s="1035"/>
      <c r="D1146" s="1032"/>
      <c r="E1146" s="1032"/>
      <c r="F1146" s="1032"/>
      <c r="G1146" s="1054"/>
      <c r="H1146" s="1051"/>
      <c r="I1146" s="1060"/>
      <c r="J1146" s="1061"/>
      <c r="K1146" s="1061"/>
      <c r="L1146" s="1061"/>
      <c r="M1146" s="1051"/>
    </row>
    <row r="1147" spans="1:13" ht="16.5" thickTop="1" x14ac:dyDescent="0.25">
      <c r="A1147" s="1035"/>
      <c r="B1147" s="1035"/>
      <c r="C1147" s="1035"/>
      <c r="D1147" s="1032"/>
      <c r="E1147" s="1032"/>
      <c r="F1147" s="1032"/>
      <c r="G1147" s="1013"/>
      <c r="H1147" s="1014"/>
      <c r="I1147" s="1036"/>
      <c r="J1147" s="1036"/>
      <c r="K1147" s="1036"/>
      <c r="L1147" s="1036"/>
      <c r="M1147" s="1014"/>
    </row>
    <row r="1148" spans="1:13" ht="15.75" x14ac:dyDescent="0.25">
      <c r="A1148" s="1035"/>
      <c r="B1148" s="1035"/>
      <c r="C1148" s="1035"/>
      <c r="D1148" s="1032"/>
      <c r="E1148" s="1032"/>
      <c r="F1148" s="1032"/>
      <c r="G1148" s="1013"/>
      <c r="H1148" s="1014"/>
      <c r="I1148" s="1019"/>
      <c r="J1148" s="1019"/>
      <c r="K1148" s="1019"/>
      <c r="L1148" s="1019"/>
      <c r="M1148" s="1014"/>
    </row>
    <row r="1149" spans="1:13" ht="15.75" x14ac:dyDescent="0.25">
      <c r="A1149" s="1035"/>
      <c r="B1149" s="1035"/>
      <c r="C1149" s="1035"/>
      <c r="D1149" s="1032"/>
      <c r="E1149" s="1032"/>
      <c r="F1149" s="1032"/>
      <c r="G1149" s="1041"/>
      <c r="H1149" s="1014" t="s">
        <v>655</v>
      </c>
      <c r="I1149" s="1019">
        <v>-1.5</v>
      </c>
      <c r="J1149" s="1019"/>
      <c r="K1149" s="1019"/>
      <c r="L1149" s="1019"/>
      <c r="M1149" s="1014"/>
    </row>
    <row r="1150" spans="1:13" ht="15.75" x14ac:dyDescent="0.25">
      <c r="A1150" s="1035"/>
      <c r="B1150" s="1035"/>
      <c r="C1150" s="1035"/>
      <c r="D1150" s="1032"/>
      <c r="E1150" s="1032"/>
      <c r="F1150" s="1032"/>
      <c r="G1150" s="1013"/>
      <c r="H1150" s="1039" t="s">
        <v>656</v>
      </c>
      <c r="I1150" s="1040">
        <v>-1.1000000000001009E-3</v>
      </c>
      <c r="J1150" s="1019"/>
      <c r="K1150" s="1019"/>
      <c r="L1150" s="1019"/>
      <c r="M1150" s="1014"/>
    </row>
    <row r="1151" spans="1:13" ht="15.75" x14ac:dyDescent="0.25">
      <c r="A1151" s="1035"/>
      <c r="B1151" s="1035"/>
      <c r="C1151" s="1035"/>
      <c r="D1151" s="1032"/>
      <c r="E1151" s="1032"/>
      <c r="F1151" s="1032"/>
      <c r="G1151" s="1013"/>
      <c r="H1151" s="1014"/>
      <c r="I1151" s="1019"/>
      <c r="J1151" s="1019"/>
      <c r="K1151" s="1019"/>
      <c r="L1151" s="1019"/>
      <c r="M1151" s="1014"/>
    </row>
    <row r="1152" spans="1:13" ht="15.75" x14ac:dyDescent="0.25">
      <c r="A1152" s="1035"/>
      <c r="B1152" s="1035"/>
      <c r="C1152" s="1035"/>
      <c r="D1152" s="1032"/>
      <c r="E1152" s="1032"/>
      <c r="F1152" s="1032"/>
      <c r="G1152" s="1013"/>
      <c r="H1152" s="1014"/>
      <c r="I1152" s="1019"/>
      <c r="J1152" s="1019"/>
      <c r="K1152" s="1019"/>
      <c r="L1152" s="1019"/>
      <c r="M1152" s="1014"/>
    </row>
    <row r="1153" spans="1:13" ht="20.25" x14ac:dyDescent="0.3">
      <c r="A1153" s="1123" t="s">
        <v>640</v>
      </c>
      <c r="B1153" s="1123"/>
      <c r="C1153" s="1124"/>
      <c r="D1153" s="1125"/>
      <c r="E1153" s="1125"/>
      <c r="F1153" s="1125"/>
      <c r="G1153" s="1126"/>
      <c r="H1153" s="1127"/>
      <c r="I1153" s="1127"/>
      <c r="J1153" s="1127"/>
      <c r="K1153" s="1127"/>
      <c r="L1153" s="1127"/>
      <c r="M1153" s="1127"/>
    </row>
    <row r="1154" spans="1:13" ht="15.75" x14ac:dyDescent="0.25">
      <c r="A1154" s="1125" t="s">
        <v>252</v>
      </c>
      <c r="B1154" s="1125"/>
      <c r="C1154" s="1125"/>
      <c r="D1154" s="1125"/>
      <c r="E1154" s="1125"/>
      <c r="F1154" s="1125"/>
      <c r="G1154" s="1126"/>
      <c r="H1154" s="1127"/>
      <c r="I1154" s="1127"/>
      <c r="J1154" s="1127"/>
      <c r="K1154" s="1127"/>
      <c r="L1154" s="1127"/>
      <c r="M1154" s="1127"/>
    </row>
    <row r="1155" spans="1:13" ht="15.75" x14ac:dyDescent="0.25">
      <c r="A1155" s="1124" t="s">
        <v>253</v>
      </c>
      <c r="B1155" s="1124"/>
      <c r="C1155" s="1125"/>
      <c r="D1155" s="1125"/>
      <c r="E1155" s="1125"/>
      <c r="F1155" s="1125"/>
      <c r="G1155" s="1126"/>
      <c r="H1155" s="1129"/>
      <c r="I1155" s="1129"/>
      <c r="J1155" s="1127"/>
      <c r="K1155" s="1127"/>
      <c r="L1155" s="1127"/>
      <c r="M1155" s="1127"/>
    </row>
    <row r="1156" spans="1:13" ht="15.75" x14ac:dyDescent="0.25">
      <c r="A1156" s="1125" t="s">
        <v>356</v>
      </c>
      <c r="B1156" s="1125"/>
      <c r="C1156" s="1125"/>
      <c r="D1156" s="1125"/>
      <c r="E1156" s="1125"/>
      <c r="F1156" s="1125"/>
      <c r="G1156" s="1126"/>
      <c r="H1156" s="1127"/>
      <c r="I1156" s="1127"/>
      <c r="J1156" s="1127"/>
      <c r="K1156" s="1127"/>
      <c r="L1156" s="1127"/>
      <c r="M1156" s="1127"/>
    </row>
    <row r="1157" spans="1:13" ht="15.75" x14ac:dyDescent="0.25">
      <c r="A1157" s="1130" t="s">
        <v>457</v>
      </c>
      <c r="B1157" s="1130"/>
      <c r="C1157" s="1131">
        <v>44286</v>
      </c>
      <c r="D1157" s="1122"/>
      <c r="E1157" s="1155"/>
      <c r="F1157" s="1125"/>
      <c r="G1157" s="1126"/>
      <c r="H1157" s="1127"/>
      <c r="I1157" s="1122"/>
      <c r="J1157" s="1122"/>
      <c r="K1157" s="1122"/>
      <c r="L1157" s="1122"/>
      <c r="M1157" s="1122"/>
    </row>
    <row r="1158" spans="1:13" ht="15.75" x14ac:dyDescent="0.25">
      <c r="A1158" s="1128"/>
      <c r="B1158" s="1128"/>
      <c r="C1158" s="1128"/>
      <c r="D1158" s="1125"/>
      <c r="E1158" s="1125"/>
      <c r="F1158" s="1125"/>
      <c r="G1158" s="1126"/>
      <c r="H1158" s="1127"/>
      <c r="I1158" s="1127"/>
      <c r="J1158" s="1127"/>
      <c r="K1158" s="1127"/>
      <c r="L1158" s="1127"/>
      <c r="M1158" s="1127"/>
    </row>
    <row r="1159" spans="1:13" ht="15.75" x14ac:dyDescent="0.25">
      <c r="A1159" s="1128"/>
      <c r="B1159" s="1128"/>
      <c r="C1159" s="1128"/>
      <c r="D1159" s="1125"/>
      <c r="E1159" s="1125"/>
      <c r="F1159" s="1125"/>
      <c r="G1159" s="1126"/>
      <c r="H1159" s="1127"/>
      <c r="I1159" s="1127"/>
      <c r="J1159" s="1127"/>
      <c r="K1159" s="1127"/>
      <c r="L1159" s="1127"/>
      <c r="M1159" s="1127"/>
    </row>
    <row r="1160" spans="1:13" ht="15.75" x14ac:dyDescent="0.25">
      <c r="A1160" s="1128"/>
      <c r="B1160" s="1128"/>
      <c r="C1160" s="1128"/>
      <c r="D1160" s="1125"/>
      <c r="E1160" s="1125"/>
      <c r="F1160" s="1125"/>
      <c r="G1160" s="1126"/>
      <c r="H1160" s="1132" t="s">
        <v>94</v>
      </c>
      <c r="I1160" s="1132" t="s">
        <v>94</v>
      </c>
      <c r="J1160" s="1132" t="s">
        <v>641</v>
      </c>
      <c r="K1160" s="1132" t="s">
        <v>642</v>
      </c>
      <c r="L1160" s="1132" t="s">
        <v>94</v>
      </c>
      <c r="M1160" s="1132" t="s">
        <v>257</v>
      </c>
    </row>
    <row r="1161" spans="1:13" ht="16.5" thickBot="1" x14ac:dyDescent="0.3">
      <c r="A1161" s="1133" t="s">
        <v>137</v>
      </c>
      <c r="B1161" s="1133" t="s">
        <v>1610</v>
      </c>
      <c r="C1161" s="1133" t="s">
        <v>1602</v>
      </c>
      <c r="D1161" s="1133" t="s">
        <v>643</v>
      </c>
      <c r="E1161" s="1133" t="s">
        <v>644</v>
      </c>
      <c r="F1161" s="1133" t="s">
        <v>1611</v>
      </c>
      <c r="G1161" s="1134" t="s">
        <v>140</v>
      </c>
      <c r="H1161" s="1135" t="s">
        <v>327</v>
      </c>
      <c r="I1161" s="1157" t="s">
        <v>645</v>
      </c>
      <c r="J1161" s="1135" t="s">
        <v>646</v>
      </c>
      <c r="K1161" s="1135" t="s">
        <v>647</v>
      </c>
      <c r="L1161" s="1135" t="s">
        <v>326</v>
      </c>
      <c r="M1161" s="1135" t="s">
        <v>94</v>
      </c>
    </row>
    <row r="1162" spans="1:13" ht="16.5" thickTop="1" x14ac:dyDescent="0.25">
      <c r="A1162" s="1151"/>
      <c r="B1162" s="1151"/>
      <c r="C1162" s="1136"/>
      <c r="D1162" s="1137"/>
      <c r="E1162" s="1137"/>
      <c r="F1162" s="1137"/>
      <c r="G1162" s="1138"/>
      <c r="H1162" s="1138"/>
      <c r="I1162" s="1139"/>
      <c r="J1162" s="1139"/>
      <c r="K1162" s="1139"/>
      <c r="L1162" s="1139"/>
      <c r="M1162" s="1140"/>
    </row>
    <row r="1163" spans="1:13" ht="15.75" x14ac:dyDescent="0.25">
      <c r="A1163" s="1141">
        <v>44278</v>
      </c>
      <c r="B1163" s="1141" t="s">
        <v>1612</v>
      </c>
      <c r="C1163" s="1142" t="s">
        <v>1634</v>
      </c>
      <c r="D1163" s="1156">
        <v>2085</v>
      </c>
      <c r="E1163" s="1156">
        <v>2085</v>
      </c>
      <c r="F1163" s="1143" t="s">
        <v>1613</v>
      </c>
      <c r="G1163" s="1158">
        <v>0</v>
      </c>
      <c r="H1163" s="1162">
        <v>0</v>
      </c>
      <c r="I1163" s="1159">
        <v>1.81</v>
      </c>
      <c r="J1163" s="1160"/>
      <c r="K1163" s="1160"/>
      <c r="L1163" s="1159">
        <v>0</v>
      </c>
      <c r="M1163" s="1161">
        <v>1.81</v>
      </c>
    </row>
    <row r="1164" spans="1:13" ht="15.75" x14ac:dyDescent="0.25">
      <c r="A1164" s="1141">
        <v>44278</v>
      </c>
      <c r="B1164" s="1141" t="s">
        <v>1636</v>
      </c>
      <c r="C1164" s="1142" t="s">
        <v>1634</v>
      </c>
      <c r="D1164" s="1156">
        <v>2086</v>
      </c>
      <c r="E1164" s="1156">
        <v>2086</v>
      </c>
      <c r="F1164" s="1143" t="s">
        <v>1613</v>
      </c>
      <c r="G1164" s="1158">
        <v>0</v>
      </c>
      <c r="H1164" s="1158">
        <v>0</v>
      </c>
      <c r="I1164" s="1159">
        <v>11.74</v>
      </c>
      <c r="J1164" s="1160"/>
      <c r="K1164" s="1160"/>
      <c r="L1164" s="1159">
        <v>0</v>
      </c>
      <c r="M1164" s="1161">
        <v>11.74</v>
      </c>
    </row>
    <row r="1165" spans="1:13" ht="15.75" x14ac:dyDescent="0.25">
      <c r="A1165" s="1141">
        <v>44286</v>
      </c>
      <c r="B1165" s="1141" t="s">
        <v>1633</v>
      </c>
      <c r="C1165" s="1142"/>
      <c r="D1165" s="1156">
        <v>2032</v>
      </c>
      <c r="E1165" s="1156">
        <v>2032</v>
      </c>
      <c r="F1165" s="1143" t="s">
        <v>1613</v>
      </c>
      <c r="G1165" s="1158">
        <v>0</v>
      </c>
      <c r="H1165" s="1158">
        <v>14.39</v>
      </c>
      <c r="I1165" s="1159">
        <v>0</v>
      </c>
      <c r="J1165" s="1160"/>
      <c r="K1165" s="1160"/>
      <c r="L1165" s="1159">
        <v>0</v>
      </c>
      <c r="M1165" s="1161">
        <v>14.39</v>
      </c>
    </row>
    <row r="1166" spans="1:13" ht="15.75" x14ac:dyDescent="0.25">
      <c r="A1166" s="1141">
        <v>44286</v>
      </c>
      <c r="B1166" s="1141" t="s">
        <v>1599</v>
      </c>
      <c r="C1166" s="1142"/>
      <c r="D1166" s="1156">
        <v>2064</v>
      </c>
      <c r="E1166" s="1156">
        <v>2064</v>
      </c>
      <c r="F1166" s="1143" t="s">
        <v>1613</v>
      </c>
      <c r="G1166" s="1158">
        <v>0</v>
      </c>
      <c r="H1166" s="1165">
        <v>128.65</v>
      </c>
      <c r="I1166" s="1166">
        <v>0</v>
      </c>
      <c r="J1166" s="1160"/>
      <c r="K1166" s="1160"/>
      <c r="L1166" s="1159">
        <v>0</v>
      </c>
      <c r="M1166" s="1161">
        <v>128.65</v>
      </c>
    </row>
    <row r="1167" spans="1:13" ht="15.75" x14ac:dyDescent="0.25">
      <c r="A1167" s="1141">
        <v>44286</v>
      </c>
      <c r="B1167" s="1144" t="s">
        <v>1614</v>
      </c>
      <c r="C1167" s="1142"/>
      <c r="D1167" s="1156">
        <v>2068</v>
      </c>
      <c r="E1167" s="1156">
        <v>2068</v>
      </c>
      <c r="F1167" s="1143" t="s">
        <v>1613</v>
      </c>
      <c r="G1167" s="1158">
        <v>0</v>
      </c>
      <c r="H1167" s="1165">
        <v>14926.36</v>
      </c>
      <c r="I1167" s="1160">
        <v>0</v>
      </c>
      <c r="J1167" s="1160"/>
      <c r="K1167" s="1160"/>
      <c r="L1167" s="1159">
        <v>0</v>
      </c>
      <c r="M1167" s="1161">
        <v>14926.36</v>
      </c>
    </row>
    <row r="1168" spans="1:13" ht="15.75" x14ac:dyDescent="0.25">
      <c r="A1168" s="1141">
        <v>44286</v>
      </c>
      <c r="B1168" s="1144" t="s">
        <v>1723</v>
      </c>
      <c r="C1168" s="1142"/>
      <c r="D1168" s="1156">
        <v>2090</v>
      </c>
      <c r="E1168" s="1156">
        <v>2090</v>
      </c>
      <c r="F1168" s="1143" t="s">
        <v>1613</v>
      </c>
      <c r="G1168" s="1158">
        <v>0</v>
      </c>
      <c r="H1168" s="1165">
        <v>15.03</v>
      </c>
      <c r="I1168" s="1160">
        <v>0</v>
      </c>
      <c r="J1168" s="1160"/>
      <c r="K1168" s="1160"/>
      <c r="L1168" s="1159">
        <v>0</v>
      </c>
      <c r="M1168" s="1161">
        <v>15.03</v>
      </c>
    </row>
    <row r="1169" spans="1:13" ht="15.75" x14ac:dyDescent="0.25">
      <c r="A1169" s="1144"/>
      <c r="B1169" s="1144"/>
      <c r="C1169" s="1142"/>
      <c r="D1169" s="1156"/>
      <c r="E1169" s="1156"/>
      <c r="F1169" s="1143"/>
      <c r="G1169" s="1158">
        <v>0</v>
      </c>
      <c r="H1169" s="1165">
        <v>0</v>
      </c>
      <c r="I1169" s="1160">
        <v>0</v>
      </c>
      <c r="J1169" s="1160"/>
      <c r="K1169" s="1160"/>
      <c r="L1169" s="1159">
        <v>0</v>
      </c>
      <c r="M1169" s="1161">
        <v>0</v>
      </c>
    </row>
    <row r="1170" spans="1:13" ht="15.75" x14ac:dyDescent="0.25">
      <c r="A1170" s="1144"/>
      <c r="B1170" s="1144"/>
      <c r="C1170" s="1142"/>
      <c r="D1170" s="1156"/>
      <c r="E1170" s="1156"/>
      <c r="F1170" s="1143"/>
      <c r="G1170" s="1158"/>
      <c r="H1170" s="1165"/>
      <c r="I1170" s="1160"/>
      <c r="J1170" s="1160"/>
      <c r="K1170" s="1160"/>
      <c r="L1170" s="1159"/>
      <c r="M1170" s="1161"/>
    </row>
    <row r="1171" spans="1:13" ht="16.5" thickBot="1" x14ac:dyDescent="0.3">
      <c r="A1171" s="1146"/>
      <c r="B1171" s="1146"/>
      <c r="C1171" s="1146"/>
      <c r="D1171" s="1147"/>
      <c r="E1171" s="1147"/>
      <c r="F1171" s="1147"/>
      <c r="G1171" s="1168"/>
      <c r="H1171" s="1168"/>
      <c r="I1171" s="1169"/>
      <c r="J1171" s="1169"/>
      <c r="K1171" s="1169"/>
      <c r="L1171" s="1169"/>
      <c r="M1171" s="1170"/>
    </row>
    <row r="1172" spans="1:13" ht="16.5" thickTop="1" x14ac:dyDescent="0.25">
      <c r="A1172" s="1148"/>
      <c r="B1172" s="1148"/>
      <c r="C1172" s="1148"/>
      <c r="D1172" s="1145"/>
      <c r="E1172" s="1145"/>
      <c r="F1172" s="1145"/>
      <c r="G1172" s="1161">
        <v>0</v>
      </c>
      <c r="H1172" s="1161">
        <v>15084.430000000002</v>
      </c>
      <c r="I1172" s="1161">
        <v>13.55</v>
      </c>
      <c r="J1172" s="1161">
        <v>0</v>
      </c>
      <c r="K1172" s="1161">
        <v>0</v>
      </c>
      <c r="L1172" s="1161">
        <v>0</v>
      </c>
      <c r="M1172" s="1161">
        <v>15097.980000000001</v>
      </c>
    </row>
    <row r="1173" spans="1:13" ht="15.75" x14ac:dyDescent="0.25">
      <c r="A1173" s="1148"/>
      <c r="B1173" s="1148"/>
      <c r="C1173" s="1148"/>
      <c r="D1173" s="1145"/>
      <c r="E1173" s="1145"/>
      <c r="F1173" s="1145"/>
      <c r="G1173" s="1167"/>
      <c r="H1173" s="1161"/>
      <c r="I1173" s="1161"/>
      <c r="J1173" s="1161"/>
      <c r="K1173" s="1161"/>
      <c r="L1173" s="1161"/>
      <c r="M1173" s="1161"/>
    </row>
    <row r="1174" spans="1:13" ht="15.75" x14ac:dyDescent="0.25">
      <c r="A1174" s="1148"/>
      <c r="B1174" s="1148"/>
      <c r="C1174" s="1148"/>
      <c r="D1174" s="1145" t="s">
        <v>653</v>
      </c>
      <c r="E1174" s="1145"/>
      <c r="F1174" s="1145"/>
      <c r="G1174" s="1167"/>
      <c r="H1174" s="1161"/>
      <c r="I1174" s="1161">
        <v>0</v>
      </c>
      <c r="J1174" s="1161"/>
      <c r="K1174" s="1161"/>
      <c r="L1174" s="1161"/>
      <c r="M1174" s="1161"/>
    </row>
    <row r="1175" spans="1:13" ht="15.75" x14ac:dyDescent="0.25">
      <c r="A1175" s="1148"/>
      <c r="B1175" s="1148"/>
      <c r="C1175" s="1148"/>
      <c r="D1175" s="1145"/>
      <c r="E1175" s="1145"/>
      <c r="F1175" s="1145"/>
      <c r="G1175" s="1167"/>
      <c r="H1175" s="1161"/>
      <c r="I1175" s="1161"/>
      <c r="J1175" s="1161"/>
      <c r="K1175" s="1161"/>
      <c r="L1175" s="1161"/>
      <c r="M1175" s="1161"/>
    </row>
    <row r="1176" spans="1:13" ht="15.75" x14ac:dyDescent="0.25">
      <c r="A1176" s="1148"/>
      <c r="B1176" s="1148"/>
      <c r="C1176" s="1148"/>
      <c r="D1176" s="1145" t="s">
        <v>654</v>
      </c>
      <c r="E1176" s="1145"/>
      <c r="F1176" s="1145"/>
      <c r="G1176" s="1167"/>
      <c r="H1176" s="1161"/>
      <c r="I1176" s="1161">
        <v>15084.430000000002</v>
      </c>
      <c r="J1176" s="1161"/>
      <c r="K1176" s="1161"/>
      <c r="L1176" s="1161"/>
      <c r="M1176" s="1161"/>
    </row>
    <row r="1177" spans="1:13" ht="15.75" x14ac:dyDescent="0.25">
      <c r="A1177" s="1148"/>
      <c r="B1177" s="1148"/>
      <c r="C1177" s="1148"/>
      <c r="D1177" s="1145"/>
      <c r="E1177" s="1145"/>
      <c r="F1177" s="1145"/>
      <c r="G1177" s="1167"/>
      <c r="H1177" s="1161"/>
      <c r="I1177" s="1161"/>
      <c r="J1177" s="1161"/>
      <c r="K1177" s="1161"/>
      <c r="L1177" s="1161"/>
      <c r="M1177" s="1161"/>
    </row>
    <row r="1178" spans="1:13" ht="15.75" x14ac:dyDescent="0.25">
      <c r="A1178" s="1148"/>
      <c r="B1178" s="1148"/>
      <c r="C1178" s="1148"/>
      <c r="D1178" s="1145"/>
      <c r="E1178" s="1145"/>
      <c r="F1178" s="1145"/>
      <c r="G1178" s="1167"/>
      <c r="H1178" s="1171"/>
      <c r="I1178" s="1164"/>
      <c r="J1178" s="1161"/>
      <c r="K1178" s="1164"/>
      <c r="L1178" s="1164"/>
      <c r="M1178" s="1164"/>
    </row>
    <row r="1179" spans="1:13" ht="15.75" x14ac:dyDescent="0.25">
      <c r="A1179" s="1148"/>
      <c r="B1179" s="1148"/>
      <c r="C1179" s="1148"/>
      <c r="D1179" s="1145" t="s">
        <v>590</v>
      </c>
      <c r="E1179" s="1145"/>
      <c r="F1179" s="1145"/>
      <c r="G1179" s="1167"/>
      <c r="H1179" s="1164"/>
      <c r="I1179" s="1159"/>
      <c r="J1179" s="1159"/>
      <c r="K1179" s="1159"/>
      <c r="L1179" s="1159"/>
      <c r="M1179" s="1164"/>
    </row>
    <row r="1180" spans="1:13" ht="15.75" x14ac:dyDescent="0.25">
      <c r="A1180" s="1148"/>
      <c r="B1180" s="1148"/>
      <c r="C1180" s="1148"/>
      <c r="D1180" s="1145" t="s">
        <v>141</v>
      </c>
      <c r="E1180" s="1145"/>
      <c r="F1180" s="1145"/>
      <c r="G1180" s="1167"/>
      <c r="H1180" s="1164"/>
      <c r="I1180" s="713">
        <v>11.99</v>
      </c>
      <c r="J1180" s="1161"/>
      <c r="K1180" s="1161"/>
      <c r="L1180" s="1161"/>
      <c r="M1180" s="1150"/>
    </row>
    <row r="1181" spans="1:13" ht="15.75" x14ac:dyDescent="0.25">
      <c r="A1181" s="1148"/>
      <c r="B1181" s="1148"/>
      <c r="C1181" s="1148"/>
      <c r="D1181" s="1145" t="s">
        <v>591</v>
      </c>
      <c r="E1181" s="1145"/>
      <c r="F1181" s="1145"/>
      <c r="G1181" s="1167"/>
      <c r="H1181" s="1164"/>
      <c r="I1181" s="1172">
        <v>1.5587</v>
      </c>
      <c r="J1181" s="1172"/>
      <c r="K1181" s="1172"/>
      <c r="L1181" s="1172"/>
      <c r="M1181" s="1150"/>
    </row>
    <row r="1182" spans="1:13" ht="16.5" thickBot="1" x14ac:dyDescent="0.3">
      <c r="A1182" s="1148"/>
      <c r="B1182" s="1148"/>
      <c r="C1182" s="1148"/>
      <c r="D1182" s="1145"/>
      <c r="E1182" s="1145"/>
      <c r="F1182" s="1145"/>
      <c r="G1182" s="1167"/>
      <c r="H1182" s="1164"/>
      <c r="I1182" s="1173"/>
      <c r="J1182" s="1174"/>
      <c r="K1182" s="1174"/>
      <c r="L1182" s="1174"/>
      <c r="M1182" s="1150"/>
    </row>
    <row r="1183" spans="1:13" ht="16.5" thickTop="1" x14ac:dyDescent="0.25">
      <c r="A1183" s="1148"/>
      <c r="B1183" s="1148"/>
      <c r="C1183" s="1148"/>
      <c r="D1183" s="1145" t="s">
        <v>592</v>
      </c>
      <c r="E1183" s="1145"/>
      <c r="F1183" s="1145"/>
      <c r="G1183" s="1167"/>
      <c r="H1183" s="1164"/>
      <c r="I1183" s="1163">
        <v>13.5487</v>
      </c>
      <c r="J1183" s="1163"/>
      <c r="K1183" s="1163"/>
      <c r="L1183" s="1163"/>
      <c r="M1183" s="1164"/>
    </row>
    <row r="1184" spans="1:13" ht="16.5" thickBot="1" x14ac:dyDescent="0.3">
      <c r="A1184" s="1148"/>
      <c r="B1184" s="1148"/>
      <c r="C1184" s="1148"/>
      <c r="D1184" s="1145"/>
      <c r="E1184" s="1145"/>
      <c r="F1184" s="1145"/>
      <c r="G1184" s="1167"/>
      <c r="H1184" s="1164"/>
      <c r="I1184" s="1173"/>
      <c r="J1184" s="1174"/>
      <c r="K1184" s="1174"/>
      <c r="L1184" s="1174"/>
      <c r="M1184" s="1164"/>
    </row>
    <row r="1185" spans="1:13" ht="16.5" thickTop="1" x14ac:dyDescent="0.25">
      <c r="A1185" s="1148"/>
      <c r="B1185" s="1148"/>
      <c r="C1185" s="1148"/>
      <c r="D1185" s="1145"/>
      <c r="E1185" s="1145"/>
      <c r="F1185" s="1145"/>
      <c r="G1185" s="1126"/>
      <c r="H1185" s="1127"/>
      <c r="I1185" s="1149"/>
      <c r="J1185" s="1149"/>
      <c r="K1185" s="1149"/>
      <c r="L1185" s="1149"/>
      <c r="M1185" s="1127"/>
    </row>
    <row r="1186" spans="1:13" ht="15.75" x14ac:dyDescent="0.25">
      <c r="A1186" s="1148"/>
      <c r="B1186" s="1148"/>
      <c r="C1186" s="1148"/>
      <c r="D1186" s="1145"/>
      <c r="E1186" s="1145"/>
      <c r="F1186" s="1145"/>
      <c r="G1186" s="1126"/>
      <c r="H1186" s="1127"/>
      <c r="I1186" s="1132"/>
      <c r="J1186" s="1132"/>
      <c r="K1186" s="1132"/>
      <c r="L1186" s="1132"/>
      <c r="M1186" s="1127"/>
    </row>
    <row r="1187" spans="1:13" ht="15.75" x14ac:dyDescent="0.25">
      <c r="A1187" s="1148"/>
      <c r="B1187" s="1148"/>
      <c r="C1187" s="1148"/>
      <c r="D1187" s="1145"/>
      <c r="E1187" s="1145"/>
      <c r="F1187" s="1145"/>
      <c r="G1187" s="1154"/>
      <c r="H1187" s="1127" t="s">
        <v>655</v>
      </c>
      <c r="I1187" s="1132">
        <v>-1.56</v>
      </c>
      <c r="J1187" s="1132"/>
      <c r="K1187" s="1132"/>
      <c r="L1187" s="1132"/>
      <c r="M1187" s="1127"/>
    </row>
    <row r="1188" spans="1:13" ht="15.75" x14ac:dyDescent="0.25">
      <c r="A1188" s="1148"/>
      <c r="B1188" s="1148"/>
      <c r="C1188" s="1148"/>
      <c r="D1188" s="1145"/>
      <c r="E1188" s="1145"/>
      <c r="F1188" s="1145"/>
      <c r="G1188" s="1126"/>
      <c r="H1188" s="1152" t="s">
        <v>656</v>
      </c>
      <c r="I1188" s="1153">
        <v>-1.3000000000000789E-3</v>
      </c>
      <c r="J1188" s="1132"/>
      <c r="K1188" s="1132"/>
      <c r="L1188" s="1132"/>
      <c r="M1188" s="1127"/>
    </row>
    <row r="1189" spans="1:13" ht="15.75" x14ac:dyDescent="0.25">
      <c r="A1189" s="1148"/>
      <c r="B1189" s="1148"/>
      <c r="C1189" s="1148"/>
      <c r="D1189" s="1145"/>
      <c r="E1189" s="1145"/>
      <c r="F1189" s="1145"/>
      <c r="G1189" s="1126"/>
      <c r="H1189" s="1127"/>
      <c r="I1189" s="1132"/>
      <c r="J1189" s="1132"/>
      <c r="K1189" s="1132"/>
      <c r="L1189" s="1132"/>
      <c r="M1189" s="1127"/>
    </row>
    <row r="1190" spans="1:13" ht="15.75" x14ac:dyDescent="0.25">
      <c r="A1190" s="1148"/>
      <c r="B1190" s="1148"/>
      <c r="C1190" s="1148"/>
      <c r="D1190" s="1145"/>
      <c r="E1190" s="1145"/>
      <c r="F1190" s="1145"/>
      <c r="G1190" s="1126"/>
      <c r="H1190" s="1127"/>
      <c r="I1190" s="1132"/>
      <c r="J1190" s="1132"/>
      <c r="K1190" s="1132"/>
      <c r="L1190" s="1132"/>
      <c r="M1190" s="11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2"/>
  <sheetViews>
    <sheetView topLeftCell="A337" workbookViewId="0">
      <selection activeCell="F346" sqref="F346"/>
    </sheetView>
  </sheetViews>
  <sheetFormatPr baseColWidth="10" defaultRowHeight="12.75" x14ac:dyDescent="0.2"/>
  <cols>
    <col min="1" max="1" width="12" style="821" bestFit="1" customWidth="1"/>
    <col min="3" max="3" width="16.85546875" bestFit="1" customWidth="1"/>
    <col min="5" max="5" width="12" style="821" bestFit="1" customWidth="1"/>
    <col min="6" max="6" width="11.42578125" style="1175"/>
  </cols>
  <sheetData>
    <row r="1" spans="1:7" x14ac:dyDescent="0.2">
      <c r="A1" s="821" t="s">
        <v>1726</v>
      </c>
      <c r="B1" t="s">
        <v>1727</v>
      </c>
      <c r="C1" t="s">
        <v>1728</v>
      </c>
      <c r="D1" t="s">
        <v>1729</v>
      </c>
      <c r="E1" s="821" t="s">
        <v>1730</v>
      </c>
      <c r="F1" s="1175" t="s">
        <v>1731</v>
      </c>
    </row>
    <row r="2" spans="1:7" x14ac:dyDescent="0.2">
      <c r="A2" s="821" t="s">
        <v>1732</v>
      </c>
      <c r="B2">
        <v>21</v>
      </c>
      <c r="C2" t="s">
        <v>1733</v>
      </c>
      <c r="D2" t="s">
        <v>1734</v>
      </c>
      <c r="E2" s="821" t="s">
        <v>1735</v>
      </c>
      <c r="F2" s="1175" t="s">
        <v>1736</v>
      </c>
      <c r="G2">
        <v>1</v>
      </c>
    </row>
    <row r="3" spans="1:7" x14ac:dyDescent="0.2">
      <c r="A3" s="821" t="s">
        <v>1737</v>
      </c>
      <c r="B3" t="s">
        <v>1738</v>
      </c>
      <c r="F3" s="1175" t="s">
        <v>1739</v>
      </c>
      <c r="G3" t="s">
        <v>1740</v>
      </c>
    </row>
    <row r="5" spans="1:7" x14ac:dyDescent="0.2">
      <c r="A5" s="821">
        <v>1</v>
      </c>
      <c r="B5" t="s">
        <v>230</v>
      </c>
      <c r="C5" s="1176">
        <v>2324062.46</v>
      </c>
    </row>
    <row r="7" spans="1:7" x14ac:dyDescent="0.2">
      <c r="A7" s="821">
        <v>11</v>
      </c>
      <c r="B7" t="s">
        <v>71</v>
      </c>
      <c r="C7" s="1176">
        <v>2307198.46</v>
      </c>
    </row>
    <row r="9" spans="1:7" x14ac:dyDescent="0.2">
      <c r="A9" s="821">
        <v>111</v>
      </c>
      <c r="B9" t="s">
        <v>269</v>
      </c>
      <c r="C9" s="1176">
        <v>2166363.62</v>
      </c>
    </row>
    <row r="11" spans="1:7" x14ac:dyDescent="0.2">
      <c r="A11" s="821">
        <v>1110</v>
      </c>
      <c r="B11" t="s">
        <v>270</v>
      </c>
      <c r="C11" s="1176">
        <v>2166363.62</v>
      </c>
      <c r="D11" t="s">
        <v>1577</v>
      </c>
    </row>
    <row r="13" spans="1:7" x14ac:dyDescent="0.2">
      <c r="A13" s="821">
        <v>1110000</v>
      </c>
      <c r="B13" t="s">
        <v>178</v>
      </c>
      <c r="C13" s="1176">
        <v>64822.67</v>
      </c>
      <c r="D13" t="s">
        <v>1578</v>
      </c>
    </row>
    <row r="14" spans="1:7" x14ac:dyDescent="0.2">
      <c r="A14" s="821">
        <v>111000004</v>
      </c>
      <c r="B14" t="s">
        <v>178</v>
      </c>
      <c r="C14" s="1176">
        <v>64822.67</v>
      </c>
    </row>
    <row r="15" spans="1:7" x14ac:dyDescent="0.2">
      <c r="A15" s="821">
        <v>11100000400</v>
      </c>
      <c r="B15" t="s">
        <v>439</v>
      </c>
      <c r="C15" s="1176">
        <v>12135.13</v>
      </c>
    </row>
    <row r="16" spans="1:7" x14ac:dyDescent="0.2">
      <c r="A16" s="821">
        <v>11100000401</v>
      </c>
      <c r="B16" t="s">
        <v>440</v>
      </c>
      <c r="C16" s="1176">
        <v>48605.65</v>
      </c>
    </row>
    <row r="17" spans="1:4" x14ac:dyDescent="0.2">
      <c r="A17" s="821">
        <v>11100000402</v>
      </c>
      <c r="B17" t="s">
        <v>441</v>
      </c>
      <c r="C17">
        <v>6.28</v>
      </c>
    </row>
    <row r="18" spans="1:4" x14ac:dyDescent="0.2">
      <c r="A18" s="821">
        <v>11100000405</v>
      </c>
      <c r="B18" t="s">
        <v>555</v>
      </c>
      <c r="C18" s="1176">
        <v>4075.61</v>
      </c>
    </row>
    <row r="19" spans="1:4" x14ac:dyDescent="0.2">
      <c r="A19" s="821">
        <v>1110010</v>
      </c>
      <c r="B19" t="s">
        <v>172</v>
      </c>
      <c r="C19" s="1176">
        <v>2101540.9500000002</v>
      </c>
      <c r="D19" t="s">
        <v>1578</v>
      </c>
    </row>
    <row r="20" spans="1:4" x14ac:dyDescent="0.2">
      <c r="A20" s="821">
        <v>111001001</v>
      </c>
      <c r="B20" t="s">
        <v>172</v>
      </c>
      <c r="C20" s="1176">
        <v>1748667.19</v>
      </c>
    </row>
    <row r="21" spans="1:4" x14ac:dyDescent="0.2">
      <c r="A21" s="821">
        <v>11100100100</v>
      </c>
      <c r="B21" t="s">
        <v>548</v>
      </c>
      <c r="C21" s="1176">
        <v>5671.2</v>
      </c>
    </row>
    <row r="22" spans="1:4" x14ac:dyDescent="0.2">
      <c r="A22" s="821">
        <v>11100100102</v>
      </c>
      <c r="B22" t="s">
        <v>540</v>
      </c>
      <c r="C22" s="1176">
        <v>1742995.99</v>
      </c>
    </row>
    <row r="23" spans="1:4" x14ac:dyDescent="0.2">
      <c r="A23" s="821">
        <v>111001004</v>
      </c>
      <c r="B23" t="s">
        <v>172</v>
      </c>
      <c r="C23" s="1176">
        <v>352873.76</v>
      </c>
    </row>
    <row r="24" spans="1:4" x14ac:dyDescent="0.2">
      <c r="A24" s="821">
        <v>11100100401</v>
      </c>
      <c r="B24" t="s">
        <v>615</v>
      </c>
      <c r="C24" s="1176">
        <v>352873.76</v>
      </c>
    </row>
    <row r="26" spans="1:4" x14ac:dyDescent="0.2">
      <c r="A26" s="821">
        <v>112</v>
      </c>
      <c r="B26" t="s">
        <v>357</v>
      </c>
      <c r="C26" s="1176">
        <v>114286</v>
      </c>
    </row>
    <row r="28" spans="1:4" x14ac:dyDescent="0.2">
      <c r="A28" s="821">
        <v>1120</v>
      </c>
      <c r="B28" t="s">
        <v>91</v>
      </c>
      <c r="C28" s="1176">
        <v>114286</v>
      </c>
      <c r="D28" t="s">
        <v>1577</v>
      </c>
    </row>
    <row r="30" spans="1:4" x14ac:dyDescent="0.2">
      <c r="A30" s="821">
        <v>1120000</v>
      </c>
      <c r="B30" t="s">
        <v>100</v>
      </c>
      <c r="C30" s="1176">
        <v>114286</v>
      </c>
      <c r="D30" t="s">
        <v>1578</v>
      </c>
    </row>
    <row r="31" spans="1:4" x14ac:dyDescent="0.2">
      <c r="A31" s="821">
        <v>112000000</v>
      </c>
      <c r="B31" t="s">
        <v>100</v>
      </c>
      <c r="C31" s="1176">
        <v>114286</v>
      </c>
    </row>
    <row r="32" spans="1:4" x14ac:dyDescent="0.2">
      <c r="A32" s="821">
        <v>11200000000</v>
      </c>
      <c r="B32" t="s">
        <v>80</v>
      </c>
      <c r="C32" s="1176">
        <v>114286</v>
      </c>
    </row>
    <row r="34" spans="1:4" x14ac:dyDescent="0.2">
      <c r="A34" s="821">
        <v>114</v>
      </c>
      <c r="B34" t="s">
        <v>358</v>
      </c>
      <c r="C34" s="1176">
        <v>11364.54</v>
      </c>
    </row>
    <row r="36" spans="1:4" x14ac:dyDescent="0.2">
      <c r="A36" s="821">
        <v>1142</v>
      </c>
      <c r="B36" t="s">
        <v>45</v>
      </c>
      <c r="C36" s="1176">
        <v>2608.86</v>
      </c>
      <c r="D36" t="s">
        <v>1577</v>
      </c>
    </row>
    <row r="38" spans="1:4" x14ac:dyDescent="0.2">
      <c r="A38" s="821">
        <v>1142010</v>
      </c>
      <c r="B38" t="s">
        <v>312</v>
      </c>
      <c r="C38" s="1176">
        <v>2608.86</v>
      </c>
      <c r="D38" t="s">
        <v>1578</v>
      </c>
    </row>
    <row r="39" spans="1:4" x14ac:dyDescent="0.2">
      <c r="A39" s="821">
        <v>114201000</v>
      </c>
      <c r="B39" t="s">
        <v>312</v>
      </c>
      <c r="C39" s="1176">
        <v>2608.86</v>
      </c>
    </row>
    <row r="40" spans="1:4" x14ac:dyDescent="0.2">
      <c r="A40" s="821">
        <v>11420100001</v>
      </c>
      <c r="B40" t="s">
        <v>442</v>
      </c>
      <c r="C40" s="1176">
        <v>1006.5</v>
      </c>
    </row>
    <row r="41" spans="1:4" x14ac:dyDescent="0.2">
      <c r="A41" s="821">
        <v>11420100006</v>
      </c>
      <c r="B41" t="s">
        <v>198</v>
      </c>
      <c r="C41" s="1176">
        <v>1602.36</v>
      </c>
    </row>
    <row r="43" spans="1:4" x14ac:dyDescent="0.2">
      <c r="A43" s="821">
        <v>1145</v>
      </c>
      <c r="B43" t="s">
        <v>199</v>
      </c>
      <c r="C43" s="1176">
        <v>1416.39</v>
      </c>
      <c r="D43" t="s">
        <v>1577</v>
      </c>
    </row>
    <row r="45" spans="1:4" x14ac:dyDescent="0.2">
      <c r="A45" s="821">
        <v>1145010</v>
      </c>
      <c r="B45" t="s">
        <v>312</v>
      </c>
      <c r="C45" s="1176">
        <v>1416.39</v>
      </c>
      <c r="D45" t="s">
        <v>1578</v>
      </c>
    </row>
    <row r="46" spans="1:4" x14ac:dyDescent="0.2">
      <c r="A46" s="821">
        <v>114501000</v>
      </c>
      <c r="B46" t="s">
        <v>312</v>
      </c>
      <c r="C46" s="1176">
        <v>1416.39</v>
      </c>
    </row>
    <row r="47" spans="1:4" x14ac:dyDescent="0.2">
      <c r="A47" s="821">
        <v>11450100002</v>
      </c>
      <c r="B47" t="s">
        <v>101</v>
      </c>
      <c r="C47">
        <v>1.9</v>
      </c>
    </row>
    <row r="48" spans="1:4" x14ac:dyDescent="0.2">
      <c r="A48" s="821">
        <v>11450100014</v>
      </c>
      <c r="B48" t="s">
        <v>450</v>
      </c>
      <c r="C48" s="1176">
        <v>1402.34</v>
      </c>
    </row>
    <row r="49" spans="1:4" x14ac:dyDescent="0.2">
      <c r="A49" s="821">
        <v>11450100016</v>
      </c>
      <c r="B49" t="s">
        <v>869</v>
      </c>
      <c r="C49">
        <v>12.15</v>
      </c>
    </row>
    <row r="51" spans="1:4" x14ac:dyDescent="0.2">
      <c r="A51" s="821">
        <v>1146</v>
      </c>
      <c r="B51" t="s">
        <v>434</v>
      </c>
      <c r="C51" s="1176">
        <v>7339.29</v>
      </c>
      <c r="D51" t="s">
        <v>1577</v>
      </c>
    </row>
    <row r="53" spans="1:4" x14ac:dyDescent="0.2">
      <c r="A53" s="821">
        <v>1146010</v>
      </c>
      <c r="B53" t="s">
        <v>438</v>
      </c>
      <c r="C53" s="1176">
        <v>7339.29</v>
      </c>
      <c r="D53" t="s">
        <v>1578</v>
      </c>
    </row>
    <row r="54" spans="1:4" x14ac:dyDescent="0.2">
      <c r="A54" s="821">
        <v>114601000</v>
      </c>
      <c r="B54" t="s">
        <v>438</v>
      </c>
      <c r="C54" s="1176">
        <v>7339.29</v>
      </c>
    </row>
    <row r="55" spans="1:4" x14ac:dyDescent="0.2">
      <c r="A55" s="821">
        <v>11460100000</v>
      </c>
      <c r="B55" t="s">
        <v>436</v>
      </c>
      <c r="C55" s="1176">
        <v>7339.29</v>
      </c>
    </row>
    <row r="57" spans="1:4" x14ac:dyDescent="0.2">
      <c r="A57" s="821">
        <v>115</v>
      </c>
      <c r="B57" t="s">
        <v>322</v>
      </c>
      <c r="C57" s="1176">
        <v>11071.58</v>
      </c>
    </row>
    <row r="59" spans="1:4" x14ac:dyDescent="0.2">
      <c r="A59" s="821">
        <v>1152</v>
      </c>
      <c r="B59" t="s">
        <v>323</v>
      </c>
      <c r="C59" s="1176">
        <v>11071.58</v>
      </c>
      <c r="D59" t="s">
        <v>1577</v>
      </c>
    </row>
    <row r="61" spans="1:4" x14ac:dyDescent="0.2">
      <c r="A61" s="821" t="s">
        <v>1698</v>
      </c>
      <c r="B61" t="s">
        <v>1741</v>
      </c>
      <c r="C61" t="s">
        <v>1742</v>
      </c>
      <c r="D61" t="s">
        <v>1743</v>
      </c>
    </row>
    <row r="62" spans="1:4" x14ac:dyDescent="0.2">
      <c r="A62" s="821" t="s">
        <v>1732</v>
      </c>
      <c r="B62">
        <v>21</v>
      </c>
      <c r="C62" t="s">
        <v>1733</v>
      </c>
      <c r="D62" t="s">
        <v>1734</v>
      </c>
    </row>
    <row r="63" spans="1:4" x14ac:dyDescent="0.2">
      <c r="A63" s="821" t="s">
        <v>1737</v>
      </c>
      <c r="B63" t="s">
        <v>1738</v>
      </c>
    </row>
    <row r="64" spans="1:4" x14ac:dyDescent="0.2">
      <c r="A64" s="821">
        <v>1152020</v>
      </c>
      <c r="B64" t="s">
        <v>287</v>
      </c>
      <c r="C64" s="1176">
        <v>11071.58</v>
      </c>
      <c r="D64" t="s">
        <v>1578</v>
      </c>
    </row>
    <row r="65" spans="1:4" x14ac:dyDescent="0.2">
      <c r="A65" s="821">
        <v>115202001</v>
      </c>
      <c r="B65" t="s">
        <v>494</v>
      </c>
      <c r="C65" s="1176">
        <v>10780.15</v>
      </c>
    </row>
    <row r="66" spans="1:4" x14ac:dyDescent="0.2">
      <c r="A66" s="821">
        <v>11520200101</v>
      </c>
      <c r="B66" t="s">
        <v>443</v>
      </c>
      <c r="C66" s="1176">
        <v>10780.15</v>
      </c>
    </row>
    <row r="67" spans="1:4" x14ac:dyDescent="0.2">
      <c r="A67" s="821">
        <v>115202002</v>
      </c>
      <c r="B67" t="s">
        <v>444</v>
      </c>
      <c r="C67">
        <v>291.43</v>
      </c>
    </row>
    <row r="68" spans="1:4" x14ac:dyDescent="0.2">
      <c r="A68" s="821">
        <v>11520200201</v>
      </c>
      <c r="B68" t="s">
        <v>444</v>
      </c>
      <c r="C68">
        <v>291.43</v>
      </c>
    </row>
    <row r="70" spans="1:4" x14ac:dyDescent="0.2">
      <c r="A70" s="821">
        <v>117</v>
      </c>
      <c r="B70" t="s">
        <v>226</v>
      </c>
      <c r="C70" s="1176">
        <v>3491.66</v>
      </c>
    </row>
    <row r="72" spans="1:4" x14ac:dyDescent="0.2">
      <c r="A72" s="821">
        <v>1170</v>
      </c>
      <c r="B72" t="s">
        <v>40</v>
      </c>
      <c r="C72" s="1176">
        <v>1498.67</v>
      </c>
      <c r="D72" t="s">
        <v>1577</v>
      </c>
    </row>
    <row r="74" spans="1:4" x14ac:dyDescent="0.2">
      <c r="A74" s="821">
        <v>1170000</v>
      </c>
      <c r="B74" t="s">
        <v>40</v>
      </c>
      <c r="C74" s="1176">
        <v>1498.67</v>
      </c>
      <c r="D74" t="s">
        <v>1578</v>
      </c>
    </row>
    <row r="75" spans="1:4" x14ac:dyDescent="0.2">
      <c r="A75" s="821">
        <v>117000000</v>
      </c>
      <c r="B75" t="s">
        <v>40</v>
      </c>
      <c r="C75" s="1176">
        <v>1498.67</v>
      </c>
    </row>
    <row r="76" spans="1:4" x14ac:dyDescent="0.2">
      <c r="A76" s="821">
        <v>11700000000</v>
      </c>
      <c r="B76" t="s">
        <v>359</v>
      </c>
      <c r="C76" s="1176">
        <v>1306.74</v>
      </c>
    </row>
    <row r="77" spans="1:4" x14ac:dyDescent="0.2">
      <c r="A77" s="821">
        <v>11700000002</v>
      </c>
      <c r="B77" t="s">
        <v>428</v>
      </c>
      <c r="C77">
        <v>191.93</v>
      </c>
    </row>
    <row r="79" spans="1:4" x14ac:dyDescent="0.2">
      <c r="A79" s="821">
        <v>1171</v>
      </c>
      <c r="B79" t="s">
        <v>9</v>
      </c>
      <c r="C79" s="1176">
        <v>1992.99</v>
      </c>
      <c r="D79" t="s">
        <v>1577</v>
      </c>
    </row>
    <row r="81" spans="1:4" x14ac:dyDescent="0.2">
      <c r="A81" s="821">
        <v>1171000</v>
      </c>
      <c r="B81" t="s">
        <v>360</v>
      </c>
      <c r="C81">
        <v>307.51</v>
      </c>
      <c r="D81" t="s">
        <v>1578</v>
      </c>
    </row>
    <row r="82" spans="1:4" x14ac:dyDescent="0.2">
      <c r="A82" s="821">
        <v>117100000</v>
      </c>
      <c r="B82" t="s">
        <v>360</v>
      </c>
      <c r="C82">
        <v>307.51</v>
      </c>
    </row>
    <row r="83" spans="1:4" x14ac:dyDescent="0.2">
      <c r="A83" s="821">
        <v>11710000000</v>
      </c>
      <c r="B83" t="s">
        <v>361</v>
      </c>
      <c r="C83">
        <v>307.51</v>
      </c>
    </row>
    <row r="84" spans="1:4" x14ac:dyDescent="0.2">
      <c r="A84" s="821">
        <v>1171020</v>
      </c>
      <c r="B84" t="s">
        <v>205</v>
      </c>
      <c r="C84" s="1176">
        <v>1685.48</v>
      </c>
      <c r="D84" t="s">
        <v>1578</v>
      </c>
    </row>
    <row r="85" spans="1:4" x14ac:dyDescent="0.2">
      <c r="A85" s="821">
        <v>117102000</v>
      </c>
      <c r="B85" t="s">
        <v>205</v>
      </c>
      <c r="C85" s="1176">
        <v>1685.48</v>
      </c>
    </row>
    <row r="86" spans="1:4" x14ac:dyDescent="0.2">
      <c r="A86" s="821">
        <v>11710200000</v>
      </c>
      <c r="B86" t="s">
        <v>188</v>
      </c>
      <c r="C86" s="1176">
        <v>1685.48</v>
      </c>
    </row>
    <row r="88" spans="1:4" x14ac:dyDescent="0.2">
      <c r="A88" s="821">
        <v>118</v>
      </c>
      <c r="B88" t="s">
        <v>202</v>
      </c>
      <c r="C88">
        <v>621.05999999999995</v>
      </c>
    </row>
    <row r="90" spans="1:4" x14ac:dyDescent="0.2">
      <c r="A90" s="821">
        <v>1180</v>
      </c>
      <c r="B90" t="s">
        <v>110</v>
      </c>
      <c r="C90">
        <v>621.05999999999995</v>
      </c>
      <c r="D90" t="s">
        <v>1577</v>
      </c>
    </row>
    <row r="92" spans="1:4" x14ac:dyDescent="0.2">
      <c r="A92" s="821">
        <v>1180010</v>
      </c>
      <c r="B92" t="s">
        <v>466</v>
      </c>
      <c r="C92">
        <v>621.05999999999995</v>
      </c>
      <c r="D92" t="s">
        <v>1578</v>
      </c>
    </row>
    <row r="93" spans="1:4" x14ac:dyDescent="0.2">
      <c r="A93" s="821">
        <v>118001000</v>
      </c>
      <c r="B93" t="s">
        <v>466</v>
      </c>
      <c r="C93">
        <v>621.05999999999995</v>
      </c>
    </row>
    <row r="94" spans="1:4" x14ac:dyDescent="0.2">
      <c r="A94" s="821">
        <v>11800100004</v>
      </c>
      <c r="B94" t="s">
        <v>467</v>
      </c>
      <c r="C94">
        <v>563.37</v>
      </c>
    </row>
    <row r="95" spans="1:4" x14ac:dyDescent="0.2">
      <c r="A95" s="821">
        <v>11800100005</v>
      </c>
      <c r="B95" t="s">
        <v>468</v>
      </c>
      <c r="C95">
        <v>57.69</v>
      </c>
    </row>
    <row r="97" spans="1:4" x14ac:dyDescent="0.2">
      <c r="A97" s="821">
        <v>12</v>
      </c>
      <c r="B97" t="s">
        <v>144</v>
      </c>
      <c r="C97" s="1176">
        <v>16864</v>
      </c>
    </row>
    <row r="98" spans="1:4" x14ac:dyDescent="0.2">
      <c r="A98" s="821">
        <v>1211000</v>
      </c>
      <c r="B98" t="s">
        <v>261</v>
      </c>
      <c r="C98" s="1176">
        <v>77260.91</v>
      </c>
      <c r="D98" t="s">
        <v>1578</v>
      </c>
    </row>
    <row r="99" spans="1:4" x14ac:dyDescent="0.2">
      <c r="A99" s="821">
        <v>121100000</v>
      </c>
      <c r="B99" t="s">
        <v>261</v>
      </c>
      <c r="C99" s="1176">
        <v>77260.91</v>
      </c>
    </row>
    <row r="100" spans="1:4" x14ac:dyDescent="0.2">
      <c r="A100" s="821">
        <v>12110000000</v>
      </c>
      <c r="B100" t="s">
        <v>261</v>
      </c>
      <c r="C100" s="1176">
        <v>77260.91</v>
      </c>
    </row>
    <row r="101" spans="1:4" x14ac:dyDescent="0.2">
      <c r="A101" s="821">
        <v>1211010</v>
      </c>
      <c r="B101" t="s">
        <v>262</v>
      </c>
      <c r="C101" s="1176">
        <v>10024.299999999999</v>
      </c>
      <c r="D101" t="s">
        <v>1578</v>
      </c>
    </row>
    <row r="102" spans="1:4" x14ac:dyDescent="0.2">
      <c r="A102" s="821">
        <v>121101000</v>
      </c>
      <c r="B102" t="s">
        <v>262</v>
      </c>
      <c r="C102" s="1176">
        <v>10024.299999999999</v>
      </c>
    </row>
    <row r="103" spans="1:4" x14ac:dyDescent="0.2">
      <c r="A103" s="821">
        <v>12110100000</v>
      </c>
      <c r="B103" t="s">
        <v>262</v>
      </c>
      <c r="C103" s="1176">
        <v>10024.299999999999</v>
      </c>
    </row>
    <row r="104" spans="1:4" x14ac:dyDescent="0.2">
      <c r="A104" s="821">
        <v>1211020</v>
      </c>
      <c r="B104" t="s">
        <v>362</v>
      </c>
      <c r="C104" s="1176">
        <v>1440</v>
      </c>
      <c r="D104" t="s">
        <v>1578</v>
      </c>
    </row>
    <row r="105" spans="1:4" x14ac:dyDescent="0.2">
      <c r="A105" s="821">
        <v>121102000</v>
      </c>
      <c r="B105" t="s">
        <v>362</v>
      </c>
      <c r="C105" s="1176">
        <v>1440</v>
      </c>
    </row>
    <row r="106" spans="1:4" x14ac:dyDescent="0.2">
      <c r="A106" s="821">
        <v>12110200000</v>
      </c>
      <c r="B106" t="s">
        <v>286</v>
      </c>
      <c r="C106" s="1176">
        <v>1440</v>
      </c>
    </row>
    <row r="107" spans="1:4" x14ac:dyDescent="0.2">
      <c r="A107" s="821">
        <v>1211040</v>
      </c>
      <c r="B107" t="s">
        <v>219</v>
      </c>
      <c r="C107">
        <v>404</v>
      </c>
      <c r="D107" t="s">
        <v>1578</v>
      </c>
    </row>
    <row r="108" spans="1:4" x14ac:dyDescent="0.2">
      <c r="A108" s="821">
        <v>121104000</v>
      </c>
      <c r="B108" t="s">
        <v>219</v>
      </c>
      <c r="C108">
        <v>404</v>
      </c>
    </row>
    <row r="109" spans="1:4" x14ac:dyDescent="0.2">
      <c r="A109" s="821">
        <v>12110400000</v>
      </c>
      <c r="B109" t="s">
        <v>363</v>
      </c>
      <c r="C109">
        <v>404</v>
      </c>
    </row>
    <row r="110" spans="1:4" x14ac:dyDescent="0.2">
      <c r="A110" s="821">
        <v>1211060</v>
      </c>
      <c r="B110" t="s">
        <v>338</v>
      </c>
      <c r="C110" s="1176">
        <v>89129.21</v>
      </c>
      <c r="D110" t="s">
        <v>1579</v>
      </c>
    </row>
    <row r="111" spans="1:4" x14ac:dyDescent="0.2">
      <c r="A111" s="821">
        <v>121106000</v>
      </c>
      <c r="B111" t="s">
        <v>338</v>
      </c>
      <c r="C111" s="1176">
        <v>89129.21</v>
      </c>
      <c r="D111" t="s">
        <v>1580</v>
      </c>
    </row>
    <row r="112" spans="1:4" x14ac:dyDescent="0.2">
      <c r="A112" s="821">
        <v>12110600000</v>
      </c>
      <c r="B112" t="s">
        <v>364</v>
      </c>
      <c r="C112" s="1176">
        <v>77260.91</v>
      </c>
      <c r="D112" t="s">
        <v>1580</v>
      </c>
    </row>
    <row r="113" spans="1:4" x14ac:dyDescent="0.2">
      <c r="A113" s="821">
        <v>12110600001</v>
      </c>
      <c r="B113" t="s">
        <v>285</v>
      </c>
      <c r="C113" s="1176">
        <v>10024.299999999999</v>
      </c>
      <c r="D113" t="s">
        <v>1580</v>
      </c>
    </row>
    <row r="114" spans="1:4" x14ac:dyDescent="0.2">
      <c r="A114" s="821">
        <v>12110600002</v>
      </c>
      <c r="B114" t="s">
        <v>286</v>
      </c>
      <c r="C114" s="1176">
        <v>1440</v>
      </c>
      <c r="D114" t="s">
        <v>1580</v>
      </c>
    </row>
    <row r="115" spans="1:4" x14ac:dyDescent="0.2">
      <c r="A115" s="821">
        <v>12110600003</v>
      </c>
      <c r="B115" t="s">
        <v>363</v>
      </c>
      <c r="C115">
        <v>404</v>
      </c>
      <c r="D115" t="s">
        <v>1580</v>
      </c>
    </row>
    <row r="117" spans="1:4" x14ac:dyDescent="0.2">
      <c r="A117" s="821">
        <v>123</v>
      </c>
      <c r="B117" t="s">
        <v>309</v>
      </c>
      <c r="C117" s="1176">
        <v>16864</v>
      </c>
    </row>
    <row r="119" spans="1:4" x14ac:dyDescent="0.2">
      <c r="A119" s="821">
        <v>1230</v>
      </c>
      <c r="B119" t="s">
        <v>310</v>
      </c>
      <c r="C119" s="1176">
        <v>16864</v>
      </c>
      <c r="D119" t="s">
        <v>1577</v>
      </c>
    </row>
    <row r="121" spans="1:4" x14ac:dyDescent="0.2">
      <c r="A121" s="821" t="s">
        <v>1698</v>
      </c>
      <c r="B121" t="s">
        <v>1741</v>
      </c>
      <c r="C121" t="s">
        <v>1742</v>
      </c>
      <c r="D121" t="s">
        <v>1743</v>
      </c>
    </row>
    <row r="122" spans="1:4" x14ac:dyDescent="0.2">
      <c r="A122" s="821" t="s">
        <v>1732</v>
      </c>
      <c r="B122">
        <v>21</v>
      </c>
      <c r="C122" t="s">
        <v>1733</v>
      </c>
      <c r="D122" t="s">
        <v>1734</v>
      </c>
    </row>
    <row r="123" spans="1:4" x14ac:dyDescent="0.2">
      <c r="A123" s="821" t="s">
        <v>1737</v>
      </c>
      <c r="B123" t="s">
        <v>1738</v>
      </c>
    </row>
    <row r="124" spans="1:4" x14ac:dyDescent="0.2">
      <c r="A124" s="821">
        <v>1230110</v>
      </c>
      <c r="B124" t="s">
        <v>263</v>
      </c>
      <c r="C124" s="1176">
        <v>16864</v>
      </c>
      <c r="D124" t="s">
        <v>1578</v>
      </c>
    </row>
    <row r="125" spans="1:4" x14ac:dyDescent="0.2">
      <c r="A125" s="821">
        <v>123011000</v>
      </c>
      <c r="B125" t="s">
        <v>263</v>
      </c>
      <c r="C125" s="1176">
        <v>16864</v>
      </c>
    </row>
    <row r="126" spans="1:4" x14ac:dyDescent="0.2">
      <c r="A126" s="821">
        <v>12301100001</v>
      </c>
      <c r="B126" t="s">
        <v>365</v>
      </c>
      <c r="C126">
        <v>64</v>
      </c>
    </row>
    <row r="127" spans="1:4" x14ac:dyDescent="0.2">
      <c r="A127" s="821">
        <v>12301100002</v>
      </c>
      <c r="B127" t="s">
        <v>311</v>
      </c>
      <c r="C127" s="1176">
        <v>16800</v>
      </c>
    </row>
    <row r="128" spans="1:4" x14ac:dyDescent="0.2">
      <c r="A128" s="821">
        <v>1260000</v>
      </c>
      <c r="B128" t="s">
        <v>17</v>
      </c>
      <c r="C128" s="1176">
        <v>5714.29</v>
      </c>
      <c r="D128" t="s">
        <v>1578</v>
      </c>
    </row>
    <row r="129" spans="1:4" x14ac:dyDescent="0.2">
      <c r="A129" s="821">
        <v>126000000</v>
      </c>
      <c r="B129" t="s">
        <v>17</v>
      </c>
      <c r="C129" s="1176">
        <v>5714.29</v>
      </c>
    </row>
    <row r="130" spans="1:4" x14ac:dyDescent="0.2">
      <c r="A130" s="821">
        <v>12600000000</v>
      </c>
      <c r="B130" t="s">
        <v>366</v>
      </c>
      <c r="C130" s="1176">
        <v>5714.29</v>
      </c>
    </row>
    <row r="131" spans="1:4" x14ac:dyDescent="0.2">
      <c r="A131" s="821">
        <v>1260010</v>
      </c>
      <c r="B131" t="s">
        <v>18</v>
      </c>
      <c r="C131" s="1176">
        <v>5714.29</v>
      </c>
      <c r="D131" t="s">
        <v>1579</v>
      </c>
    </row>
    <row r="132" spans="1:4" x14ac:dyDescent="0.2">
      <c r="A132" s="821">
        <v>126001000</v>
      </c>
      <c r="B132" t="s">
        <v>18</v>
      </c>
      <c r="C132" s="1176">
        <v>5714.29</v>
      </c>
      <c r="D132" t="s">
        <v>1580</v>
      </c>
    </row>
    <row r="133" spans="1:4" x14ac:dyDescent="0.2">
      <c r="A133" s="821">
        <v>12600100000</v>
      </c>
      <c r="B133" t="s">
        <v>367</v>
      </c>
      <c r="C133" s="1176">
        <v>5714.29</v>
      </c>
      <c r="D133" t="s">
        <v>1580</v>
      </c>
    </row>
    <row r="134" spans="1:4" x14ac:dyDescent="0.2">
      <c r="B134" t="s">
        <v>1601</v>
      </c>
      <c r="C134" s="1176">
        <v>2324062.46</v>
      </c>
    </row>
    <row r="136" spans="1:4" x14ac:dyDescent="0.2">
      <c r="A136" s="821">
        <v>4</v>
      </c>
      <c r="B136" t="s">
        <v>266</v>
      </c>
      <c r="C136" s="1176">
        <v>36081.15</v>
      </c>
    </row>
    <row r="138" spans="1:4" x14ac:dyDescent="0.2">
      <c r="A138" s="821">
        <v>41</v>
      </c>
      <c r="B138" t="s">
        <v>370</v>
      </c>
      <c r="C138" s="1176">
        <v>30797.03</v>
      </c>
    </row>
    <row r="140" spans="1:4" x14ac:dyDescent="0.2">
      <c r="A140" s="821">
        <v>410</v>
      </c>
      <c r="B140" t="s">
        <v>267</v>
      </c>
      <c r="C140" s="1176">
        <v>5020.05</v>
      </c>
    </row>
    <row r="142" spans="1:4" x14ac:dyDescent="0.2">
      <c r="A142" s="821">
        <v>4101</v>
      </c>
      <c r="B142" t="s">
        <v>371</v>
      </c>
      <c r="C142" s="1176">
        <v>5020.05</v>
      </c>
      <c r="D142" t="s">
        <v>1577</v>
      </c>
    </row>
    <row r="144" spans="1:4" x14ac:dyDescent="0.2">
      <c r="A144" s="821">
        <v>4101020</v>
      </c>
      <c r="B144" t="s">
        <v>268</v>
      </c>
      <c r="C144" s="1176">
        <v>5020.05</v>
      </c>
      <c r="D144" t="s">
        <v>1578</v>
      </c>
    </row>
    <row r="145" spans="1:4" x14ac:dyDescent="0.2">
      <c r="A145" s="821">
        <v>410102000</v>
      </c>
      <c r="B145" t="s">
        <v>268</v>
      </c>
      <c r="C145" s="1176">
        <v>5020.05</v>
      </c>
    </row>
    <row r="146" spans="1:4" x14ac:dyDescent="0.2">
      <c r="A146" s="821">
        <v>41010200003</v>
      </c>
      <c r="B146" t="s">
        <v>6</v>
      </c>
      <c r="C146" s="1176">
        <v>1265.82</v>
      </c>
    </row>
    <row r="147" spans="1:4" x14ac:dyDescent="0.2">
      <c r="A147" s="821">
        <v>41010200004</v>
      </c>
      <c r="B147" t="s">
        <v>7</v>
      </c>
      <c r="C147" s="1176">
        <v>3754.23</v>
      </c>
    </row>
    <row r="149" spans="1:4" x14ac:dyDescent="0.2">
      <c r="A149" s="821">
        <v>412</v>
      </c>
      <c r="B149" t="s">
        <v>220</v>
      </c>
      <c r="C149" s="1176">
        <v>25776.98</v>
      </c>
    </row>
    <row r="151" spans="1:4" x14ac:dyDescent="0.2">
      <c r="A151" s="821">
        <v>4122</v>
      </c>
      <c r="B151" t="s">
        <v>228</v>
      </c>
      <c r="C151" s="1176">
        <v>16285.13</v>
      </c>
      <c r="D151" t="s">
        <v>1577</v>
      </c>
    </row>
    <row r="153" spans="1:4" x14ac:dyDescent="0.2">
      <c r="A153" s="821">
        <v>4122030</v>
      </c>
      <c r="B153" t="s">
        <v>336</v>
      </c>
      <c r="C153" s="1176">
        <v>14058.81</v>
      </c>
      <c r="D153" t="s">
        <v>1578</v>
      </c>
    </row>
    <row r="154" spans="1:4" x14ac:dyDescent="0.2">
      <c r="A154" s="821">
        <v>412203000</v>
      </c>
      <c r="B154" t="s">
        <v>336</v>
      </c>
      <c r="C154" s="1176">
        <v>14058.81</v>
      </c>
    </row>
    <row r="155" spans="1:4" x14ac:dyDescent="0.2">
      <c r="A155" s="821">
        <v>41220300000</v>
      </c>
      <c r="B155" t="s">
        <v>373</v>
      </c>
      <c r="C155" s="1176">
        <v>14058.81</v>
      </c>
    </row>
    <row r="156" spans="1:4" x14ac:dyDescent="0.2">
      <c r="A156" s="821">
        <v>4122040</v>
      </c>
      <c r="B156" t="s">
        <v>85</v>
      </c>
      <c r="C156">
        <v>501</v>
      </c>
      <c r="D156" t="s">
        <v>1578</v>
      </c>
    </row>
    <row r="157" spans="1:4" x14ac:dyDescent="0.2">
      <c r="A157" s="821">
        <v>412204000</v>
      </c>
      <c r="B157" t="s">
        <v>85</v>
      </c>
      <c r="C157">
        <v>501</v>
      </c>
    </row>
    <row r="158" spans="1:4" x14ac:dyDescent="0.2">
      <c r="A158" s="821">
        <v>41220400000</v>
      </c>
      <c r="B158" t="s">
        <v>85</v>
      </c>
      <c r="C158">
        <v>501</v>
      </c>
    </row>
    <row r="159" spans="1:4" x14ac:dyDescent="0.2">
      <c r="A159" s="821">
        <v>4122080</v>
      </c>
      <c r="B159" t="s">
        <v>200</v>
      </c>
      <c r="C159" s="1176">
        <v>1608.32</v>
      </c>
      <c r="D159" t="s">
        <v>1578</v>
      </c>
    </row>
    <row r="160" spans="1:4" x14ac:dyDescent="0.2">
      <c r="A160" s="821">
        <v>412208000</v>
      </c>
      <c r="B160" t="s">
        <v>200</v>
      </c>
      <c r="C160" s="1176">
        <v>1608.32</v>
      </c>
    </row>
    <row r="161" spans="1:4" x14ac:dyDescent="0.2">
      <c r="A161" s="821">
        <v>41220800000</v>
      </c>
      <c r="B161" t="s">
        <v>31</v>
      </c>
      <c r="C161">
        <v>575</v>
      </c>
    </row>
    <row r="162" spans="1:4" x14ac:dyDescent="0.2">
      <c r="A162" s="821">
        <v>41220800002</v>
      </c>
      <c r="B162" t="s">
        <v>96</v>
      </c>
      <c r="C162" s="1176">
        <v>1033.32</v>
      </c>
    </row>
    <row r="163" spans="1:4" x14ac:dyDescent="0.2">
      <c r="A163" s="821">
        <v>4122090</v>
      </c>
      <c r="B163" t="s">
        <v>337</v>
      </c>
      <c r="C163">
        <v>117</v>
      </c>
      <c r="D163" t="s">
        <v>1578</v>
      </c>
    </row>
    <row r="164" spans="1:4" x14ac:dyDescent="0.2">
      <c r="A164" s="821">
        <v>412209000</v>
      </c>
      <c r="B164" t="s">
        <v>337</v>
      </c>
      <c r="C164">
        <v>117</v>
      </c>
    </row>
    <row r="165" spans="1:4" x14ac:dyDescent="0.2">
      <c r="A165" s="821">
        <v>41220900000</v>
      </c>
      <c r="B165" t="s">
        <v>374</v>
      </c>
      <c r="C165">
        <v>58.5</v>
      </c>
    </row>
    <row r="166" spans="1:4" x14ac:dyDescent="0.2">
      <c r="A166" s="821">
        <v>41220900002</v>
      </c>
      <c r="B166" t="s">
        <v>375</v>
      </c>
      <c r="C166">
        <v>58.5</v>
      </c>
    </row>
    <row r="168" spans="1:4" x14ac:dyDescent="0.2">
      <c r="A168" s="821">
        <v>4123</v>
      </c>
      <c r="B168" t="s">
        <v>469</v>
      </c>
      <c r="C168">
        <v>867.19</v>
      </c>
      <c r="D168" t="s">
        <v>1577</v>
      </c>
    </row>
    <row r="170" spans="1:4" x14ac:dyDescent="0.2">
      <c r="A170" s="821">
        <v>4123010</v>
      </c>
      <c r="B170" t="s">
        <v>470</v>
      </c>
      <c r="C170">
        <v>115.32</v>
      </c>
      <c r="D170" t="s">
        <v>1578</v>
      </c>
    </row>
    <row r="171" spans="1:4" x14ac:dyDescent="0.2">
      <c r="A171" s="821">
        <v>412301000</v>
      </c>
      <c r="B171" t="s">
        <v>470</v>
      </c>
      <c r="C171">
        <v>115.32</v>
      </c>
    </row>
    <row r="172" spans="1:4" x14ac:dyDescent="0.2">
      <c r="A172" s="821">
        <v>41230100001</v>
      </c>
      <c r="B172" t="s">
        <v>471</v>
      </c>
      <c r="C172">
        <v>115.32</v>
      </c>
    </row>
    <row r="173" spans="1:4" x14ac:dyDescent="0.2">
      <c r="A173" s="821">
        <v>4123030</v>
      </c>
      <c r="B173" t="s">
        <v>4</v>
      </c>
      <c r="C173">
        <v>751.87</v>
      </c>
      <c r="D173" t="s">
        <v>1578</v>
      </c>
    </row>
    <row r="174" spans="1:4" x14ac:dyDescent="0.2">
      <c r="A174" s="821">
        <v>412303000</v>
      </c>
      <c r="B174" t="s">
        <v>4</v>
      </c>
      <c r="C174">
        <v>751.87</v>
      </c>
    </row>
    <row r="175" spans="1:4" x14ac:dyDescent="0.2">
      <c r="A175" s="821">
        <v>41230300001</v>
      </c>
      <c r="B175" t="s">
        <v>472</v>
      </c>
      <c r="C175">
        <v>751.87</v>
      </c>
    </row>
    <row r="177" spans="1:4" x14ac:dyDescent="0.2">
      <c r="A177" s="821">
        <v>4124</v>
      </c>
      <c r="B177" t="s">
        <v>235</v>
      </c>
      <c r="C177" s="1176">
        <v>5932.76</v>
      </c>
      <c r="D177" t="s">
        <v>1577</v>
      </c>
    </row>
    <row r="179" spans="1:4" x14ac:dyDescent="0.2">
      <c r="A179" s="821">
        <v>4124020</v>
      </c>
      <c r="B179" t="s">
        <v>36</v>
      </c>
      <c r="C179" s="1176">
        <v>3532.76</v>
      </c>
      <c r="D179" t="s">
        <v>1578</v>
      </c>
    </row>
    <row r="180" spans="1:4" x14ac:dyDescent="0.2">
      <c r="A180" s="821">
        <v>412402000</v>
      </c>
      <c r="B180" t="s">
        <v>36</v>
      </c>
      <c r="C180" s="1176">
        <v>3532.76</v>
      </c>
    </row>
    <row r="181" spans="1:4" x14ac:dyDescent="0.2">
      <c r="A181" s="821" t="s">
        <v>1698</v>
      </c>
      <c r="B181" t="s">
        <v>1741</v>
      </c>
      <c r="C181" t="s">
        <v>1742</v>
      </c>
      <c r="D181" t="s">
        <v>1743</v>
      </c>
    </row>
    <row r="182" spans="1:4" x14ac:dyDescent="0.2">
      <c r="A182" s="821" t="s">
        <v>1732</v>
      </c>
      <c r="B182">
        <v>21</v>
      </c>
      <c r="C182" t="s">
        <v>1733</v>
      </c>
      <c r="D182" t="s">
        <v>1734</v>
      </c>
    </row>
    <row r="183" spans="1:4" x14ac:dyDescent="0.2">
      <c r="A183" s="821" t="s">
        <v>1737</v>
      </c>
      <c r="B183" t="s">
        <v>1746</v>
      </c>
    </row>
    <row r="184" spans="1:4" x14ac:dyDescent="0.2">
      <c r="A184" s="821">
        <v>41240200000</v>
      </c>
      <c r="B184" t="s">
        <v>37</v>
      </c>
      <c r="C184" s="1176">
        <v>3029.87</v>
      </c>
    </row>
    <row r="185" spans="1:4" x14ac:dyDescent="0.2">
      <c r="A185" s="821">
        <v>41240200001</v>
      </c>
      <c r="B185" t="s">
        <v>11</v>
      </c>
      <c r="C185">
        <v>502.89</v>
      </c>
    </row>
    <row r="186" spans="1:4" x14ac:dyDescent="0.2">
      <c r="A186" s="821">
        <v>4124040</v>
      </c>
      <c r="B186" t="s">
        <v>354</v>
      </c>
      <c r="C186" s="1176">
        <v>2400</v>
      </c>
      <c r="D186" t="s">
        <v>1578</v>
      </c>
    </row>
    <row r="187" spans="1:4" x14ac:dyDescent="0.2">
      <c r="A187" s="821">
        <v>412404000</v>
      </c>
      <c r="B187" t="s">
        <v>354</v>
      </c>
      <c r="C187" s="1176">
        <v>2400</v>
      </c>
    </row>
    <row r="188" spans="1:4" x14ac:dyDescent="0.2">
      <c r="A188" s="821">
        <v>41240400001</v>
      </c>
      <c r="B188" t="s">
        <v>376</v>
      </c>
      <c r="C188" s="1176">
        <v>2400</v>
      </c>
    </row>
    <row r="190" spans="1:4" x14ac:dyDescent="0.2">
      <c r="A190" s="821">
        <v>4125</v>
      </c>
      <c r="B190" t="s">
        <v>229</v>
      </c>
      <c r="C190" s="1176">
        <v>2691.9</v>
      </c>
      <c r="D190" t="s">
        <v>1577</v>
      </c>
    </row>
    <row r="192" spans="1:4" x14ac:dyDescent="0.2">
      <c r="A192" s="821">
        <v>4125010</v>
      </c>
      <c r="B192" t="s">
        <v>423</v>
      </c>
      <c r="C192">
        <v>802.8</v>
      </c>
      <c r="D192" t="s">
        <v>1578</v>
      </c>
    </row>
    <row r="193" spans="1:4" x14ac:dyDescent="0.2">
      <c r="A193" s="821">
        <v>412501000</v>
      </c>
      <c r="B193" t="s">
        <v>423</v>
      </c>
      <c r="C193">
        <v>802.8</v>
      </c>
    </row>
    <row r="194" spans="1:4" x14ac:dyDescent="0.2">
      <c r="A194" s="821">
        <v>41250100014</v>
      </c>
      <c r="B194" t="s">
        <v>474</v>
      </c>
      <c r="C194">
        <v>802.8</v>
      </c>
    </row>
    <row r="195" spans="1:4" x14ac:dyDescent="0.2">
      <c r="A195" s="821">
        <v>4125050</v>
      </c>
      <c r="B195" t="s">
        <v>114</v>
      </c>
      <c r="C195" s="1176">
        <v>1889.1</v>
      </c>
      <c r="D195" t="s">
        <v>1578</v>
      </c>
    </row>
    <row r="196" spans="1:4" x14ac:dyDescent="0.2">
      <c r="A196" s="821">
        <v>412505000</v>
      </c>
      <c r="B196" t="s">
        <v>114</v>
      </c>
      <c r="C196" s="1176">
        <v>1889.1</v>
      </c>
    </row>
    <row r="197" spans="1:4" x14ac:dyDescent="0.2">
      <c r="A197" s="821">
        <v>41250500002</v>
      </c>
      <c r="B197" t="s">
        <v>484</v>
      </c>
      <c r="C197" s="1176">
        <v>1133.46</v>
      </c>
    </row>
    <row r="198" spans="1:4" x14ac:dyDescent="0.2">
      <c r="A198" s="821">
        <v>41250500003</v>
      </c>
      <c r="B198" t="s">
        <v>483</v>
      </c>
      <c r="C198">
        <v>755.64</v>
      </c>
    </row>
    <row r="200" spans="1:4" x14ac:dyDescent="0.2">
      <c r="A200" s="821">
        <v>43</v>
      </c>
      <c r="B200" t="s">
        <v>75</v>
      </c>
      <c r="C200" s="1176">
        <v>1708.47</v>
      </c>
    </row>
    <row r="202" spans="1:4" x14ac:dyDescent="0.2">
      <c r="A202" s="821">
        <v>430</v>
      </c>
      <c r="B202" t="s">
        <v>75</v>
      </c>
      <c r="C202" s="1176">
        <v>1708.47</v>
      </c>
    </row>
    <row r="204" spans="1:4" x14ac:dyDescent="0.2">
      <c r="A204" s="821">
        <v>4300</v>
      </c>
      <c r="B204" t="s">
        <v>75</v>
      </c>
      <c r="C204" s="1176">
        <v>1708.47</v>
      </c>
      <c r="D204" t="s">
        <v>1577</v>
      </c>
    </row>
    <row r="206" spans="1:4" x14ac:dyDescent="0.2">
      <c r="A206" s="821">
        <v>4300030</v>
      </c>
      <c r="B206" t="s">
        <v>345</v>
      </c>
      <c r="C206" s="1176">
        <v>1708.47</v>
      </c>
      <c r="D206" t="s">
        <v>1578</v>
      </c>
    </row>
    <row r="207" spans="1:4" x14ac:dyDescent="0.2">
      <c r="A207" s="821">
        <v>430003000</v>
      </c>
      <c r="B207" t="s">
        <v>345</v>
      </c>
      <c r="C207" s="1176">
        <v>1708.47</v>
      </c>
    </row>
    <row r="208" spans="1:4" x14ac:dyDescent="0.2">
      <c r="A208" s="821">
        <v>43000300001</v>
      </c>
      <c r="B208" t="s">
        <v>350</v>
      </c>
      <c r="C208" s="1176">
        <v>1708.47</v>
      </c>
    </row>
    <row r="210" spans="1:4" x14ac:dyDescent="0.2">
      <c r="A210" s="821">
        <v>44</v>
      </c>
      <c r="B210" t="s">
        <v>291</v>
      </c>
      <c r="C210" s="1176">
        <v>3575.65</v>
      </c>
    </row>
    <row r="212" spans="1:4" x14ac:dyDescent="0.2">
      <c r="A212" s="821">
        <v>440</v>
      </c>
      <c r="B212" t="s">
        <v>291</v>
      </c>
      <c r="C212" s="1176">
        <v>3575.65</v>
      </c>
    </row>
    <row r="214" spans="1:4" x14ac:dyDescent="0.2">
      <c r="A214" s="821">
        <v>4400</v>
      </c>
      <c r="B214" t="s">
        <v>291</v>
      </c>
      <c r="C214" s="1176">
        <v>3575.65</v>
      </c>
      <c r="D214" t="s">
        <v>1577</v>
      </c>
    </row>
    <row r="216" spans="1:4" x14ac:dyDescent="0.2">
      <c r="A216" s="821">
        <v>4400000</v>
      </c>
      <c r="B216" t="s">
        <v>291</v>
      </c>
      <c r="C216" s="1176">
        <v>3575.65</v>
      </c>
      <c r="D216" t="s">
        <v>1578</v>
      </c>
    </row>
    <row r="217" spans="1:4" x14ac:dyDescent="0.2">
      <c r="A217" s="821">
        <v>440000000</v>
      </c>
      <c r="B217" t="s">
        <v>291</v>
      </c>
      <c r="C217" s="1176">
        <v>3575.65</v>
      </c>
    </row>
    <row r="218" spans="1:4" x14ac:dyDescent="0.2">
      <c r="A218" s="821">
        <v>44000000000</v>
      </c>
      <c r="B218" t="s">
        <v>131</v>
      </c>
      <c r="C218" s="1176">
        <v>3575.65</v>
      </c>
    </row>
    <row r="219" spans="1:4" x14ac:dyDescent="0.2">
      <c r="B219" t="s">
        <v>1641</v>
      </c>
      <c r="C219" s="1176">
        <v>36081.15</v>
      </c>
    </row>
    <row r="221" spans="1:4" x14ac:dyDescent="0.2">
      <c r="A221" s="821">
        <v>6</v>
      </c>
      <c r="B221" t="s">
        <v>208</v>
      </c>
      <c r="C221" s="1176">
        <v>253717.32</v>
      </c>
    </row>
    <row r="223" spans="1:4" x14ac:dyDescent="0.2">
      <c r="A223" s="821">
        <v>61</v>
      </c>
      <c r="B223" t="s">
        <v>209</v>
      </c>
      <c r="C223" s="1176">
        <v>122567.32</v>
      </c>
    </row>
    <row r="225" spans="1:4" x14ac:dyDescent="0.2">
      <c r="A225" s="821">
        <v>610</v>
      </c>
      <c r="B225" t="s">
        <v>13</v>
      </c>
      <c r="C225" s="1176">
        <v>114286</v>
      </c>
    </row>
    <row r="227" spans="1:4" x14ac:dyDescent="0.2">
      <c r="A227" s="821">
        <v>6100</v>
      </c>
      <c r="B227" t="s">
        <v>14</v>
      </c>
      <c r="C227" s="1176">
        <v>114286</v>
      </c>
      <c r="D227" t="s">
        <v>1577</v>
      </c>
    </row>
    <row r="229" spans="1:4" x14ac:dyDescent="0.2">
      <c r="A229" s="821">
        <v>6100000</v>
      </c>
      <c r="B229" t="s">
        <v>14</v>
      </c>
      <c r="C229" s="1176">
        <v>114286</v>
      </c>
      <c r="D229" t="s">
        <v>1578</v>
      </c>
    </row>
    <row r="230" spans="1:4" x14ac:dyDescent="0.2">
      <c r="A230" s="821">
        <v>610000000</v>
      </c>
      <c r="B230" t="s">
        <v>14</v>
      </c>
      <c r="C230" s="1176">
        <v>114286</v>
      </c>
    </row>
    <row r="231" spans="1:4" x14ac:dyDescent="0.2">
      <c r="A231" s="821">
        <v>61000000001</v>
      </c>
      <c r="B231" t="s">
        <v>425</v>
      </c>
      <c r="C231" s="1176">
        <v>114286</v>
      </c>
    </row>
    <row r="233" spans="1:4" x14ac:dyDescent="0.2">
      <c r="A233" s="821">
        <v>613</v>
      </c>
      <c r="B233" t="s">
        <v>190</v>
      </c>
      <c r="C233" s="1176">
        <v>8281.32</v>
      </c>
    </row>
    <row r="235" spans="1:4" x14ac:dyDescent="0.2">
      <c r="A235" s="821">
        <v>6131</v>
      </c>
      <c r="B235" t="s">
        <v>388</v>
      </c>
      <c r="C235" s="1176">
        <v>8281.32</v>
      </c>
      <c r="D235" t="s">
        <v>1577</v>
      </c>
    </row>
    <row r="237" spans="1:4" x14ac:dyDescent="0.2">
      <c r="A237" s="821">
        <v>6131000</v>
      </c>
      <c r="B237" t="s">
        <v>388</v>
      </c>
      <c r="C237" s="1176">
        <v>8281.32</v>
      </c>
      <c r="D237" t="s">
        <v>1578</v>
      </c>
    </row>
    <row r="238" spans="1:4" x14ac:dyDescent="0.2">
      <c r="A238" s="821">
        <v>613100000</v>
      </c>
      <c r="B238" t="s">
        <v>388</v>
      </c>
      <c r="C238" s="1176">
        <v>8281.32</v>
      </c>
    </row>
    <row r="239" spans="1:4" x14ac:dyDescent="0.2">
      <c r="A239" s="821">
        <v>61310000000</v>
      </c>
      <c r="B239" t="s">
        <v>191</v>
      </c>
      <c r="C239" s="1176">
        <v>8281.32</v>
      </c>
    </row>
    <row r="241" spans="1:4" x14ac:dyDescent="0.2">
      <c r="A241" s="821" t="s">
        <v>1698</v>
      </c>
      <c r="B241" t="s">
        <v>1741</v>
      </c>
      <c r="C241" t="s">
        <v>1742</v>
      </c>
      <c r="D241" t="s">
        <v>1743</v>
      </c>
    </row>
    <row r="242" spans="1:4" x14ac:dyDescent="0.2">
      <c r="A242" s="821" t="s">
        <v>1732</v>
      </c>
      <c r="B242">
        <v>21</v>
      </c>
      <c r="C242" t="s">
        <v>1733</v>
      </c>
      <c r="D242" t="s">
        <v>1734</v>
      </c>
    </row>
    <row r="243" spans="1:4" x14ac:dyDescent="0.2">
      <c r="A243" s="821" t="s">
        <v>1737</v>
      </c>
      <c r="B243" t="s">
        <v>1746</v>
      </c>
    </row>
    <row r="244" spans="1:4" x14ac:dyDescent="0.2">
      <c r="A244" s="821">
        <v>62</v>
      </c>
      <c r="B244" t="s">
        <v>389</v>
      </c>
      <c r="C244" s="1176">
        <v>131150</v>
      </c>
    </row>
    <row r="246" spans="1:4" x14ac:dyDescent="0.2">
      <c r="A246" s="821">
        <v>620</v>
      </c>
      <c r="B246" t="s">
        <v>390</v>
      </c>
      <c r="C246" s="1176">
        <v>16864</v>
      </c>
    </row>
    <row r="248" spans="1:4" x14ac:dyDescent="0.2">
      <c r="A248" s="821">
        <v>6200</v>
      </c>
      <c r="B248" t="s">
        <v>232</v>
      </c>
      <c r="C248" s="1176">
        <v>16864</v>
      </c>
      <c r="D248" t="s">
        <v>1577</v>
      </c>
    </row>
    <row r="250" spans="1:4" x14ac:dyDescent="0.2">
      <c r="A250" s="821">
        <v>6200000</v>
      </c>
      <c r="B250" t="s">
        <v>232</v>
      </c>
      <c r="C250" s="1176">
        <v>16864</v>
      </c>
      <c r="D250" t="s">
        <v>1578</v>
      </c>
    </row>
    <row r="251" spans="1:4" x14ac:dyDescent="0.2">
      <c r="A251" s="821">
        <v>620000000</v>
      </c>
      <c r="B251" t="s">
        <v>232</v>
      </c>
      <c r="C251" s="1176">
        <v>16864</v>
      </c>
    </row>
    <row r="252" spans="1:4" x14ac:dyDescent="0.2">
      <c r="A252" s="821">
        <v>62000000000</v>
      </c>
      <c r="B252" t="s">
        <v>391</v>
      </c>
      <c r="C252" s="1176">
        <v>6632</v>
      </c>
    </row>
    <row r="253" spans="1:4" x14ac:dyDescent="0.2">
      <c r="A253" s="821">
        <v>62000000001</v>
      </c>
      <c r="B253" t="s">
        <v>111</v>
      </c>
      <c r="C253" s="1176">
        <v>10232</v>
      </c>
    </row>
    <row r="255" spans="1:4" x14ac:dyDescent="0.2">
      <c r="A255" s="821">
        <v>621</v>
      </c>
      <c r="B255" t="s">
        <v>392</v>
      </c>
      <c r="C255" s="1176">
        <v>114286</v>
      </c>
    </row>
    <row r="257" spans="1:4" x14ac:dyDescent="0.2">
      <c r="A257" s="821">
        <v>6212</v>
      </c>
      <c r="B257" t="s">
        <v>352</v>
      </c>
      <c r="C257" s="1176">
        <v>114286</v>
      </c>
      <c r="D257" t="s">
        <v>1577</v>
      </c>
    </row>
    <row r="259" spans="1:4" x14ac:dyDescent="0.2">
      <c r="A259" s="821">
        <v>6212000</v>
      </c>
      <c r="B259" t="s">
        <v>352</v>
      </c>
      <c r="C259" s="1176">
        <v>114286</v>
      </c>
      <c r="D259" t="s">
        <v>1578</v>
      </c>
    </row>
    <row r="260" spans="1:4" x14ac:dyDescent="0.2">
      <c r="A260" s="821">
        <v>621200000</v>
      </c>
      <c r="B260" t="s">
        <v>352</v>
      </c>
      <c r="C260" s="1176">
        <v>114286</v>
      </c>
    </row>
    <row r="261" spans="1:4" x14ac:dyDescent="0.2">
      <c r="A261" s="821">
        <v>62120000000</v>
      </c>
      <c r="B261" t="s">
        <v>353</v>
      </c>
      <c r="C261" s="1176">
        <v>114286</v>
      </c>
    </row>
    <row r="262" spans="1:4" x14ac:dyDescent="0.2">
      <c r="B262" t="s">
        <v>1643</v>
      </c>
      <c r="C262" s="1176">
        <v>253717.32</v>
      </c>
    </row>
    <row r="264" spans="1:4" x14ac:dyDescent="0.2">
      <c r="A264" s="821">
        <v>8</v>
      </c>
      <c r="B264" t="s">
        <v>402</v>
      </c>
      <c r="C264" s="1176">
        <v>624910001.46000004</v>
      </c>
    </row>
    <row r="266" spans="1:4" x14ac:dyDescent="0.2">
      <c r="A266" s="821">
        <v>81</v>
      </c>
      <c r="B266" t="s">
        <v>403</v>
      </c>
      <c r="C266" s="1176">
        <v>622972165.28999996</v>
      </c>
    </row>
    <row r="268" spans="1:4" x14ac:dyDescent="0.2">
      <c r="A268" s="821">
        <v>811</v>
      </c>
      <c r="B268" t="s">
        <v>233</v>
      </c>
      <c r="C268" s="1176">
        <v>1821.66</v>
      </c>
    </row>
    <row r="270" spans="1:4" x14ac:dyDescent="0.2">
      <c r="A270" s="821">
        <v>8110</v>
      </c>
      <c r="B270" t="s">
        <v>39</v>
      </c>
      <c r="C270" s="1176">
        <v>1821.66</v>
      </c>
      <c r="D270" t="s">
        <v>1577</v>
      </c>
    </row>
    <row r="272" spans="1:4" x14ac:dyDescent="0.2">
      <c r="A272" s="821">
        <v>8110000</v>
      </c>
      <c r="B272" t="s">
        <v>53</v>
      </c>
      <c r="C272" s="1176">
        <v>1821.66</v>
      </c>
      <c r="D272" t="s">
        <v>1578</v>
      </c>
    </row>
    <row r="273" spans="1:4" x14ac:dyDescent="0.2">
      <c r="A273" s="821">
        <v>811000004</v>
      </c>
      <c r="B273" t="s">
        <v>444</v>
      </c>
      <c r="C273" s="1176">
        <v>1821.66</v>
      </c>
    </row>
    <row r="274" spans="1:4" x14ac:dyDescent="0.2">
      <c r="A274" s="821">
        <v>81100000401</v>
      </c>
      <c r="B274" t="s">
        <v>448</v>
      </c>
      <c r="C274">
        <v>49.46</v>
      </c>
    </row>
    <row r="275" spans="1:4" x14ac:dyDescent="0.2">
      <c r="A275" s="821">
        <v>81100000402</v>
      </c>
      <c r="B275" t="s">
        <v>449</v>
      </c>
      <c r="C275" s="1176">
        <v>1772.2</v>
      </c>
    </row>
    <row r="277" spans="1:4" x14ac:dyDescent="0.2">
      <c r="A277" s="821">
        <v>812</v>
      </c>
      <c r="B277" t="s">
        <v>331</v>
      </c>
      <c r="C277" s="1176">
        <v>39302118.409999996</v>
      </c>
    </row>
    <row r="279" spans="1:4" x14ac:dyDescent="0.2">
      <c r="A279" s="821">
        <v>8123</v>
      </c>
      <c r="B279" t="s">
        <v>659</v>
      </c>
      <c r="C279" s="1176">
        <v>39302118.409999996</v>
      </c>
      <c r="D279" t="s">
        <v>1577</v>
      </c>
    </row>
    <row r="281" spans="1:4" x14ac:dyDescent="0.2">
      <c r="A281" s="821">
        <v>8123070</v>
      </c>
      <c r="B281" t="s">
        <v>184</v>
      </c>
      <c r="C281" s="1176">
        <v>39302118.409999996</v>
      </c>
      <c r="D281" t="s">
        <v>1578</v>
      </c>
    </row>
    <row r="282" spans="1:4" x14ac:dyDescent="0.2">
      <c r="A282" s="821">
        <v>812307000</v>
      </c>
      <c r="B282" t="s">
        <v>184</v>
      </c>
      <c r="C282" s="1176">
        <v>39302118.409999996</v>
      </c>
    </row>
    <row r="283" spans="1:4" x14ac:dyDescent="0.2">
      <c r="A283" s="821">
        <v>81230700000</v>
      </c>
      <c r="B283" t="s">
        <v>660</v>
      </c>
      <c r="C283" s="1176">
        <v>39302118.409999996</v>
      </c>
    </row>
    <row r="285" spans="1:4" x14ac:dyDescent="0.2">
      <c r="A285" s="821">
        <v>816</v>
      </c>
      <c r="B285" t="s">
        <v>181</v>
      </c>
      <c r="C285" s="1176">
        <v>583668225.22000003</v>
      </c>
    </row>
    <row r="287" spans="1:4" x14ac:dyDescent="0.2">
      <c r="A287" s="821">
        <v>8160</v>
      </c>
      <c r="B287" t="s">
        <v>347</v>
      </c>
      <c r="C287" s="1176">
        <v>414391369.07999998</v>
      </c>
      <c r="D287" t="s">
        <v>1577</v>
      </c>
    </row>
    <row r="289" spans="1:4" x14ac:dyDescent="0.2">
      <c r="A289" s="821">
        <v>8160000</v>
      </c>
      <c r="B289" t="s">
        <v>348</v>
      </c>
      <c r="C289" s="1176">
        <v>13950000</v>
      </c>
      <c r="D289" t="s">
        <v>1578</v>
      </c>
    </row>
    <row r="290" spans="1:4" x14ac:dyDescent="0.2">
      <c r="A290" s="821">
        <v>816000000</v>
      </c>
      <c r="B290" t="s">
        <v>348</v>
      </c>
      <c r="C290" s="1176">
        <v>13950000</v>
      </c>
    </row>
    <row r="291" spans="1:4" x14ac:dyDescent="0.2">
      <c r="A291" s="821">
        <v>81600000001</v>
      </c>
      <c r="B291" t="s">
        <v>404</v>
      </c>
      <c r="C291" s="1176">
        <v>9760000</v>
      </c>
    </row>
    <row r="292" spans="1:4" x14ac:dyDescent="0.2">
      <c r="A292" s="821">
        <v>81600000003</v>
      </c>
      <c r="B292" t="s">
        <v>282</v>
      </c>
      <c r="C292" s="1176">
        <v>3500000</v>
      </c>
    </row>
    <row r="293" spans="1:4" x14ac:dyDescent="0.2">
      <c r="A293" s="821">
        <v>81600000008</v>
      </c>
      <c r="B293" t="s">
        <v>73</v>
      </c>
      <c r="C293" s="1176">
        <v>90000</v>
      </c>
    </row>
    <row r="294" spans="1:4" x14ac:dyDescent="0.2">
      <c r="A294" s="821">
        <v>81600000020</v>
      </c>
      <c r="B294" t="s">
        <v>869</v>
      </c>
      <c r="C294" s="1176">
        <v>600000</v>
      </c>
    </row>
    <row r="295" spans="1:4" x14ac:dyDescent="0.2">
      <c r="A295" s="821">
        <v>8160020</v>
      </c>
      <c r="B295" t="s">
        <v>233</v>
      </c>
      <c r="C295" s="1176">
        <v>400441369.07999998</v>
      </c>
      <c r="D295" t="s">
        <v>1578</v>
      </c>
    </row>
    <row r="296" spans="1:4" x14ac:dyDescent="0.2">
      <c r="A296" s="821">
        <v>816002004</v>
      </c>
      <c r="B296" t="s">
        <v>444</v>
      </c>
      <c r="C296" s="1176">
        <v>400441369.07999998</v>
      </c>
    </row>
    <row r="297" spans="1:4" x14ac:dyDescent="0.2">
      <c r="A297" s="821">
        <v>81600200401</v>
      </c>
      <c r="B297" t="s">
        <v>452</v>
      </c>
      <c r="C297" s="1176">
        <v>400441369.07999998</v>
      </c>
    </row>
    <row r="299" spans="1:4" x14ac:dyDescent="0.2">
      <c r="A299" s="821">
        <v>8161</v>
      </c>
      <c r="B299" t="s">
        <v>29</v>
      </c>
      <c r="C299" s="1176">
        <v>159276856.13999999</v>
      </c>
      <c r="D299" t="s">
        <v>1577</v>
      </c>
    </row>
    <row r="301" spans="1:4" x14ac:dyDescent="0.2">
      <c r="A301" s="821" t="s">
        <v>1698</v>
      </c>
      <c r="B301" t="s">
        <v>1741</v>
      </c>
      <c r="C301" t="s">
        <v>1742</v>
      </c>
      <c r="D301" t="s">
        <v>1743</v>
      </c>
    </row>
    <row r="302" spans="1:4" x14ac:dyDescent="0.2">
      <c r="A302" s="821" t="s">
        <v>1732</v>
      </c>
      <c r="B302">
        <v>21</v>
      </c>
      <c r="C302" t="s">
        <v>1733</v>
      </c>
      <c r="D302" t="s">
        <v>1734</v>
      </c>
    </row>
    <row r="303" spans="1:4" x14ac:dyDescent="0.2">
      <c r="A303" s="821" t="s">
        <v>1737</v>
      </c>
      <c r="B303" t="s">
        <v>1746</v>
      </c>
    </row>
    <row r="304" spans="1:4" x14ac:dyDescent="0.2">
      <c r="A304" s="821">
        <v>8161000</v>
      </c>
      <c r="B304" t="s">
        <v>348</v>
      </c>
      <c r="C304" s="1176">
        <v>159162576.13999999</v>
      </c>
      <c r="D304" t="s">
        <v>1578</v>
      </c>
    </row>
    <row r="305" spans="1:4" x14ac:dyDescent="0.2">
      <c r="A305" s="821">
        <v>816100000</v>
      </c>
      <c r="B305" t="s">
        <v>348</v>
      </c>
      <c r="C305" s="1176">
        <v>159162576.13999999</v>
      </c>
    </row>
    <row r="306" spans="1:4" x14ac:dyDescent="0.2">
      <c r="A306" s="821">
        <v>81610000002</v>
      </c>
      <c r="B306" t="s">
        <v>81</v>
      </c>
      <c r="C306">
        <v>0.14000000000000001</v>
      </c>
    </row>
    <row r="307" spans="1:4" x14ac:dyDescent="0.2">
      <c r="A307" s="821">
        <v>81610000004</v>
      </c>
      <c r="B307" t="s">
        <v>481</v>
      </c>
      <c r="C307" s="1176">
        <v>159162576</v>
      </c>
    </row>
    <row r="308" spans="1:4" x14ac:dyDescent="0.2">
      <c r="A308" s="821">
        <v>8161020</v>
      </c>
      <c r="B308" t="s">
        <v>233</v>
      </c>
      <c r="C308" s="1176">
        <v>114280</v>
      </c>
      <c r="D308" t="s">
        <v>1578</v>
      </c>
    </row>
    <row r="309" spans="1:4" x14ac:dyDescent="0.2">
      <c r="A309" s="821">
        <v>816102000</v>
      </c>
      <c r="B309" t="s">
        <v>233</v>
      </c>
      <c r="C309" s="1176">
        <v>114280</v>
      </c>
    </row>
    <row r="310" spans="1:4" x14ac:dyDescent="0.2">
      <c r="A310" s="821">
        <v>81610200001</v>
      </c>
      <c r="B310" t="s">
        <v>451</v>
      </c>
      <c r="C310" s="1176">
        <v>114280</v>
      </c>
    </row>
    <row r="312" spans="1:4" x14ac:dyDescent="0.2">
      <c r="A312" s="821">
        <v>8162</v>
      </c>
      <c r="B312" t="s">
        <v>197</v>
      </c>
      <c r="C312" s="1176">
        <v>10000000</v>
      </c>
      <c r="D312" t="s">
        <v>1577</v>
      </c>
    </row>
    <row r="314" spans="1:4" x14ac:dyDescent="0.2">
      <c r="A314" s="821">
        <v>8162000</v>
      </c>
      <c r="B314" t="s">
        <v>348</v>
      </c>
      <c r="C314" s="1176">
        <v>10000000</v>
      </c>
      <c r="D314" t="s">
        <v>1578</v>
      </c>
    </row>
    <row r="315" spans="1:4" x14ac:dyDescent="0.2">
      <c r="A315" s="821">
        <v>816200000</v>
      </c>
      <c r="B315" t="s">
        <v>348</v>
      </c>
      <c r="C315" s="1176">
        <v>10000000</v>
      </c>
    </row>
    <row r="316" spans="1:4" x14ac:dyDescent="0.2">
      <c r="A316" s="821">
        <v>81620000016</v>
      </c>
      <c r="B316" t="s">
        <v>1599</v>
      </c>
      <c r="C316" s="1176">
        <v>10000000</v>
      </c>
    </row>
    <row r="318" spans="1:4" x14ac:dyDescent="0.2">
      <c r="A318" s="821">
        <v>82</v>
      </c>
      <c r="B318" t="s">
        <v>102</v>
      </c>
      <c r="C318" s="1176">
        <v>1937836.17</v>
      </c>
    </row>
    <row r="320" spans="1:4" x14ac:dyDescent="0.2">
      <c r="A320" s="821">
        <v>821</v>
      </c>
      <c r="B320" t="s">
        <v>405</v>
      </c>
      <c r="C320" s="1176">
        <v>1937836.17</v>
      </c>
    </row>
    <row r="322" spans="1:4" x14ac:dyDescent="0.2">
      <c r="A322" s="821">
        <v>8210</v>
      </c>
      <c r="B322" t="s">
        <v>406</v>
      </c>
      <c r="C322" s="1176">
        <v>1436741.95</v>
      </c>
      <c r="D322" t="s">
        <v>1577</v>
      </c>
    </row>
    <row r="324" spans="1:4" x14ac:dyDescent="0.2">
      <c r="A324" s="821">
        <v>8210000</v>
      </c>
      <c r="B324" t="s">
        <v>15</v>
      </c>
      <c r="C324" s="1176">
        <v>1436741.95</v>
      </c>
      <c r="D324" t="s">
        <v>1578</v>
      </c>
    </row>
    <row r="325" spans="1:4" x14ac:dyDescent="0.2">
      <c r="A325" s="821">
        <v>821000004</v>
      </c>
      <c r="B325" t="s">
        <v>444</v>
      </c>
      <c r="C325" s="1176">
        <v>1436741.95</v>
      </c>
    </row>
    <row r="326" spans="1:4" x14ac:dyDescent="0.2">
      <c r="A326" s="821">
        <v>82100000401</v>
      </c>
      <c r="B326" t="s">
        <v>407</v>
      </c>
      <c r="C326">
        <v>441.82</v>
      </c>
    </row>
    <row r="327" spans="1:4" x14ac:dyDescent="0.2">
      <c r="A327" s="821">
        <v>82100000402</v>
      </c>
      <c r="B327" t="s">
        <v>408</v>
      </c>
      <c r="C327" s="1176">
        <v>34146.33</v>
      </c>
    </row>
    <row r="328" spans="1:4" x14ac:dyDescent="0.2">
      <c r="A328" s="821">
        <v>82100000403</v>
      </c>
      <c r="B328" t="s">
        <v>409</v>
      </c>
      <c r="C328">
        <v>56.58</v>
      </c>
    </row>
    <row r="329" spans="1:4" x14ac:dyDescent="0.2">
      <c r="A329" s="821">
        <v>82100000404</v>
      </c>
      <c r="B329" t="s">
        <v>410</v>
      </c>
      <c r="C329">
        <v>10.93</v>
      </c>
    </row>
    <row r="330" spans="1:4" x14ac:dyDescent="0.2">
      <c r="A330" s="821">
        <v>82100000405</v>
      </c>
      <c r="B330" t="s">
        <v>283</v>
      </c>
      <c r="C330" s="1176">
        <v>1074552.53</v>
      </c>
    </row>
    <row r="331" spans="1:4" x14ac:dyDescent="0.2">
      <c r="A331" s="821">
        <v>82100000406</v>
      </c>
      <c r="B331" t="s">
        <v>495</v>
      </c>
      <c r="C331" s="1176">
        <v>327533.76</v>
      </c>
    </row>
    <row r="333" spans="1:4" x14ac:dyDescent="0.2">
      <c r="A333" s="821">
        <v>8211</v>
      </c>
      <c r="B333" t="s">
        <v>407</v>
      </c>
      <c r="C333" s="1176">
        <v>53156.18</v>
      </c>
      <c r="D333" t="s">
        <v>1577</v>
      </c>
    </row>
    <row r="335" spans="1:4" x14ac:dyDescent="0.2">
      <c r="A335" s="821">
        <v>8211000</v>
      </c>
      <c r="B335" t="s">
        <v>15</v>
      </c>
      <c r="C335" s="1176">
        <v>53156.18</v>
      </c>
      <c r="D335" t="s">
        <v>1578</v>
      </c>
    </row>
    <row r="336" spans="1:4" x14ac:dyDescent="0.2">
      <c r="A336" s="821">
        <v>821100004</v>
      </c>
      <c r="B336" t="s">
        <v>494</v>
      </c>
      <c r="C336" s="1176">
        <v>53156.18</v>
      </c>
    </row>
    <row r="337" spans="1:4" x14ac:dyDescent="0.2">
      <c r="A337" s="821">
        <v>82110000401</v>
      </c>
      <c r="B337" t="s">
        <v>453</v>
      </c>
      <c r="C337" s="1176">
        <v>53156.18</v>
      </c>
    </row>
    <row r="339" spans="1:4" x14ac:dyDescent="0.2">
      <c r="A339" s="821">
        <v>8213</v>
      </c>
      <c r="B339" t="s">
        <v>429</v>
      </c>
      <c r="C339" s="1176">
        <v>5545.36</v>
      </c>
      <c r="D339" t="s">
        <v>1577</v>
      </c>
    </row>
    <row r="341" spans="1:4" x14ac:dyDescent="0.2">
      <c r="A341" s="821">
        <v>8213000</v>
      </c>
      <c r="B341" t="s">
        <v>430</v>
      </c>
      <c r="C341" s="1176">
        <v>5545.36</v>
      </c>
      <c r="D341" t="s">
        <v>1578</v>
      </c>
    </row>
    <row r="342" spans="1:4" x14ac:dyDescent="0.2">
      <c r="A342" s="821">
        <v>821300004</v>
      </c>
      <c r="B342" t="s">
        <v>494</v>
      </c>
      <c r="C342" s="1176">
        <v>5545.36</v>
      </c>
    </row>
    <row r="343" spans="1:4" x14ac:dyDescent="0.2">
      <c r="A343" s="821">
        <v>82130000401</v>
      </c>
      <c r="B343" t="s">
        <v>454</v>
      </c>
      <c r="C343" s="1176">
        <v>5545.36</v>
      </c>
    </row>
    <row r="345" spans="1:4" x14ac:dyDescent="0.2">
      <c r="A345" s="821">
        <v>8214</v>
      </c>
      <c r="B345" t="s">
        <v>431</v>
      </c>
      <c r="C345" s="1176">
        <v>442392.68</v>
      </c>
      <c r="D345" t="s">
        <v>1577</v>
      </c>
    </row>
    <row r="347" spans="1:4" x14ac:dyDescent="0.2">
      <c r="A347" s="821">
        <v>8214000</v>
      </c>
      <c r="B347" t="s">
        <v>430</v>
      </c>
      <c r="C347" s="1176">
        <v>442392.68</v>
      </c>
      <c r="D347" t="s">
        <v>1578</v>
      </c>
    </row>
    <row r="348" spans="1:4" x14ac:dyDescent="0.2">
      <c r="A348" s="821">
        <v>821400004</v>
      </c>
      <c r="B348" t="s">
        <v>494</v>
      </c>
      <c r="C348" s="1176">
        <v>442392.68</v>
      </c>
    </row>
    <row r="349" spans="1:4" x14ac:dyDescent="0.2">
      <c r="A349" s="821">
        <v>82140000401</v>
      </c>
      <c r="B349" t="s">
        <v>455</v>
      </c>
      <c r="C349" s="1176">
        <v>442392.68</v>
      </c>
    </row>
    <row r="350" spans="1:4" x14ac:dyDescent="0.2">
      <c r="B350" t="s">
        <v>1644</v>
      </c>
      <c r="C350" s="1176">
        <v>624910001.46000004</v>
      </c>
    </row>
    <row r="356" spans="1:4" x14ac:dyDescent="0.2">
      <c r="A356" s="821">
        <v>2</v>
      </c>
      <c r="B356" s="1175" t="s">
        <v>231</v>
      </c>
      <c r="C356" s="1176">
        <v>30430.63</v>
      </c>
    </row>
    <row r="357" spans="1:4" x14ac:dyDescent="0.2">
      <c r="B357" s="1175"/>
    </row>
    <row r="358" spans="1:4" x14ac:dyDescent="0.2">
      <c r="A358" s="821">
        <v>21</v>
      </c>
      <c r="B358" s="1175" t="s">
        <v>339</v>
      </c>
      <c r="C358" s="1176">
        <v>30430.63</v>
      </c>
    </row>
    <row r="359" spans="1:4" x14ac:dyDescent="0.2">
      <c r="B359" s="1175"/>
    </row>
    <row r="360" spans="1:4" x14ac:dyDescent="0.2">
      <c r="A360" s="821">
        <v>212</v>
      </c>
      <c r="B360" s="1175" t="s">
        <v>281</v>
      </c>
      <c r="C360" s="1176">
        <v>3595.73</v>
      </c>
    </row>
    <row r="361" spans="1:4" x14ac:dyDescent="0.2">
      <c r="B361" s="1175"/>
      <c r="D361" t="s">
        <v>1743</v>
      </c>
    </row>
    <row r="362" spans="1:4" x14ac:dyDescent="0.2">
      <c r="A362" s="821">
        <v>2123</v>
      </c>
      <c r="B362" s="1175" t="s">
        <v>264</v>
      </c>
      <c r="C362" s="1176">
        <v>3595.73</v>
      </c>
      <c r="D362" t="s">
        <v>1734</v>
      </c>
    </row>
    <row r="363" spans="1:4" x14ac:dyDescent="0.2">
      <c r="B363" s="1175"/>
    </row>
    <row r="364" spans="1:4" x14ac:dyDescent="0.2">
      <c r="A364" s="821">
        <v>2123010</v>
      </c>
      <c r="B364" s="1175" t="s">
        <v>312</v>
      </c>
      <c r="C364" s="1176">
        <v>3595.73</v>
      </c>
    </row>
    <row r="365" spans="1:4" x14ac:dyDescent="0.2">
      <c r="A365" s="821">
        <v>212301000</v>
      </c>
      <c r="B365" s="1175" t="s">
        <v>312</v>
      </c>
      <c r="C365" s="1176">
        <v>3595.73</v>
      </c>
    </row>
    <row r="366" spans="1:4" x14ac:dyDescent="0.2">
      <c r="A366" s="821">
        <v>21230100000</v>
      </c>
      <c r="B366" s="1175" t="s">
        <v>368</v>
      </c>
      <c r="C366" s="1176">
        <v>3595.73</v>
      </c>
    </row>
    <row r="367" spans="1:4" x14ac:dyDescent="0.2">
      <c r="B367" s="1175"/>
    </row>
    <row r="368" spans="1:4" x14ac:dyDescent="0.2">
      <c r="A368" s="821">
        <v>213</v>
      </c>
      <c r="B368" s="1175" t="s">
        <v>95</v>
      </c>
      <c r="C368" s="1176">
        <v>21794.38</v>
      </c>
    </row>
    <row r="369" spans="1:3" x14ac:dyDescent="0.2">
      <c r="B369" s="1175"/>
    </row>
    <row r="370" spans="1:3" x14ac:dyDescent="0.2">
      <c r="A370" s="821">
        <v>2132</v>
      </c>
      <c r="B370" s="1175" t="s">
        <v>92</v>
      </c>
      <c r="C370" s="1176">
        <v>18630.59</v>
      </c>
    </row>
    <row r="371" spans="1:3" x14ac:dyDescent="0.2">
      <c r="B371" s="1175"/>
    </row>
    <row r="372" spans="1:3" x14ac:dyDescent="0.2">
      <c r="A372" s="821">
        <v>2132020</v>
      </c>
      <c r="B372" s="1175" t="s">
        <v>210</v>
      </c>
      <c r="C372" s="1176">
        <v>18573.47</v>
      </c>
    </row>
    <row r="373" spans="1:3" x14ac:dyDescent="0.2">
      <c r="A373" s="821">
        <v>213202000</v>
      </c>
      <c r="B373" s="1175" t="s">
        <v>210</v>
      </c>
      <c r="C373" s="1176">
        <v>18573.47</v>
      </c>
    </row>
    <row r="374" spans="1:3" x14ac:dyDescent="0.2">
      <c r="A374" s="821">
        <v>21320200002</v>
      </c>
      <c r="B374" s="1175" t="s">
        <v>485</v>
      </c>
      <c r="C374" s="1176">
        <v>18573.47</v>
      </c>
    </row>
    <row r="375" spans="1:3" x14ac:dyDescent="0.2">
      <c r="A375" s="821">
        <v>2132070</v>
      </c>
      <c r="B375" s="1175" t="s">
        <v>273</v>
      </c>
      <c r="C375">
        <v>57.12</v>
      </c>
    </row>
    <row r="376" spans="1:3" x14ac:dyDescent="0.2">
      <c r="A376" s="821">
        <v>213207000</v>
      </c>
      <c r="B376" s="1175" t="s">
        <v>273</v>
      </c>
      <c r="C376">
        <v>57.12</v>
      </c>
    </row>
    <row r="377" spans="1:3" x14ac:dyDescent="0.2">
      <c r="A377" s="821">
        <v>21320700000</v>
      </c>
      <c r="B377" s="1175" t="s">
        <v>93</v>
      </c>
      <c r="C377">
        <v>57.12</v>
      </c>
    </row>
    <row r="378" spans="1:3" x14ac:dyDescent="0.2">
      <c r="B378" s="1175"/>
    </row>
    <row r="379" spans="1:3" x14ac:dyDescent="0.2">
      <c r="A379" s="821">
        <v>2135</v>
      </c>
      <c r="B379" s="1175" t="s">
        <v>341</v>
      </c>
      <c r="C379" s="1176">
        <v>3163.79</v>
      </c>
    </row>
    <row r="380" spans="1:3" x14ac:dyDescent="0.2">
      <c r="B380" s="1175"/>
    </row>
    <row r="381" spans="1:3" x14ac:dyDescent="0.2">
      <c r="A381" s="821">
        <v>2135000</v>
      </c>
      <c r="B381" s="1175" t="s">
        <v>341</v>
      </c>
      <c r="C381" s="1176">
        <v>3163.79</v>
      </c>
    </row>
    <row r="382" spans="1:3" x14ac:dyDescent="0.2">
      <c r="A382" s="821">
        <v>213500000</v>
      </c>
      <c r="B382" s="1175" t="s">
        <v>341</v>
      </c>
      <c r="C382" s="1176">
        <v>3163.79</v>
      </c>
    </row>
    <row r="383" spans="1:3" x14ac:dyDescent="0.2">
      <c r="A383" s="821">
        <v>21350000008</v>
      </c>
      <c r="B383" s="1175" t="s">
        <v>341</v>
      </c>
      <c r="C383">
        <v>196.47</v>
      </c>
    </row>
    <row r="384" spans="1:3" x14ac:dyDescent="0.2">
      <c r="A384" s="821">
        <v>21350000018</v>
      </c>
      <c r="B384" s="1175" t="s">
        <v>52</v>
      </c>
      <c r="C384">
        <v>755.64</v>
      </c>
    </row>
    <row r="385" spans="1:3" x14ac:dyDescent="0.2">
      <c r="A385" s="821">
        <v>21350000026</v>
      </c>
      <c r="B385" s="1175" t="s">
        <v>420</v>
      </c>
      <c r="C385" s="1176">
        <v>1033.32</v>
      </c>
    </row>
    <row r="386" spans="1:3" x14ac:dyDescent="0.2">
      <c r="A386" s="821">
        <v>21350000059</v>
      </c>
      <c r="B386" s="1175" t="s">
        <v>421</v>
      </c>
      <c r="C386">
        <v>693.18</v>
      </c>
    </row>
    <row r="387" spans="1:3" x14ac:dyDescent="0.2">
      <c r="A387" s="821">
        <v>21350000068</v>
      </c>
      <c r="B387" s="1175" t="s">
        <v>1697</v>
      </c>
      <c r="C387">
        <v>133.80000000000001</v>
      </c>
    </row>
    <row r="388" spans="1:3" x14ac:dyDescent="0.2">
      <c r="A388" s="821">
        <v>21350000090</v>
      </c>
      <c r="B388" s="1175" t="s">
        <v>437</v>
      </c>
      <c r="C388">
        <v>351.38</v>
      </c>
    </row>
    <row r="389" spans="1:3" x14ac:dyDescent="0.2">
      <c r="B389" s="1175"/>
    </row>
    <row r="390" spans="1:3" x14ac:dyDescent="0.2">
      <c r="A390" s="821">
        <v>215</v>
      </c>
      <c r="B390" s="1175" t="s">
        <v>187</v>
      </c>
      <c r="C390" s="1176">
        <v>5040.5200000000004</v>
      </c>
    </row>
    <row r="391" spans="1:3" x14ac:dyDescent="0.2">
      <c r="B391" s="1175"/>
    </row>
    <row r="392" spans="1:3" x14ac:dyDescent="0.2">
      <c r="A392" s="821">
        <v>2151</v>
      </c>
      <c r="B392" s="1175" t="s">
        <v>291</v>
      </c>
      <c r="C392" s="1176">
        <v>3575.65</v>
      </c>
    </row>
    <row r="393" spans="1:3" x14ac:dyDescent="0.2">
      <c r="B393" s="1175"/>
    </row>
    <row r="394" spans="1:3" x14ac:dyDescent="0.2">
      <c r="A394" s="821">
        <v>2151000</v>
      </c>
      <c r="B394" s="1175" t="s">
        <v>291</v>
      </c>
      <c r="C394" s="1176">
        <v>3575.65</v>
      </c>
    </row>
    <row r="395" spans="1:3" x14ac:dyDescent="0.2">
      <c r="A395" s="821">
        <v>215100000</v>
      </c>
      <c r="B395" s="1175" t="s">
        <v>291</v>
      </c>
      <c r="C395" s="1176">
        <v>3575.65</v>
      </c>
    </row>
    <row r="396" spans="1:3" x14ac:dyDescent="0.2">
      <c r="A396" s="821">
        <v>21510000000</v>
      </c>
      <c r="B396" s="1175" t="s">
        <v>369</v>
      </c>
      <c r="C396" s="1176">
        <v>3575.65</v>
      </c>
    </row>
    <row r="397" spans="1:3" x14ac:dyDescent="0.2">
      <c r="B397" s="1175"/>
    </row>
    <row r="398" spans="1:3" x14ac:dyDescent="0.2">
      <c r="A398" s="821">
        <v>2152</v>
      </c>
      <c r="B398" s="1175" t="s">
        <v>0</v>
      </c>
      <c r="C398" s="1176">
        <v>1464.87</v>
      </c>
    </row>
    <row r="399" spans="1:3" x14ac:dyDescent="0.2">
      <c r="B399" s="1175"/>
    </row>
    <row r="400" spans="1:3" x14ac:dyDescent="0.2">
      <c r="A400" s="821">
        <v>2152000</v>
      </c>
      <c r="B400" s="1175" t="s">
        <v>1</v>
      </c>
      <c r="C400" s="1176">
        <v>1464.87</v>
      </c>
    </row>
    <row r="401" spans="1:3" x14ac:dyDescent="0.2">
      <c r="A401" s="821">
        <v>215200000</v>
      </c>
      <c r="B401" s="1175" t="s">
        <v>1</v>
      </c>
      <c r="C401" s="1176">
        <v>1464.87</v>
      </c>
    </row>
    <row r="402" spans="1:3" x14ac:dyDescent="0.2">
      <c r="A402" s="821">
        <v>21520000001</v>
      </c>
      <c r="B402" s="1175" t="s">
        <v>46</v>
      </c>
      <c r="C402">
        <v>1.62</v>
      </c>
    </row>
    <row r="403" spans="1:3" x14ac:dyDescent="0.2">
      <c r="A403" s="821">
        <v>21520000002</v>
      </c>
      <c r="B403" s="1175" t="s">
        <v>47</v>
      </c>
      <c r="C403" s="1176">
        <v>1463.25</v>
      </c>
    </row>
    <row r="404" spans="1:3" x14ac:dyDescent="0.2">
      <c r="B404" s="1175" t="s">
        <v>1638</v>
      </c>
      <c r="C404" s="1176">
        <v>30430.63</v>
      </c>
    </row>
    <row r="405" spans="1:3" x14ac:dyDescent="0.2">
      <c r="B405" s="1175"/>
    </row>
    <row r="406" spans="1:3" x14ac:dyDescent="0.2">
      <c r="A406" s="821">
        <v>3</v>
      </c>
      <c r="B406" s="1175" t="s">
        <v>343</v>
      </c>
      <c r="C406" s="1176">
        <v>2280287.6</v>
      </c>
    </row>
    <row r="407" spans="1:3" x14ac:dyDescent="0.2">
      <c r="B407" s="1175"/>
    </row>
    <row r="408" spans="1:3" x14ac:dyDescent="0.2">
      <c r="A408" s="821">
        <v>31</v>
      </c>
      <c r="B408" s="1175" t="s">
        <v>344</v>
      </c>
      <c r="C408" s="1176">
        <v>1254200</v>
      </c>
    </row>
    <row r="409" spans="1:3" x14ac:dyDescent="0.2">
      <c r="B409" s="1175"/>
    </row>
    <row r="410" spans="1:3" x14ac:dyDescent="0.2">
      <c r="A410" s="821">
        <v>310</v>
      </c>
      <c r="B410" s="1175" t="s">
        <v>48</v>
      </c>
      <c r="C410" s="1176">
        <v>1254200</v>
      </c>
    </row>
    <row r="411" spans="1:3" x14ac:dyDescent="0.2">
      <c r="B411" s="1175"/>
    </row>
    <row r="412" spans="1:3" x14ac:dyDescent="0.2">
      <c r="A412" s="821" t="s">
        <v>1744</v>
      </c>
      <c r="B412" s="1175" t="s">
        <v>1745</v>
      </c>
    </row>
    <row r="413" spans="1:3" x14ac:dyDescent="0.2">
      <c r="A413" s="821" t="s">
        <v>1735</v>
      </c>
      <c r="B413" s="1175" t="s">
        <v>1736</v>
      </c>
      <c r="C413">
        <v>2</v>
      </c>
    </row>
    <row r="414" spans="1:3" x14ac:dyDescent="0.2">
      <c r="B414" s="1175" t="s">
        <v>1739</v>
      </c>
      <c r="C414" t="s">
        <v>1740</v>
      </c>
    </row>
    <row r="415" spans="1:3" x14ac:dyDescent="0.2">
      <c r="A415" s="821">
        <v>3100</v>
      </c>
      <c r="B415" s="1175" t="s">
        <v>49</v>
      </c>
      <c r="C415" s="1176">
        <v>1254200</v>
      </c>
    </row>
    <row r="416" spans="1:3" x14ac:dyDescent="0.2">
      <c r="B416" s="1175"/>
    </row>
    <row r="417" spans="1:4" x14ac:dyDescent="0.2">
      <c r="A417" s="821">
        <v>3100000</v>
      </c>
      <c r="B417" s="1175" t="s">
        <v>49</v>
      </c>
      <c r="C417" s="1176">
        <v>1254200</v>
      </c>
    </row>
    <row r="418" spans="1:4" x14ac:dyDescent="0.2">
      <c r="A418" s="821">
        <v>310000000</v>
      </c>
      <c r="B418" s="1175" t="s">
        <v>49</v>
      </c>
      <c r="C418" s="1176">
        <v>1254200</v>
      </c>
    </row>
    <row r="419" spans="1:4" x14ac:dyDescent="0.2">
      <c r="A419" s="821">
        <v>31000000000</v>
      </c>
      <c r="B419" s="1175" t="s">
        <v>49</v>
      </c>
      <c r="C419" s="1176">
        <v>1254200</v>
      </c>
    </row>
    <row r="420" spans="1:4" x14ac:dyDescent="0.2">
      <c r="B420" s="1175"/>
    </row>
    <row r="421" spans="1:4" x14ac:dyDescent="0.2">
      <c r="A421" s="821">
        <v>32</v>
      </c>
      <c r="B421" s="1175" t="s">
        <v>244</v>
      </c>
      <c r="C421" s="1176">
        <v>817162.58</v>
      </c>
      <c r="D421" t="s">
        <v>1743</v>
      </c>
    </row>
    <row r="422" spans="1:4" x14ac:dyDescent="0.2">
      <c r="B422" s="1175"/>
      <c r="D422" t="s">
        <v>1734</v>
      </c>
    </row>
    <row r="423" spans="1:4" x14ac:dyDescent="0.2">
      <c r="A423" s="821">
        <v>320</v>
      </c>
      <c r="B423" s="1175" t="s">
        <v>244</v>
      </c>
      <c r="C423" s="1176">
        <v>817162.58</v>
      </c>
    </row>
    <row r="424" spans="1:4" x14ac:dyDescent="0.2">
      <c r="B424" s="1175"/>
    </row>
    <row r="425" spans="1:4" x14ac:dyDescent="0.2">
      <c r="A425" s="821">
        <v>3200</v>
      </c>
      <c r="B425" s="1175" t="s">
        <v>308</v>
      </c>
      <c r="C425" s="1176">
        <v>817162.58</v>
      </c>
    </row>
    <row r="426" spans="1:4" x14ac:dyDescent="0.2">
      <c r="B426" s="1175"/>
    </row>
    <row r="427" spans="1:4" x14ac:dyDescent="0.2">
      <c r="A427" s="821">
        <v>3200000</v>
      </c>
      <c r="B427" s="1175" t="s">
        <v>308</v>
      </c>
      <c r="C427" s="1176">
        <v>817162.58</v>
      </c>
    </row>
    <row r="428" spans="1:4" x14ac:dyDescent="0.2">
      <c r="A428" s="821">
        <v>320000000</v>
      </c>
      <c r="B428" s="1175" t="s">
        <v>308</v>
      </c>
      <c r="C428" s="1176">
        <v>817162.58</v>
      </c>
    </row>
    <row r="429" spans="1:4" x14ac:dyDescent="0.2">
      <c r="A429" s="821">
        <v>32000000000</v>
      </c>
      <c r="B429" s="1175" t="s">
        <v>308</v>
      </c>
      <c r="C429" s="1176">
        <v>817162.58</v>
      </c>
    </row>
    <row r="430" spans="1:4" x14ac:dyDescent="0.2">
      <c r="B430" s="1175"/>
    </row>
    <row r="431" spans="1:4" x14ac:dyDescent="0.2">
      <c r="A431" s="821">
        <v>34</v>
      </c>
      <c r="B431" s="1175" t="s">
        <v>97</v>
      </c>
      <c r="C431" s="1176">
        <v>208925.02</v>
      </c>
    </row>
    <row r="432" spans="1:4" x14ac:dyDescent="0.2">
      <c r="B432" s="1175"/>
    </row>
    <row r="433" spans="1:3" x14ac:dyDescent="0.2">
      <c r="A433" s="821">
        <v>340</v>
      </c>
      <c r="B433" s="1175" t="s">
        <v>98</v>
      </c>
      <c r="C433" s="1176">
        <v>208925.02</v>
      </c>
    </row>
    <row r="434" spans="1:3" x14ac:dyDescent="0.2">
      <c r="B434" s="1175"/>
    </row>
    <row r="435" spans="1:3" x14ac:dyDescent="0.2">
      <c r="A435" s="821">
        <v>3400</v>
      </c>
      <c r="B435" s="1175" t="s">
        <v>99</v>
      </c>
      <c r="C435" s="1176">
        <v>208925.02</v>
      </c>
    </row>
    <row r="436" spans="1:3" x14ac:dyDescent="0.2">
      <c r="B436" s="1175"/>
    </row>
    <row r="437" spans="1:3" x14ac:dyDescent="0.2">
      <c r="A437" s="821">
        <v>3400000</v>
      </c>
      <c r="B437" s="1175" t="s">
        <v>146</v>
      </c>
      <c r="C437" s="1176">
        <v>208925.02</v>
      </c>
    </row>
    <row r="438" spans="1:3" x14ac:dyDescent="0.2">
      <c r="A438" s="821">
        <v>340000000</v>
      </c>
      <c r="B438" s="1175" t="s">
        <v>146</v>
      </c>
      <c r="C438" s="1176">
        <v>208925.02</v>
      </c>
    </row>
    <row r="439" spans="1:3" x14ac:dyDescent="0.2">
      <c r="A439" s="821">
        <v>34000000000</v>
      </c>
      <c r="B439" s="1175" t="s">
        <v>146</v>
      </c>
      <c r="C439" s="1176">
        <v>208925.02</v>
      </c>
    </row>
    <row r="440" spans="1:3" x14ac:dyDescent="0.2">
      <c r="B440" s="1175" t="s">
        <v>1639</v>
      </c>
      <c r="C440" s="1176">
        <v>2280287.6</v>
      </c>
    </row>
    <row r="441" spans="1:3" x14ac:dyDescent="0.2">
      <c r="B441" s="1175"/>
    </row>
    <row r="442" spans="1:3" x14ac:dyDescent="0.2">
      <c r="A442" s="821">
        <v>5</v>
      </c>
      <c r="B442" s="1175" t="s">
        <v>118</v>
      </c>
      <c r="C442" s="1176">
        <v>49425.38</v>
      </c>
    </row>
    <row r="443" spans="1:3" x14ac:dyDescent="0.2">
      <c r="B443" s="1175"/>
    </row>
    <row r="444" spans="1:3" x14ac:dyDescent="0.2">
      <c r="A444" s="821">
        <v>51</v>
      </c>
      <c r="B444" s="1175" t="s">
        <v>377</v>
      </c>
      <c r="C444" s="1176">
        <v>28839.45</v>
      </c>
    </row>
    <row r="445" spans="1:3" x14ac:dyDescent="0.2">
      <c r="B445" s="1175"/>
    </row>
    <row r="446" spans="1:3" x14ac:dyDescent="0.2">
      <c r="A446" s="821">
        <v>510</v>
      </c>
      <c r="B446" s="1175" t="s">
        <v>346</v>
      </c>
      <c r="C446" s="1176">
        <v>10038.950000000001</v>
      </c>
    </row>
    <row r="447" spans="1:3" x14ac:dyDescent="0.2">
      <c r="B447" s="1175"/>
    </row>
    <row r="448" spans="1:3" x14ac:dyDescent="0.2">
      <c r="A448" s="821">
        <v>5100</v>
      </c>
      <c r="B448" s="1175" t="s">
        <v>378</v>
      </c>
      <c r="C448" s="1176">
        <v>10038.950000000001</v>
      </c>
    </row>
    <row r="449" spans="1:3" x14ac:dyDescent="0.2">
      <c r="B449" s="1175"/>
    </row>
    <row r="450" spans="1:3" x14ac:dyDescent="0.2">
      <c r="A450" s="821">
        <v>5100010</v>
      </c>
      <c r="B450" s="1175" t="s">
        <v>379</v>
      </c>
      <c r="C450" s="1176">
        <v>2533.4</v>
      </c>
    </row>
    <row r="451" spans="1:3" x14ac:dyDescent="0.2">
      <c r="A451" s="821">
        <v>510001000</v>
      </c>
      <c r="B451" s="1175" t="s">
        <v>379</v>
      </c>
      <c r="C451" s="1176">
        <v>2533.4</v>
      </c>
    </row>
    <row r="452" spans="1:3" x14ac:dyDescent="0.2">
      <c r="A452" s="821">
        <v>51000100001</v>
      </c>
      <c r="B452" s="1175" t="s">
        <v>12</v>
      </c>
      <c r="C452" s="1176">
        <v>1267.58</v>
      </c>
    </row>
    <row r="453" spans="1:3" x14ac:dyDescent="0.2">
      <c r="A453" s="821">
        <v>51000100002</v>
      </c>
      <c r="B453" s="1175" t="s">
        <v>380</v>
      </c>
      <c r="C453" s="1176">
        <v>1265.82</v>
      </c>
    </row>
    <row r="454" spans="1:3" x14ac:dyDescent="0.2">
      <c r="A454" s="821">
        <v>5100020</v>
      </c>
      <c r="B454" s="1175" t="s">
        <v>381</v>
      </c>
      <c r="C454" s="1176">
        <v>7505.55</v>
      </c>
    </row>
    <row r="455" spans="1:3" x14ac:dyDescent="0.2">
      <c r="A455" s="821">
        <v>510002000</v>
      </c>
      <c r="B455" s="1175" t="s">
        <v>381</v>
      </c>
      <c r="C455" s="1176">
        <v>7505.55</v>
      </c>
    </row>
    <row r="456" spans="1:3" x14ac:dyDescent="0.2">
      <c r="A456" s="821">
        <v>51000200001</v>
      </c>
      <c r="B456" s="1175" t="s">
        <v>382</v>
      </c>
      <c r="C456" s="1176">
        <v>3754.23</v>
      </c>
    </row>
    <row r="457" spans="1:3" x14ac:dyDescent="0.2">
      <c r="A457" s="821">
        <v>51000200002</v>
      </c>
      <c r="B457" s="1175" t="s">
        <v>383</v>
      </c>
      <c r="C457" s="1176">
        <v>3751.32</v>
      </c>
    </row>
    <row r="458" spans="1:3" x14ac:dyDescent="0.2">
      <c r="B458" s="1175"/>
    </row>
    <row r="459" spans="1:3" x14ac:dyDescent="0.2">
      <c r="A459" s="821">
        <v>512</v>
      </c>
      <c r="B459" s="1175" t="s">
        <v>54</v>
      </c>
      <c r="C459" s="1176">
        <v>18800.5</v>
      </c>
    </row>
    <row r="460" spans="1:3" x14ac:dyDescent="0.2">
      <c r="B460" s="1175"/>
    </row>
    <row r="461" spans="1:3" x14ac:dyDescent="0.2">
      <c r="A461" s="821">
        <v>5122</v>
      </c>
      <c r="B461" s="1175" t="s">
        <v>54</v>
      </c>
      <c r="C461" s="1176">
        <v>18800.5</v>
      </c>
    </row>
    <row r="462" spans="1:3" x14ac:dyDescent="0.2">
      <c r="B462" s="1175"/>
    </row>
    <row r="463" spans="1:3" x14ac:dyDescent="0.2">
      <c r="A463" s="821">
        <v>5122020</v>
      </c>
      <c r="B463" s="1175" t="s">
        <v>55</v>
      </c>
      <c r="C463" s="1176">
        <v>18800.5</v>
      </c>
    </row>
    <row r="464" spans="1:3" x14ac:dyDescent="0.2">
      <c r="A464" s="821">
        <v>512202000</v>
      </c>
      <c r="B464" s="1175" t="s">
        <v>55</v>
      </c>
      <c r="C464" s="1176">
        <v>18800.5</v>
      </c>
    </row>
    <row r="465" spans="1:3" x14ac:dyDescent="0.2">
      <c r="A465" s="821">
        <v>51220200001</v>
      </c>
      <c r="B465" s="1175" t="s">
        <v>55</v>
      </c>
      <c r="C465" s="1176">
        <v>18800.5</v>
      </c>
    </row>
    <row r="466" spans="1:3" x14ac:dyDescent="0.2">
      <c r="B466" s="1175"/>
    </row>
    <row r="467" spans="1:3" x14ac:dyDescent="0.2">
      <c r="A467" s="821">
        <v>52</v>
      </c>
      <c r="B467" s="1175" t="s">
        <v>126</v>
      </c>
      <c r="C467" s="1176">
        <v>20585.93</v>
      </c>
    </row>
    <row r="468" spans="1:3" x14ac:dyDescent="0.2">
      <c r="B468" s="1175"/>
    </row>
    <row r="469" spans="1:3" x14ac:dyDescent="0.2">
      <c r="A469" s="821">
        <v>521</v>
      </c>
      <c r="B469" s="1175" t="s">
        <v>385</v>
      </c>
      <c r="C469" s="1176">
        <v>5501.5</v>
      </c>
    </row>
    <row r="470" spans="1:3" x14ac:dyDescent="0.2">
      <c r="B470" s="1175"/>
    </row>
    <row r="471" spans="1:3" x14ac:dyDescent="0.2">
      <c r="A471" s="821">
        <v>5212</v>
      </c>
      <c r="B471" s="1175" t="s">
        <v>24</v>
      </c>
      <c r="C471" s="1176">
        <v>5501.5</v>
      </c>
    </row>
    <row r="472" spans="1:3" x14ac:dyDescent="0.2">
      <c r="A472" s="821" t="s">
        <v>1744</v>
      </c>
      <c r="B472" s="1175" t="s">
        <v>1745</v>
      </c>
    </row>
    <row r="473" spans="1:3" x14ac:dyDescent="0.2">
      <c r="A473" s="821" t="s">
        <v>1735</v>
      </c>
      <c r="B473" s="1175" t="s">
        <v>1736</v>
      </c>
      <c r="C473">
        <v>3</v>
      </c>
    </row>
    <row r="474" spans="1:3" x14ac:dyDescent="0.2">
      <c r="B474" s="1175" t="s">
        <v>1739</v>
      </c>
      <c r="C474" t="s">
        <v>1740</v>
      </c>
    </row>
    <row r="475" spans="1:3" x14ac:dyDescent="0.2">
      <c r="B475" s="1175"/>
    </row>
    <row r="476" spans="1:3" x14ac:dyDescent="0.2">
      <c r="A476" s="821">
        <v>5212000</v>
      </c>
      <c r="B476" s="1175" t="s">
        <v>25</v>
      </c>
      <c r="C476" s="1176">
        <v>5501.5</v>
      </c>
    </row>
    <row r="477" spans="1:3" x14ac:dyDescent="0.2">
      <c r="A477" s="821">
        <v>521200000</v>
      </c>
      <c r="B477" s="1175" t="s">
        <v>25</v>
      </c>
      <c r="C477" s="1176">
        <v>5501.5</v>
      </c>
    </row>
    <row r="478" spans="1:3" x14ac:dyDescent="0.2">
      <c r="A478" s="821">
        <v>52120000001</v>
      </c>
      <c r="B478" s="1175" t="s">
        <v>26</v>
      </c>
      <c r="C478">
        <v>10</v>
      </c>
    </row>
    <row r="479" spans="1:3" x14ac:dyDescent="0.2">
      <c r="A479" s="821">
        <v>52120000002</v>
      </c>
      <c r="B479" s="1175" t="s">
        <v>27</v>
      </c>
      <c r="C479" s="1176">
        <v>5491.5</v>
      </c>
    </row>
    <row r="480" spans="1:3" x14ac:dyDescent="0.2">
      <c r="B480" s="1175"/>
    </row>
    <row r="481" spans="1:3" x14ac:dyDescent="0.2">
      <c r="A481" s="821">
        <v>522</v>
      </c>
      <c r="B481" s="1175" t="s">
        <v>386</v>
      </c>
      <c r="C481" s="1176">
        <v>15084.43</v>
      </c>
    </row>
    <row r="482" spans="1:3" x14ac:dyDescent="0.2">
      <c r="B482" s="1175"/>
    </row>
    <row r="483" spans="1:3" x14ac:dyDescent="0.2">
      <c r="A483" s="821">
        <v>5220</v>
      </c>
      <c r="B483" s="1175" t="s">
        <v>387</v>
      </c>
      <c r="C483" s="1176">
        <v>15084.43</v>
      </c>
    </row>
    <row r="484" spans="1:3" x14ac:dyDescent="0.2">
      <c r="B484" s="1175"/>
    </row>
    <row r="485" spans="1:3" x14ac:dyDescent="0.2">
      <c r="A485" s="821">
        <v>5220000</v>
      </c>
      <c r="B485" s="1175" t="s">
        <v>33</v>
      </c>
      <c r="C485" s="1176">
        <v>15084.43</v>
      </c>
    </row>
    <row r="486" spans="1:3" x14ac:dyDescent="0.2">
      <c r="A486" s="821">
        <v>522000000</v>
      </c>
      <c r="B486" s="1175" t="s">
        <v>33</v>
      </c>
      <c r="C486" s="1176">
        <v>15084.43</v>
      </c>
    </row>
    <row r="487" spans="1:3" x14ac:dyDescent="0.2">
      <c r="A487" s="821">
        <v>52200000001</v>
      </c>
      <c r="B487" s="1175" t="s">
        <v>33</v>
      </c>
      <c r="C487" s="1176">
        <v>15084.43</v>
      </c>
    </row>
    <row r="488" spans="1:3" x14ac:dyDescent="0.2">
      <c r="B488" s="1175" t="s">
        <v>1640</v>
      </c>
      <c r="C488" s="1176">
        <v>49425.38</v>
      </c>
    </row>
    <row r="489" spans="1:3" x14ac:dyDescent="0.2">
      <c r="B489" s="1175"/>
    </row>
    <row r="490" spans="1:3" x14ac:dyDescent="0.2">
      <c r="B490" s="1175"/>
    </row>
    <row r="491" spans="1:3" x14ac:dyDescent="0.2">
      <c r="B491" s="1175"/>
    </row>
    <row r="492" spans="1:3" x14ac:dyDescent="0.2">
      <c r="B492" s="1175"/>
    </row>
    <row r="493" spans="1:3" x14ac:dyDescent="0.2">
      <c r="B493" s="1175"/>
    </row>
    <row r="494" spans="1:3" x14ac:dyDescent="0.2">
      <c r="B494" s="1175"/>
    </row>
    <row r="495" spans="1:3" x14ac:dyDescent="0.2">
      <c r="B495" s="1175"/>
    </row>
    <row r="496" spans="1:3" x14ac:dyDescent="0.2">
      <c r="B496" s="1175"/>
    </row>
    <row r="497" spans="2:2" x14ac:dyDescent="0.2">
      <c r="B497" s="1175"/>
    </row>
    <row r="498" spans="2:2" x14ac:dyDescent="0.2">
      <c r="B498" s="1175"/>
    </row>
    <row r="499" spans="2:2" x14ac:dyDescent="0.2">
      <c r="B499" s="1175"/>
    </row>
    <row r="500" spans="2:2" x14ac:dyDescent="0.2">
      <c r="B500" s="1175"/>
    </row>
    <row r="501" spans="2:2" x14ac:dyDescent="0.2">
      <c r="B501" s="1175"/>
    </row>
    <row r="502" spans="2:2" x14ac:dyDescent="0.2">
      <c r="B502" s="1175"/>
    </row>
    <row r="503" spans="2:2" x14ac:dyDescent="0.2">
      <c r="B503" s="1175"/>
    </row>
    <row r="504" spans="2:2" x14ac:dyDescent="0.2">
      <c r="B504" s="1175"/>
    </row>
    <row r="505" spans="2:2" x14ac:dyDescent="0.2">
      <c r="B505" s="1175"/>
    </row>
    <row r="506" spans="2:2" x14ac:dyDescent="0.2">
      <c r="B506" s="1175"/>
    </row>
    <row r="507" spans="2:2" x14ac:dyDescent="0.2">
      <c r="B507" s="1175"/>
    </row>
    <row r="508" spans="2:2" x14ac:dyDescent="0.2">
      <c r="B508" s="1175"/>
    </row>
    <row r="509" spans="2:2" x14ac:dyDescent="0.2">
      <c r="B509" s="1175"/>
    </row>
    <row r="510" spans="2:2" x14ac:dyDescent="0.2">
      <c r="B510" s="1175"/>
    </row>
    <row r="511" spans="2:2" x14ac:dyDescent="0.2">
      <c r="B511" s="1175"/>
    </row>
    <row r="512" spans="2:2" x14ac:dyDescent="0.2">
      <c r="B512" s="1175"/>
    </row>
    <row r="513" spans="2:2" x14ac:dyDescent="0.2">
      <c r="B513" s="1175"/>
    </row>
    <row r="514" spans="2:2" x14ac:dyDescent="0.2">
      <c r="B514" s="1175"/>
    </row>
    <row r="515" spans="2:2" x14ac:dyDescent="0.2">
      <c r="B515" s="1175"/>
    </row>
    <row r="516" spans="2:2" x14ac:dyDescent="0.2">
      <c r="B516" s="1175"/>
    </row>
    <row r="517" spans="2:2" x14ac:dyDescent="0.2">
      <c r="B517" s="1175"/>
    </row>
    <row r="518" spans="2:2" x14ac:dyDescent="0.2">
      <c r="B518" s="1175"/>
    </row>
    <row r="519" spans="2:2" x14ac:dyDescent="0.2">
      <c r="B519" s="1175"/>
    </row>
    <row r="520" spans="2:2" x14ac:dyDescent="0.2">
      <c r="B520" s="1175"/>
    </row>
    <row r="521" spans="2:2" x14ac:dyDescent="0.2">
      <c r="B521" s="1175"/>
    </row>
    <row r="522" spans="2:2" x14ac:dyDescent="0.2">
      <c r="B522" s="1175"/>
    </row>
    <row r="523" spans="2:2" x14ac:dyDescent="0.2">
      <c r="B523" s="1175"/>
    </row>
    <row r="524" spans="2:2" x14ac:dyDescent="0.2">
      <c r="B524" s="1175"/>
    </row>
    <row r="525" spans="2:2" x14ac:dyDescent="0.2">
      <c r="B525" s="1175"/>
    </row>
    <row r="526" spans="2:2" x14ac:dyDescent="0.2">
      <c r="B526" s="1175"/>
    </row>
    <row r="527" spans="2:2" x14ac:dyDescent="0.2">
      <c r="B527" s="1175"/>
    </row>
    <row r="528" spans="2:2" x14ac:dyDescent="0.2">
      <c r="B528" s="1175"/>
    </row>
    <row r="529" spans="1:3" x14ac:dyDescent="0.2">
      <c r="B529" s="1175"/>
    </row>
    <row r="530" spans="1:3" x14ac:dyDescent="0.2">
      <c r="B530" s="1175"/>
    </row>
    <row r="531" spans="1:3" x14ac:dyDescent="0.2">
      <c r="B531" s="1175"/>
    </row>
    <row r="532" spans="1:3" x14ac:dyDescent="0.2">
      <c r="A532" s="821" t="s">
        <v>1744</v>
      </c>
      <c r="B532" s="1175" t="s">
        <v>1745</v>
      </c>
    </row>
    <row r="533" spans="1:3" x14ac:dyDescent="0.2">
      <c r="A533" s="821" t="s">
        <v>1735</v>
      </c>
      <c r="B533" s="1175" t="s">
        <v>1736</v>
      </c>
      <c r="C533">
        <v>4</v>
      </c>
    </row>
    <row r="534" spans="1:3" x14ac:dyDescent="0.2">
      <c r="B534" s="1175" t="s">
        <v>1739</v>
      </c>
      <c r="C534" t="s">
        <v>1740</v>
      </c>
    </row>
    <row r="535" spans="1:3" x14ac:dyDescent="0.2">
      <c r="B535" s="1175"/>
    </row>
    <row r="536" spans="1:3" x14ac:dyDescent="0.2">
      <c r="B536" s="1175"/>
    </row>
    <row r="537" spans="1:3" x14ac:dyDescent="0.2">
      <c r="B537" s="1175"/>
    </row>
    <row r="538" spans="1:3" x14ac:dyDescent="0.2">
      <c r="B538" s="1175"/>
    </row>
    <row r="539" spans="1:3" x14ac:dyDescent="0.2">
      <c r="B539" s="1175"/>
    </row>
    <row r="540" spans="1:3" x14ac:dyDescent="0.2">
      <c r="B540" s="1175"/>
    </row>
    <row r="541" spans="1:3" x14ac:dyDescent="0.2">
      <c r="B541" s="1175"/>
    </row>
    <row r="542" spans="1:3" x14ac:dyDescent="0.2">
      <c r="B542" s="1175"/>
    </row>
    <row r="543" spans="1:3" x14ac:dyDescent="0.2">
      <c r="B543" s="1175"/>
    </row>
    <row r="544" spans="1:3" x14ac:dyDescent="0.2">
      <c r="B544" s="1175"/>
    </row>
    <row r="545" spans="2:2" x14ac:dyDescent="0.2">
      <c r="B545" s="1175"/>
    </row>
    <row r="546" spans="2:2" x14ac:dyDescent="0.2">
      <c r="B546" s="1175"/>
    </row>
    <row r="547" spans="2:2" x14ac:dyDescent="0.2">
      <c r="B547" s="1175"/>
    </row>
    <row r="548" spans="2:2" x14ac:dyDescent="0.2">
      <c r="B548" s="1175"/>
    </row>
    <row r="549" spans="2:2" x14ac:dyDescent="0.2">
      <c r="B549" s="1175"/>
    </row>
    <row r="550" spans="2:2" x14ac:dyDescent="0.2">
      <c r="B550" s="1175"/>
    </row>
    <row r="551" spans="2:2" x14ac:dyDescent="0.2">
      <c r="B551" s="1175"/>
    </row>
    <row r="552" spans="2:2" x14ac:dyDescent="0.2">
      <c r="B552" s="1175"/>
    </row>
    <row r="553" spans="2:2" x14ac:dyDescent="0.2">
      <c r="B553" s="1175"/>
    </row>
    <row r="554" spans="2:2" x14ac:dyDescent="0.2">
      <c r="B554" s="1175"/>
    </row>
    <row r="555" spans="2:2" x14ac:dyDescent="0.2">
      <c r="B555" s="1175"/>
    </row>
    <row r="556" spans="2:2" x14ac:dyDescent="0.2">
      <c r="B556" s="1175"/>
    </row>
    <row r="557" spans="2:2" x14ac:dyDescent="0.2">
      <c r="B557" s="1175"/>
    </row>
    <row r="558" spans="2:2" x14ac:dyDescent="0.2">
      <c r="B558" s="1175"/>
    </row>
    <row r="559" spans="2:2" x14ac:dyDescent="0.2">
      <c r="B559" s="1175"/>
    </row>
    <row r="560" spans="2:2" x14ac:dyDescent="0.2">
      <c r="B560" s="1175"/>
    </row>
    <row r="561" spans="1:3" x14ac:dyDescent="0.2">
      <c r="B561" s="1175"/>
    </row>
    <row r="562" spans="1:3" x14ac:dyDescent="0.2">
      <c r="B562" s="1175"/>
    </row>
    <row r="563" spans="1:3" x14ac:dyDescent="0.2">
      <c r="B563" s="1175"/>
    </row>
    <row r="564" spans="1:3" x14ac:dyDescent="0.2">
      <c r="B564" s="1175"/>
    </row>
    <row r="565" spans="1:3" x14ac:dyDescent="0.2">
      <c r="B565" s="1175"/>
    </row>
    <row r="566" spans="1:3" x14ac:dyDescent="0.2">
      <c r="B566" s="1175"/>
    </row>
    <row r="567" spans="1:3" x14ac:dyDescent="0.2">
      <c r="B567" s="1175"/>
    </row>
    <row r="568" spans="1:3" x14ac:dyDescent="0.2">
      <c r="B568" s="1175"/>
    </row>
    <row r="569" spans="1:3" x14ac:dyDescent="0.2">
      <c r="B569" s="1175"/>
    </row>
    <row r="570" spans="1:3" x14ac:dyDescent="0.2">
      <c r="B570" s="1175"/>
    </row>
    <row r="571" spans="1:3" x14ac:dyDescent="0.2">
      <c r="B571" s="1175"/>
    </row>
    <row r="572" spans="1:3" x14ac:dyDescent="0.2">
      <c r="A572" s="821">
        <v>7</v>
      </c>
      <c r="B572" s="1175" t="s">
        <v>393</v>
      </c>
      <c r="C572" s="1176">
        <v>253717.32</v>
      </c>
    </row>
    <row r="573" spans="1:3" x14ac:dyDescent="0.2">
      <c r="B573" s="1175"/>
    </row>
    <row r="574" spans="1:3" x14ac:dyDescent="0.2">
      <c r="A574" s="821">
        <v>71</v>
      </c>
      <c r="B574" s="1175" t="s">
        <v>274</v>
      </c>
      <c r="C574" s="1176">
        <v>122567.32</v>
      </c>
    </row>
    <row r="575" spans="1:3" x14ac:dyDescent="0.2">
      <c r="B575" s="1175"/>
    </row>
    <row r="576" spans="1:3" x14ac:dyDescent="0.2">
      <c r="A576" s="821">
        <v>710</v>
      </c>
      <c r="B576" s="1175" t="s">
        <v>275</v>
      </c>
      <c r="C576" s="1176">
        <v>114286</v>
      </c>
    </row>
    <row r="577" spans="1:3" x14ac:dyDescent="0.2">
      <c r="B577" s="1175"/>
    </row>
    <row r="578" spans="1:3" x14ac:dyDescent="0.2">
      <c r="A578" s="821">
        <v>7100</v>
      </c>
      <c r="B578" s="1175" t="s">
        <v>276</v>
      </c>
      <c r="C578" s="1176">
        <v>114286</v>
      </c>
    </row>
    <row r="579" spans="1:3" x14ac:dyDescent="0.2">
      <c r="B579" s="1175"/>
    </row>
    <row r="580" spans="1:3" x14ac:dyDescent="0.2">
      <c r="A580" s="821">
        <v>7100000</v>
      </c>
      <c r="B580" s="1175" t="s">
        <v>276</v>
      </c>
      <c r="C580" s="1176">
        <v>114286</v>
      </c>
    </row>
    <row r="581" spans="1:3" x14ac:dyDescent="0.2">
      <c r="A581" s="821">
        <v>710000000</v>
      </c>
      <c r="B581" s="1175" t="s">
        <v>276</v>
      </c>
      <c r="C581" s="1176">
        <v>114286</v>
      </c>
    </row>
    <row r="582" spans="1:3" x14ac:dyDescent="0.2">
      <c r="A582" s="821">
        <v>71000000000</v>
      </c>
      <c r="B582" s="1175" t="s">
        <v>394</v>
      </c>
      <c r="C582" s="1176">
        <v>114286</v>
      </c>
    </row>
    <row r="583" spans="1:3" x14ac:dyDescent="0.2">
      <c r="B583" s="1175"/>
    </row>
    <row r="584" spans="1:3" x14ac:dyDescent="0.2">
      <c r="A584" s="821">
        <v>713</v>
      </c>
      <c r="B584" s="1175" t="s">
        <v>395</v>
      </c>
      <c r="C584" s="1176">
        <v>8281.32</v>
      </c>
    </row>
    <row r="585" spans="1:3" x14ac:dyDescent="0.2">
      <c r="B585" s="1175"/>
    </row>
    <row r="586" spans="1:3" x14ac:dyDescent="0.2">
      <c r="A586" s="821">
        <v>7130</v>
      </c>
      <c r="B586" s="1175" t="s">
        <v>396</v>
      </c>
      <c r="C586" s="1176">
        <v>8281.32</v>
      </c>
    </row>
    <row r="587" spans="1:3" x14ac:dyDescent="0.2">
      <c r="B587" s="1175"/>
    </row>
    <row r="588" spans="1:3" x14ac:dyDescent="0.2">
      <c r="A588" s="821">
        <v>7130000</v>
      </c>
      <c r="B588" s="1175" t="s">
        <v>396</v>
      </c>
      <c r="C588" s="1176">
        <v>8281.32</v>
      </c>
    </row>
    <row r="589" spans="1:3" x14ac:dyDescent="0.2">
      <c r="A589" s="821">
        <v>713000000</v>
      </c>
      <c r="B589" s="1175" t="s">
        <v>396</v>
      </c>
      <c r="C589" s="1176">
        <v>8281.32</v>
      </c>
    </row>
    <row r="590" spans="1:3" x14ac:dyDescent="0.2">
      <c r="A590" s="821">
        <v>71300000001</v>
      </c>
      <c r="B590" s="1175" t="s">
        <v>397</v>
      </c>
      <c r="C590" s="1176">
        <v>8281.32</v>
      </c>
    </row>
    <row r="591" spans="1:3" x14ac:dyDescent="0.2">
      <c r="B591" s="1175"/>
    </row>
    <row r="592" spans="1:3" x14ac:dyDescent="0.2">
      <c r="A592" s="821" t="s">
        <v>1744</v>
      </c>
      <c r="B592" s="1175" t="s">
        <v>1745</v>
      </c>
    </row>
    <row r="593" spans="1:3" x14ac:dyDescent="0.2">
      <c r="A593" s="821" t="s">
        <v>1735</v>
      </c>
      <c r="B593" s="1175" t="s">
        <v>1736</v>
      </c>
      <c r="C593">
        <v>5</v>
      </c>
    </row>
    <row r="594" spans="1:3" x14ac:dyDescent="0.2">
      <c r="B594" s="1175" t="s">
        <v>1739</v>
      </c>
      <c r="C594" t="s">
        <v>1740</v>
      </c>
    </row>
    <row r="595" spans="1:3" x14ac:dyDescent="0.2">
      <c r="A595" s="821">
        <v>72</v>
      </c>
      <c r="B595" s="1175" t="s">
        <v>398</v>
      </c>
      <c r="C595" s="1176">
        <v>131150</v>
      </c>
    </row>
    <row r="596" spans="1:3" x14ac:dyDescent="0.2">
      <c r="B596" s="1175"/>
    </row>
    <row r="597" spans="1:3" x14ac:dyDescent="0.2">
      <c r="A597" s="821">
        <v>720</v>
      </c>
      <c r="B597" s="1175" t="s">
        <v>399</v>
      </c>
      <c r="C597" s="1176">
        <v>16864</v>
      </c>
    </row>
    <row r="598" spans="1:3" x14ac:dyDescent="0.2">
      <c r="B598" s="1175"/>
    </row>
    <row r="599" spans="1:3" x14ac:dyDescent="0.2">
      <c r="A599" s="821">
        <v>7200</v>
      </c>
      <c r="B599" s="1175" t="s">
        <v>399</v>
      </c>
      <c r="C599" s="1176">
        <v>16864</v>
      </c>
    </row>
    <row r="600" spans="1:3" x14ac:dyDescent="0.2">
      <c r="B600" s="1175"/>
    </row>
    <row r="601" spans="1:3" x14ac:dyDescent="0.2">
      <c r="A601" s="821">
        <v>7200000</v>
      </c>
      <c r="B601" s="1175" t="s">
        <v>399</v>
      </c>
      <c r="C601" s="1176">
        <v>16864</v>
      </c>
    </row>
    <row r="602" spans="1:3" x14ac:dyDescent="0.2">
      <c r="A602" s="821">
        <v>720000000</v>
      </c>
      <c r="B602" s="1175" t="s">
        <v>399</v>
      </c>
      <c r="C602" s="1176">
        <v>16864</v>
      </c>
    </row>
    <row r="603" spans="1:3" x14ac:dyDescent="0.2">
      <c r="A603" s="821">
        <v>72000000001</v>
      </c>
      <c r="B603" s="1175" t="s">
        <v>400</v>
      </c>
      <c r="C603" s="1176">
        <v>16864</v>
      </c>
    </row>
    <row r="604" spans="1:3" x14ac:dyDescent="0.2">
      <c r="B604" s="1175"/>
    </row>
    <row r="605" spans="1:3" x14ac:dyDescent="0.2">
      <c r="A605" s="821">
        <v>721</v>
      </c>
      <c r="B605" s="1175" t="s">
        <v>401</v>
      </c>
      <c r="C605" s="1176">
        <v>114286</v>
      </c>
    </row>
    <row r="606" spans="1:3" x14ac:dyDescent="0.2">
      <c r="B606" s="1175"/>
    </row>
    <row r="607" spans="1:3" x14ac:dyDescent="0.2">
      <c r="A607" s="821">
        <v>7210</v>
      </c>
      <c r="B607" s="1175" t="s">
        <v>401</v>
      </c>
      <c r="C607" s="1176">
        <v>114286</v>
      </c>
    </row>
    <row r="608" spans="1:3" x14ac:dyDescent="0.2">
      <c r="B608" s="1175"/>
    </row>
    <row r="609" spans="1:3" x14ac:dyDescent="0.2">
      <c r="A609" s="821">
        <v>7210000</v>
      </c>
      <c r="B609" s="1175" t="s">
        <v>401</v>
      </c>
      <c r="C609" s="1176">
        <v>114286</v>
      </c>
    </row>
    <row r="610" spans="1:3" x14ac:dyDescent="0.2">
      <c r="A610" s="821">
        <v>721000000</v>
      </c>
      <c r="B610" s="1175" t="s">
        <v>401</v>
      </c>
      <c r="C610" s="1176">
        <v>114286</v>
      </c>
    </row>
    <row r="611" spans="1:3" x14ac:dyDescent="0.2">
      <c r="A611" s="821">
        <v>72100000001</v>
      </c>
      <c r="B611" s="1175" t="s">
        <v>424</v>
      </c>
      <c r="C611" s="1176">
        <v>114286</v>
      </c>
    </row>
    <row r="612" spans="1:3" x14ac:dyDescent="0.2">
      <c r="B612" s="1175" t="s">
        <v>1642</v>
      </c>
      <c r="C612" s="1176">
        <v>253717.32</v>
      </c>
    </row>
    <row r="613" spans="1:3" x14ac:dyDescent="0.2">
      <c r="B613" s="1175"/>
    </row>
    <row r="614" spans="1:3" x14ac:dyDescent="0.2">
      <c r="A614" s="821">
        <v>9</v>
      </c>
      <c r="B614" s="1175" t="s">
        <v>411</v>
      </c>
      <c r="C614" s="1176">
        <v>624910001.46000004</v>
      </c>
    </row>
    <row r="615" spans="1:3" x14ac:dyDescent="0.2">
      <c r="B615" s="1175"/>
    </row>
    <row r="616" spans="1:3" x14ac:dyDescent="0.2">
      <c r="A616" s="821">
        <v>91</v>
      </c>
      <c r="B616" s="1175" t="s">
        <v>207</v>
      </c>
      <c r="C616" s="1176">
        <v>622972165.28999996</v>
      </c>
    </row>
    <row r="617" spans="1:3" x14ac:dyDescent="0.2">
      <c r="B617" s="1175"/>
    </row>
    <row r="618" spans="1:3" x14ac:dyDescent="0.2">
      <c r="A618" s="821">
        <v>910</v>
      </c>
      <c r="B618" s="1175" t="s">
        <v>412</v>
      </c>
      <c r="C618" s="1176">
        <v>1814.21</v>
      </c>
    </row>
    <row r="619" spans="1:3" x14ac:dyDescent="0.2">
      <c r="B619" s="1175"/>
    </row>
    <row r="620" spans="1:3" x14ac:dyDescent="0.2">
      <c r="A620" s="821">
        <v>9101</v>
      </c>
      <c r="B620" s="1175" t="s">
        <v>35</v>
      </c>
      <c r="C620" s="1176">
        <v>1814.21</v>
      </c>
    </row>
    <row r="621" spans="1:3" x14ac:dyDescent="0.2">
      <c r="B621" s="1175"/>
    </row>
    <row r="622" spans="1:3" x14ac:dyDescent="0.2">
      <c r="A622" s="821">
        <v>9101010</v>
      </c>
      <c r="B622" s="1175" t="s">
        <v>145</v>
      </c>
      <c r="C622" s="1176">
        <v>1814.21</v>
      </c>
    </row>
    <row r="623" spans="1:3" x14ac:dyDescent="0.2">
      <c r="A623" s="821">
        <v>910101000</v>
      </c>
      <c r="B623" s="1175" t="s">
        <v>145</v>
      </c>
      <c r="C623" s="1176">
        <v>1814.21</v>
      </c>
    </row>
    <row r="624" spans="1:3" x14ac:dyDescent="0.2">
      <c r="A624" s="821">
        <v>91010100001</v>
      </c>
      <c r="B624" s="1175" t="s">
        <v>35</v>
      </c>
      <c r="C624" s="1176">
        <v>1814.21</v>
      </c>
    </row>
    <row r="625" spans="1:3" x14ac:dyDescent="0.2">
      <c r="B625" s="1175"/>
    </row>
    <row r="626" spans="1:3" x14ac:dyDescent="0.2">
      <c r="A626" s="821">
        <v>911</v>
      </c>
      <c r="B626" s="1175" t="s">
        <v>95</v>
      </c>
      <c r="C626" s="1176">
        <v>39302125.859999999</v>
      </c>
    </row>
    <row r="627" spans="1:3" x14ac:dyDescent="0.2">
      <c r="B627" s="1175"/>
    </row>
    <row r="628" spans="1:3" x14ac:dyDescent="0.2">
      <c r="A628" s="821">
        <v>9111</v>
      </c>
      <c r="B628" s="1175" t="s">
        <v>45</v>
      </c>
      <c r="C628" s="1176">
        <v>39302125.859999999</v>
      </c>
    </row>
    <row r="629" spans="1:3" x14ac:dyDescent="0.2">
      <c r="B629" s="1175"/>
    </row>
    <row r="630" spans="1:3" x14ac:dyDescent="0.2">
      <c r="A630" s="821">
        <v>9111010</v>
      </c>
      <c r="B630" s="1175" t="s">
        <v>332</v>
      </c>
      <c r="C630">
        <v>7.45</v>
      </c>
    </row>
    <row r="631" spans="1:3" x14ac:dyDescent="0.2">
      <c r="A631" s="821">
        <v>911101000</v>
      </c>
      <c r="B631" s="1175" t="s">
        <v>332</v>
      </c>
      <c r="C631">
        <v>7.45</v>
      </c>
    </row>
    <row r="632" spans="1:3" x14ac:dyDescent="0.2">
      <c r="A632" s="821">
        <v>91110100000</v>
      </c>
      <c r="B632" s="1175" t="s">
        <v>332</v>
      </c>
      <c r="C632">
        <v>7.45</v>
      </c>
    </row>
    <row r="633" spans="1:3" x14ac:dyDescent="0.2">
      <c r="A633" s="821">
        <v>9111050</v>
      </c>
      <c r="B633" s="1175" t="s">
        <v>184</v>
      </c>
      <c r="C633" s="1176">
        <v>39302118.409999996</v>
      </c>
    </row>
    <row r="634" spans="1:3" x14ac:dyDescent="0.2">
      <c r="A634" s="821">
        <v>911105000</v>
      </c>
      <c r="B634" s="1175" t="s">
        <v>184</v>
      </c>
      <c r="C634" s="1176">
        <v>39302118.409999996</v>
      </c>
    </row>
    <row r="635" spans="1:3" x14ac:dyDescent="0.2">
      <c r="A635" s="821">
        <v>91110500001</v>
      </c>
      <c r="B635" s="1175" t="s">
        <v>413</v>
      </c>
      <c r="C635" s="1176">
        <v>39302118.409999996</v>
      </c>
    </row>
    <row r="636" spans="1:3" x14ac:dyDescent="0.2">
      <c r="B636" s="1175"/>
    </row>
    <row r="637" spans="1:3" x14ac:dyDescent="0.2">
      <c r="A637" s="821">
        <v>914</v>
      </c>
      <c r="B637" s="1175" t="s">
        <v>414</v>
      </c>
      <c r="C637" s="1176">
        <v>583668225.22000003</v>
      </c>
    </row>
    <row r="638" spans="1:3" x14ac:dyDescent="0.2">
      <c r="B638" s="1175"/>
    </row>
    <row r="639" spans="1:3" x14ac:dyDescent="0.2">
      <c r="A639" s="821">
        <v>9140</v>
      </c>
      <c r="B639" s="1175" t="s">
        <v>113</v>
      </c>
      <c r="C639" s="1176">
        <v>583668225.22000003</v>
      </c>
    </row>
    <row r="640" spans="1:3" x14ac:dyDescent="0.2">
      <c r="B640" s="1175"/>
    </row>
    <row r="641" spans="1:3" x14ac:dyDescent="0.2">
      <c r="A641" s="821">
        <v>9140000</v>
      </c>
      <c r="B641" s="1175" t="s">
        <v>116</v>
      </c>
      <c r="C641" s="1176">
        <v>583668225.22000003</v>
      </c>
    </row>
    <row r="642" spans="1:3" x14ac:dyDescent="0.2">
      <c r="A642" s="821">
        <v>914000000</v>
      </c>
      <c r="B642" s="1175" t="s">
        <v>116</v>
      </c>
      <c r="C642" s="1176">
        <v>583668225.22000003</v>
      </c>
    </row>
    <row r="643" spans="1:3" x14ac:dyDescent="0.2">
      <c r="A643" s="821">
        <v>91400000001</v>
      </c>
      <c r="B643" s="1175" t="s">
        <v>451</v>
      </c>
      <c r="C643" s="1176">
        <v>400441369.07999998</v>
      </c>
    </row>
    <row r="644" spans="1:3" x14ac:dyDescent="0.2">
      <c r="A644" s="821">
        <v>91400000002</v>
      </c>
      <c r="B644" s="1175" t="s">
        <v>404</v>
      </c>
      <c r="C644" s="1176">
        <v>9760000</v>
      </c>
    </row>
    <row r="645" spans="1:3" x14ac:dyDescent="0.2">
      <c r="A645" s="821">
        <v>91400000004</v>
      </c>
      <c r="B645" s="1175" t="s">
        <v>282</v>
      </c>
      <c r="C645" s="1176">
        <v>3500000</v>
      </c>
    </row>
    <row r="646" spans="1:3" x14ac:dyDescent="0.2">
      <c r="A646" s="821">
        <v>91400000006</v>
      </c>
      <c r="B646" s="1175" t="s">
        <v>481</v>
      </c>
      <c r="C646" s="1176">
        <v>159162576</v>
      </c>
    </row>
    <row r="647" spans="1:3" x14ac:dyDescent="0.2">
      <c r="A647" s="821">
        <v>91400000010</v>
      </c>
      <c r="B647" s="1175" t="s">
        <v>73</v>
      </c>
      <c r="C647" s="1176">
        <v>90000</v>
      </c>
    </row>
    <row r="648" spans="1:3" x14ac:dyDescent="0.2">
      <c r="A648" s="821">
        <v>91400000014</v>
      </c>
      <c r="B648" s="1175" t="s">
        <v>81</v>
      </c>
      <c r="C648">
        <v>0.14000000000000001</v>
      </c>
    </row>
    <row r="649" spans="1:3" x14ac:dyDescent="0.2">
      <c r="A649" s="821">
        <v>91400000029</v>
      </c>
      <c r="B649" s="1175" t="s">
        <v>456</v>
      </c>
      <c r="C649" s="1176">
        <v>114280</v>
      </c>
    </row>
    <row r="650" spans="1:3" x14ac:dyDescent="0.2">
      <c r="A650" s="821">
        <v>91400000039</v>
      </c>
      <c r="B650" s="1175" t="s">
        <v>869</v>
      </c>
      <c r="C650" s="1176">
        <v>600000</v>
      </c>
    </row>
    <row r="651" spans="1:3" x14ac:dyDescent="0.2">
      <c r="A651" s="821">
        <v>91400000042</v>
      </c>
      <c r="B651" s="1175" t="s">
        <v>1599</v>
      </c>
      <c r="C651" s="1176">
        <v>10000000</v>
      </c>
    </row>
    <row r="652" spans="1:3" x14ac:dyDescent="0.2">
      <c r="A652" s="821" t="s">
        <v>1744</v>
      </c>
      <c r="B652" s="1175" t="s">
        <v>1745</v>
      </c>
    </row>
    <row r="653" spans="1:3" x14ac:dyDescent="0.2">
      <c r="A653" s="821" t="s">
        <v>1735</v>
      </c>
      <c r="B653" s="1175" t="s">
        <v>1736</v>
      </c>
      <c r="C653">
        <v>6</v>
      </c>
    </row>
    <row r="654" spans="1:3" x14ac:dyDescent="0.2">
      <c r="B654" s="1175" t="s">
        <v>1739</v>
      </c>
      <c r="C654" t="s">
        <v>1740</v>
      </c>
    </row>
    <row r="655" spans="1:3" x14ac:dyDescent="0.2">
      <c r="B655" s="1175"/>
    </row>
    <row r="656" spans="1:3" x14ac:dyDescent="0.2">
      <c r="A656" s="821">
        <v>92</v>
      </c>
      <c r="B656" s="1175" t="s">
        <v>415</v>
      </c>
      <c r="C656" s="1176">
        <v>1937836.17</v>
      </c>
    </row>
    <row r="657" spans="1:3" x14ac:dyDescent="0.2">
      <c r="B657" s="1175"/>
    </row>
    <row r="658" spans="1:3" x14ac:dyDescent="0.2">
      <c r="A658" s="821">
        <v>921</v>
      </c>
      <c r="B658" s="1175" t="s">
        <v>167</v>
      </c>
      <c r="C658" s="1176">
        <v>1937836.17</v>
      </c>
    </row>
    <row r="659" spans="1:3" x14ac:dyDescent="0.2">
      <c r="B659" s="1175"/>
    </row>
    <row r="660" spans="1:3" x14ac:dyDescent="0.2">
      <c r="A660" s="821">
        <v>9210</v>
      </c>
      <c r="B660" s="1175" t="s">
        <v>316</v>
      </c>
      <c r="C660" s="1176">
        <v>327975.58</v>
      </c>
    </row>
    <row r="661" spans="1:3" x14ac:dyDescent="0.2">
      <c r="B661" s="1175"/>
    </row>
    <row r="662" spans="1:3" x14ac:dyDescent="0.2">
      <c r="A662" s="821">
        <v>9210000</v>
      </c>
      <c r="B662" s="1175" t="s">
        <v>316</v>
      </c>
      <c r="C662" s="1176">
        <v>327975.58</v>
      </c>
    </row>
    <row r="663" spans="1:3" x14ac:dyDescent="0.2">
      <c r="A663" s="821">
        <v>921000000</v>
      </c>
      <c r="B663" s="1175" t="s">
        <v>316</v>
      </c>
      <c r="C663" s="1176">
        <v>327975.58</v>
      </c>
    </row>
    <row r="664" spans="1:3" x14ac:dyDescent="0.2">
      <c r="A664" s="821">
        <v>92100000001</v>
      </c>
      <c r="B664" s="1175" t="s">
        <v>495</v>
      </c>
      <c r="C664" s="1176">
        <v>327533.76</v>
      </c>
    </row>
    <row r="665" spans="1:3" x14ac:dyDescent="0.2">
      <c r="A665" s="821">
        <v>92100000002</v>
      </c>
      <c r="B665" s="1175" t="s">
        <v>407</v>
      </c>
      <c r="C665">
        <v>441.82</v>
      </c>
    </row>
    <row r="666" spans="1:3" x14ac:dyDescent="0.2">
      <c r="B666" s="1175"/>
    </row>
    <row r="667" spans="1:3" x14ac:dyDescent="0.2">
      <c r="A667" s="821">
        <v>9211</v>
      </c>
      <c r="B667" s="1175" t="s">
        <v>432</v>
      </c>
      <c r="C667" s="1176">
        <v>53156.18</v>
      </c>
    </row>
    <row r="668" spans="1:3" x14ac:dyDescent="0.2">
      <c r="B668" s="1175"/>
    </row>
    <row r="669" spans="1:3" x14ac:dyDescent="0.2">
      <c r="A669" s="821">
        <v>9211000</v>
      </c>
      <c r="B669" s="1175" t="s">
        <v>432</v>
      </c>
      <c r="C669" s="1176">
        <v>53156.18</v>
      </c>
    </row>
    <row r="670" spans="1:3" x14ac:dyDescent="0.2">
      <c r="A670" s="821">
        <v>921100000</v>
      </c>
      <c r="B670" s="1175" t="s">
        <v>432</v>
      </c>
      <c r="C670" s="1176">
        <v>53156.18</v>
      </c>
    </row>
    <row r="671" spans="1:3" x14ac:dyDescent="0.2">
      <c r="A671" s="821">
        <v>92110000001</v>
      </c>
      <c r="B671" s="1175" t="s">
        <v>432</v>
      </c>
      <c r="C671" s="1176">
        <v>53156.18</v>
      </c>
    </row>
    <row r="672" spans="1:3" x14ac:dyDescent="0.2">
      <c r="B672" s="1175"/>
    </row>
    <row r="673" spans="1:3" x14ac:dyDescent="0.2">
      <c r="A673" s="821">
        <v>9212</v>
      </c>
      <c r="B673" s="1175" t="s">
        <v>317</v>
      </c>
      <c r="C673" s="1176">
        <v>34146.33</v>
      </c>
    </row>
    <row r="674" spans="1:3" x14ac:dyDescent="0.2">
      <c r="B674" s="1175"/>
    </row>
    <row r="675" spans="1:3" x14ac:dyDescent="0.2">
      <c r="A675" s="821">
        <v>9212010</v>
      </c>
      <c r="B675" s="1175" t="s">
        <v>416</v>
      </c>
      <c r="C675" s="1176">
        <v>34146.33</v>
      </c>
    </row>
    <row r="676" spans="1:3" x14ac:dyDescent="0.2">
      <c r="A676" s="821">
        <v>921201000</v>
      </c>
      <c r="B676" s="1175" t="s">
        <v>416</v>
      </c>
      <c r="C676" s="1176">
        <v>34146.33</v>
      </c>
    </row>
    <row r="677" spans="1:3" x14ac:dyDescent="0.2">
      <c r="A677" s="821">
        <v>92120100001</v>
      </c>
      <c r="B677" s="1175" t="s">
        <v>408</v>
      </c>
      <c r="C677" s="1176">
        <v>34146.33</v>
      </c>
    </row>
    <row r="678" spans="1:3" x14ac:dyDescent="0.2">
      <c r="B678" s="1175"/>
    </row>
    <row r="679" spans="1:3" x14ac:dyDescent="0.2">
      <c r="A679" s="821">
        <v>9213</v>
      </c>
      <c r="B679" s="1175" t="s">
        <v>429</v>
      </c>
      <c r="C679" s="1176">
        <v>5545.36</v>
      </c>
    </row>
    <row r="680" spans="1:3" x14ac:dyDescent="0.2">
      <c r="B680" s="1175"/>
    </row>
    <row r="681" spans="1:3" x14ac:dyDescent="0.2">
      <c r="A681" s="821">
        <v>9213000</v>
      </c>
      <c r="B681" s="1175" t="s">
        <v>429</v>
      </c>
      <c r="C681" s="1176">
        <v>5545.36</v>
      </c>
    </row>
    <row r="682" spans="1:3" x14ac:dyDescent="0.2">
      <c r="A682" s="821">
        <v>921300000</v>
      </c>
      <c r="B682" s="1175" t="s">
        <v>429</v>
      </c>
      <c r="C682" s="1176">
        <v>5545.36</v>
      </c>
    </row>
    <row r="683" spans="1:3" x14ac:dyDescent="0.2">
      <c r="A683" s="821">
        <v>92130000001</v>
      </c>
      <c r="B683" s="1175" t="s">
        <v>429</v>
      </c>
      <c r="C683" s="1176">
        <v>5545.36</v>
      </c>
    </row>
    <row r="684" spans="1:3" x14ac:dyDescent="0.2">
      <c r="B684" s="1175"/>
    </row>
    <row r="685" spans="1:3" x14ac:dyDescent="0.2">
      <c r="A685" s="821">
        <v>9214</v>
      </c>
      <c r="B685" s="1175" t="s">
        <v>431</v>
      </c>
      <c r="C685" s="1176">
        <v>442392.68</v>
      </c>
    </row>
    <row r="686" spans="1:3" x14ac:dyDescent="0.2">
      <c r="B686" s="1175"/>
    </row>
    <row r="687" spans="1:3" x14ac:dyDescent="0.2">
      <c r="A687" s="821">
        <v>9214000</v>
      </c>
      <c r="B687" s="1175" t="s">
        <v>431</v>
      </c>
      <c r="C687" s="1176">
        <v>442392.68</v>
      </c>
    </row>
    <row r="688" spans="1:3" x14ac:dyDescent="0.2">
      <c r="A688" s="821">
        <v>921400000</v>
      </c>
      <c r="B688" s="1175" t="s">
        <v>431</v>
      </c>
      <c r="C688" s="1176">
        <v>442392.68</v>
      </c>
    </row>
    <row r="689" spans="1:3" x14ac:dyDescent="0.2">
      <c r="A689" s="821">
        <v>92140000001</v>
      </c>
      <c r="B689" s="1175" t="s">
        <v>431</v>
      </c>
      <c r="C689" s="1176">
        <v>442392.68</v>
      </c>
    </row>
    <row r="690" spans="1:3" x14ac:dyDescent="0.2">
      <c r="B690" s="1175"/>
    </row>
    <row r="691" spans="1:3" x14ac:dyDescent="0.2">
      <c r="A691" s="821">
        <v>9216</v>
      </c>
      <c r="B691" s="1175" t="s">
        <v>318</v>
      </c>
      <c r="C691" s="1176">
        <v>1074552.53</v>
      </c>
    </row>
    <row r="692" spans="1:3" x14ac:dyDescent="0.2">
      <c r="B692" s="1175"/>
    </row>
    <row r="693" spans="1:3" x14ac:dyDescent="0.2">
      <c r="A693" s="821">
        <v>9216010</v>
      </c>
      <c r="B693" s="1175" t="s">
        <v>417</v>
      </c>
      <c r="C693" s="1176">
        <v>1074552.53</v>
      </c>
    </row>
    <row r="694" spans="1:3" x14ac:dyDescent="0.2">
      <c r="A694" s="821">
        <v>921601000</v>
      </c>
      <c r="B694" s="1175" t="s">
        <v>417</v>
      </c>
      <c r="C694" s="1176">
        <v>1074552.53</v>
      </c>
    </row>
    <row r="695" spans="1:3" x14ac:dyDescent="0.2">
      <c r="A695" s="821">
        <v>92160100001</v>
      </c>
      <c r="B695" s="1175" t="s">
        <v>283</v>
      </c>
      <c r="C695" s="1176">
        <v>1074552.53</v>
      </c>
    </row>
    <row r="696" spans="1:3" x14ac:dyDescent="0.2">
      <c r="B696" s="1175"/>
    </row>
    <row r="697" spans="1:3" x14ac:dyDescent="0.2">
      <c r="A697" s="821">
        <v>9217</v>
      </c>
      <c r="B697" s="1175" t="s">
        <v>319</v>
      </c>
      <c r="C697">
        <v>56.58</v>
      </c>
    </row>
    <row r="698" spans="1:3" x14ac:dyDescent="0.2">
      <c r="B698" s="1175"/>
    </row>
    <row r="699" spans="1:3" x14ac:dyDescent="0.2">
      <c r="A699" s="821">
        <v>9217020</v>
      </c>
      <c r="B699" s="1175" t="s">
        <v>418</v>
      </c>
      <c r="C699">
        <v>56.58</v>
      </c>
    </row>
    <row r="700" spans="1:3" x14ac:dyDescent="0.2">
      <c r="A700" s="821">
        <v>921702000</v>
      </c>
      <c r="B700" s="1175" t="s">
        <v>418</v>
      </c>
      <c r="C700">
        <v>56.58</v>
      </c>
    </row>
    <row r="701" spans="1:3" x14ac:dyDescent="0.2">
      <c r="A701" s="821">
        <v>92170200001</v>
      </c>
      <c r="B701" s="1175" t="s">
        <v>409</v>
      </c>
      <c r="C701">
        <v>56.58</v>
      </c>
    </row>
    <row r="702" spans="1:3" x14ac:dyDescent="0.2">
      <c r="B702" s="1175"/>
    </row>
    <row r="703" spans="1:3" x14ac:dyDescent="0.2">
      <c r="A703" s="821">
        <v>9218</v>
      </c>
      <c r="B703" s="1175" t="s">
        <v>320</v>
      </c>
      <c r="C703">
        <v>10.93</v>
      </c>
    </row>
    <row r="704" spans="1:3" x14ac:dyDescent="0.2">
      <c r="B704" s="1175"/>
    </row>
    <row r="705" spans="1:3" x14ac:dyDescent="0.2">
      <c r="A705" s="821">
        <v>9218010</v>
      </c>
      <c r="B705" s="1175" t="s">
        <v>419</v>
      </c>
      <c r="C705">
        <v>10.93</v>
      </c>
    </row>
    <row r="706" spans="1:3" x14ac:dyDescent="0.2">
      <c r="A706" s="821">
        <v>921801000</v>
      </c>
      <c r="B706" s="1175" t="s">
        <v>419</v>
      </c>
      <c r="C706">
        <v>10.93</v>
      </c>
    </row>
    <row r="707" spans="1:3" x14ac:dyDescent="0.2">
      <c r="A707" s="821">
        <v>92180100001</v>
      </c>
      <c r="B707" s="1175" t="s">
        <v>410</v>
      </c>
      <c r="C707">
        <v>10.93</v>
      </c>
    </row>
    <row r="708" spans="1:3" x14ac:dyDescent="0.2">
      <c r="B708" s="1175" t="s">
        <v>1645</v>
      </c>
      <c r="C708" s="1176">
        <v>624910001.46000004</v>
      </c>
    </row>
    <row r="709" spans="1:3" x14ac:dyDescent="0.2">
      <c r="B709" s="1175"/>
    </row>
    <row r="710" spans="1:3" x14ac:dyDescent="0.2">
      <c r="B710" s="1175"/>
    </row>
    <row r="711" spans="1:3" x14ac:dyDescent="0.2">
      <c r="B711" s="1175"/>
    </row>
    <row r="712" spans="1:3" x14ac:dyDescent="0.2">
      <c r="A712" s="821" t="s">
        <v>1744</v>
      </c>
      <c r="B712" s="1175" t="s">
        <v>1745</v>
      </c>
    </row>
    <row r="713" spans="1:3" x14ac:dyDescent="0.2">
      <c r="A713" s="821" t="s">
        <v>1735</v>
      </c>
      <c r="B713" s="1175" t="s">
        <v>1736</v>
      </c>
      <c r="C713">
        <v>7</v>
      </c>
    </row>
    <row r="714" spans="1:3" x14ac:dyDescent="0.2">
      <c r="B714" s="1175" t="s">
        <v>1739</v>
      </c>
      <c r="C714" t="s">
        <v>1740</v>
      </c>
    </row>
    <row r="715" spans="1:3" x14ac:dyDescent="0.2">
      <c r="B715" s="1175"/>
    </row>
    <row r="716" spans="1:3" x14ac:dyDescent="0.2">
      <c r="B716" s="1175"/>
    </row>
    <row r="717" spans="1:3" x14ac:dyDescent="0.2">
      <c r="B717" s="1175"/>
    </row>
    <row r="718" spans="1:3" x14ac:dyDescent="0.2">
      <c r="B718" s="1175"/>
    </row>
    <row r="719" spans="1:3" x14ac:dyDescent="0.2">
      <c r="B719" s="1175"/>
    </row>
    <row r="720" spans="1:3" x14ac:dyDescent="0.2">
      <c r="B720" s="1175"/>
    </row>
    <row r="721" spans="2:2" x14ac:dyDescent="0.2">
      <c r="B721" s="1175"/>
    </row>
    <row r="722" spans="2:2" x14ac:dyDescent="0.2">
      <c r="B722" s="1175"/>
    </row>
    <row r="723" spans="2:2" x14ac:dyDescent="0.2">
      <c r="B723" s="1175"/>
    </row>
    <row r="724" spans="2:2" x14ac:dyDescent="0.2">
      <c r="B724" s="1175"/>
    </row>
    <row r="725" spans="2:2" x14ac:dyDescent="0.2">
      <c r="B725" s="1175"/>
    </row>
    <row r="726" spans="2:2" x14ac:dyDescent="0.2">
      <c r="B726" s="1175"/>
    </row>
    <row r="727" spans="2:2" x14ac:dyDescent="0.2">
      <c r="B727" s="1175"/>
    </row>
    <row r="728" spans="2:2" x14ac:dyDescent="0.2">
      <c r="B728" s="1175"/>
    </row>
    <row r="729" spans="2:2" x14ac:dyDescent="0.2">
      <c r="B729" s="1175"/>
    </row>
    <row r="730" spans="2:2" x14ac:dyDescent="0.2">
      <c r="B730" s="1175"/>
    </row>
    <row r="731" spans="2:2" x14ac:dyDescent="0.2">
      <c r="B731" s="1175"/>
    </row>
    <row r="732" spans="2:2" x14ac:dyDescent="0.2">
      <c r="B732" s="1175"/>
    </row>
    <row r="733" spans="2:2" x14ac:dyDescent="0.2">
      <c r="B733" s="1175"/>
    </row>
    <row r="734" spans="2:2" x14ac:dyDescent="0.2">
      <c r="B734" s="1175"/>
    </row>
    <row r="735" spans="2:2" x14ac:dyDescent="0.2">
      <c r="B735" s="1175"/>
    </row>
    <row r="736" spans="2:2" x14ac:dyDescent="0.2">
      <c r="B736" s="1175"/>
    </row>
    <row r="737" spans="2:2" x14ac:dyDescent="0.2">
      <c r="B737" s="1175"/>
    </row>
    <row r="738" spans="2:2" x14ac:dyDescent="0.2">
      <c r="B738" s="1175"/>
    </row>
    <row r="739" spans="2:2" x14ac:dyDescent="0.2">
      <c r="B739" s="1175"/>
    </row>
    <row r="740" spans="2:2" x14ac:dyDescent="0.2">
      <c r="B740" s="1175"/>
    </row>
    <row r="741" spans="2:2" x14ac:dyDescent="0.2">
      <c r="B741" s="1175"/>
    </row>
    <row r="742" spans="2:2" x14ac:dyDescent="0.2">
      <c r="B742" s="1175"/>
    </row>
    <row r="743" spans="2:2" x14ac:dyDescent="0.2">
      <c r="B743" s="1175"/>
    </row>
    <row r="744" spans="2:2" x14ac:dyDescent="0.2">
      <c r="B744" s="1175"/>
    </row>
    <row r="745" spans="2:2" x14ac:dyDescent="0.2">
      <c r="B745" s="1175"/>
    </row>
    <row r="746" spans="2:2" x14ac:dyDescent="0.2">
      <c r="B746" s="1175"/>
    </row>
    <row r="747" spans="2:2" x14ac:dyDescent="0.2">
      <c r="B747" s="1175"/>
    </row>
    <row r="748" spans="2:2" x14ac:dyDescent="0.2">
      <c r="B748" s="1175"/>
    </row>
    <row r="749" spans="2:2" x14ac:dyDescent="0.2">
      <c r="B749" s="1175"/>
    </row>
    <row r="750" spans="2:2" x14ac:dyDescent="0.2">
      <c r="B750" s="1175"/>
    </row>
    <row r="751" spans="2:2" x14ac:dyDescent="0.2">
      <c r="B751" s="1175"/>
    </row>
    <row r="752" spans="2:2" x14ac:dyDescent="0.2">
      <c r="B752" s="1175"/>
    </row>
    <row r="753" spans="2:2" x14ac:dyDescent="0.2">
      <c r="B753" s="1175"/>
    </row>
    <row r="754" spans="2:2" x14ac:dyDescent="0.2">
      <c r="B754" s="1175"/>
    </row>
    <row r="755" spans="2:2" x14ac:dyDescent="0.2">
      <c r="B755" s="1175"/>
    </row>
    <row r="756" spans="2:2" x14ac:dyDescent="0.2">
      <c r="B756" s="1175"/>
    </row>
    <row r="757" spans="2:2" x14ac:dyDescent="0.2">
      <c r="B757" s="1175"/>
    </row>
    <row r="758" spans="2:2" x14ac:dyDescent="0.2">
      <c r="B758" s="1175"/>
    </row>
    <row r="759" spans="2:2" x14ac:dyDescent="0.2">
      <c r="B759" s="1175"/>
    </row>
    <row r="760" spans="2:2" x14ac:dyDescent="0.2">
      <c r="B760" s="1175"/>
    </row>
    <row r="761" spans="2:2" x14ac:dyDescent="0.2">
      <c r="B761" s="1175"/>
    </row>
    <row r="762" spans="2:2" x14ac:dyDescent="0.2">
      <c r="B762" s="1175"/>
    </row>
    <row r="763" spans="2:2" x14ac:dyDescent="0.2">
      <c r="B763" s="1175"/>
    </row>
    <row r="764" spans="2:2" x14ac:dyDescent="0.2">
      <c r="B764" s="1175"/>
    </row>
    <row r="765" spans="2:2" x14ac:dyDescent="0.2">
      <c r="B765" s="1175"/>
    </row>
    <row r="766" spans="2:2" x14ac:dyDescent="0.2">
      <c r="B766" s="1175"/>
    </row>
    <row r="767" spans="2:2" x14ac:dyDescent="0.2">
      <c r="B767" s="1175"/>
    </row>
    <row r="768" spans="2:2" x14ac:dyDescent="0.2">
      <c r="B768" s="1175"/>
    </row>
    <row r="769" spans="1:3" x14ac:dyDescent="0.2">
      <c r="B769" s="1175"/>
    </row>
    <row r="770" spans="1:3" x14ac:dyDescent="0.2">
      <c r="B770" s="1175"/>
    </row>
    <row r="771" spans="1:3" x14ac:dyDescent="0.2">
      <c r="B771" s="1175"/>
    </row>
    <row r="772" spans="1:3" x14ac:dyDescent="0.2">
      <c r="A772" s="821" t="s">
        <v>1744</v>
      </c>
      <c r="B772" s="1175" t="s">
        <v>1745</v>
      </c>
    </row>
    <row r="773" spans="1:3" x14ac:dyDescent="0.2">
      <c r="A773" s="821" t="s">
        <v>1735</v>
      </c>
      <c r="B773" s="1175" t="s">
        <v>1736</v>
      </c>
      <c r="C773">
        <v>8</v>
      </c>
    </row>
    <row r="774" spans="1:3" x14ac:dyDescent="0.2">
      <c r="B774" s="1175" t="s">
        <v>1739</v>
      </c>
      <c r="C774" t="s">
        <v>1740</v>
      </c>
    </row>
    <row r="775" spans="1:3" x14ac:dyDescent="0.2">
      <c r="B775" s="1175"/>
    </row>
    <row r="776" spans="1:3" x14ac:dyDescent="0.2">
      <c r="B776" s="1175"/>
    </row>
    <row r="777" spans="1:3" x14ac:dyDescent="0.2">
      <c r="B777" s="1175"/>
    </row>
    <row r="778" spans="1:3" x14ac:dyDescent="0.2">
      <c r="B778" s="1175"/>
    </row>
    <row r="779" spans="1:3" x14ac:dyDescent="0.2">
      <c r="B779" s="1175"/>
    </row>
    <row r="780" spans="1:3" x14ac:dyDescent="0.2">
      <c r="B780" s="1175"/>
    </row>
    <row r="781" spans="1:3" x14ac:dyDescent="0.2">
      <c r="B781" s="1175"/>
    </row>
    <row r="782" spans="1:3" x14ac:dyDescent="0.2">
      <c r="B782" s="1175"/>
    </row>
    <row r="783" spans="1:3" x14ac:dyDescent="0.2">
      <c r="B783" s="1175"/>
    </row>
    <row r="784" spans="1:3" x14ac:dyDescent="0.2">
      <c r="B784" s="1175"/>
    </row>
    <row r="785" spans="2:2" x14ac:dyDescent="0.2">
      <c r="B785" s="1175"/>
    </row>
    <row r="786" spans="2:2" x14ac:dyDescent="0.2">
      <c r="B786" s="1175"/>
    </row>
    <row r="787" spans="2:2" x14ac:dyDescent="0.2">
      <c r="B787" s="1175"/>
    </row>
    <row r="788" spans="2:2" x14ac:dyDescent="0.2">
      <c r="B788" s="1175"/>
    </row>
    <row r="789" spans="2:2" x14ac:dyDescent="0.2">
      <c r="B789" s="1175"/>
    </row>
    <row r="790" spans="2:2" x14ac:dyDescent="0.2">
      <c r="B790" s="1175"/>
    </row>
    <row r="791" spans="2:2" x14ac:dyDescent="0.2">
      <c r="B791" s="1175"/>
    </row>
    <row r="792" spans="2:2" x14ac:dyDescent="0.2">
      <c r="B792" s="1175"/>
    </row>
    <row r="793" spans="2:2" x14ac:dyDescent="0.2">
      <c r="B793" s="1175"/>
    </row>
    <row r="794" spans="2:2" x14ac:dyDescent="0.2">
      <c r="B794" s="1175"/>
    </row>
    <row r="795" spans="2:2" x14ac:dyDescent="0.2">
      <c r="B795" s="1175"/>
    </row>
    <row r="796" spans="2:2" x14ac:dyDescent="0.2">
      <c r="B796" s="1175"/>
    </row>
    <row r="797" spans="2:2" x14ac:dyDescent="0.2">
      <c r="B797" s="1175"/>
    </row>
    <row r="798" spans="2:2" x14ac:dyDescent="0.2">
      <c r="B798" s="1175"/>
    </row>
    <row r="799" spans="2:2" x14ac:dyDescent="0.2">
      <c r="B799" s="1175"/>
    </row>
    <row r="800" spans="2:2" x14ac:dyDescent="0.2">
      <c r="B800" s="1175"/>
    </row>
    <row r="801" spans="2:2" x14ac:dyDescent="0.2">
      <c r="B801" s="1175"/>
    </row>
    <row r="802" spans="2:2" x14ac:dyDescent="0.2">
      <c r="B802" s="1175"/>
    </row>
    <row r="803" spans="2:2" x14ac:dyDescent="0.2">
      <c r="B803" s="1175"/>
    </row>
    <row r="804" spans="2:2" x14ac:dyDescent="0.2">
      <c r="B804" s="1175"/>
    </row>
    <row r="805" spans="2:2" x14ac:dyDescent="0.2">
      <c r="B805" s="1175"/>
    </row>
    <row r="806" spans="2:2" x14ac:dyDescent="0.2">
      <c r="B806" s="1175"/>
    </row>
    <row r="807" spans="2:2" x14ac:dyDescent="0.2">
      <c r="B807" s="1175"/>
    </row>
    <row r="808" spans="2:2" x14ac:dyDescent="0.2">
      <c r="B808" s="1175"/>
    </row>
    <row r="809" spans="2:2" x14ac:dyDescent="0.2">
      <c r="B809" s="1175"/>
    </row>
    <row r="810" spans="2:2" x14ac:dyDescent="0.2">
      <c r="B810" s="1175"/>
    </row>
    <row r="811" spans="2:2" x14ac:dyDescent="0.2">
      <c r="B811" s="1175"/>
    </row>
    <row r="812" spans="2:2" x14ac:dyDescent="0.2">
      <c r="B812" s="1175"/>
    </row>
    <row r="813" spans="2:2" x14ac:dyDescent="0.2">
      <c r="B813" s="1175"/>
    </row>
    <row r="814" spans="2:2" x14ac:dyDescent="0.2">
      <c r="B814" s="1175"/>
    </row>
    <row r="815" spans="2:2" x14ac:dyDescent="0.2">
      <c r="B815" s="1175"/>
    </row>
    <row r="816" spans="2:2" x14ac:dyDescent="0.2">
      <c r="B816" s="1175"/>
    </row>
    <row r="817" spans="2:2" x14ac:dyDescent="0.2">
      <c r="B817" s="1175"/>
    </row>
    <row r="818" spans="2:2" x14ac:dyDescent="0.2">
      <c r="B818" s="1175"/>
    </row>
    <row r="819" spans="2:2" x14ac:dyDescent="0.2">
      <c r="B819" s="1175"/>
    </row>
    <row r="820" spans="2:2" x14ac:dyDescent="0.2">
      <c r="B820" s="1175"/>
    </row>
    <row r="821" spans="2:2" x14ac:dyDescent="0.2">
      <c r="B821" s="1175"/>
    </row>
    <row r="822" spans="2:2" x14ac:dyDescent="0.2">
      <c r="B822" s="1175"/>
    </row>
    <row r="823" spans="2:2" x14ac:dyDescent="0.2">
      <c r="B823" s="1175"/>
    </row>
    <row r="824" spans="2:2" x14ac:dyDescent="0.2">
      <c r="B824" s="1175"/>
    </row>
    <row r="825" spans="2:2" x14ac:dyDescent="0.2">
      <c r="B825" s="1175"/>
    </row>
    <row r="826" spans="2:2" x14ac:dyDescent="0.2">
      <c r="B826" s="1175"/>
    </row>
    <row r="827" spans="2:2" x14ac:dyDescent="0.2">
      <c r="B827" s="1175"/>
    </row>
    <row r="828" spans="2:2" x14ac:dyDescent="0.2">
      <c r="B828" s="1175"/>
    </row>
    <row r="829" spans="2:2" x14ac:dyDescent="0.2">
      <c r="B829" s="1175"/>
    </row>
    <row r="830" spans="2:2" x14ac:dyDescent="0.2">
      <c r="B830" s="1175"/>
    </row>
    <row r="831" spans="2:2" x14ac:dyDescent="0.2">
      <c r="B831" s="1175"/>
    </row>
    <row r="832" spans="2:2" x14ac:dyDescent="0.2">
      <c r="B832" s="1175"/>
    </row>
    <row r="833" spans="2:2" x14ac:dyDescent="0.2">
      <c r="B833" s="1175"/>
    </row>
    <row r="834" spans="2:2" x14ac:dyDescent="0.2">
      <c r="B834" s="1175"/>
    </row>
    <row r="835" spans="2:2" x14ac:dyDescent="0.2">
      <c r="B835" s="1175"/>
    </row>
    <row r="836" spans="2:2" x14ac:dyDescent="0.2">
      <c r="B836" s="1175"/>
    </row>
    <row r="837" spans="2:2" x14ac:dyDescent="0.2">
      <c r="B837" s="1175"/>
    </row>
    <row r="838" spans="2:2" x14ac:dyDescent="0.2">
      <c r="B838" s="1175"/>
    </row>
    <row r="839" spans="2:2" x14ac:dyDescent="0.2">
      <c r="B839" s="1175"/>
    </row>
    <row r="840" spans="2:2" x14ac:dyDescent="0.2">
      <c r="B840" s="1175"/>
    </row>
    <row r="841" spans="2:2" x14ac:dyDescent="0.2">
      <c r="B841" s="1175"/>
    </row>
    <row r="842" spans="2:2" x14ac:dyDescent="0.2">
      <c r="B842" s="1175"/>
    </row>
    <row r="843" spans="2:2" x14ac:dyDescent="0.2">
      <c r="B843" s="1175"/>
    </row>
    <row r="844" spans="2:2" x14ac:dyDescent="0.2">
      <c r="B844" s="1175"/>
    </row>
    <row r="845" spans="2:2" x14ac:dyDescent="0.2">
      <c r="B845" s="1175"/>
    </row>
    <row r="846" spans="2:2" x14ac:dyDescent="0.2">
      <c r="B846" s="1175"/>
    </row>
    <row r="847" spans="2:2" x14ac:dyDescent="0.2">
      <c r="B847" s="1175"/>
    </row>
    <row r="848" spans="2:2" x14ac:dyDescent="0.2">
      <c r="B848" s="1175"/>
    </row>
    <row r="849" spans="2:2" x14ac:dyDescent="0.2">
      <c r="B849" s="1175"/>
    </row>
    <row r="850" spans="2:2" x14ac:dyDescent="0.2">
      <c r="B850" s="1175"/>
    </row>
    <row r="851" spans="2:2" x14ac:dyDescent="0.2">
      <c r="B851" s="1175"/>
    </row>
    <row r="852" spans="2:2" x14ac:dyDescent="0.2">
      <c r="B852" s="1175"/>
    </row>
    <row r="853" spans="2:2" x14ac:dyDescent="0.2">
      <c r="B853" s="1175"/>
    </row>
    <row r="854" spans="2:2" x14ac:dyDescent="0.2">
      <c r="B854" s="1175"/>
    </row>
    <row r="855" spans="2:2" x14ac:dyDescent="0.2">
      <c r="B855" s="1175"/>
    </row>
    <row r="856" spans="2:2" x14ac:dyDescent="0.2">
      <c r="B856" s="1175"/>
    </row>
    <row r="857" spans="2:2" x14ac:dyDescent="0.2">
      <c r="B857" s="1175"/>
    </row>
    <row r="858" spans="2:2" x14ac:dyDescent="0.2">
      <c r="B858" s="1175"/>
    </row>
    <row r="859" spans="2:2" x14ac:dyDescent="0.2">
      <c r="B859" s="1175"/>
    </row>
    <row r="860" spans="2:2" x14ac:dyDescent="0.2">
      <c r="B860" s="1175"/>
    </row>
    <row r="861" spans="2:2" x14ac:dyDescent="0.2">
      <c r="B861" s="1175"/>
    </row>
    <row r="862" spans="2:2" x14ac:dyDescent="0.2">
      <c r="B862" s="1175"/>
    </row>
    <row r="863" spans="2:2" x14ac:dyDescent="0.2">
      <c r="B863" s="1175"/>
    </row>
    <row r="864" spans="2:2" x14ac:dyDescent="0.2">
      <c r="B864" s="1175"/>
    </row>
    <row r="865" spans="2:2" x14ac:dyDescent="0.2">
      <c r="B865" s="1175"/>
    </row>
    <row r="866" spans="2:2" x14ac:dyDescent="0.2">
      <c r="B866" s="1175"/>
    </row>
    <row r="867" spans="2:2" x14ac:dyDescent="0.2">
      <c r="B867" s="1175"/>
    </row>
    <row r="868" spans="2:2" x14ac:dyDescent="0.2">
      <c r="B868" s="1175"/>
    </row>
    <row r="869" spans="2:2" x14ac:dyDescent="0.2">
      <c r="B869" s="1175"/>
    </row>
    <row r="870" spans="2:2" x14ac:dyDescent="0.2">
      <c r="B870" s="1175"/>
    </row>
    <row r="871" spans="2:2" x14ac:dyDescent="0.2">
      <c r="B871" s="1175"/>
    </row>
    <row r="872" spans="2:2" x14ac:dyDescent="0.2">
      <c r="B872" s="1175"/>
    </row>
    <row r="873" spans="2:2" x14ac:dyDescent="0.2">
      <c r="B873" s="1175"/>
    </row>
    <row r="874" spans="2:2" x14ac:dyDescent="0.2">
      <c r="B874" s="1175"/>
    </row>
    <row r="875" spans="2:2" x14ac:dyDescent="0.2">
      <c r="B875" s="1175"/>
    </row>
    <row r="876" spans="2:2" x14ac:dyDescent="0.2">
      <c r="B876" s="1175"/>
    </row>
    <row r="877" spans="2:2" x14ac:dyDescent="0.2">
      <c r="B877" s="1175"/>
    </row>
    <row r="878" spans="2:2" x14ac:dyDescent="0.2">
      <c r="B878" s="1175"/>
    </row>
    <row r="879" spans="2:2" x14ac:dyDescent="0.2">
      <c r="B879" s="1175"/>
    </row>
    <row r="880" spans="2:2" x14ac:dyDescent="0.2">
      <c r="B880" s="1175"/>
    </row>
    <row r="881" spans="2:2" x14ac:dyDescent="0.2">
      <c r="B881" s="1175"/>
    </row>
    <row r="882" spans="2:2" x14ac:dyDescent="0.2">
      <c r="B882" s="1175"/>
    </row>
    <row r="883" spans="2:2" x14ac:dyDescent="0.2">
      <c r="B883" s="1175"/>
    </row>
    <row r="884" spans="2:2" x14ac:dyDescent="0.2">
      <c r="B884" s="1175"/>
    </row>
    <row r="885" spans="2:2" x14ac:dyDescent="0.2">
      <c r="B885" s="1175"/>
    </row>
    <row r="886" spans="2:2" x14ac:dyDescent="0.2">
      <c r="B886" s="1175"/>
    </row>
    <row r="887" spans="2:2" x14ac:dyDescent="0.2">
      <c r="B887" s="1175"/>
    </row>
    <row r="888" spans="2:2" x14ac:dyDescent="0.2">
      <c r="B888" s="1175"/>
    </row>
    <row r="889" spans="2:2" x14ac:dyDescent="0.2">
      <c r="B889" s="1175"/>
    </row>
    <row r="890" spans="2:2" x14ac:dyDescent="0.2">
      <c r="B890" s="1175"/>
    </row>
    <row r="891" spans="2:2" x14ac:dyDescent="0.2">
      <c r="B891" s="1175"/>
    </row>
    <row r="892" spans="2:2" x14ac:dyDescent="0.2">
      <c r="B892" s="1175"/>
    </row>
    <row r="893" spans="2:2" x14ac:dyDescent="0.2">
      <c r="B893" s="1175"/>
    </row>
    <row r="894" spans="2:2" x14ac:dyDescent="0.2">
      <c r="B894" s="1175"/>
    </row>
    <row r="895" spans="2:2" x14ac:dyDescent="0.2">
      <c r="B895" s="1175"/>
    </row>
    <row r="896" spans="2:2" x14ac:dyDescent="0.2">
      <c r="B896" s="1175"/>
    </row>
    <row r="897" spans="2:2" x14ac:dyDescent="0.2">
      <c r="B897" s="1175"/>
    </row>
    <row r="898" spans="2:2" x14ac:dyDescent="0.2">
      <c r="B898" s="1175"/>
    </row>
    <row r="899" spans="2:2" x14ac:dyDescent="0.2">
      <c r="B899" s="1175"/>
    </row>
    <row r="900" spans="2:2" x14ac:dyDescent="0.2">
      <c r="B900" s="1175"/>
    </row>
    <row r="901" spans="2:2" x14ac:dyDescent="0.2">
      <c r="B901" s="1175"/>
    </row>
    <row r="902" spans="2:2" x14ac:dyDescent="0.2">
      <c r="B902" s="1175"/>
    </row>
    <row r="903" spans="2:2" x14ac:dyDescent="0.2">
      <c r="B903" s="1175"/>
    </row>
    <row r="904" spans="2:2" x14ac:dyDescent="0.2">
      <c r="B904" s="1175"/>
    </row>
    <row r="905" spans="2:2" x14ac:dyDescent="0.2">
      <c r="B905" s="1175"/>
    </row>
    <row r="906" spans="2:2" x14ac:dyDescent="0.2">
      <c r="B906" s="1175"/>
    </row>
    <row r="907" spans="2:2" x14ac:dyDescent="0.2">
      <c r="B907" s="1175"/>
    </row>
    <row r="908" spans="2:2" x14ac:dyDescent="0.2">
      <c r="B908" s="1175"/>
    </row>
    <row r="909" spans="2:2" x14ac:dyDescent="0.2">
      <c r="B909" s="1175"/>
    </row>
    <row r="910" spans="2:2" x14ac:dyDescent="0.2">
      <c r="B910" s="1175"/>
    </row>
    <row r="911" spans="2:2" x14ac:dyDescent="0.2">
      <c r="B911" s="1175"/>
    </row>
    <row r="912" spans="2:2" x14ac:dyDescent="0.2">
      <c r="B912" s="1175"/>
    </row>
    <row r="913" spans="2:2" x14ac:dyDescent="0.2">
      <c r="B913" s="1175"/>
    </row>
    <row r="914" spans="2:2" x14ac:dyDescent="0.2">
      <c r="B914" s="1175"/>
    </row>
    <row r="915" spans="2:2" x14ac:dyDescent="0.2">
      <c r="B915" s="1175"/>
    </row>
    <row r="916" spans="2:2" x14ac:dyDescent="0.2">
      <c r="B916" s="1175"/>
    </row>
    <row r="917" spans="2:2" x14ac:dyDescent="0.2">
      <c r="B917" s="1175"/>
    </row>
    <row r="918" spans="2:2" x14ac:dyDescent="0.2">
      <c r="B918" s="1175"/>
    </row>
    <row r="919" spans="2:2" x14ac:dyDescent="0.2">
      <c r="B919" s="1175"/>
    </row>
    <row r="920" spans="2:2" x14ac:dyDescent="0.2">
      <c r="B920" s="1175"/>
    </row>
    <row r="921" spans="2:2" x14ac:dyDescent="0.2">
      <c r="B921" s="1175"/>
    </row>
    <row r="922" spans="2:2" x14ac:dyDescent="0.2">
      <c r="B922" s="1175"/>
    </row>
    <row r="923" spans="2:2" x14ac:dyDescent="0.2">
      <c r="B923" s="1175"/>
    </row>
    <row r="924" spans="2:2" x14ac:dyDescent="0.2">
      <c r="B924" s="1175"/>
    </row>
    <row r="925" spans="2:2" x14ac:dyDescent="0.2">
      <c r="B925" s="1175"/>
    </row>
    <row r="926" spans="2:2" x14ac:dyDescent="0.2">
      <c r="B926" s="1175"/>
    </row>
    <row r="927" spans="2:2" x14ac:dyDescent="0.2">
      <c r="B927" s="1175"/>
    </row>
    <row r="928" spans="2:2" x14ac:dyDescent="0.2">
      <c r="B928" s="1175"/>
    </row>
    <row r="929" spans="2:2" x14ac:dyDescent="0.2">
      <c r="B929" s="1175"/>
    </row>
    <row r="930" spans="2:2" x14ac:dyDescent="0.2">
      <c r="B930" s="1175"/>
    </row>
    <row r="931" spans="2:2" x14ac:dyDescent="0.2">
      <c r="B931" s="1175"/>
    </row>
    <row r="932" spans="2:2" x14ac:dyDescent="0.2">
      <c r="B932" s="1175"/>
    </row>
    <row r="933" spans="2:2" x14ac:dyDescent="0.2">
      <c r="B933" s="1175"/>
    </row>
    <row r="934" spans="2:2" x14ac:dyDescent="0.2">
      <c r="B934" s="1175"/>
    </row>
    <row r="935" spans="2:2" x14ac:dyDescent="0.2">
      <c r="B935" s="1175"/>
    </row>
    <row r="936" spans="2:2" x14ac:dyDescent="0.2">
      <c r="B936" s="1175"/>
    </row>
    <row r="937" spans="2:2" x14ac:dyDescent="0.2">
      <c r="B937" s="1175"/>
    </row>
    <row r="938" spans="2:2" x14ac:dyDescent="0.2">
      <c r="B938" s="1175"/>
    </row>
    <row r="939" spans="2:2" x14ac:dyDescent="0.2">
      <c r="B939" s="1175"/>
    </row>
    <row r="940" spans="2:2" x14ac:dyDescent="0.2">
      <c r="B940" s="1175"/>
    </row>
    <row r="941" spans="2:2" x14ac:dyDescent="0.2">
      <c r="B941" s="1175"/>
    </row>
    <row r="942" spans="2:2" x14ac:dyDescent="0.2">
      <c r="B942" s="1175"/>
    </row>
    <row r="943" spans="2:2" x14ac:dyDescent="0.2">
      <c r="B943" s="1175"/>
    </row>
    <row r="944" spans="2:2" x14ac:dyDescent="0.2">
      <c r="B944" s="1175"/>
    </row>
    <row r="945" spans="2:2" x14ac:dyDescent="0.2">
      <c r="B945" s="1175"/>
    </row>
    <row r="946" spans="2:2" x14ac:dyDescent="0.2">
      <c r="B946" s="1175"/>
    </row>
    <row r="947" spans="2:2" x14ac:dyDescent="0.2">
      <c r="B947" s="1175"/>
    </row>
    <row r="948" spans="2:2" x14ac:dyDescent="0.2">
      <c r="B948" s="1175"/>
    </row>
    <row r="949" spans="2:2" x14ac:dyDescent="0.2">
      <c r="B949" s="1175"/>
    </row>
    <row r="950" spans="2:2" x14ac:dyDescent="0.2">
      <c r="B950" s="1175"/>
    </row>
    <row r="951" spans="2:2" x14ac:dyDescent="0.2">
      <c r="B951" s="1175"/>
    </row>
    <row r="952" spans="2:2" x14ac:dyDescent="0.2">
      <c r="B952" s="1175"/>
    </row>
    <row r="953" spans="2:2" x14ac:dyDescent="0.2">
      <c r="B953" s="1175"/>
    </row>
    <row r="954" spans="2:2" x14ac:dyDescent="0.2">
      <c r="B954" s="1175"/>
    </row>
    <row r="955" spans="2:2" x14ac:dyDescent="0.2">
      <c r="B955" s="1175"/>
    </row>
    <row r="956" spans="2:2" x14ac:dyDescent="0.2">
      <c r="B956" s="1175"/>
    </row>
    <row r="957" spans="2:2" x14ac:dyDescent="0.2">
      <c r="B957" s="1175"/>
    </row>
    <row r="958" spans="2:2" x14ac:dyDescent="0.2">
      <c r="B958" s="1175"/>
    </row>
    <row r="959" spans="2:2" x14ac:dyDescent="0.2">
      <c r="B959" s="1175"/>
    </row>
    <row r="960" spans="2:2" x14ac:dyDescent="0.2">
      <c r="B960" s="1175"/>
    </row>
    <row r="961" spans="2:2" x14ac:dyDescent="0.2">
      <c r="B961" s="1175"/>
    </row>
    <row r="962" spans="2:2" x14ac:dyDescent="0.2">
      <c r="B962" s="1175"/>
    </row>
    <row r="963" spans="2:2" x14ac:dyDescent="0.2">
      <c r="B963" s="1175"/>
    </row>
    <row r="964" spans="2:2" x14ac:dyDescent="0.2">
      <c r="B964" s="1175"/>
    </row>
    <row r="965" spans="2:2" x14ac:dyDescent="0.2">
      <c r="B965" s="1175"/>
    </row>
    <row r="966" spans="2:2" x14ac:dyDescent="0.2">
      <c r="B966" s="1175"/>
    </row>
    <row r="967" spans="2:2" x14ac:dyDescent="0.2">
      <c r="B967" s="1175"/>
    </row>
    <row r="968" spans="2:2" x14ac:dyDescent="0.2">
      <c r="B968" s="1175"/>
    </row>
    <row r="969" spans="2:2" x14ac:dyDescent="0.2">
      <c r="B969" s="1175"/>
    </row>
    <row r="970" spans="2:2" x14ac:dyDescent="0.2">
      <c r="B970" s="1175"/>
    </row>
    <row r="971" spans="2:2" x14ac:dyDescent="0.2">
      <c r="B971" s="1175"/>
    </row>
    <row r="972" spans="2:2" x14ac:dyDescent="0.2">
      <c r="B972" s="1175"/>
    </row>
    <row r="973" spans="2:2" x14ac:dyDescent="0.2">
      <c r="B973" s="1175"/>
    </row>
    <row r="974" spans="2:2" x14ac:dyDescent="0.2">
      <c r="B974" s="1175"/>
    </row>
    <row r="975" spans="2:2" x14ac:dyDescent="0.2">
      <c r="B975" s="1175"/>
    </row>
    <row r="976" spans="2:2" x14ac:dyDescent="0.2">
      <c r="B976" s="1175"/>
    </row>
    <row r="977" spans="2:2" x14ac:dyDescent="0.2">
      <c r="B977" s="1175"/>
    </row>
    <row r="978" spans="2:2" x14ac:dyDescent="0.2">
      <c r="B978" s="1175"/>
    </row>
    <row r="979" spans="2:2" x14ac:dyDescent="0.2">
      <c r="B979" s="1175"/>
    </row>
    <row r="980" spans="2:2" x14ac:dyDescent="0.2">
      <c r="B980" s="1175"/>
    </row>
    <row r="981" spans="2:2" x14ac:dyDescent="0.2">
      <c r="B981" s="1175"/>
    </row>
    <row r="982" spans="2:2" x14ac:dyDescent="0.2">
      <c r="B982" s="1175"/>
    </row>
    <row r="983" spans="2:2" x14ac:dyDescent="0.2">
      <c r="B983" s="1175"/>
    </row>
    <row r="984" spans="2:2" x14ac:dyDescent="0.2">
      <c r="B984" s="1175"/>
    </row>
    <row r="985" spans="2:2" x14ac:dyDescent="0.2">
      <c r="B985" s="1175"/>
    </row>
    <row r="986" spans="2:2" x14ac:dyDescent="0.2">
      <c r="B986" s="1175"/>
    </row>
    <row r="987" spans="2:2" x14ac:dyDescent="0.2">
      <c r="B987" s="1175"/>
    </row>
    <row r="988" spans="2:2" x14ac:dyDescent="0.2">
      <c r="B988" s="1175"/>
    </row>
    <row r="989" spans="2:2" x14ac:dyDescent="0.2">
      <c r="B989" s="1175"/>
    </row>
    <row r="990" spans="2:2" x14ac:dyDescent="0.2">
      <c r="B990" s="1175"/>
    </row>
    <row r="991" spans="2:2" x14ac:dyDescent="0.2">
      <c r="B991" s="1175"/>
    </row>
    <row r="992" spans="2:2" x14ac:dyDescent="0.2">
      <c r="B992" s="1175"/>
    </row>
    <row r="993" spans="2:2" x14ac:dyDescent="0.2">
      <c r="B993" s="1175"/>
    </row>
    <row r="994" spans="2:2" x14ac:dyDescent="0.2">
      <c r="B994" s="1175"/>
    </row>
    <row r="995" spans="2:2" x14ac:dyDescent="0.2">
      <c r="B995" s="1175"/>
    </row>
    <row r="996" spans="2:2" x14ac:dyDescent="0.2">
      <c r="B996" s="1175"/>
    </row>
    <row r="997" spans="2:2" x14ac:dyDescent="0.2">
      <c r="B997" s="1175"/>
    </row>
    <row r="998" spans="2:2" x14ac:dyDescent="0.2">
      <c r="B998" s="1175"/>
    </row>
    <row r="999" spans="2:2" x14ac:dyDescent="0.2">
      <c r="B999" s="1175"/>
    </row>
    <row r="1000" spans="2:2" x14ac:dyDescent="0.2">
      <c r="B1000" s="1175"/>
    </row>
    <row r="1001" spans="2:2" x14ac:dyDescent="0.2">
      <c r="B1001" s="1175"/>
    </row>
    <row r="1002" spans="2:2" x14ac:dyDescent="0.2">
      <c r="B1002" s="1175"/>
    </row>
    <row r="1003" spans="2:2" x14ac:dyDescent="0.2">
      <c r="B1003" s="1175"/>
    </row>
    <row r="1004" spans="2:2" x14ac:dyDescent="0.2">
      <c r="B1004" s="1175"/>
    </row>
    <row r="1005" spans="2:2" x14ac:dyDescent="0.2">
      <c r="B1005" s="1175"/>
    </row>
    <row r="1006" spans="2:2" x14ac:dyDescent="0.2">
      <c r="B1006" s="1175"/>
    </row>
    <row r="1007" spans="2:2" x14ac:dyDescent="0.2">
      <c r="B1007" s="1175"/>
    </row>
    <row r="1008" spans="2:2" x14ac:dyDescent="0.2">
      <c r="B1008" s="1175"/>
    </row>
    <row r="1009" spans="2:2" x14ac:dyDescent="0.2">
      <c r="B1009" s="1175"/>
    </row>
    <row r="1010" spans="2:2" x14ac:dyDescent="0.2">
      <c r="B1010" s="1175"/>
    </row>
    <row r="1011" spans="2:2" x14ac:dyDescent="0.2">
      <c r="B1011" s="1175"/>
    </row>
    <row r="1012" spans="2:2" x14ac:dyDescent="0.2">
      <c r="B1012" s="1175"/>
    </row>
    <row r="1013" spans="2:2" x14ac:dyDescent="0.2">
      <c r="B1013" s="1175"/>
    </row>
    <row r="1014" spans="2:2" x14ac:dyDescent="0.2">
      <c r="B1014" s="1175"/>
    </row>
    <row r="1015" spans="2:2" x14ac:dyDescent="0.2">
      <c r="B1015" s="1175"/>
    </row>
    <row r="1016" spans="2:2" x14ac:dyDescent="0.2">
      <c r="B1016" s="1175"/>
    </row>
    <row r="1017" spans="2:2" x14ac:dyDescent="0.2">
      <c r="B1017" s="1175"/>
    </row>
    <row r="1018" spans="2:2" x14ac:dyDescent="0.2">
      <c r="B1018" s="1175"/>
    </row>
    <row r="1019" spans="2:2" x14ac:dyDescent="0.2">
      <c r="B1019" s="1175"/>
    </row>
    <row r="1020" spans="2:2" x14ac:dyDescent="0.2">
      <c r="B1020" s="1175"/>
    </row>
    <row r="1021" spans="2:2" x14ac:dyDescent="0.2">
      <c r="B1021" s="1175"/>
    </row>
    <row r="1022" spans="2:2" x14ac:dyDescent="0.2">
      <c r="B1022" s="1175"/>
    </row>
    <row r="1023" spans="2:2" x14ac:dyDescent="0.2">
      <c r="B1023" s="1175"/>
    </row>
    <row r="1024" spans="2:2" x14ac:dyDescent="0.2">
      <c r="B1024" s="1175"/>
    </row>
    <row r="1025" spans="2:2" x14ac:dyDescent="0.2">
      <c r="B1025" s="1175"/>
    </row>
    <row r="1026" spans="2:2" x14ac:dyDescent="0.2">
      <c r="B1026" s="1175"/>
    </row>
    <row r="1027" spans="2:2" x14ac:dyDescent="0.2">
      <c r="B1027" s="1175"/>
    </row>
    <row r="1028" spans="2:2" x14ac:dyDescent="0.2">
      <c r="B1028" s="1175"/>
    </row>
    <row r="1029" spans="2:2" x14ac:dyDescent="0.2">
      <c r="B1029" s="1175"/>
    </row>
    <row r="1030" spans="2:2" x14ac:dyDescent="0.2">
      <c r="B1030" s="1175"/>
    </row>
    <row r="1031" spans="2:2" x14ac:dyDescent="0.2">
      <c r="B1031" s="1175"/>
    </row>
    <row r="1032" spans="2:2" x14ac:dyDescent="0.2">
      <c r="B1032" s="1175"/>
    </row>
    <row r="1033" spans="2:2" x14ac:dyDescent="0.2">
      <c r="B1033" s="1175"/>
    </row>
    <row r="1034" spans="2:2" x14ac:dyDescent="0.2">
      <c r="B1034" s="1175"/>
    </row>
    <row r="1035" spans="2:2" x14ac:dyDescent="0.2">
      <c r="B1035" s="1175"/>
    </row>
    <row r="1036" spans="2:2" x14ac:dyDescent="0.2">
      <c r="B1036" s="1175"/>
    </row>
    <row r="1037" spans="2:2" x14ac:dyDescent="0.2">
      <c r="B1037" s="1175"/>
    </row>
    <row r="1038" spans="2:2" x14ac:dyDescent="0.2">
      <c r="B1038" s="1175"/>
    </row>
    <row r="1039" spans="2:2" x14ac:dyDescent="0.2">
      <c r="B1039" s="1175"/>
    </row>
    <row r="1040" spans="2:2" x14ac:dyDescent="0.2">
      <c r="B1040" s="1175"/>
    </row>
    <row r="1041" spans="2:2" x14ac:dyDescent="0.2">
      <c r="B1041" s="1175"/>
    </row>
    <row r="1042" spans="2:2" x14ac:dyDescent="0.2">
      <c r="B1042" s="1175"/>
    </row>
    <row r="1043" spans="2:2" x14ac:dyDescent="0.2">
      <c r="B1043" s="1175"/>
    </row>
    <row r="1044" spans="2:2" x14ac:dyDescent="0.2">
      <c r="B1044" s="1175"/>
    </row>
    <row r="1045" spans="2:2" x14ac:dyDescent="0.2">
      <c r="B1045" s="1175"/>
    </row>
    <row r="1046" spans="2:2" x14ac:dyDescent="0.2">
      <c r="B1046" s="1175"/>
    </row>
    <row r="1047" spans="2:2" x14ac:dyDescent="0.2">
      <c r="B1047" s="1175"/>
    </row>
    <row r="1048" spans="2:2" x14ac:dyDescent="0.2">
      <c r="B1048" s="1175"/>
    </row>
    <row r="1049" spans="2:2" x14ac:dyDescent="0.2">
      <c r="B1049" s="1175"/>
    </row>
    <row r="1050" spans="2:2" x14ac:dyDescent="0.2">
      <c r="B1050" s="1175"/>
    </row>
    <row r="1051" spans="2:2" x14ac:dyDescent="0.2">
      <c r="B1051" s="1175"/>
    </row>
    <row r="1052" spans="2:2" x14ac:dyDescent="0.2">
      <c r="B1052" s="1175"/>
    </row>
    <row r="1053" spans="2:2" x14ac:dyDescent="0.2">
      <c r="B1053" s="1175"/>
    </row>
    <row r="1054" spans="2:2" x14ac:dyDescent="0.2">
      <c r="B1054" s="1175"/>
    </row>
    <row r="1055" spans="2:2" x14ac:dyDescent="0.2">
      <c r="B1055" s="1175"/>
    </row>
    <row r="1056" spans="2:2" x14ac:dyDescent="0.2">
      <c r="B1056" s="1175"/>
    </row>
    <row r="1057" spans="2:2" x14ac:dyDescent="0.2">
      <c r="B1057" s="1175"/>
    </row>
    <row r="1058" spans="2:2" x14ac:dyDescent="0.2">
      <c r="B1058" s="1175"/>
    </row>
    <row r="1059" spans="2:2" x14ac:dyDescent="0.2">
      <c r="B1059" s="1175"/>
    </row>
    <row r="1060" spans="2:2" x14ac:dyDescent="0.2">
      <c r="B1060" s="1175"/>
    </row>
    <row r="1061" spans="2:2" x14ac:dyDescent="0.2">
      <c r="B1061" s="1175"/>
    </row>
    <row r="1062" spans="2:2" x14ac:dyDescent="0.2">
      <c r="B1062" s="1175"/>
    </row>
    <row r="1063" spans="2:2" x14ac:dyDescent="0.2">
      <c r="B1063" s="1175"/>
    </row>
    <row r="1064" spans="2:2" x14ac:dyDescent="0.2">
      <c r="B1064" s="1175"/>
    </row>
    <row r="1065" spans="2:2" x14ac:dyDescent="0.2">
      <c r="B1065" s="1175"/>
    </row>
    <row r="1066" spans="2:2" x14ac:dyDescent="0.2">
      <c r="B1066" s="1175"/>
    </row>
    <row r="1067" spans="2:2" x14ac:dyDescent="0.2">
      <c r="B1067" s="1175"/>
    </row>
    <row r="1068" spans="2:2" x14ac:dyDescent="0.2">
      <c r="B1068" s="1175"/>
    </row>
    <row r="1069" spans="2:2" x14ac:dyDescent="0.2">
      <c r="B1069" s="1175"/>
    </row>
    <row r="1070" spans="2:2" x14ac:dyDescent="0.2">
      <c r="B1070" s="1175"/>
    </row>
    <row r="1071" spans="2:2" x14ac:dyDescent="0.2">
      <c r="B1071" s="1175"/>
    </row>
    <row r="1072" spans="2:2" x14ac:dyDescent="0.2">
      <c r="B1072" s="1175"/>
    </row>
    <row r="1073" spans="2:2" x14ac:dyDescent="0.2">
      <c r="B1073" s="1175"/>
    </row>
    <row r="1074" spans="2:2" x14ac:dyDescent="0.2">
      <c r="B1074" s="1175"/>
    </row>
    <row r="1075" spans="2:2" x14ac:dyDescent="0.2">
      <c r="B1075" s="1175"/>
    </row>
    <row r="1076" spans="2:2" x14ac:dyDescent="0.2">
      <c r="B1076" s="1175"/>
    </row>
    <row r="1077" spans="2:2" x14ac:dyDescent="0.2">
      <c r="B1077" s="1175"/>
    </row>
    <row r="1078" spans="2:2" x14ac:dyDescent="0.2">
      <c r="B1078" s="1175"/>
    </row>
    <row r="1079" spans="2:2" x14ac:dyDescent="0.2">
      <c r="B1079" s="1175"/>
    </row>
    <row r="1080" spans="2:2" x14ac:dyDescent="0.2">
      <c r="B1080" s="1175"/>
    </row>
    <row r="1081" spans="2:2" x14ac:dyDescent="0.2">
      <c r="B1081" s="1175"/>
    </row>
    <row r="1082" spans="2:2" x14ac:dyDescent="0.2">
      <c r="B1082" s="1175"/>
    </row>
    <row r="1083" spans="2:2" x14ac:dyDescent="0.2">
      <c r="B1083" s="1175"/>
    </row>
    <row r="1084" spans="2:2" x14ac:dyDescent="0.2">
      <c r="B1084" s="1175"/>
    </row>
    <row r="1085" spans="2:2" x14ac:dyDescent="0.2">
      <c r="B1085" s="1175"/>
    </row>
    <row r="1086" spans="2:2" x14ac:dyDescent="0.2">
      <c r="B1086" s="1175"/>
    </row>
    <row r="1087" spans="2:2" x14ac:dyDescent="0.2">
      <c r="B1087" s="1175"/>
    </row>
    <row r="1088" spans="2:2" x14ac:dyDescent="0.2">
      <c r="B1088" s="1175"/>
    </row>
    <row r="1089" spans="2:2" x14ac:dyDescent="0.2">
      <c r="B1089" s="1175"/>
    </row>
    <row r="1090" spans="2:2" x14ac:dyDescent="0.2">
      <c r="B1090" s="1175"/>
    </row>
    <row r="1091" spans="2:2" x14ac:dyDescent="0.2">
      <c r="B1091" s="1175"/>
    </row>
    <row r="1092" spans="2:2" x14ac:dyDescent="0.2">
      <c r="B1092" s="1175"/>
    </row>
    <row r="1093" spans="2:2" x14ac:dyDescent="0.2">
      <c r="B1093" s="1175"/>
    </row>
    <row r="1094" spans="2:2" x14ac:dyDescent="0.2">
      <c r="B1094" s="1175"/>
    </row>
    <row r="1095" spans="2:2" x14ac:dyDescent="0.2">
      <c r="B1095" s="1175"/>
    </row>
    <row r="1096" spans="2:2" x14ac:dyDescent="0.2">
      <c r="B1096" s="1175"/>
    </row>
    <row r="1097" spans="2:2" x14ac:dyDescent="0.2">
      <c r="B1097" s="1175"/>
    </row>
    <row r="1098" spans="2:2" x14ac:dyDescent="0.2">
      <c r="B1098" s="1175"/>
    </row>
    <row r="1099" spans="2:2" x14ac:dyDescent="0.2">
      <c r="B1099" s="1175"/>
    </row>
    <row r="1100" spans="2:2" x14ac:dyDescent="0.2">
      <c r="B1100" s="1175"/>
    </row>
    <row r="1101" spans="2:2" x14ac:dyDescent="0.2">
      <c r="B1101" s="1175"/>
    </row>
    <row r="1102" spans="2:2" x14ac:dyDescent="0.2">
      <c r="B1102" s="1175"/>
    </row>
    <row r="1103" spans="2:2" x14ac:dyDescent="0.2">
      <c r="B1103" s="1175"/>
    </row>
    <row r="1104" spans="2:2" x14ac:dyDescent="0.2">
      <c r="B1104" s="1175"/>
    </row>
    <row r="1105" spans="2:2" x14ac:dyDescent="0.2">
      <c r="B1105" s="1175"/>
    </row>
    <row r="1106" spans="2:2" x14ac:dyDescent="0.2">
      <c r="B1106" s="1175"/>
    </row>
    <row r="1107" spans="2:2" x14ac:dyDescent="0.2">
      <c r="B1107" s="1175"/>
    </row>
    <row r="1108" spans="2:2" x14ac:dyDescent="0.2">
      <c r="B1108" s="1175"/>
    </row>
    <row r="1109" spans="2:2" x14ac:dyDescent="0.2">
      <c r="B1109" s="1175"/>
    </row>
    <row r="1110" spans="2:2" x14ac:dyDescent="0.2">
      <c r="B1110" s="1175"/>
    </row>
    <row r="1111" spans="2:2" x14ac:dyDescent="0.2">
      <c r="B1111" s="1175"/>
    </row>
    <row r="1112" spans="2:2" x14ac:dyDescent="0.2">
      <c r="B1112" s="1175"/>
    </row>
    <row r="1113" spans="2:2" x14ac:dyDescent="0.2">
      <c r="B1113" s="1175"/>
    </row>
    <row r="1114" spans="2:2" x14ac:dyDescent="0.2">
      <c r="B1114" s="1175"/>
    </row>
    <row r="1115" spans="2:2" x14ac:dyDescent="0.2">
      <c r="B1115" s="1175"/>
    </row>
    <row r="1116" spans="2:2" x14ac:dyDescent="0.2">
      <c r="B1116" s="1175"/>
    </row>
    <row r="1117" spans="2:2" x14ac:dyDescent="0.2">
      <c r="B1117" s="1175"/>
    </row>
    <row r="1118" spans="2:2" x14ac:dyDescent="0.2">
      <c r="B1118" s="1175"/>
    </row>
    <row r="1119" spans="2:2" x14ac:dyDescent="0.2">
      <c r="B1119" s="1175"/>
    </row>
    <row r="1120" spans="2:2" x14ac:dyDescent="0.2">
      <c r="B1120" s="1175"/>
    </row>
    <row r="1121" spans="2:2" x14ac:dyDescent="0.2">
      <c r="B1121" s="1175"/>
    </row>
    <row r="1122" spans="2:2" x14ac:dyDescent="0.2">
      <c r="B1122" s="1175"/>
    </row>
    <row r="1123" spans="2:2" x14ac:dyDescent="0.2">
      <c r="B1123" s="1175"/>
    </row>
    <row r="1124" spans="2:2" x14ac:dyDescent="0.2">
      <c r="B1124" s="1175"/>
    </row>
    <row r="1125" spans="2:2" x14ac:dyDescent="0.2">
      <c r="B1125" s="1175"/>
    </row>
    <row r="1126" spans="2:2" x14ac:dyDescent="0.2">
      <c r="B1126" s="1175"/>
    </row>
    <row r="1127" spans="2:2" x14ac:dyDescent="0.2">
      <c r="B1127" s="1175"/>
    </row>
    <row r="1128" spans="2:2" x14ac:dyDescent="0.2">
      <c r="B1128" s="1175"/>
    </row>
    <row r="1129" spans="2:2" x14ac:dyDescent="0.2">
      <c r="B1129" s="1175"/>
    </row>
    <row r="1130" spans="2:2" x14ac:dyDescent="0.2">
      <c r="B1130" s="1175"/>
    </row>
    <row r="1131" spans="2:2" x14ac:dyDescent="0.2">
      <c r="B1131" s="1175"/>
    </row>
    <row r="1132" spans="2:2" x14ac:dyDescent="0.2">
      <c r="B1132" s="1175"/>
    </row>
    <row r="1133" spans="2:2" x14ac:dyDescent="0.2">
      <c r="B1133" s="1175"/>
    </row>
    <row r="1134" spans="2:2" x14ac:dyDescent="0.2">
      <c r="B1134" s="1175"/>
    </row>
    <row r="1135" spans="2:2" x14ac:dyDescent="0.2">
      <c r="B1135" s="1175"/>
    </row>
    <row r="1136" spans="2:2" x14ac:dyDescent="0.2">
      <c r="B1136" s="1175"/>
    </row>
    <row r="1137" spans="2:2" x14ac:dyDescent="0.2">
      <c r="B1137" s="1175"/>
    </row>
    <row r="1138" spans="2:2" x14ac:dyDescent="0.2">
      <c r="B1138" s="1175"/>
    </row>
    <row r="1139" spans="2:2" x14ac:dyDescent="0.2">
      <c r="B1139" s="1175"/>
    </row>
    <row r="1140" spans="2:2" x14ac:dyDescent="0.2">
      <c r="B1140" s="1175"/>
    </row>
    <row r="1141" spans="2:2" x14ac:dyDescent="0.2">
      <c r="B1141" s="1175"/>
    </row>
    <row r="1142" spans="2:2" x14ac:dyDescent="0.2">
      <c r="B1142" s="1175"/>
    </row>
    <row r="1143" spans="2:2" x14ac:dyDescent="0.2">
      <c r="B1143" s="1175"/>
    </row>
    <row r="1144" spans="2:2" x14ac:dyDescent="0.2">
      <c r="B1144" s="1175"/>
    </row>
    <row r="1145" spans="2:2" x14ac:dyDescent="0.2">
      <c r="B1145" s="1175"/>
    </row>
    <row r="1146" spans="2:2" x14ac:dyDescent="0.2">
      <c r="B1146" s="1175"/>
    </row>
    <row r="1147" spans="2:2" x14ac:dyDescent="0.2">
      <c r="B1147" s="1175"/>
    </row>
    <row r="1148" spans="2:2" x14ac:dyDescent="0.2">
      <c r="B1148" s="1175"/>
    </row>
    <row r="1149" spans="2:2" x14ac:dyDescent="0.2">
      <c r="B1149" s="1175"/>
    </row>
    <row r="1150" spans="2:2" x14ac:dyDescent="0.2">
      <c r="B1150" s="1175"/>
    </row>
    <row r="1151" spans="2:2" x14ac:dyDescent="0.2">
      <c r="B1151" s="1175"/>
    </row>
    <row r="1152" spans="2:2" x14ac:dyDescent="0.2">
      <c r="B1152" s="1175"/>
    </row>
    <row r="1153" spans="2:2" x14ac:dyDescent="0.2">
      <c r="B1153" s="1175"/>
    </row>
    <row r="1154" spans="2:2" x14ac:dyDescent="0.2">
      <c r="B1154" s="1175"/>
    </row>
    <row r="1155" spans="2:2" x14ac:dyDescent="0.2">
      <c r="B1155" s="1175"/>
    </row>
    <row r="1156" spans="2:2" x14ac:dyDescent="0.2">
      <c r="B1156" s="1175"/>
    </row>
    <row r="1157" spans="2:2" x14ac:dyDescent="0.2">
      <c r="B1157" s="1175"/>
    </row>
    <row r="1158" spans="2:2" x14ac:dyDescent="0.2">
      <c r="B1158" s="1175"/>
    </row>
    <row r="1159" spans="2:2" x14ac:dyDescent="0.2">
      <c r="B1159" s="1175"/>
    </row>
    <row r="1160" spans="2:2" x14ac:dyDescent="0.2">
      <c r="B1160" s="1175"/>
    </row>
    <row r="1161" spans="2:2" x14ac:dyDescent="0.2">
      <c r="B1161" s="1175"/>
    </row>
    <row r="1162" spans="2:2" x14ac:dyDescent="0.2">
      <c r="B1162" s="1175"/>
    </row>
    <row r="1163" spans="2:2" x14ac:dyDescent="0.2">
      <c r="B1163" s="1175"/>
    </row>
    <row r="1164" spans="2:2" x14ac:dyDescent="0.2">
      <c r="B1164" s="1175"/>
    </row>
    <row r="1165" spans="2:2" x14ac:dyDescent="0.2">
      <c r="B1165" s="1175"/>
    </row>
    <row r="1166" spans="2:2" x14ac:dyDescent="0.2">
      <c r="B1166" s="1175"/>
    </row>
    <row r="1167" spans="2:2" x14ac:dyDescent="0.2">
      <c r="B1167" s="1175"/>
    </row>
    <row r="1168" spans="2:2" x14ac:dyDescent="0.2">
      <c r="B1168" s="1175"/>
    </row>
    <row r="1169" spans="2:2" x14ac:dyDescent="0.2">
      <c r="B1169" s="1175"/>
    </row>
    <row r="1170" spans="2:2" x14ac:dyDescent="0.2">
      <c r="B1170" s="1175"/>
    </row>
    <row r="1171" spans="2:2" x14ac:dyDescent="0.2">
      <c r="B1171" s="1175"/>
    </row>
    <row r="1172" spans="2:2" x14ac:dyDescent="0.2">
      <c r="B1172" s="1175"/>
    </row>
    <row r="1173" spans="2:2" x14ac:dyDescent="0.2">
      <c r="B1173" s="1175"/>
    </row>
    <row r="1174" spans="2:2" x14ac:dyDescent="0.2">
      <c r="B1174" s="1175"/>
    </row>
    <row r="1175" spans="2:2" x14ac:dyDescent="0.2">
      <c r="B1175" s="1175"/>
    </row>
    <row r="1176" spans="2:2" x14ac:dyDescent="0.2">
      <c r="B1176" s="1175"/>
    </row>
    <row r="1177" spans="2:2" x14ac:dyDescent="0.2">
      <c r="B1177" s="1175"/>
    </row>
    <row r="1178" spans="2:2" x14ac:dyDescent="0.2">
      <c r="B1178" s="1175"/>
    </row>
    <row r="1179" spans="2:2" x14ac:dyDescent="0.2">
      <c r="B1179" s="1175"/>
    </row>
    <row r="1180" spans="2:2" x14ac:dyDescent="0.2">
      <c r="B1180" s="1175"/>
    </row>
    <row r="1181" spans="2:2" x14ac:dyDescent="0.2">
      <c r="B1181" s="1175"/>
    </row>
    <row r="1182" spans="2:2" x14ac:dyDescent="0.2">
      <c r="B1182" s="1175"/>
    </row>
    <row r="1183" spans="2:2" x14ac:dyDescent="0.2">
      <c r="B1183" s="1175"/>
    </row>
    <row r="1184" spans="2:2" x14ac:dyDescent="0.2">
      <c r="B1184" s="1175"/>
    </row>
    <row r="1185" spans="2:2" x14ac:dyDescent="0.2">
      <c r="B1185" s="1175"/>
    </row>
    <row r="1186" spans="2:2" x14ac:dyDescent="0.2">
      <c r="B1186" s="1175"/>
    </row>
    <row r="1187" spans="2:2" x14ac:dyDescent="0.2">
      <c r="B1187" s="1175"/>
    </row>
    <row r="1188" spans="2:2" x14ac:dyDescent="0.2">
      <c r="B1188" s="1175"/>
    </row>
    <row r="1189" spans="2:2" x14ac:dyDescent="0.2">
      <c r="B1189" s="1175"/>
    </row>
    <row r="1190" spans="2:2" x14ac:dyDescent="0.2">
      <c r="B1190" s="1175"/>
    </row>
    <row r="1191" spans="2:2" x14ac:dyDescent="0.2">
      <c r="B1191" s="1175"/>
    </row>
    <row r="1192" spans="2:2" x14ac:dyDescent="0.2">
      <c r="B1192" s="1175"/>
    </row>
    <row r="1193" spans="2:2" x14ac:dyDescent="0.2">
      <c r="B1193" s="1175"/>
    </row>
    <row r="1194" spans="2:2" x14ac:dyDescent="0.2">
      <c r="B1194" s="1175"/>
    </row>
    <row r="1195" spans="2:2" x14ac:dyDescent="0.2">
      <c r="B1195" s="1175"/>
    </row>
    <row r="1196" spans="2:2" x14ac:dyDescent="0.2">
      <c r="B1196" s="1175"/>
    </row>
    <row r="1197" spans="2:2" x14ac:dyDescent="0.2">
      <c r="B1197" s="1175"/>
    </row>
    <row r="1198" spans="2:2" x14ac:dyDescent="0.2">
      <c r="B1198" s="1175"/>
    </row>
    <row r="1199" spans="2:2" x14ac:dyDescent="0.2">
      <c r="B1199" s="1175"/>
    </row>
    <row r="1200" spans="2:2" x14ac:dyDescent="0.2">
      <c r="B1200" s="1175"/>
    </row>
    <row r="1201" spans="2:2" x14ac:dyDescent="0.2">
      <c r="B1201" s="1175"/>
    </row>
    <row r="1202" spans="2:2" x14ac:dyDescent="0.2">
      <c r="B1202" s="1175"/>
    </row>
    <row r="1203" spans="2:2" x14ac:dyDescent="0.2">
      <c r="B1203" s="1175"/>
    </row>
    <row r="1204" spans="2:2" x14ac:dyDescent="0.2">
      <c r="B1204" s="1175"/>
    </row>
    <row r="1205" spans="2:2" x14ac:dyDescent="0.2">
      <c r="B1205" s="1175"/>
    </row>
    <row r="1206" spans="2:2" x14ac:dyDescent="0.2">
      <c r="B1206" s="1175"/>
    </row>
    <row r="1207" spans="2:2" x14ac:dyDescent="0.2">
      <c r="B1207" s="1175"/>
    </row>
    <row r="1208" spans="2:2" x14ac:dyDescent="0.2">
      <c r="B1208" s="1175"/>
    </row>
    <row r="1209" spans="2:2" x14ac:dyDescent="0.2">
      <c r="B1209" s="1175"/>
    </row>
    <row r="1210" spans="2:2" x14ac:dyDescent="0.2">
      <c r="B1210" s="1175"/>
    </row>
    <row r="1211" spans="2:2" x14ac:dyDescent="0.2">
      <c r="B1211" s="1175"/>
    </row>
    <row r="1212" spans="2:2" x14ac:dyDescent="0.2">
      <c r="B1212" s="1175"/>
    </row>
    <row r="1213" spans="2:2" x14ac:dyDescent="0.2">
      <c r="B1213" s="1175"/>
    </row>
    <row r="1214" spans="2:2" x14ac:dyDescent="0.2">
      <c r="B1214" s="1175"/>
    </row>
    <row r="1215" spans="2:2" x14ac:dyDescent="0.2">
      <c r="B1215" s="1175"/>
    </row>
    <row r="1216" spans="2:2" x14ac:dyDescent="0.2">
      <c r="B1216" s="1175"/>
    </row>
    <row r="1217" spans="2:2" x14ac:dyDescent="0.2">
      <c r="B1217" s="1175"/>
    </row>
    <row r="1218" spans="2:2" x14ac:dyDescent="0.2">
      <c r="B1218" s="1175"/>
    </row>
    <row r="1219" spans="2:2" x14ac:dyDescent="0.2">
      <c r="B1219" s="1175"/>
    </row>
    <row r="1220" spans="2:2" x14ac:dyDescent="0.2">
      <c r="B1220" s="1175"/>
    </row>
    <row r="1221" spans="2:2" x14ac:dyDescent="0.2">
      <c r="B1221" s="1175"/>
    </row>
    <row r="1222" spans="2:2" x14ac:dyDescent="0.2">
      <c r="B1222" s="1175"/>
    </row>
    <row r="1223" spans="2:2" x14ac:dyDescent="0.2">
      <c r="B1223" s="1175"/>
    </row>
    <row r="1224" spans="2:2" x14ac:dyDescent="0.2">
      <c r="B1224" s="1175"/>
    </row>
    <row r="1225" spans="2:2" x14ac:dyDescent="0.2">
      <c r="B1225" s="1175"/>
    </row>
    <row r="1226" spans="2:2" x14ac:dyDescent="0.2">
      <c r="B1226" s="1175"/>
    </row>
    <row r="1227" spans="2:2" x14ac:dyDescent="0.2">
      <c r="B1227" s="1175"/>
    </row>
    <row r="1228" spans="2:2" x14ac:dyDescent="0.2">
      <c r="B1228" s="1175"/>
    </row>
    <row r="1229" spans="2:2" x14ac:dyDescent="0.2">
      <c r="B1229" s="1175"/>
    </row>
    <row r="1230" spans="2:2" x14ac:dyDescent="0.2">
      <c r="B1230" s="1175"/>
    </row>
    <row r="1231" spans="2:2" x14ac:dyDescent="0.2">
      <c r="B1231" s="1175"/>
    </row>
    <row r="1232" spans="2:2" x14ac:dyDescent="0.2">
      <c r="B1232" s="1175"/>
    </row>
    <row r="1233" spans="2:2" x14ac:dyDescent="0.2">
      <c r="B1233" s="1175"/>
    </row>
    <row r="1234" spans="2:2" x14ac:dyDescent="0.2">
      <c r="B1234" s="1175"/>
    </row>
    <row r="1235" spans="2:2" x14ac:dyDescent="0.2">
      <c r="B1235" s="1175"/>
    </row>
    <row r="1236" spans="2:2" x14ac:dyDescent="0.2">
      <c r="B1236" s="1175"/>
    </row>
    <row r="1237" spans="2:2" x14ac:dyDescent="0.2">
      <c r="B1237" s="1175"/>
    </row>
    <row r="1238" spans="2:2" x14ac:dyDescent="0.2">
      <c r="B1238" s="1175"/>
    </row>
    <row r="1239" spans="2:2" x14ac:dyDescent="0.2">
      <c r="B1239" s="1175"/>
    </row>
    <row r="1240" spans="2:2" x14ac:dyDescent="0.2">
      <c r="B1240" s="1175"/>
    </row>
    <row r="1241" spans="2:2" x14ac:dyDescent="0.2">
      <c r="B1241" s="1175"/>
    </row>
    <row r="1242" spans="2:2" x14ac:dyDescent="0.2">
      <c r="B1242" s="1175"/>
    </row>
    <row r="1243" spans="2:2" x14ac:dyDescent="0.2">
      <c r="B1243" s="1175"/>
    </row>
    <row r="1244" spans="2:2" x14ac:dyDescent="0.2">
      <c r="B1244" s="1175"/>
    </row>
    <row r="1245" spans="2:2" x14ac:dyDescent="0.2">
      <c r="B1245" s="1175"/>
    </row>
    <row r="1246" spans="2:2" x14ac:dyDescent="0.2">
      <c r="B1246" s="1175"/>
    </row>
    <row r="1247" spans="2:2" x14ac:dyDescent="0.2">
      <c r="B1247" s="1175"/>
    </row>
    <row r="1248" spans="2:2" x14ac:dyDescent="0.2">
      <c r="B1248" s="1175"/>
    </row>
    <row r="1249" spans="2:2" x14ac:dyDescent="0.2">
      <c r="B1249" s="1175"/>
    </row>
    <row r="1250" spans="2:2" x14ac:dyDescent="0.2">
      <c r="B1250" s="1175"/>
    </row>
    <row r="1251" spans="2:2" x14ac:dyDescent="0.2">
      <c r="B1251" s="1175"/>
    </row>
    <row r="1252" spans="2:2" x14ac:dyDescent="0.2">
      <c r="B1252" s="1175"/>
    </row>
    <row r="1253" spans="2:2" x14ac:dyDescent="0.2">
      <c r="B1253" s="1175"/>
    </row>
    <row r="1254" spans="2:2" x14ac:dyDescent="0.2">
      <c r="B1254" s="1175"/>
    </row>
    <row r="1255" spans="2:2" x14ac:dyDescent="0.2">
      <c r="B1255" s="1175"/>
    </row>
    <row r="1256" spans="2:2" x14ac:dyDescent="0.2">
      <c r="B1256" s="1175"/>
    </row>
    <row r="1257" spans="2:2" x14ac:dyDescent="0.2">
      <c r="B1257" s="1175"/>
    </row>
    <row r="1258" spans="2:2" x14ac:dyDescent="0.2">
      <c r="B1258" s="1175"/>
    </row>
    <row r="1259" spans="2:2" x14ac:dyDescent="0.2">
      <c r="B1259" s="1175"/>
    </row>
    <row r="1260" spans="2:2" x14ac:dyDescent="0.2">
      <c r="B1260" s="1175"/>
    </row>
    <row r="1261" spans="2:2" x14ac:dyDescent="0.2">
      <c r="B1261" s="1175"/>
    </row>
    <row r="1262" spans="2:2" x14ac:dyDescent="0.2">
      <c r="B1262" s="1175"/>
    </row>
    <row r="1263" spans="2:2" x14ac:dyDescent="0.2">
      <c r="B1263" s="1175"/>
    </row>
    <row r="1264" spans="2:2" x14ac:dyDescent="0.2">
      <c r="B1264" s="1175"/>
    </row>
    <row r="1265" spans="2:2" x14ac:dyDescent="0.2">
      <c r="B1265" s="1175"/>
    </row>
    <row r="1266" spans="2:2" x14ac:dyDescent="0.2">
      <c r="B1266" s="1175"/>
    </row>
    <row r="1267" spans="2:2" x14ac:dyDescent="0.2">
      <c r="B1267" s="1175"/>
    </row>
    <row r="1268" spans="2:2" x14ac:dyDescent="0.2">
      <c r="B1268" s="1175"/>
    </row>
    <row r="1269" spans="2:2" x14ac:dyDescent="0.2">
      <c r="B1269" s="1175"/>
    </row>
    <row r="1270" spans="2:2" x14ac:dyDescent="0.2">
      <c r="B1270" s="1175"/>
    </row>
    <row r="1271" spans="2:2" x14ac:dyDescent="0.2">
      <c r="B1271" s="1175"/>
    </row>
    <row r="1272" spans="2:2" x14ac:dyDescent="0.2">
      <c r="B1272" s="1175"/>
    </row>
    <row r="1273" spans="2:2" x14ac:dyDescent="0.2">
      <c r="B1273" s="1175"/>
    </row>
    <row r="1274" spans="2:2" x14ac:dyDescent="0.2">
      <c r="B1274" s="1175"/>
    </row>
    <row r="1275" spans="2:2" x14ac:dyDescent="0.2">
      <c r="B1275" s="1175"/>
    </row>
    <row r="1276" spans="2:2" x14ac:dyDescent="0.2">
      <c r="B1276" s="1175"/>
    </row>
    <row r="1277" spans="2:2" x14ac:dyDescent="0.2">
      <c r="B1277" s="1175"/>
    </row>
    <row r="1278" spans="2:2" x14ac:dyDescent="0.2">
      <c r="B1278" s="1175"/>
    </row>
    <row r="1279" spans="2:2" x14ac:dyDescent="0.2">
      <c r="B1279" s="1175"/>
    </row>
    <row r="1280" spans="2:2" x14ac:dyDescent="0.2">
      <c r="B1280" s="1175"/>
    </row>
    <row r="1281" spans="2:2" x14ac:dyDescent="0.2">
      <c r="B1281" s="1175"/>
    </row>
    <row r="1282" spans="2:2" x14ac:dyDescent="0.2">
      <c r="B1282" s="1175"/>
    </row>
    <row r="1283" spans="2:2" x14ac:dyDescent="0.2">
      <c r="B1283" s="1175"/>
    </row>
    <row r="1284" spans="2:2" x14ac:dyDescent="0.2">
      <c r="B1284" s="1175"/>
    </row>
    <row r="1285" spans="2:2" x14ac:dyDescent="0.2">
      <c r="B1285" s="1175"/>
    </row>
    <row r="1286" spans="2:2" x14ac:dyDescent="0.2">
      <c r="B1286" s="1175"/>
    </row>
    <row r="1287" spans="2:2" x14ac:dyDescent="0.2">
      <c r="B1287" s="1175"/>
    </row>
    <row r="1288" spans="2:2" x14ac:dyDescent="0.2">
      <c r="B1288" s="1175"/>
    </row>
    <row r="1289" spans="2:2" x14ac:dyDescent="0.2">
      <c r="B1289" s="1175"/>
    </row>
    <row r="1290" spans="2:2" x14ac:dyDescent="0.2">
      <c r="B1290" s="1175"/>
    </row>
    <row r="1291" spans="2:2" x14ac:dyDescent="0.2">
      <c r="B1291" s="1175"/>
    </row>
    <row r="1292" spans="2:2" x14ac:dyDescent="0.2">
      <c r="B1292" s="1175"/>
    </row>
    <row r="1293" spans="2:2" x14ac:dyDescent="0.2">
      <c r="B1293" s="1175"/>
    </row>
    <row r="1294" spans="2:2" x14ac:dyDescent="0.2">
      <c r="B1294" s="1175"/>
    </row>
    <row r="1295" spans="2:2" x14ac:dyDescent="0.2">
      <c r="B1295" s="1175"/>
    </row>
    <row r="1296" spans="2:2" x14ac:dyDescent="0.2">
      <c r="B1296" s="1175"/>
    </row>
    <row r="1297" spans="2:2" x14ac:dyDescent="0.2">
      <c r="B1297" s="1175"/>
    </row>
    <row r="1298" spans="2:2" x14ac:dyDescent="0.2">
      <c r="B1298" s="1175"/>
    </row>
    <row r="1299" spans="2:2" x14ac:dyDescent="0.2">
      <c r="B1299" s="1175"/>
    </row>
    <row r="1300" spans="2:2" x14ac:dyDescent="0.2">
      <c r="B1300" s="1175"/>
    </row>
    <row r="1301" spans="2:2" x14ac:dyDescent="0.2">
      <c r="B1301" s="1175"/>
    </row>
    <row r="1302" spans="2:2" x14ac:dyDescent="0.2">
      <c r="B1302" s="1175"/>
    </row>
    <row r="1303" spans="2:2" x14ac:dyDescent="0.2">
      <c r="B1303" s="1175"/>
    </row>
    <row r="1304" spans="2:2" x14ac:dyDescent="0.2">
      <c r="B1304" s="1175"/>
    </row>
    <row r="1305" spans="2:2" x14ac:dyDescent="0.2">
      <c r="B1305" s="1175"/>
    </row>
    <row r="1306" spans="2:2" x14ac:dyDescent="0.2">
      <c r="B1306" s="1175"/>
    </row>
    <row r="1307" spans="2:2" x14ac:dyDescent="0.2">
      <c r="B1307" s="1175"/>
    </row>
    <row r="1308" spans="2:2" x14ac:dyDescent="0.2">
      <c r="B1308" s="1175"/>
    </row>
    <row r="1309" spans="2:2" x14ac:dyDescent="0.2">
      <c r="B1309" s="1175"/>
    </row>
    <row r="1310" spans="2:2" x14ac:dyDescent="0.2">
      <c r="B1310" s="1175"/>
    </row>
    <row r="1311" spans="2:2" x14ac:dyDescent="0.2">
      <c r="B1311" s="1175"/>
    </row>
    <row r="1312" spans="2:2" x14ac:dyDescent="0.2">
      <c r="B1312" s="1175"/>
    </row>
    <row r="1313" spans="2:2" x14ac:dyDescent="0.2">
      <c r="B1313" s="1175"/>
    </row>
    <row r="1314" spans="2:2" x14ac:dyDescent="0.2">
      <c r="B1314" s="1175"/>
    </row>
    <row r="1315" spans="2:2" x14ac:dyDescent="0.2">
      <c r="B1315" s="1175"/>
    </row>
    <row r="1316" spans="2:2" x14ac:dyDescent="0.2">
      <c r="B1316" s="1175"/>
    </row>
    <row r="1317" spans="2:2" x14ac:dyDescent="0.2">
      <c r="B1317" s="1175"/>
    </row>
    <row r="1318" spans="2:2" x14ac:dyDescent="0.2">
      <c r="B1318" s="1175"/>
    </row>
    <row r="1319" spans="2:2" x14ac:dyDescent="0.2">
      <c r="B1319" s="1175"/>
    </row>
    <row r="1320" spans="2:2" x14ac:dyDescent="0.2">
      <c r="B1320" s="1175"/>
    </row>
    <row r="1321" spans="2:2" x14ac:dyDescent="0.2">
      <c r="B1321" s="1175"/>
    </row>
    <row r="1322" spans="2:2" x14ac:dyDescent="0.2">
      <c r="B1322" s="1175"/>
    </row>
    <row r="1323" spans="2:2" x14ac:dyDescent="0.2">
      <c r="B1323" s="1175"/>
    </row>
    <row r="1324" spans="2:2" x14ac:dyDescent="0.2">
      <c r="B1324" s="1175"/>
    </row>
    <row r="1325" spans="2:2" x14ac:dyDescent="0.2">
      <c r="B1325" s="1175"/>
    </row>
    <row r="1326" spans="2:2" x14ac:dyDescent="0.2">
      <c r="B1326" s="1175"/>
    </row>
    <row r="1327" spans="2:2" x14ac:dyDescent="0.2">
      <c r="B1327" s="1175"/>
    </row>
    <row r="1328" spans="2:2" x14ac:dyDescent="0.2">
      <c r="B1328" s="1175"/>
    </row>
    <row r="1329" spans="2:2" x14ac:dyDescent="0.2">
      <c r="B1329" s="1175"/>
    </row>
    <row r="1330" spans="2:2" x14ac:dyDescent="0.2">
      <c r="B1330" s="1175"/>
    </row>
    <row r="1331" spans="2:2" x14ac:dyDescent="0.2">
      <c r="B1331" s="1175"/>
    </row>
    <row r="1332" spans="2:2" x14ac:dyDescent="0.2">
      <c r="B1332" s="1175"/>
    </row>
    <row r="1333" spans="2:2" x14ac:dyDescent="0.2">
      <c r="B1333" s="1175"/>
    </row>
    <row r="1334" spans="2:2" x14ac:dyDescent="0.2">
      <c r="B1334" s="1175"/>
    </row>
    <row r="1335" spans="2:2" x14ac:dyDescent="0.2">
      <c r="B1335" s="1175"/>
    </row>
    <row r="1336" spans="2:2" x14ac:dyDescent="0.2">
      <c r="B1336" s="1175"/>
    </row>
    <row r="1337" spans="2:2" x14ac:dyDescent="0.2">
      <c r="B1337" s="1175"/>
    </row>
    <row r="1338" spans="2:2" x14ac:dyDescent="0.2">
      <c r="B1338" s="1175"/>
    </row>
    <row r="1339" spans="2:2" x14ac:dyDescent="0.2">
      <c r="B1339" s="1175"/>
    </row>
    <row r="1340" spans="2:2" x14ac:dyDescent="0.2">
      <c r="B1340" s="1175"/>
    </row>
    <row r="1341" spans="2:2" x14ac:dyDescent="0.2">
      <c r="B1341" s="1175"/>
    </row>
    <row r="1342" spans="2:2" x14ac:dyDescent="0.2">
      <c r="B1342" s="1175"/>
    </row>
    <row r="1343" spans="2:2" x14ac:dyDescent="0.2">
      <c r="B1343" s="1175"/>
    </row>
    <row r="1344" spans="2:2" x14ac:dyDescent="0.2">
      <c r="B1344" s="1175"/>
    </row>
    <row r="1345" spans="2:2" x14ac:dyDescent="0.2">
      <c r="B1345" s="1175"/>
    </row>
    <row r="1346" spans="2:2" x14ac:dyDescent="0.2">
      <c r="B1346" s="1175"/>
    </row>
    <row r="1347" spans="2:2" x14ac:dyDescent="0.2">
      <c r="B1347" s="1175"/>
    </row>
    <row r="1348" spans="2:2" x14ac:dyDescent="0.2">
      <c r="B1348" s="1175"/>
    </row>
    <row r="1349" spans="2:2" x14ac:dyDescent="0.2">
      <c r="B1349" s="1175"/>
    </row>
    <row r="1350" spans="2:2" x14ac:dyDescent="0.2">
      <c r="B1350" s="1175"/>
    </row>
    <row r="1351" spans="2:2" x14ac:dyDescent="0.2">
      <c r="B1351" s="1175"/>
    </row>
    <row r="1352" spans="2:2" x14ac:dyDescent="0.2">
      <c r="B1352" s="1175"/>
    </row>
    <row r="1353" spans="2:2" x14ac:dyDescent="0.2">
      <c r="B1353" s="1175"/>
    </row>
    <row r="1354" spans="2:2" x14ac:dyDescent="0.2">
      <c r="B1354" s="1175"/>
    </row>
    <row r="1355" spans="2:2" x14ac:dyDescent="0.2">
      <c r="B1355" s="1175"/>
    </row>
    <row r="1356" spans="2:2" x14ac:dyDescent="0.2">
      <c r="B1356" s="1175"/>
    </row>
    <row r="1357" spans="2:2" x14ac:dyDescent="0.2">
      <c r="B1357" s="1175"/>
    </row>
    <row r="1358" spans="2:2" x14ac:dyDescent="0.2">
      <c r="B1358" s="1175"/>
    </row>
    <row r="1359" spans="2:2" x14ac:dyDescent="0.2">
      <c r="B1359" s="1175"/>
    </row>
    <row r="1360" spans="2:2" x14ac:dyDescent="0.2">
      <c r="B1360" s="1175"/>
    </row>
    <row r="1361" spans="2:2" x14ac:dyDescent="0.2">
      <c r="B1361" s="1175"/>
    </row>
    <row r="1362" spans="2:2" x14ac:dyDescent="0.2">
      <c r="B1362" s="1175"/>
    </row>
    <row r="1363" spans="2:2" x14ac:dyDescent="0.2">
      <c r="B1363" s="1175"/>
    </row>
    <row r="1364" spans="2:2" x14ac:dyDescent="0.2">
      <c r="B1364" s="1175"/>
    </row>
    <row r="1365" spans="2:2" x14ac:dyDescent="0.2">
      <c r="B1365" s="1175"/>
    </row>
    <row r="1366" spans="2:2" x14ac:dyDescent="0.2">
      <c r="B1366" s="1175"/>
    </row>
    <row r="1367" spans="2:2" x14ac:dyDescent="0.2">
      <c r="B1367" s="1175"/>
    </row>
    <row r="1368" spans="2:2" x14ac:dyDescent="0.2">
      <c r="B1368" s="1175"/>
    </row>
    <row r="1369" spans="2:2" x14ac:dyDescent="0.2">
      <c r="B1369" s="1175"/>
    </row>
    <row r="1370" spans="2:2" x14ac:dyDescent="0.2">
      <c r="B1370" s="1175"/>
    </row>
    <row r="1371" spans="2:2" x14ac:dyDescent="0.2">
      <c r="B1371" s="1175"/>
    </row>
    <row r="1372" spans="2:2" x14ac:dyDescent="0.2">
      <c r="B1372" s="1175"/>
    </row>
    <row r="1373" spans="2:2" x14ac:dyDescent="0.2">
      <c r="B1373" s="1175"/>
    </row>
    <row r="1374" spans="2:2" x14ac:dyDescent="0.2">
      <c r="B1374" s="1175"/>
    </row>
    <row r="1375" spans="2:2" x14ac:dyDescent="0.2">
      <c r="B1375" s="1175"/>
    </row>
    <row r="1376" spans="2:2" x14ac:dyDescent="0.2">
      <c r="B1376" s="1175"/>
    </row>
    <row r="1377" spans="2:2" x14ac:dyDescent="0.2">
      <c r="B1377" s="1175"/>
    </row>
    <row r="1378" spans="2:2" x14ac:dyDescent="0.2">
      <c r="B1378" s="1175"/>
    </row>
    <row r="1379" spans="2:2" x14ac:dyDescent="0.2">
      <c r="B1379" s="1175"/>
    </row>
    <row r="1380" spans="2:2" x14ac:dyDescent="0.2">
      <c r="B1380" s="1175"/>
    </row>
    <row r="1381" spans="2:2" x14ac:dyDescent="0.2">
      <c r="B1381" s="1175"/>
    </row>
    <row r="1382" spans="2:2" x14ac:dyDescent="0.2">
      <c r="B1382" s="1175"/>
    </row>
    <row r="1383" spans="2:2" x14ac:dyDescent="0.2">
      <c r="B1383" s="1175"/>
    </row>
    <row r="1384" spans="2:2" x14ac:dyDescent="0.2">
      <c r="B1384" s="1175"/>
    </row>
    <row r="1385" spans="2:2" x14ac:dyDescent="0.2">
      <c r="B1385" s="1175"/>
    </row>
    <row r="1386" spans="2:2" x14ac:dyDescent="0.2">
      <c r="B1386" s="1175"/>
    </row>
    <row r="1387" spans="2:2" x14ac:dyDescent="0.2">
      <c r="B1387" s="1175"/>
    </row>
    <row r="1388" spans="2:2" x14ac:dyDescent="0.2">
      <c r="B1388" s="1175"/>
    </row>
    <row r="1389" spans="2:2" x14ac:dyDescent="0.2">
      <c r="B1389" s="1175"/>
    </row>
    <row r="1390" spans="2:2" x14ac:dyDescent="0.2">
      <c r="B1390" s="1175"/>
    </row>
    <row r="1391" spans="2:2" x14ac:dyDescent="0.2">
      <c r="B1391" s="1175"/>
    </row>
    <row r="1392" spans="2:2" x14ac:dyDescent="0.2">
      <c r="B1392" s="1175"/>
    </row>
    <row r="1393" spans="2:2" x14ac:dyDescent="0.2">
      <c r="B1393" s="1175"/>
    </row>
    <row r="1394" spans="2:2" x14ac:dyDescent="0.2">
      <c r="B1394" s="1175"/>
    </row>
    <row r="1395" spans="2:2" x14ac:dyDescent="0.2">
      <c r="B1395" s="1175"/>
    </row>
    <row r="1396" spans="2:2" x14ac:dyDescent="0.2">
      <c r="B1396" s="1175"/>
    </row>
    <row r="1397" spans="2:2" x14ac:dyDescent="0.2">
      <c r="B1397" s="1175"/>
    </row>
    <row r="1398" spans="2:2" x14ac:dyDescent="0.2">
      <c r="B1398" s="1175"/>
    </row>
    <row r="1399" spans="2:2" x14ac:dyDescent="0.2">
      <c r="B1399" s="1175"/>
    </row>
    <row r="1400" spans="2:2" x14ac:dyDescent="0.2">
      <c r="B1400" s="1175"/>
    </row>
    <row r="1401" spans="2:2" x14ac:dyDescent="0.2">
      <c r="B1401" s="1175"/>
    </row>
    <row r="1402" spans="2:2" x14ac:dyDescent="0.2">
      <c r="B1402" s="1175"/>
    </row>
    <row r="1403" spans="2:2" x14ac:dyDescent="0.2">
      <c r="B1403" s="1175"/>
    </row>
    <row r="1404" spans="2:2" x14ac:dyDescent="0.2">
      <c r="B1404" s="1175"/>
    </row>
    <row r="1405" spans="2:2" x14ac:dyDescent="0.2">
      <c r="B1405" s="1175"/>
    </row>
    <row r="1406" spans="2:2" x14ac:dyDescent="0.2">
      <c r="B1406" s="1175"/>
    </row>
    <row r="1407" spans="2:2" x14ac:dyDescent="0.2">
      <c r="B1407" s="1175"/>
    </row>
    <row r="1408" spans="2:2" x14ac:dyDescent="0.2">
      <c r="B1408" s="1175"/>
    </row>
    <row r="1409" spans="2:2" x14ac:dyDescent="0.2">
      <c r="B1409" s="1175"/>
    </row>
    <row r="1410" spans="2:2" x14ac:dyDescent="0.2">
      <c r="B1410" s="1175"/>
    </row>
    <row r="1411" spans="2:2" x14ac:dyDescent="0.2">
      <c r="B1411" s="1175"/>
    </row>
    <row r="1412" spans="2:2" x14ac:dyDescent="0.2">
      <c r="B1412" s="1175"/>
    </row>
    <row r="1413" spans="2:2" x14ac:dyDescent="0.2">
      <c r="B1413" s="1175"/>
    </row>
    <row r="1414" spans="2:2" x14ac:dyDescent="0.2">
      <c r="B1414" s="1175"/>
    </row>
    <row r="1415" spans="2:2" x14ac:dyDescent="0.2">
      <c r="B1415" s="1175"/>
    </row>
    <row r="1416" spans="2:2" x14ac:dyDescent="0.2">
      <c r="B1416" s="1175"/>
    </row>
    <row r="1417" spans="2:2" x14ac:dyDescent="0.2">
      <c r="B1417" s="1175"/>
    </row>
    <row r="1418" spans="2:2" x14ac:dyDescent="0.2">
      <c r="B1418" s="1175"/>
    </row>
    <row r="1419" spans="2:2" x14ac:dyDescent="0.2">
      <c r="B1419" s="1175"/>
    </row>
    <row r="1420" spans="2:2" x14ac:dyDescent="0.2">
      <c r="B1420" s="1175"/>
    </row>
    <row r="1421" spans="2:2" x14ac:dyDescent="0.2">
      <c r="B1421" s="1175"/>
    </row>
    <row r="1422" spans="2:2" x14ac:dyDescent="0.2">
      <c r="B1422" s="1175"/>
    </row>
    <row r="1423" spans="2:2" x14ac:dyDescent="0.2">
      <c r="B1423" s="1175"/>
    </row>
    <row r="1424" spans="2:2" x14ac:dyDescent="0.2">
      <c r="B1424" s="1175"/>
    </row>
    <row r="1425" spans="2:2" x14ac:dyDescent="0.2">
      <c r="B1425" s="1175"/>
    </row>
    <row r="1426" spans="2:2" x14ac:dyDescent="0.2">
      <c r="B1426" s="1175"/>
    </row>
    <row r="1427" spans="2:2" x14ac:dyDescent="0.2">
      <c r="B1427" s="1175"/>
    </row>
    <row r="1428" spans="2:2" x14ac:dyDescent="0.2">
      <c r="B1428" s="1175"/>
    </row>
    <row r="1429" spans="2:2" x14ac:dyDescent="0.2">
      <c r="B1429" s="1175"/>
    </row>
    <row r="1430" spans="2:2" x14ac:dyDescent="0.2">
      <c r="B1430" s="1175"/>
    </row>
    <row r="1431" spans="2:2" x14ac:dyDescent="0.2">
      <c r="B1431" s="1175"/>
    </row>
    <row r="1432" spans="2:2" x14ac:dyDescent="0.2">
      <c r="B1432" s="11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zoomScale="85" zoomScaleNormal="85" workbookViewId="0">
      <pane ySplit="5" topLeftCell="A6" activePane="bottomLeft" state="frozen"/>
      <selection pane="bottomLeft" activeCell="E138" sqref="E138"/>
    </sheetView>
  </sheetViews>
  <sheetFormatPr baseColWidth="10" defaultColWidth="11.42578125" defaultRowHeight="12.75" x14ac:dyDescent="0.2"/>
  <cols>
    <col min="1" max="1" width="11.42578125" style="11"/>
    <col min="2" max="2" width="4" style="1181" customWidth="1"/>
    <col min="3" max="3" width="3.7109375" style="11" customWidth="1"/>
    <col min="4" max="4" width="63.85546875" style="11" customWidth="1"/>
    <col min="5" max="5" width="15.42578125" style="12" customWidth="1"/>
    <col min="6" max="6" width="15.42578125" style="11" customWidth="1"/>
    <col min="7" max="7" width="22.85546875" style="11" customWidth="1"/>
    <col min="8" max="11" width="15.42578125" style="11" customWidth="1"/>
    <col min="12" max="16384" width="11.42578125" style="11"/>
  </cols>
  <sheetData>
    <row r="1" spans="2:12" ht="18" x14ac:dyDescent="0.25">
      <c r="D1" s="14" t="s">
        <v>175</v>
      </c>
      <c r="E1" s="15"/>
      <c r="G1" s="16"/>
      <c r="J1" s="13"/>
      <c r="K1" s="13"/>
      <c r="L1" s="13"/>
    </row>
    <row r="2" spans="2:12" ht="18" x14ac:dyDescent="0.25">
      <c r="D2" s="14" t="s">
        <v>463</v>
      </c>
      <c r="E2" s="15"/>
      <c r="G2" s="16"/>
      <c r="J2" s="13"/>
      <c r="K2" s="13"/>
      <c r="L2" s="13"/>
    </row>
    <row r="3" spans="2:12" ht="18" x14ac:dyDescent="0.25">
      <c r="D3" s="14" t="s">
        <v>461</v>
      </c>
      <c r="E3" s="15"/>
      <c r="G3" s="16"/>
      <c r="J3" s="13"/>
      <c r="K3" s="13"/>
      <c r="L3" s="13"/>
    </row>
    <row r="4" spans="2:12" ht="18" x14ac:dyDescent="0.25">
      <c r="D4" s="17" t="s">
        <v>1747</v>
      </c>
      <c r="E4" s="15"/>
      <c r="G4" s="16"/>
      <c r="J4" s="13"/>
      <c r="K4" s="13"/>
      <c r="L4" s="13"/>
    </row>
    <row r="5" spans="2:12" ht="18" x14ac:dyDescent="0.25">
      <c r="D5" s="17" t="s">
        <v>58</v>
      </c>
      <c r="E5" s="15"/>
      <c r="G5" s="16"/>
      <c r="J5" s="13"/>
      <c r="K5" s="13"/>
      <c r="L5" s="13"/>
    </row>
    <row r="6" spans="2:12" x14ac:dyDescent="0.2">
      <c r="G6" s="16"/>
      <c r="J6" s="13"/>
      <c r="K6" s="13"/>
      <c r="L6" s="13"/>
    </row>
    <row r="7" spans="2:12" x14ac:dyDescent="0.2">
      <c r="D7" s="16" t="s">
        <v>230</v>
      </c>
      <c r="J7" s="13"/>
      <c r="K7" s="13"/>
      <c r="L7" s="13"/>
    </row>
    <row r="8" spans="2:12" x14ac:dyDescent="0.2">
      <c r="B8" s="1181">
        <v>11</v>
      </c>
      <c r="D8" s="16" t="s">
        <v>59</v>
      </c>
      <c r="G8" s="18">
        <v>2299390.85</v>
      </c>
      <c r="J8" s="13"/>
      <c r="K8" s="13"/>
      <c r="L8" s="13"/>
    </row>
    <row r="9" spans="2:12" x14ac:dyDescent="0.2">
      <c r="J9" s="13"/>
      <c r="K9" s="13"/>
      <c r="L9" s="13"/>
    </row>
    <row r="10" spans="2:12" x14ac:dyDescent="0.2">
      <c r="B10" s="1181">
        <v>111</v>
      </c>
      <c r="D10" s="11" t="s">
        <v>60</v>
      </c>
      <c r="F10" s="19">
        <v>2177367.2999999998</v>
      </c>
      <c r="J10" s="13"/>
      <c r="K10" s="13"/>
      <c r="L10" s="13"/>
    </row>
    <row r="11" spans="2:12" x14ac:dyDescent="0.2">
      <c r="B11" s="1181">
        <v>112</v>
      </c>
      <c r="D11" s="68" t="s">
        <v>357</v>
      </c>
      <c r="F11" s="19">
        <v>114286</v>
      </c>
      <c r="J11" s="13"/>
      <c r="K11" s="13"/>
      <c r="L11" s="13"/>
    </row>
    <row r="12" spans="2:12" x14ac:dyDescent="0.2">
      <c r="B12" s="1181">
        <v>113</v>
      </c>
      <c r="D12" s="11" t="s">
        <v>203</v>
      </c>
      <c r="F12" s="19">
        <v>0</v>
      </c>
      <c r="J12" s="13"/>
      <c r="K12" s="13"/>
      <c r="L12" s="13"/>
    </row>
    <row r="13" spans="2:12" x14ac:dyDescent="0.2">
      <c r="B13" s="1181">
        <v>114</v>
      </c>
      <c r="D13" s="11" t="s">
        <v>256</v>
      </c>
      <c r="F13" s="19">
        <v>3547.85</v>
      </c>
      <c r="I13" s="168"/>
      <c r="J13" s="169"/>
      <c r="K13" s="13"/>
      <c r="L13" s="13"/>
    </row>
    <row r="14" spans="2:12" x14ac:dyDescent="0.2">
      <c r="B14" s="1181">
        <v>115</v>
      </c>
      <c r="D14" s="11" t="s">
        <v>201</v>
      </c>
      <c r="F14" s="19">
        <v>1378.46</v>
      </c>
      <c r="J14" s="13"/>
      <c r="K14" s="13"/>
      <c r="L14" s="13"/>
    </row>
    <row r="15" spans="2:12" x14ac:dyDescent="0.2">
      <c r="B15" s="1181">
        <v>116</v>
      </c>
      <c r="D15" s="11" t="s">
        <v>108</v>
      </c>
      <c r="F15" s="19">
        <v>0</v>
      </c>
      <c r="J15" s="13"/>
      <c r="K15" s="13"/>
      <c r="L15" s="13"/>
    </row>
    <row r="16" spans="2:12" x14ac:dyDescent="0.2">
      <c r="B16" s="1181">
        <v>117</v>
      </c>
      <c r="D16" s="11" t="s">
        <v>226</v>
      </c>
      <c r="F16" s="19">
        <v>2190.1799999999998</v>
      </c>
      <c r="J16" s="13"/>
      <c r="K16" s="13"/>
      <c r="L16" s="13"/>
    </row>
    <row r="17" spans="2:12" x14ac:dyDescent="0.2">
      <c r="B17" s="1181">
        <v>118</v>
      </c>
      <c r="D17" s="11" t="s">
        <v>202</v>
      </c>
      <c r="E17" s="21"/>
      <c r="F17" s="22">
        <v>621.05999999999995</v>
      </c>
      <c r="G17" s="23"/>
      <c r="J17" s="13"/>
      <c r="K17" s="13"/>
      <c r="L17" s="13"/>
    </row>
    <row r="18" spans="2:12" x14ac:dyDescent="0.2">
      <c r="J18" s="13"/>
      <c r="K18" s="13"/>
      <c r="L18" s="13"/>
    </row>
    <row r="19" spans="2:12" x14ac:dyDescent="0.2">
      <c r="B19" s="1181">
        <v>12</v>
      </c>
      <c r="D19" s="16" t="s">
        <v>61</v>
      </c>
      <c r="G19" s="18">
        <v>16864</v>
      </c>
      <c r="J19" s="13"/>
      <c r="K19" s="13"/>
      <c r="L19" s="13"/>
    </row>
    <row r="20" spans="2:12" x14ac:dyDescent="0.2">
      <c r="J20" s="13"/>
      <c r="K20" s="13"/>
      <c r="L20" s="13"/>
    </row>
    <row r="21" spans="2:12" x14ac:dyDescent="0.2">
      <c r="B21" s="1181">
        <v>120</v>
      </c>
      <c r="D21" s="11" t="s">
        <v>307</v>
      </c>
      <c r="F21" s="19">
        <v>0</v>
      </c>
      <c r="J21" s="13"/>
      <c r="K21" s="13"/>
      <c r="L21" s="13"/>
    </row>
    <row r="22" spans="2:12" x14ac:dyDescent="0.2">
      <c r="B22" s="1181">
        <v>121</v>
      </c>
      <c r="D22" s="11" t="s">
        <v>260</v>
      </c>
      <c r="F22" s="19">
        <v>0</v>
      </c>
      <c r="J22" s="13"/>
      <c r="K22" s="13"/>
      <c r="L22" s="13"/>
    </row>
    <row r="23" spans="2:12" x14ac:dyDescent="0.2">
      <c r="B23" s="1181">
        <v>123</v>
      </c>
      <c r="D23" s="11" t="s">
        <v>62</v>
      </c>
      <c r="F23" s="19">
        <v>16864</v>
      </c>
      <c r="J23" s="13"/>
      <c r="K23" s="13"/>
      <c r="L23" s="13"/>
    </row>
    <row r="24" spans="2:12" x14ac:dyDescent="0.2">
      <c r="B24" s="1181">
        <v>126</v>
      </c>
      <c r="D24" s="11" t="s">
        <v>16</v>
      </c>
      <c r="F24" s="19">
        <v>0</v>
      </c>
      <c r="J24" s="13"/>
      <c r="K24" s="13"/>
      <c r="L24" s="13"/>
    </row>
    <row r="25" spans="2:12" x14ac:dyDescent="0.2">
      <c r="J25" s="13"/>
      <c r="K25" s="13"/>
      <c r="L25" s="13"/>
    </row>
    <row r="26" spans="2:12" x14ac:dyDescent="0.2">
      <c r="E26" s="21"/>
      <c r="F26" s="23"/>
      <c r="G26" s="23"/>
      <c r="J26" s="13"/>
      <c r="K26" s="13"/>
      <c r="L26" s="13"/>
    </row>
    <row r="27" spans="2:12" ht="13.5" thickBot="1" x14ac:dyDescent="0.25">
      <c r="D27" s="16" t="s">
        <v>63</v>
      </c>
      <c r="G27" s="1207">
        <v>2316254.85</v>
      </c>
      <c r="J27" s="13"/>
      <c r="K27" s="13"/>
      <c r="L27" s="13"/>
    </row>
    <row r="28" spans="2:12" ht="13.5" thickTop="1" x14ac:dyDescent="0.2">
      <c r="I28" s="19"/>
      <c r="J28" s="13"/>
      <c r="K28" s="13"/>
      <c r="L28" s="13"/>
    </row>
    <row r="29" spans="2:12" x14ac:dyDescent="0.2">
      <c r="J29" s="13"/>
      <c r="K29" s="13"/>
      <c r="L29" s="13"/>
    </row>
    <row r="30" spans="2:12" x14ac:dyDescent="0.2">
      <c r="B30" s="1181">
        <v>21</v>
      </c>
      <c r="D30" s="16" t="s">
        <v>59</v>
      </c>
      <c r="G30" s="18">
        <v>29787.489999999998</v>
      </c>
      <c r="J30" s="13"/>
      <c r="K30" s="13"/>
      <c r="L30" s="13"/>
    </row>
    <row r="31" spans="2:12" x14ac:dyDescent="0.2">
      <c r="J31" s="13"/>
      <c r="K31" s="13"/>
      <c r="L31" s="13"/>
    </row>
    <row r="32" spans="2:12" x14ac:dyDescent="0.2">
      <c r="B32" s="1181">
        <v>212</v>
      </c>
      <c r="D32" s="11" t="s">
        <v>86</v>
      </c>
      <c r="F32" s="19">
        <v>3595.73</v>
      </c>
      <c r="J32" s="13"/>
      <c r="K32" s="13"/>
      <c r="L32" s="13"/>
    </row>
    <row r="33" spans="2:12" x14ac:dyDescent="0.2">
      <c r="J33" s="13"/>
      <c r="K33" s="13"/>
      <c r="L33" s="13"/>
    </row>
    <row r="34" spans="2:12" x14ac:dyDescent="0.2">
      <c r="B34" s="1181">
        <v>213</v>
      </c>
      <c r="D34" s="11" t="s">
        <v>95</v>
      </c>
      <c r="F34" s="19">
        <v>23325.279999999999</v>
      </c>
      <c r="J34" s="13"/>
      <c r="K34" s="13"/>
      <c r="L34" s="13"/>
    </row>
    <row r="35" spans="2:12" x14ac:dyDescent="0.2">
      <c r="J35" s="13"/>
      <c r="K35" s="13"/>
      <c r="L35" s="13"/>
    </row>
    <row r="36" spans="2:12" x14ac:dyDescent="0.2">
      <c r="B36" s="1181">
        <v>214</v>
      </c>
      <c r="D36" s="11" t="s">
        <v>241</v>
      </c>
      <c r="E36" s="11"/>
      <c r="F36" s="19">
        <v>0</v>
      </c>
      <c r="J36" s="13"/>
      <c r="K36" s="13"/>
      <c r="L36" s="13"/>
    </row>
    <row r="37" spans="2:12" x14ac:dyDescent="0.2">
      <c r="E37" s="4"/>
      <c r="J37" s="13"/>
      <c r="K37" s="13"/>
      <c r="L37" s="13"/>
    </row>
    <row r="38" spans="2:12" x14ac:dyDescent="0.2">
      <c r="B38" s="1181">
        <v>215</v>
      </c>
      <c r="D38" s="11" t="s">
        <v>187</v>
      </c>
      <c r="F38" s="19">
        <v>2866.48</v>
      </c>
      <c r="J38" s="13"/>
      <c r="K38" s="13"/>
      <c r="L38" s="13"/>
    </row>
    <row r="39" spans="2:12" x14ac:dyDescent="0.2">
      <c r="E39" s="11"/>
      <c r="J39" s="13"/>
      <c r="K39" s="13"/>
      <c r="L39" s="13"/>
    </row>
    <row r="40" spans="2:12" x14ac:dyDescent="0.2">
      <c r="B40" s="1181">
        <v>22</v>
      </c>
      <c r="D40" s="16" t="s">
        <v>28</v>
      </c>
      <c r="G40" s="28">
        <v>0</v>
      </c>
      <c r="J40" s="13"/>
      <c r="K40" s="13"/>
      <c r="L40" s="13"/>
    </row>
    <row r="41" spans="2:12" x14ac:dyDescent="0.2">
      <c r="J41" s="13"/>
      <c r="K41" s="13"/>
      <c r="L41" s="13"/>
    </row>
    <row r="42" spans="2:12" x14ac:dyDescent="0.2">
      <c r="B42" s="1181">
        <v>223</v>
      </c>
      <c r="D42" s="11" t="s">
        <v>155</v>
      </c>
      <c r="F42" s="19">
        <v>0</v>
      </c>
      <c r="J42" s="13"/>
      <c r="K42" s="13"/>
      <c r="L42" s="13"/>
    </row>
    <row r="43" spans="2:12" x14ac:dyDescent="0.2">
      <c r="J43" s="13"/>
      <c r="K43" s="13"/>
      <c r="L43" s="13"/>
    </row>
    <row r="44" spans="2:12" x14ac:dyDescent="0.2">
      <c r="D44" s="16" t="s">
        <v>242</v>
      </c>
      <c r="J44" s="13"/>
      <c r="K44" s="13"/>
      <c r="L44" s="13"/>
    </row>
    <row r="45" spans="2:12" x14ac:dyDescent="0.2">
      <c r="D45" s="16" t="s">
        <v>344</v>
      </c>
      <c r="G45" s="18">
        <v>1254200</v>
      </c>
      <c r="H45" s="19"/>
      <c r="J45" s="13"/>
      <c r="K45" s="13"/>
      <c r="L45" s="13"/>
    </row>
    <row r="46" spans="2:12" x14ac:dyDescent="0.2">
      <c r="J46" s="13"/>
      <c r="K46" s="13"/>
      <c r="L46" s="13"/>
    </row>
    <row r="47" spans="2:12" x14ac:dyDescent="0.2">
      <c r="B47" s="1181">
        <v>310</v>
      </c>
      <c r="D47" s="11" t="s">
        <v>48</v>
      </c>
      <c r="F47" s="19">
        <v>1254200</v>
      </c>
      <c r="J47" s="13" t="s">
        <v>242</v>
      </c>
      <c r="K47" s="20">
        <f>E47+E51+E57</f>
        <v>0</v>
      </c>
      <c r="L47" s="13"/>
    </row>
    <row r="48" spans="2:12" x14ac:dyDescent="0.2">
      <c r="J48" s="13"/>
      <c r="K48" s="13"/>
      <c r="L48" s="13"/>
    </row>
    <row r="49" spans="2:12" x14ac:dyDescent="0.2">
      <c r="D49" s="16" t="s">
        <v>64</v>
      </c>
      <c r="G49" s="18">
        <v>817162.58</v>
      </c>
      <c r="J49" s="13"/>
      <c r="K49" s="13"/>
      <c r="L49" s="13"/>
    </row>
    <row r="50" spans="2:12" x14ac:dyDescent="0.2">
      <c r="J50" s="13"/>
      <c r="K50" s="13"/>
      <c r="L50" s="13"/>
    </row>
    <row r="51" spans="2:12" x14ac:dyDescent="0.2">
      <c r="B51" s="1181">
        <v>320</v>
      </c>
      <c r="D51" s="11" t="s">
        <v>244</v>
      </c>
      <c r="F51" s="19">
        <v>817162.58</v>
      </c>
      <c r="J51" s="13"/>
      <c r="K51" s="13"/>
      <c r="L51" s="13"/>
    </row>
    <row r="52" spans="2:12" x14ac:dyDescent="0.2">
      <c r="J52" s="13"/>
      <c r="K52" s="13"/>
      <c r="L52" s="13"/>
    </row>
    <row r="53" spans="2:12" x14ac:dyDescent="0.2">
      <c r="B53" s="1181">
        <v>33</v>
      </c>
      <c r="D53" s="16" t="s">
        <v>5</v>
      </c>
      <c r="G53" s="29">
        <v>0</v>
      </c>
      <c r="J53" s="13"/>
      <c r="K53" s="13"/>
      <c r="L53" s="13"/>
    </row>
    <row r="54" spans="2:12" x14ac:dyDescent="0.2">
      <c r="D54" s="16"/>
      <c r="G54" s="29"/>
      <c r="J54" s="13"/>
      <c r="K54" s="13"/>
      <c r="L54" s="13"/>
    </row>
    <row r="55" spans="2:12" x14ac:dyDescent="0.2">
      <c r="B55" s="1181">
        <v>34</v>
      </c>
      <c r="D55" s="16" t="s">
        <v>97</v>
      </c>
      <c r="G55" s="18">
        <v>215104.78</v>
      </c>
      <c r="J55" s="13"/>
      <c r="K55" s="13"/>
      <c r="L55" s="13"/>
    </row>
    <row r="56" spans="2:12" x14ac:dyDescent="0.2">
      <c r="J56" s="13"/>
      <c r="K56" s="13"/>
      <c r="L56" s="13"/>
    </row>
    <row r="57" spans="2:12" x14ac:dyDescent="0.2">
      <c r="B57" s="1181">
        <v>340</v>
      </c>
      <c r="D57" s="11" t="s">
        <v>109</v>
      </c>
      <c r="F57" s="19">
        <v>208925.02</v>
      </c>
      <c r="J57" s="13"/>
      <c r="K57" s="13"/>
      <c r="L57" s="13"/>
    </row>
    <row r="58" spans="2:12" x14ac:dyDescent="0.2">
      <c r="B58" s="1181">
        <v>341</v>
      </c>
      <c r="D58" s="11" t="s">
        <v>57</v>
      </c>
      <c r="F58" s="77">
        <v>6179.7600000000057</v>
      </c>
      <c r="J58" s="13"/>
      <c r="K58" s="13"/>
      <c r="L58" s="13"/>
    </row>
    <row r="59" spans="2:12" x14ac:dyDescent="0.2">
      <c r="E59" s="21"/>
      <c r="F59" s="23"/>
      <c r="G59" s="23"/>
      <c r="J59" s="13"/>
      <c r="K59" s="13"/>
      <c r="L59" s="13"/>
    </row>
    <row r="60" spans="2:12" ht="13.5" thickBot="1" x14ac:dyDescent="0.25">
      <c r="D60" s="16" t="s">
        <v>65</v>
      </c>
      <c r="G60" s="1207">
        <v>2316254.8499999996</v>
      </c>
      <c r="H60" s="19"/>
      <c r="I60" s="19"/>
      <c r="J60" s="13"/>
      <c r="K60" s="13"/>
      <c r="L60" s="13"/>
    </row>
    <row r="61" spans="2:12" ht="13.5" thickTop="1" x14ac:dyDescent="0.2">
      <c r="J61" s="13"/>
      <c r="K61" s="13"/>
      <c r="L61" s="13"/>
    </row>
    <row r="62" spans="2:12" x14ac:dyDescent="0.2">
      <c r="J62" s="13"/>
      <c r="K62" s="13"/>
      <c r="L62" s="13"/>
    </row>
    <row r="63" spans="2:12" x14ac:dyDescent="0.2">
      <c r="J63" s="13"/>
      <c r="K63" s="13"/>
      <c r="L63" s="13"/>
    </row>
    <row r="64" spans="2:12" x14ac:dyDescent="0.2">
      <c r="J64" s="13"/>
      <c r="K64" s="13"/>
      <c r="L64" s="13"/>
    </row>
    <row r="65" spans="2:12" x14ac:dyDescent="0.2">
      <c r="J65" s="13"/>
      <c r="K65" s="13"/>
      <c r="L65" s="13"/>
    </row>
    <row r="66" spans="2:12" ht="15" x14ac:dyDescent="0.2">
      <c r="D66" s="1178" t="s">
        <v>333</v>
      </c>
      <c r="E66" s="1194"/>
      <c r="F66" s="1194"/>
      <c r="G66" s="1194"/>
      <c r="J66" s="13"/>
      <c r="K66" s="13"/>
      <c r="L66" s="13"/>
    </row>
    <row r="67" spans="2:12" ht="15" x14ac:dyDescent="0.2">
      <c r="D67" s="1179" t="s">
        <v>1751</v>
      </c>
      <c r="E67" s="36" t="s">
        <v>1752</v>
      </c>
      <c r="F67" s="1179"/>
      <c r="G67" s="1177"/>
      <c r="J67" s="13"/>
      <c r="K67" s="13"/>
      <c r="L67" s="13"/>
    </row>
    <row r="68" spans="2:12" ht="15" x14ac:dyDescent="0.2">
      <c r="D68" s="1179" t="s">
        <v>1753</v>
      </c>
      <c r="E68" s="1179" t="s">
        <v>1754</v>
      </c>
      <c r="F68" s="1179"/>
      <c r="G68" s="1177"/>
      <c r="J68" s="13"/>
      <c r="K68" s="13"/>
      <c r="L68" s="13"/>
    </row>
    <row r="69" spans="2:12" ht="15" x14ac:dyDescent="0.2">
      <c r="D69" s="1179"/>
      <c r="E69" s="36"/>
      <c r="F69" s="1179"/>
      <c r="G69" s="1177"/>
      <c r="J69" s="13"/>
      <c r="K69" s="13"/>
      <c r="L69" s="13"/>
    </row>
    <row r="70" spans="2:12" x14ac:dyDescent="0.2">
      <c r="D70" s="1177"/>
      <c r="F70" s="1177"/>
      <c r="G70" s="1180"/>
      <c r="J70" s="13"/>
      <c r="K70" s="13"/>
      <c r="L70" s="13"/>
    </row>
    <row r="71" spans="2:12" x14ac:dyDescent="0.2">
      <c r="D71" s="1177"/>
      <c r="F71" s="1177"/>
      <c r="G71" s="1177"/>
      <c r="J71" s="13"/>
      <c r="K71" s="13"/>
      <c r="L71" s="13"/>
    </row>
    <row r="72" spans="2:12" x14ac:dyDescent="0.2">
      <c r="D72" s="1177"/>
      <c r="F72" s="1177"/>
      <c r="G72" s="1177"/>
      <c r="J72" s="13"/>
      <c r="K72" s="13"/>
      <c r="L72" s="13"/>
    </row>
    <row r="73" spans="2:12" x14ac:dyDescent="0.2">
      <c r="D73" s="1177"/>
      <c r="F73" s="1177"/>
      <c r="G73" s="1177"/>
      <c r="J73" s="13"/>
      <c r="K73" s="13"/>
      <c r="L73" s="13"/>
    </row>
    <row r="74" spans="2:12" ht="15" x14ac:dyDescent="0.2">
      <c r="D74" s="1178" t="s">
        <v>333</v>
      </c>
      <c r="F74" s="1177"/>
      <c r="G74" s="1177"/>
      <c r="J74" s="13"/>
      <c r="K74" s="13"/>
      <c r="L74" s="13"/>
    </row>
    <row r="75" spans="2:12" ht="15" x14ac:dyDescent="0.2">
      <c r="D75" s="1179" t="s">
        <v>1755</v>
      </c>
      <c r="F75" s="1177"/>
      <c r="G75" s="1177"/>
      <c r="J75" s="13"/>
      <c r="K75" s="13"/>
      <c r="L75" s="13"/>
    </row>
    <row r="76" spans="2:12" ht="15" x14ac:dyDescent="0.2">
      <c r="D76" s="1179" t="s">
        <v>335</v>
      </c>
      <c r="F76" s="1177"/>
      <c r="G76" s="1177"/>
      <c r="J76" s="13"/>
      <c r="K76" s="13"/>
      <c r="L76" s="13"/>
    </row>
    <row r="77" spans="2:12" x14ac:dyDescent="0.2">
      <c r="J77" s="13"/>
      <c r="K77" s="13"/>
      <c r="L77" s="13"/>
    </row>
    <row r="78" spans="2:12" x14ac:dyDescent="0.2">
      <c r="G78" s="16"/>
      <c r="J78" s="13"/>
      <c r="K78" s="13"/>
      <c r="L78" s="13"/>
    </row>
    <row r="79" spans="2:12" x14ac:dyDescent="0.2">
      <c r="G79" s="16"/>
      <c r="J79" s="13"/>
      <c r="K79" s="13"/>
      <c r="L79" s="13"/>
    </row>
    <row r="80" spans="2:12" s="16" customFormat="1" x14ac:dyDescent="0.2">
      <c r="B80" s="1181">
        <v>61</v>
      </c>
      <c r="D80" s="16" t="s">
        <v>498</v>
      </c>
      <c r="E80" s="28"/>
      <c r="G80" s="18">
        <v>122567.32</v>
      </c>
      <c r="J80" s="30"/>
      <c r="K80" s="30"/>
      <c r="L80" s="30"/>
    </row>
    <row r="81" spans="2:12" x14ac:dyDescent="0.2">
      <c r="B81" s="1181">
        <v>610</v>
      </c>
      <c r="D81" s="11" t="s">
        <v>13</v>
      </c>
      <c r="F81" s="19">
        <v>114286</v>
      </c>
      <c r="G81" s="16"/>
      <c r="J81" s="13" t="s">
        <v>66</v>
      </c>
      <c r="K81" s="20">
        <f>E81+E83+E86</f>
        <v>0</v>
      </c>
      <c r="L81" s="13"/>
    </row>
    <row r="82" spans="2:12" x14ac:dyDescent="0.2">
      <c r="B82" s="1181">
        <v>612</v>
      </c>
      <c r="D82" s="3" t="s">
        <v>23</v>
      </c>
      <c r="F82" s="19">
        <v>0</v>
      </c>
      <c r="G82" s="16"/>
      <c r="J82" s="13"/>
      <c r="K82" s="20"/>
      <c r="L82" s="13"/>
    </row>
    <row r="83" spans="2:12" x14ac:dyDescent="0.2">
      <c r="B83" s="1181">
        <v>613</v>
      </c>
      <c r="D83" s="11" t="s">
        <v>190</v>
      </c>
      <c r="F83" s="19">
        <v>8281.32</v>
      </c>
      <c r="G83" s="16"/>
      <c r="J83" s="13"/>
      <c r="K83" s="13"/>
      <c r="L83" s="13"/>
    </row>
    <row r="84" spans="2:12" x14ac:dyDescent="0.2">
      <c r="F84" s="19"/>
      <c r="G84" s="16"/>
      <c r="J84" s="13"/>
      <c r="K84" s="20"/>
      <c r="L84" s="13"/>
    </row>
    <row r="85" spans="2:12" x14ac:dyDescent="0.2">
      <c r="B85" s="1181">
        <v>62</v>
      </c>
      <c r="C85" s="16"/>
      <c r="D85" s="16" t="s">
        <v>67</v>
      </c>
      <c r="E85" s="28"/>
      <c r="F85" s="16"/>
      <c r="G85" s="18">
        <v>131150</v>
      </c>
      <c r="J85" s="13"/>
      <c r="K85" s="20"/>
      <c r="L85" s="13"/>
    </row>
    <row r="86" spans="2:12" x14ac:dyDescent="0.2">
      <c r="B86" s="1181">
        <v>620</v>
      </c>
      <c r="D86" s="11" t="s">
        <v>321</v>
      </c>
      <c r="F86" s="19">
        <v>16864</v>
      </c>
      <c r="G86" s="16"/>
      <c r="J86" s="13"/>
      <c r="K86" s="13"/>
      <c r="L86" s="13"/>
    </row>
    <row r="87" spans="2:12" x14ac:dyDescent="0.2">
      <c r="B87" s="1181">
        <v>621</v>
      </c>
      <c r="D87" s="11" t="s">
        <v>68</v>
      </c>
      <c r="F87" s="19">
        <v>114286</v>
      </c>
      <c r="G87" s="16"/>
      <c r="J87" s="13"/>
      <c r="K87" s="13"/>
      <c r="L87" s="13"/>
    </row>
    <row r="88" spans="2:12" x14ac:dyDescent="0.2">
      <c r="E88" s="21"/>
      <c r="F88" s="23"/>
      <c r="G88" s="1209"/>
      <c r="J88" s="13"/>
      <c r="K88" s="13"/>
      <c r="L88" s="13"/>
    </row>
    <row r="89" spans="2:12" s="31" customFormat="1" ht="16.5" thickBot="1" x14ac:dyDescent="0.3">
      <c r="B89" s="1181"/>
      <c r="D89" s="31" t="s">
        <v>257</v>
      </c>
      <c r="E89" s="32"/>
      <c r="G89" s="1208">
        <v>253717.32</v>
      </c>
      <c r="J89" s="34"/>
      <c r="K89" s="34"/>
      <c r="L89" s="34"/>
    </row>
    <row r="90" spans="2:12" ht="13.5" thickTop="1" x14ac:dyDescent="0.2">
      <c r="G90" s="16"/>
      <c r="J90" s="13"/>
      <c r="K90" s="13"/>
      <c r="L90" s="13"/>
    </row>
    <row r="91" spans="2:12" x14ac:dyDescent="0.2">
      <c r="G91" s="16"/>
      <c r="J91" s="13"/>
      <c r="K91" s="13"/>
      <c r="L91" s="13"/>
    </row>
    <row r="92" spans="2:12" x14ac:dyDescent="0.2">
      <c r="G92" s="16"/>
      <c r="J92" s="13"/>
      <c r="K92" s="13"/>
      <c r="L92" s="13"/>
    </row>
    <row r="93" spans="2:12" x14ac:dyDescent="0.2">
      <c r="G93" s="16"/>
      <c r="J93" s="13"/>
      <c r="K93" s="13"/>
      <c r="L93" s="13"/>
    </row>
    <row r="94" spans="2:12" x14ac:dyDescent="0.2">
      <c r="G94" s="16"/>
      <c r="J94" s="13"/>
      <c r="K94" s="13"/>
      <c r="L94" s="13"/>
    </row>
    <row r="95" spans="2:12" x14ac:dyDescent="0.2">
      <c r="G95" s="16"/>
      <c r="J95" s="13"/>
      <c r="K95" s="13"/>
      <c r="L95" s="13"/>
    </row>
    <row r="96" spans="2:12" x14ac:dyDescent="0.2">
      <c r="G96" s="16"/>
      <c r="J96" s="13"/>
      <c r="K96" s="13"/>
      <c r="L96" s="13"/>
    </row>
    <row r="97" spans="2:12" x14ac:dyDescent="0.2">
      <c r="G97" s="16"/>
      <c r="J97" s="13"/>
      <c r="K97" s="13"/>
      <c r="L97" s="13"/>
    </row>
    <row r="98" spans="2:12" x14ac:dyDescent="0.2">
      <c r="G98" s="16"/>
      <c r="J98" s="13"/>
      <c r="K98" s="13"/>
      <c r="L98" s="13"/>
    </row>
    <row r="99" spans="2:12" x14ac:dyDescent="0.2">
      <c r="G99" s="16"/>
      <c r="J99" s="13"/>
      <c r="K99" s="13"/>
      <c r="L99" s="13"/>
    </row>
    <row r="100" spans="2:12" x14ac:dyDescent="0.2">
      <c r="G100" s="16"/>
      <c r="J100" s="13"/>
      <c r="K100" s="13"/>
      <c r="L100" s="13"/>
    </row>
    <row r="101" spans="2:12" s="16" customFormat="1" x14ac:dyDescent="0.2">
      <c r="B101" s="1181">
        <v>71</v>
      </c>
      <c r="D101" s="16" t="s">
        <v>702</v>
      </c>
      <c r="E101" s="28"/>
      <c r="G101" s="18">
        <v>122567.32</v>
      </c>
      <c r="J101" s="30"/>
      <c r="K101" s="30"/>
      <c r="L101" s="30"/>
    </row>
    <row r="102" spans="2:12" x14ac:dyDescent="0.2">
      <c r="B102" s="1181">
        <v>710</v>
      </c>
      <c r="D102" s="11" t="s">
        <v>238</v>
      </c>
      <c r="F102" s="19">
        <v>114286</v>
      </c>
      <c r="G102" s="16"/>
      <c r="J102" s="13" t="s">
        <v>69</v>
      </c>
      <c r="K102" s="20">
        <f>E102+E103+E106</f>
        <v>0</v>
      </c>
      <c r="L102" s="13"/>
    </row>
    <row r="103" spans="2:12" x14ac:dyDescent="0.2">
      <c r="B103" s="1181">
        <v>713</v>
      </c>
      <c r="D103" s="11" t="s">
        <v>288</v>
      </c>
      <c r="F103" s="19">
        <v>8281.32</v>
      </c>
      <c r="G103" s="16"/>
      <c r="J103" s="13"/>
      <c r="K103" s="13"/>
      <c r="L103" s="13"/>
    </row>
    <row r="104" spans="2:12" x14ac:dyDescent="0.2">
      <c r="F104" s="19"/>
      <c r="G104" s="16"/>
      <c r="J104" s="13"/>
      <c r="K104" s="20"/>
      <c r="L104" s="13"/>
    </row>
    <row r="105" spans="2:12" x14ac:dyDescent="0.2">
      <c r="B105" s="1181">
        <v>72</v>
      </c>
      <c r="C105" s="16"/>
      <c r="D105" s="16" t="s">
        <v>67</v>
      </c>
      <c r="E105" s="28"/>
      <c r="F105" s="16"/>
      <c r="G105" s="18">
        <v>131150</v>
      </c>
      <c r="J105" s="13"/>
      <c r="K105" s="20"/>
      <c r="L105" s="13"/>
    </row>
    <row r="106" spans="2:12" x14ac:dyDescent="0.2">
      <c r="B106" s="1181">
        <v>720</v>
      </c>
      <c r="D106" s="11" t="s">
        <v>38</v>
      </c>
      <c r="F106" s="19">
        <v>16864</v>
      </c>
      <c r="G106" s="16"/>
      <c r="J106" s="13"/>
      <c r="K106" s="13"/>
      <c r="L106" s="13"/>
    </row>
    <row r="107" spans="2:12" x14ac:dyDescent="0.2">
      <c r="B107" s="1181">
        <v>721</v>
      </c>
      <c r="D107" s="11" t="s">
        <v>70</v>
      </c>
      <c r="F107" s="19">
        <v>114286</v>
      </c>
      <c r="G107" s="16"/>
      <c r="J107" s="13"/>
      <c r="K107" s="13"/>
      <c r="L107" s="13"/>
    </row>
    <row r="108" spans="2:12" x14ac:dyDescent="0.2">
      <c r="E108" s="21"/>
      <c r="F108" s="23"/>
      <c r="G108" s="1209"/>
    </row>
    <row r="109" spans="2:12" s="31" customFormat="1" ht="16.5" thickBot="1" x14ac:dyDescent="0.3">
      <c r="B109" s="1181"/>
      <c r="D109" s="31" t="s">
        <v>325</v>
      </c>
      <c r="E109" s="32"/>
      <c r="G109" s="1208">
        <v>253717.32</v>
      </c>
    </row>
    <row r="110" spans="2:12" ht="13.5" thickTop="1" x14ac:dyDescent="0.2">
      <c r="G110" s="18">
        <v>0</v>
      </c>
    </row>
    <row r="111" spans="2:12" x14ac:dyDescent="0.2">
      <c r="G111" s="18"/>
    </row>
    <row r="112" spans="2:12" x14ac:dyDescent="0.2">
      <c r="G112" s="18"/>
    </row>
    <row r="113" spans="2:7" x14ac:dyDescent="0.2">
      <c r="G113" s="18"/>
    </row>
    <row r="114" spans="2:7" x14ac:dyDescent="0.2">
      <c r="G114" s="18"/>
    </row>
    <row r="115" spans="2:7" x14ac:dyDescent="0.2">
      <c r="G115" s="18"/>
    </row>
    <row r="117" spans="2:7" x14ac:dyDescent="0.2">
      <c r="G117" s="18"/>
    </row>
    <row r="118" spans="2:7" s="1177" customFormat="1" ht="15" x14ac:dyDescent="0.2">
      <c r="B118" s="1182"/>
      <c r="D118" s="1178" t="s">
        <v>333</v>
      </c>
      <c r="E118" s="1194"/>
      <c r="F118" s="1194"/>
      <c r="G118" s="1194"/>
    </row>
    <row r="119" spans="2:7" s="1177" customFormat="1" ht="15" x14ac:dyDescent="0.2">
      <c r="B119" s="1182"/>
      <c r="D119" s="1179" t="s">
        <v>1751</v>
      </c>
      <c r="E119" s="36" t="s">
        <v>1752</v>
      </c>
      <c r="F119" s="1179"/>
    </row>
    <row r="120" spans="2:7" s="1177" customFormat="1" ht="15" x14ac:dyDescent="0.2">
      <c r="B120" s="1182"/>
      <c r="D120" s="1179" t="s">
        <v>1753</v>
      </c>
      <c r="E120" s="1179" t="s">
        <v>1754</v>
      </c>
      <c r="F120" s="1179"/>
    </row>
    <row r="121" spans="2:7" s="1177" customFormat="1" ht="15" x14ac:dyDescent="0.2">
      <c r="B121" s="1182"/>
      <c r="D121" s="1179"/>
      <c r="E121" s="36"/>
      <c r="F121" s="1179"/>
    </row>
    <row r="122" spans="2:7" s="1177" customFormat="1" x14ac:dyDescent="0.2">
      <c r="B122" s="1182"/>
      <c r="E122" s="12"/>
      <c r="G122" s="1180"/>
    </row>
    <row r="123" spans="2:7" s="1177" customFormat="1" x14ac:dyDescent="0.2">
      <c r="B123" s="1182"/>
      <c r="E123" s="12"/>
    </row>
    <row r="124" spans="2:7" s="1177" customFormat="1" x14ac:dyDescent="0.2">
      <c r="B124" s="1182"/>
      <c r="E124" s="12"/>
    </row>
    <row r="125" spans="2:7" s="1177" customFormat="1" x14ac:dyDescent="0.2">
      <c r="B125" s="1182"/>
      <c r="E125" s="12"/>
    </row>
    <row r="126" spans="2:7" s="1177" customFormat="1" ht="15" x14ac:dyDescent="0.2">
      <c r="B126" s="1182"/>
      <c r="D126" s="1178" t="s">
        <v>333</v>
      </c>
      <c r="E126" s="12"/>
    </row>
    <row r="127" spans="2:7" s="1177" customFormat="1" ht="15" x14ac:dyDescent="0.2">
      <c r="B127" s="1182"/>
      <c r="D127" s="1179" t="s">
        <v>1755</v>
      </c>
      <c r="E127" s="12"/>
    </row>
    <row r="128" spans="2:7" s="1177" customFormat="1" ht="15" x14ac:dyDescent="0.2">
      <c r="B128" s="1182"/>
      <c r="D128" s="1179" t="s">
        <v>335</v>
      </c>
      <c r="E128" s="12"/>
    </row>
  </sheetData>
  <mergeCells count="2">
    <mergeCell ref="E118:G118"/>
    <mergeCell ref="E66:G66"/>
  </mergeCells>
  <phoneticPr fontId="195" type="noConversion"/>
  <pageMargins left="0.59055118110236227" right="0.74803149606299213" top="0.98425196850393704" bottom="0.98425196850393704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9"/>
  <sheetViews>
    <sheetView zoomScale="85" workbookViewId="0">
      <pane ySplit="7" topLeftCell="A69" activePane="bottomLeft" state="frozen"/>
      <selection pane="bottomLeft" activeCell="C90" sqref="C90"/>
    </sheetView>
  </sheetViews>
  <sheetFormatPr baseColWidth="10" defaultColWidth="11.42578125" defaultRowHeight="12.75" x14ac:dyDescent="0.2"/>
  <cols>
    <col min="1" max="1" width="11.42578125" style="11"/>
    <col min="2" max="2" width="4" style="1185" customWidth="1"/>
    <col min="3" max="3" width="2" style="11" customWidth="1"/>
    <col min="4" max="4" width="72" style="11" customWidth="1"/>
    <col min="5" max="5" width="15.42578125" style="12" customWidth="1"/>
    <col min="6" max="6" width="15.42578125" style="11" customWidth="1"/>
    <col min="7" max="7" width="15.42578125" style="16" customWidth="1"/>
    <col min="8" max="10" width="15.42578125" style="11" customWidth="1"/>
    <col min="11" max="11" width="15.42578125" style="240" customWidth="1"/>
    <col min="12" max="12" width="15.42578125" style="11" customWidth="1"/>
    <col min="13" max="16384" width="11.42578125" style="11"/>
  </cols>
  <sheetData>
    <row r="1" spans="1:13" ht="7.5" hidden="1" customHeight="1" x14ac:dyDescent="0.2"/>
    <row r="2" spans="1:13" ht="18" x14ac:dyDescent="0.25">
      <c r="D2" s="14" t="s">
        <v>175</v>
      </c>
      <c r="E2" s="15"/>
      <c r="J2" s="13"/>
      <c r="L2" s="13"/>
    </row>
    <row r="3" spans="1:13" ht="18" x14ac:dyDescent="0.25">
      <c r="D3" s="14" t="s">
        <v>463</v>
      </c>
      <c r="E3" s="15"/>
      <c r="J3" s="13"/>
      <c r="L3" s="13"/>
    </row>
    <row r="4" spans="1:13" ht="18" x14ac:dyDescent="0.25">
      <c r="D4" s="14" t="s">
        <v>461</v>
      </c>
      <c r="E4" s="15"/>
      <c r="J4" s="13"/>
      <c r="L4" s="13"/>
    </row>
    <row r="5" spans="1:13" ht="18" x14ac:dyDescent="0.25">
      <c r="D5" s="17" t="s">
        <v>117</v>
      </c>
      <c r="E5" s="15"/>
      <c r="J5" s="13"/>
      <c r="L5" s="13"/>
    </row>
    <row r="6" spans="1:13" ht="18" x14ac:dyDescent="0.25">
      <c r="D6" s="17" t="s">
        <v>1748</v>
      </c>
      <c r="E6" s="15"/>
      <c r="J6" s="13"/>
      <c r="L6" s="13"/>
    </row>
    <row r="7" spans="1:13" ht="18" x14ac:dyDescent="0.25">
      <c r="D7" s="17" t="s">
        <v>58</v>
      </c>
      <c r="E7" s="15"/>
      <c r="J7" s="13"/>
      <c r="L7" s="13"/>
    </row>
    <row r="8" spans="1:13" hidden="1" x14ac:dyDescent="0.2">
      <c r="J8" s="13"/>
      <c r="L8" s="13"/>
    </row>
    <row r="9" spans="1:13" s="42" customFormat="1" x14ac:dyDescent="0.2">
      <c r="A9" s="41"/>
      <c r="B9" s="1186">
        <v>5</v>
      </c>
      <c r="C9" s="41"/>
      <c r="D9" s="41" t="s">
        <v>118</v>
      </c>
      <c r="I9" s="11"/>
      <c r="J9" s="13"/>
      <c r="K9" s="240"/>
      <c r="L9" s="13"/>
      <c r="M9" s="11"/>
    </row>
    <row r="10" spans="1:13" ht="5.45" customHeight="1" x14ac:dyDescent="0.2">
      <c r="J10" s="13"/>
      <c r="L10" s="13"/>
    </row>
    <row r="11" spans="1:13" x14ac:dyDescent="0.2">
      <c r="B11" s="1185">
        <v>51</v>
      </c>
      <c r="D11" s="16" t="s">
        <v>119</v>
      </c>
      <c r="G11" s="18">
        <v>34180.410000000003</v>
      </c>
      <c r="I11" s="241"/>
      <c r="J11" s="241"/>
      <c r="K11" s="242"/>
      <c r="L11" s="13"/>
    </row>
    <row r="12" spans="1:13" x14ac:dyDescent="0.2">
      <c r="B12" s="1187"/>
      <c r="I12" s="241"/>
      <c r="J12" s="241"/>
      <c r="K12" s="242"/>
      <c r="L12" s="13"/>
    </row>
    <row r="13" spans="1:13" x14ac:dyDescent="0.2">
      <c r="B13" s="1188">
        <v>510</v>
      </c>
      <c r="D13" s="11" t="s">
        <v>120</v>
      </c>
      <c r="F13" s="19">
        <v>11177.43</v>
      </c>
      <c r="I13" s="241"/>
      <c r="J13" s="241"/>
      <c r="K13" s="242"/>
      <c r="L13" s="13"/>
    </row>
    <row r="14" spans="1:13" x14ac:dyDescent="0.2">
      <c r="B14" s="1188">
        <v>512</v>
      </c>
      <c r="D14" s="11" t="s">
        <v>54</v>
      </c>
      <c r="F14" s="19">
        <v>23002.98</v>
      </c>
      <c r="I14" s="241"/>
      <c r="J14" s="241"/>
      <c r="K14" s="242"/>
      <c r="L14" s="13"/>
    </row>
    <row r="15" spans="1:13" x14ac:dyDescent="0.2">
      <c r="B15" s="1187"/>
      <c r="I15" s="241"/>
      <c r="J15" s="241"/>
      <c r="K15" s="242"/>
      <c r="L15" s="13"/>
    </row>
    <row r="16" spans="1:13" x14ac:dyDescent="0.2">
      <c r="B16" s="1187">
        <v>41</v>
      </c>
      <c r="D16" s="16" t="s">
        <v>121</v>
      </c>
      <c r="G16" s="28">
        <v>44588.81</v>
      </c>
      <c r="I16" s="241"/>
      <c r="J16" s="241"/>
      <c r="K16" s="242"/>
      <c r="L16" s="13"/>
    </row>
    <row r="17" spans="2:12" x14ac:dyDescent="0.2">
      <c r="B17" s="1187"/>
      <c r="I17" s="241"/>
      <c r="J17" s="241"/>
      <c r="K17" s="242"/>
      <c r="L17" s="13"/>
    </row>
    <row r="18" spans="2:12" x14ac:dyDescent="0.2">
      <c r="B18" s="1188">
        <v>410</v>
      </c>
      <c r="D18" s="11" t="s">
        <v>122</v>
      </c>
      <c r="E18" s="11"/>
      <c r="F18" s="19">
        <v>5589.29</v>
      </c>
      <c r="G18" s="28"/>
      <c r="I18" s="241"/>
      <c r="J18" s="241"/>
      <c r="K18" s="242"/>
      <c r="L18" s="13"/>
    </row>
    <row r="19" spans="2:12" x14ac:dyDescent="0.2">
      <c r="B19" s="1188">
        <v>411</v>
      </c>
      <c r="D19" s="11" t="s">
        <v>227</v>
      </c>
      <c r="E19" s="25"/>
      <c r="F19" s="19">
        <v>0</v>
      </c>
      <c r="G19" s="43"/>
      <c r="I19" s="241"/>
      <c r="J19" s="241"/>
      <c r="K19" s="242"/>
      <c r="L19" s="13"/>
    </row>
    <row r="20" spans="2:12" x14ac:dyDescent="0.2">
      <c r="B20" s="1188">
        <v>412</v>
      </c>
      <c r="D20" s="11" t="s">
        <v>115</v>
      </c>
      <c r="E20" s="25"/>
      <c r="F20" s="19">
        <v>38999.519999999997</v>
      </c>
      <c r="G20" s="43"/>
      <c r="I20" s="241"/>
      <c r="J20" s="241"/>
      <c r="K20" s="242"/>
      <c r="L20" s="13"/>
    </row>
    <row r="21" spans="2:12" ht="13.5" thickBot="1" x14ac:dyDescent="0.25">
      <c r="B21" s="1188">
        <v>413</v>
      </c>
      <c r="D21" s="11" t="s">
        <v>123</v>
      </c>
      <c r="E21" s="27"/>
      <c r="F21" s="55">
        <v>0</v>
      </c>
      <c r="G21" s="44"/>
      <c r="I21" s="241"/>
      <c r="J21" s="241"/>
      <c r="K21" s="242"/>
      <c r="L21" s="13"/>
    </row>
    <row r="22" spans="2:12" ht="3.75" customHeight="1" x14ac:dyDescent="0.2">
      <c r="I22" s="241"/>
      <c r="J22" s="241"/>
      <c r="K22" s="242"/>
      <c r="L22" s="13"/>
    </row>
    <row r="23" spans="2:12" x14ac:dyDescent="0.2">
      <c r="G23" s="18">
        <v>-10408.399999999994</v>
      </c>
      <c r="I23" s="241"/>
      <c r="J23" s="241"/>
      <c r="K23" s="242"/>
      <c r="L23" s="13"/>
    </row>
    <row r="24" spans="2:12" x14ac:dyDescent="0.2">
      <c r="D24" s="16" t="s">
        <v>124</v>
      </c>
      <c r="G24" s="18"/>
      <c r="I24" s="241"/>
      <c r="J24" s="241"/>
      <c r="K24" s="242"/>
      <c r="L24" s="13"/>
    </row>
    <row r="25" spans="2:12" ht="9.9499999999999993" customHeight="1" x14ac:dyDescent="0.2">
      <c r="D25" s="16"/>
      <c r="G25" s="18"/>
      <c r="I25" s="241"/>
      <c r="J25" s="241"/>
      <c r="K25" s="242"/>
      <c r="L25" s="13"/>
    </row>
    <row r="26" spans="2:12" x14ac:dyDescent="0.2">
      <c r="D26" s="16" t="s">
        <v>125</v>
      </c>
      <c r="I26" s="241"/>
      <c r="J26" s="241"/>
      <c r="K26" s="242"/>
      <c r="L26" s="13"/>
    </row>
    <row r="27" spans="2:12" x14ac:dyDescent="0.2">
      <c r="I27" s="241"/>
      <c r="J27" s="241"/>
      <c r="K27" s="242"/>
      <c r="L27" s="13"/>
    </row>
    <row r="28" spans="2:12" x14ac:dyDescent="0.2">
      <c r="B28" s="1189">
        <v>52</v>
      </c>
      <c r="D28" s="16" t="s">
        <v>126</v>
      </c>
      <c r="G28" s="18">
        <v>20585.93</v>
      </c>
      <c r="I28" s="241"/>
      <c r="J28" s="241"/>
      <c r="K28" s="242"/>
      <c r="L28" s="13"/>
    </row>
    <row r="29" spans="2:12" x14ac:dyDescent="0.2">
      <c r="I29" s="241"/>
      <c r="J29" s="241"/>
      <c r="K29" s="242"/>
      <c r="L29" s="13"/>
    </row>
    <row r="30" spans="2:12" x14ac:dyDescent="0.2">
      <c r="B30" s="1190">
        <v>521</v>
      </c>
      <c r="D30" s="11" t="s">
        <v>127</v>
      </c>
      <c r="E30" s="43"/>
      <c r="F30" s="19">
        <v>5501.5</v>
      </c>
      <c r="G30" s="45"/>
      <c r="I30" s="241"/>
      <c r="J30" s="241"/>
      <c r="K30" s="242"/>
      <c r="L30" s="13"/>
    </row>
    <row r="31" spans="2:12" ht="13.5" thickBot="1" x14ac:dyDescent="0.25">
      <c r="B31" s="1190">
        <v>522</v>
      </c>
      <c r="D31" s="11" t="s">
        <v>128</v>
      </c>
      <c r="E31" s="44"/>
      <c r="F31" s="55">
        <v>15084.43</v>
      </c>
      <c r="G31" s="46"/>
      <c r="I31" s="241"/>
      <c r="J31" s="241"/>
      <c r="K31" s="242"/>
      <c r="L31" s="13"/>
    </row>
    <row r="32" spans="2:12" ht="6" customHeight="1" x14ac:dyDescent="0.2">
      <c r="I32" s="241"/>
      <c r="J32" s="241"/>
      <c r="K32" s="242"/>
      <c r="L32" s="13"/>
    </row>
    <row r="33" spans="2:12" x14ac:dyDescent="0.2">
      <c r="D33" s="16" t="s">
        <v>129</v>
      </c>
      <c r="G33" s="18">
        <v>10177.530000000006</v>
      </c>
      <c r="I33" s="241"/>
      <c r="J33" s="241"/>
      <c r="K33" s="242"/>
      <c r="L33" s="13"/>
    </row>
    <row r="34" spans="2:12" x14ac:dyDescent="0.2">
      <c r="I34" s="241"/>
      <c r="J34" s="241"/>
      <c r="K34" s="242"/>
      <c r="L34" s="13"/>
    </row>
    <row r="35" spans="2:12" ht="0.75" customHeight="1" x14ac:dyDescent="0.2">
      <c r="I35" s="241"/>
      <c r="J35" s="241"/>
      <c r="K35" s="242"/>
      <c r="L35" s="13"/>
    </row>
    <row r="36" spans="2:12" x14ac:dyDescent="0.2">
      <c r="B36" s="1189">
        <v>42</v>
      </c>
      <c r="C36" s="16"/>
      <c r="D36" s="16" t="s">
        <v>19</v>
      </c>
      <c r="G36" s="18">
        <v>0</v>
      </c>
      <c r="I36" s="241"/>
      <c r="J36" s="241"/>
      <c r="K36" s="242"/>
      <c r="L36" s="13"/>
    </row>
    <row r="37" spans="2:12" x14ac:dyDescent="0.2">
      <c r="I37" s="241"/>
      <c r="J37" s="241"/>
      <c r="K37" s="242"/>
      <c r="L37" s="13"/>
    </row>
    <row r="38" spans="2:12" x14ac:dyDescent="0.2">
      <c r="B38" s="1190">
        <v>421</v>
      </c>
      <c r="D38" s="11" t="s">
        <v>166</v>
      </c>
      <c r="F38" s="19">
        <v>0</v>
      </c>
      <c r="G38" s="11"/>
      <c r="I38" s="241"/>
      <c r="J38" s="241"/>
      <c r="K38" s="242"/>
      <c r="L38" s="13"/>
    </row>
    <row r="39" spans="2:12" ht="6" customHeight="1" x14ac:dyDescent="0.2">
      <c r="F39" s="19"/>
      <c r="I39" s="241"/>
      <c r="J39" s="241"/>
      <c r="K39" s="242"/>
      <c r="L39" s="13"/>
    </row>
    <row r="40" spans="2:12" x14ac:dyDescent="0.2">
      <c r="B40" s="1190">
        <v>422</v>
      </c>
      <c r="D40" s="11" t="s">
        <v>204</v>
      </c>
      <c r="F40" s="19">
        <v>0</v>
      </c>
      <c r="G40" s="11"/>
      <c r="I40" s="241"/>
      <c r="J40" s="241"/>
      <c r="K40" s="242"/>
      <c r="L40" s="13"/>
    </row>
    <row r="41" spans="2:12" ht="6" customHeight="1" x14ac:dyDescent="0.2">
      <c r="I41" s="241"/>
      <c r="J41" s="241"/>
      <c r="K41" s="242"/>
      <c r="L41" s="13"/>
    </row>
    <row r="42" spans="2:12" ht="13.5" thickBot="1" x14ac:dyDescent="0.25">
      <c r="B42" s="1190">
        <v>425</v>
      </c>
      <c r="D42" s="11" t="s">
        <v>211</v>
      </c>
      <c r="E42" s="26"/>
      <c r="F42" s="55">
        <v>0</v>
      </c>
      <c r="G42" s="44"/>
      <c r="I42" s="241"/>
      <c r="J42" s="241"/>
      <c r="K42" s="242"/>
      <c r="L42" s="13"/>
    </row>
    <row r="43" spans="2:12" ht="6.75" customHeight="1" x14ac:dyDescent="0.2">
      <c r="I43" s="241"/>
      <c r="J43" s="241"/>
      <c r="K43" s="242"/>
      <c r="L43" s="13"/>
    </row>
    <row r="44" spans="2:12" x14ac:dyDescent="0.2">
      <c r="D44" s="11" t="s">
        <v>130</v>
      </c>
      <c r="G44" s="18">
        <v>10177.530000000006</v>
      </c>
      <c r="I44" s="241"/>
      <c r="J44" s="241"/>
      <c r="K44" s="242"/>
      <c r="L44" s="13"/>
    </row>
    <row r="45" spans="2:12" x14ac:dyDescent="0.2">
      <c r="I45" s="241"/>
      <c r="J45" s="241"/>
      <c r="K45" s="242"/>
      <c r="L45" s="13"/>
    </row>
    <row r="46" spans="2:12" x14ac:dyDescent="0.2">
      <c r="B46" s="1189">
        <v>44</v>
      </c>
      <c r="C46" s="16"/>
      <c r="D46" s="16" t="s">
        <v>291</v>
      </c>
      <c r="G46" s="18">
        <v>2289.3000000000002</v>
      </c>
      <c r="I46" s="241"/>
      <c r="J46" s="241"/>
      <c r="K46" s="242"/>
      <c r="L46" s="13"/>
    </row>
    <row r="47" spans="2:12" x14ac:dyDescent="0.2">
      <c r="I47" s="241"/>
      <c r="J47" s="241"/>
      <c r="K47" s="242"/>
      <c r="L47" s="13"/>
    </row>
    <row r="48" spans="2:12" ht="13.5" thickBot="1" x14ac:dyDescent="0.25">
      <c r="B48" s="1190">
        <v>440</v>
      </c>
      <c r="D48" s="11" t="s">
        <v>291</v>
      </c>
      <c r="E48" s="26"/>
      <c r="F48" s="55">
        <v>2289.3000000000002</v>
      </c>
      <c r="G48" s="44"/>
      <c r="I48" s="241"/>
      <c r="J48" s="241"/>
      <c r="K48" s="242"/>
      <c r="L48" s="13"/>
    </row>
    <row r="49" spans="2:12" x14ac:dyDescent="0.2">
      <c r="E49" s="24"/>
      <c r="F49" s="24"/>
      <c r="G49" s="43"/>
      <c r="I49" s="241"/>
      <c r="J49" s="241"/>
      <c r="K49" s="242"/>
      <c r="L49" s="13"/>
    </row>
    <row r="50" spans="2:12" x14ac:dyDescent="0.2">
      <c r="D50" s="11" t="s">
        <v>74</v>
      </c>
      <c r="G50" s="18">
        <v>7888.2300000000059</v>
      </c>
      <c r="I50" s="241"/>
      <c r="J50" s="241"/>
      <c r="K50" s="242"/>
      <c r="L50" s="13"/>
    </row>
    <row r="51" spans="2:12" x14ac:dyDescent="0.2">
      <c r="E51" s="11"/>
      <c r="G51" s="11"/>
      <c r="I51" s="241"/>
      <c r="J51" s="241"/>
      <c r="K51" s="242"/>
      <c r="L51" s="13"/>
    </row>
    <row r="52" spans="2:12" x14ac:dyDescent="0.2">
      <c r="B52" s="1189">
        <v>53</v>
      </c>
      <c r="D52" s="16" t="s">
        <v>87</v>
      </c>
      <c r="G52" s="18">
        <v>0</v>
      </c>
      <c r="I52" s="241"/>
      <c r="J52" s="241"/>
      <c r="K52" s="242"/>
      <c r="L52" s="13"/>
    </row>
    <row r="53" spans="2:12" x14ac:dyDescent="0.2">
      <c r="I53" s="241"/>
      <c r="J53" s="241"/>
      <c r="K53" s="242"/>
      <c r="L53" s="13"/>
    </row>
    <row r="54" spans="2:12" x14ac:dyDescent="0.2">
      <c r="B54" s="1190">
        <v>530</v>
      </c>
      <c r="D54" s="11" t="s">
        <v>87</v>
      </c>
      <c r="F54" s="19">
        <v>0</v>
      </c>
      <c r="I54" s="241"/>
      <c r="J54" s="241"/>
      <c r="K54" s="242"/>
      <c r="L54" s="13"/>
    </row>
    <row r="55" spans="2:12" x14ac:dyDescent="0.2">
      <c r="I55" s="241"/>
      <c r="J55" s="241"/>
      <c r="K55" s="242"/>
      <c r="L55" s="13"/>
    </row>
    <row r="56" spans="2:12" x14ac:dyDescent="0.2">
      <c r="B56" s="1189">
        <v>43</v>
      </c>
      <c r="D56" s="16" t="s">
        <v>75</v>
      </c>
      <c r="G56" s="18">
        <v>1708.47</v>
      </c>
      <c r="I56" s="241"/>
      <c r="J56" s="241"/>
      <c r="K56" s="242"/>
      <c r="L56" s="13"/>
    </row>
    <row r="57" spans="2:12" x14ac:dyDescent="0.2">
      <c r="I57" s="241"/>
      <c r="J57" s="241"/>
      <c r="K57" s="242"/>
      <c r="L57" s="13"/>
    </row>
    <row r="58" spans="2:12" x14ac:dyDescent="0.2">
      <c r="B58" s="1190">
        <v>430</v>
      </c>
      <c r="D58" s="11" t="s">
        <v>75</v>
      </c>
      <c r="F58" s="19">
        <v>1708.47</v>
      </c>
      <c r="I58" s="241"/>
      <c r="J58" s="241"/>
      <c r="K58" s="242"/>
      <c r="L58" s="13"/>
    </row>
    <row r="59" spans="2:12" x14ac:dyDescent="0.2">
      <c r="I59" s="241"/>
      <c r="J59" s="241"/>
      <c r="K59" s="242"/>
      <c r="L59" s="13"/>
    </row>
    <row r="60" spans="2:12" ht="13.5" thickBot="1" x14ac:dyDescent="0.25">
      <c r="E60" s="26"/>
      <c r="F60" s="27"/>
      <c r="G60" s="46"/>
      <c r="I60" s="241"/>
      <c r="J60" s="241"/>
      <c r="K60" s="242"/>
      <c r="L60" s="13"/>
    </row>
    <row r="61" spans="2:12" ht="13.5" thickBot="1" x14ac:dyDescent="0.25">
      <c r="D61" s="16" t="s">
        <v>76</v>
      </c>
      <c r="G61" s="76">
        <v>6179.7600000000057</v>
      </c>
      <c r="I61" s="241"/>
      <c r="J61" s="241"/>
      <c r="K61" s="242"/>
      <c r="L61" s="13"/>
    </row>
    <row r="62" spans="2:12" ht="13.5" thickTop="1" x14ac:dyDescent="0.2">
      <c r="I62" s="241"/>
      <c r="J62" s="241"/>
      <c r="K62" s="242"/>
      <c r="L62" s="13"/>
    </row>
    <row r="63" spans="2:12" hidden="1" x14ac:dyDescent="0.2">
      <c r="H63" s="13"/>
      <c r="I63" s="241"/>
      <c r="J63" s="241"/>
      <c r="K63" s="242"/>
      <c r="L63" s="13"/>
    </row>
    <row r="64" spans="2:12" x14ac:dyDescent="0.2">
      <c r="H64" s="13"/>
      <c r="I64" s="241"/>
      <c r="J64" s="241"/>
      <c r="K64" s="242"/>
      <c r="L64" s="13"/>
    </row>
    <row r="65" spans="2:12" x14ac:dyDescent="0.2">
      <c r="B65" s="1181"/>
      <c r="D65" s="41" t="s">
        <v>77</v>
      </c>
      <c r="E65" s="47"/>
      <c r="G65" s="56">
        <v>208925.02</v>
      </c>
      <c r="H65" s="169"/>
      <c r="I65" s="241"/>
      <c r="J65" s="241"/>
      <c r="K65" s="242"/>
      <c r="L65" s="13"/>
    </row>
    <row r="66" spans="2:12" x14ac:dyDescent="0.2">
      <c r="B66" s="1181"/>
      <c r="D66" s="41" t="s">
        <v>221</v>
      </c>
      <c r="E66" s="47"/>
      <c r="G66" s="40"/>
      <c r="H66" s="13"/>
      <c r="I66" s="241"/>
      <c r="J66" s="241"/>
      <c r="K66" s="242"/>
      <c r="L66" s="13"/>
    </row>
    <row r="67" spans="2:12" x14ac:dyDescent="0.2">
      <c r="B67" s="1181"/>
      <c r="D67" s="42" t="s">
        <v>222</v>
      </c>
      <c r="E67" s="47"/>
      <c r="G67" s="40">
        <v>0</v>
      </c>
      <c r="H67" s="13"/>
      <c r="I67" s="241"/>
      <c r="J67" s="241"/>
      <c r="K67" s="242"/>
      <c r="L67" s="13"/>
    </row>
    <row r="68" spans="2:12" x14ac:dyDescent="0.2">
      <c r="B68" s="1181"/>
      <c r="D68" s="42" t="s">
        <v>308</v>
      </c>
      <c r="E68" s="47"/>
      <c r="G68" s="40">
        <v>0</v>
      </c>
      <c r="H68" s="13"/>
      <c r="I68" s="241"/>
      <c r="J68" s="241"/>
      <c r="K68" s="242"/>
      <c r="L68" s="13"/>
    </row>
    <row r="69" spans="2:12" x14ac:dyDescent="0.2">
      <c r="B69" s="1181"/>
      <c r="D69" s="42"/>
      <c r="E69" s="47"/>
      <c r="G69" s="40"/>
      <c r="H69" s="13"/>
      <c r="I69" s="241"/>
      <c r="J69" s="241"/>
      <c r="K69" s="242"/>
      <c r="L69" s="13"/>
    </row>
    <row r="70" spans="2:12" ht="13.5" thickBot="1" x14ac:dyDescent="0.25">
      <c r="B70" s="1181"/>
      <c r="D70" s="41" t="s">
        <v>223</v>
      </c>
      <c r="E70" s="48"/>
      <c r="G70" s="49">
        <v>215104.78</v>
      </c>
      <c r="H70" s="13">
        <v>400610.51</v>
      </c>
      <c r="I70" s="241"/>
      <c r="J70" s="241"/>
      <c r="K70" s="242"/>
      <c r="L70" s="13"/>
    </row>
    <row r="71" spans="2:12" ht="13.5" hidden="1" thickTop="1" x14ac:dyDescent="0.2">
      <c r="B71" s="1181"/>
      <c r="D71" s="42"/>
      <c r="E71" s="47"/>
      <c r="G71" s="40"/>
      <c r="H71" s="50">
        <f>+H70-G70</f>
        <v>185505.73</v>
      </c>
      <c r="J71" s="13"/>
      <c r="K71" s="242"/>
      <c r="L71" s="13"/>
    </row>
    <row r="72" spans="2:12" ht="13.5" thickTop="1" x14ac:dyDescent="0.2">
      <c r="B72" s="1181"/>
      <c r="D72" s="42"/>
      <c r="E72" s="51"/>
      <c r="G72" s="42"/>
      <c r="H72" s="13"/>
      <c r="K72" s="242"/>
      <c r="L72" s="13"/>
    </row>
    <row r="73" spans="2:12" x14ac:dyDescent="0.2">
      <c r="B73" s="1181"/>
      <c r="D73" s="41" t="s">
        <v>224</v>
      </c>
      <c r="E73" s="51"/>
      <c r="G73" s="42"/>
      <c r="H73" s="13"/>
      <c r="J73" s="13"/>
      <c r="K73" s="242"/>
      <c r="L73" s="13"/>
    </row>
    <row r="74" spans="2:12" x14ac:dyDescent="0.2">
      <c r="B74" s="1181"/>
      <c r="D74" s="42" t="s">
        <v>225</v>
      </c>
      <c r="E74" s="51"/>
      <c r="G74" s="75">
        <v>8.1147584117365699E-3</v>
      </c>
      <c r="H74" s="13"/>
      <c r="J74" s="13"/>
      <c r="K74" s="242"/>
      <c r="L74" s="13"/>
    </row>
    <row r="75" spans="2:12" x14ac:dyDescent="0.2">
      <c r="B75" s="1181"/>
      <c r="D75" s="42" t="s">
        <v>277</v>
      </c>
      <c r="E75" s="51"/>
      <c r="G75" s="75">
        <v>8.1147584117365699E-3</v>
      </c>
      <c r="J75" s="13"/>
      <c r="K75" s="242"/>
      <c r="L75" s="13"/>
    </row>
    <row r="76" spans="2:12" x14ac:dyDescent="0.2">
      <c r="B76" s="1181"/>
      <c r="D76" s="42" t="s">
        <v>278</v>
      </c>
      <c r="E76" s="51"/>
      <c r="G76" s="75">
        <v>4.9272524318290586E-3</v>
      </c>
      <c r="J76" s="13"/>
      <c r="K76" s="242"/>
      <c r="L76" s="13"/>
    </row>
    <row r="77" spans="2:12" x14ac:dyDescent="0.2">
      <c r="B77" s="1181"/>
      <c r="D77" s="42" t="s">
        <v>279</v>
      </c>
      <c r="E77" s="51"/>
      <c r="G77" s="52">
        <v>1254200</v>
      </c>
      <c r="J77" s="13"/>
      <c r="K77" s="242"/>
      <c r="L77" s="13"/>
    </row>
    <row r="78" spans="2:12" x14ac:dyDescent="0.2">
      <c r="B78" s="1181"/>
      <c r="D78" s="41" t="s">
        <v>280</v>
      </c>
      <c r="E78" s="53"/>
      <c r="G78" s="54">
        <v>1</v>
      </c>
      <c r="J78" s="13"/>
      <c r="K78" s="242"/>
      <c r="L78" s="13"/>
    </row>
    <row r="79" spans="2:12" x14ac:dyDescent="0.2">
      <c r="B79" s="1181"/>
      <c r="G79" s="11"/>
      <c r="J79" s="13"/>
      <c r="K79" s="242"/>
      <c r="L79" s="13"/>
    </row>
    <row r="80" spans="2:12" x14ac:dyDescent="0.2">
      <c r="B80" s="1181"/>
      <c r="G80" s="11"/>
      <c r="J80" s="13"/>
      <c r="K80" s="242"/>
      <c r="L80" s="13"/>
    </row>
    <row r="81" spans="2:12" x14ac:dyDescent="0.2">
      <c r="J81" s="13"/>
      <c r="K81" s="242"/>
      <c r="L81" s="13"/>
    </row>
    <row r="82" spans="2:12" x14ac:dyDescent="0.2">
      <c r="J82" s="13"/>
      <c r="K82" s="242"/>
      <c r="L82" s="13"/>
    </row>
    <row r="83" spans="2:12" s="1177" customFormat="1" ht="15" x14ac:dyDescent="0.2">
      <c r="B83" s="1191"/>
      <c r="C83" s="1179"/>
      <c r="D83" s="1178" t="s">
        <v>333</v>
      </c>
      <c r="E83" s="1194"/>
      <c r="F83" s="1194"/>
      <c r="G83" s="1194"/>
      <c r="J83" s="1183"/>
      <c r="K83" s="1184"/>
      <c r="L83" s="1183"/>
    </row>
    <row r="84" spans="2:12" s="1177" customFormat="1" ht="15" x14ac:dyDescent="0.2">
      <c r="B84" s="1191"/>
      <c r="C84" s="1179"/>
      <c r="D84" s="1179" t="s">
        <v>1751</v>
      </c>
      <c r="E84" s="36" t="s">
        <v>1752</v>
      </c>
      <c r="F84" s="1179"/>
      <c r="J84" s="1183"/>
      <c r="K84" s="1184"/>
      <c r="L84" s="1183"/>
    </row>
    <row r="85" spans="2:12" s="1177" customFormat="1" ht="15" x14ac:dyDescent="0.2">
      <c r="B85" s="1191"/>
      <c r="C85" s="1179"/>
      <c r="D85" s="1179" t="s">
        <v>1753</v>
      </c>
      <c r="E85" s="1179" t="s">
        <v>1754</v>
      </c>
      <c r="F85" s="1179"/>
      <c r="J85" s="1183"/>
      <c r="K85" s="1184"/>
      <c r="L85" s="1183"/>
    </row>
    <row r="86" spans="2:12" s="1177" customFormat="1" ht="15" x14ac:dyDescent="0.2">
      <c r="B86" s="1191"/>
      <c r="C86" s="1179"/>
      <c r="D86" s="1179"/>
      <c r="E86" s="36"/>
      <c r="F86" s="1179"/>
      <c r="J86" s="1183"/>
      <c r="K86" s="1184"/>
      <c r="L86" s="1183"/>
    </row>
    <row r="87" spans="2:12" s="1177" customFormat="1" x14ac:dyDescent="0.2">
      <c r="B87" s="1192"/>
      <c r="E87" s="12"/>
      <c r="G87" s="1180"/>
      <c r="J87" s="1183"/>
      <c r="K87" s="1184"/>
      <c r="L87" s="1183"/>
    </row>
    <row r="88" spans="2:12" s="1177" customFormat="1" ht="15" hidden="1" x14ac:dyDescent="0.2">
      <c r="B88" s="1191"/>
      <c r="C88" s="1179"/>
      <c r="E88" s="12"/>
      <c r="J88" s="1183"/>
      <c r="K88" s="1184"/>
      <c r="L88" s="1183"/>
    </row>
    <row r="89" spans="2:12" s="1177" customFormat="1" ht="15" x14ac:dyDescent="0.2">
      <c r="B89" s="1191"/>
      <c r="C89" s="1179"/>
      <c r="E89" s="12"/>
      <c r="J89" s="1183"/>
      <c r="K89" s="1184"/>
      <c r="L89" s="1183"/>
    </row>
    <row r="90" spans="2:12" s="1177" customFormat="1" ht="15" x14ac:dyDescent="0.2">
      <c r="B90" s="1192"/>
      <c r="D90" s="1178" t="s">
        <v>333</v>
      </c>
      <c r="E90" s="12"/>
      <c r="J90" s="1183"/>
      <c r="K90" s="1184"/>
      <c r="L90" s="1183"/>
    </row>
    <row r="91" spans="2:12" s="1177" customFormat="1" ht="15" x14ac:dyDescent="0.2">
      <c r="B91" s="1192"/>
      <c r="D91" s="1179" t="s">
        <v>1755</v>
      </c>
      <c r="E91" s="12"/>
      <c r="J91" s="1183"/>
      <c r="K91" s="1184"/>
      <c r="L91" s="1183"/>
    </row>
    <row r="92" spans="2:12" s="1177" customFormat="1" ht="15" x14ac:dyDescent="0.2">
      <c r="B92" s="1192"/>
      <c r="D92" s="1179" t="s">
        <v>335</v>
      </c>
      <c r="E92" s="12"/>
      <c r="J92" s="1183"/>
      <c r="K92" s="1184"/>
      <c r="L92" s="1183"/>
    </row>
    <row r="93" spans="2:12" x14ac:dyDescent="0.2">
      <c r="J93" s="13"/>
      <c r="K93" s="242"/>
      <c r="L93" s="13"/>
    </row>
    <row r="94" spans="2:12" x14ac:dyDescent="0.2">
      <c r="J94" s="13"/>
      <c r="K94" s="242"/>
      <c r="L94" s="13"/>
    </row>
    <row r="95" spans="2:12" x14ac:dyDescent="0.2">
      <c r="J95" s="13"/>
      <c r="K95" s="242"/>
      <c r="L95" s="13"/>
    </row>
    <row r="96" spans="2:12" x14ac:dyDescent="0.2">
      <c r="J96" s="13"/>
      <c r="K96" s="242"/>
      <c r="L96" s="13"/>
    </row>
    <row r="97" spans="10:12" x14ac:dyDescent="0.2">
      <c r="J97" s="13"/>
      <c r="K97" s="242"/>
      <c r="L97" s="13"/>
    </row>
    <row r="98" spans="10:12" x14ac:dyDescent="0.2">
      <c r="J98" s="13"/>
      <c r="K98" s="242"/>
      <c r="L98" s="13"/>
    </row>
    <row r="99" spans="10:12" x14ac:dyDescent="0.2">
      <c r="J99" s="13"/>
      <c r="K99" s="242"/>
      <c r="L99" s="13"/>
    </row>
    <row r="100" spans="10:12" x14ac:dyDescent="0.2">
      <c r="J100" s="13"/>
      <c r="K100" s="242"/>
      <c r="L100" s="13"/>
    </row>
    <row r="101" spans="10:12" x14ac:dyDescent="0.2">
      <c r="J101" s="13"/>
      <c r="K101" s="242"/>
      <c r="L101" s="13"/>
    </row>
    <row r="102" spans="10:12" x14ac:dyDescent="0.2">
      <c r="J102" s="13"/>
      <c r="K102" s="242"/>
      <c r="L102" s="13"/>
    </row>
    <row r="103" spans="10:12" x14ac:dyDescent="0.2">
      <c r="J103" s="13"/>
      <c r="K103" s="242"/>
      <c r="L103" s="13"/>
    </row>
    <row r="104" spans="10:12" x14ac:dyDescent="0.2">
      <c r="J104" s="13"/>
      <c r="K104" s="242"/>
      <c r="L104" s="13"/>
    </row>
    <row r="105" spans="10:12" x14ac:dyDescent="0.2">
      <c r="J105" s="13"/>
      <c r="K105" s="242"/>
      <c r="L105" s="13"/>
    </row>
    <row r="106" spans="10:12" x14ac:dyDescent="0.2">
      <c r="J106" s="13"/>
      <c r="K106" s="242"/>
      <c r="L106" s="13"/>
    </row>
    <row r="107" spans="10:12" x14ac:dyDescent="0.2">
      <c r="J107" s="13"/>
      <c r="K107" s="242"/>
      <c r="L107" s="13"/>
    </row>
    <row r="108" spans="10:12" x14ac:dyDescent="0.2">
      <c r="J108" s="13"/>
      <c r="K108" s="242"/>
      <c r="L108" s="13"/>
    </row>
    <row r="109" spans="10:12" x14ac:dyDescent="0.2">
      <c r="J109" s="13"/>
      <c r="K109" s="242"/>
      <c r="L109" s="13"/>
    </row>
    <row r="110" spans="10:12" x14ac:dyDescent="0.2">
      <c r="J110" s="13"/>
      <c r="K110" s="242"/>
      <c r="L110" s="13"/>
    </row>
    <row r="111" spans="10:12" x14ac:dyDescent="0.2">
      <c r="J111" s="13"/>
      <c r="K111" s="242"/>
      <c r="L111" s="13"/>
    </row>
    <row r="112" spans="10:12" x14ac:dyDescent="0.2">
      <c r="J112" s="13"/>
      <c r="K112" s="242"/>
      <c r="L112" s="13"/>
    </row>
    <row r="113" spans="10:12" x14ac:dyDescent="0.2">
      <c r="J113" s="13"/>
      <c r="K113" s="242"/>
      <c r="L113" s="13"/>
    </row>
    <row r="114" spans="10:12" x14ac:dyDescent="0.2">
      <c r="J114" s="13"/>
      <c r="K114" s="242"/>
      <c r="L114" s="13"/>
    </row>
    <row r="115" spans="10:12" x14ac:dyDescent="0.2">
      <c r="J115" s="13"/>
      <c r="K115" s="242"/>
      <c r="L115" s="13"/>
    </row>
    <row r="116" spans="10:12" x14ac:dyDescent="0.2">
      <c r="J116" s="13"/>
      <c r="K116" s="242"/>
      <c r="L116" s="13"/>
    </row>
    <row r="117" spans="10:12" x14ac:dyDescent="0.2">
      <c r="J117" s="13"/>
      <c r="K117" s="242"/>
      <c r="L117" s="13"/>
    </row>
    <row r="118" spans="10:12" x14ac:dyDescent="0.2">
      <c r="J118" s="13"/>
      <c r="K118" s="242"/>
      <c r="L118" s="13"/>
    </row>
    <row r="119" spans="10:12" x14ac:dyDescent="0.2">
      <c r="J119" s="13"/>
      <c r="K119" s="242"/>
      <c r="L119" s="13"/>
    </row>
    <row r="120" spans="10:12" x14ac:dyDescent="0.2">
      <c r="J120" s="13"/>
      <c r="K120" s="242"/>
      <c r="L120" s="13"/>
    </row>
    <row r="121" spans="10:12" x14ac:dyDescent="0.2">
      <c r="J121" s="13"/>
      <c r="K121" s="242"/>
      <c r="L121" s="13"/>
    </row>
    <row r="122" spans="10:12" x14ac:dyDescent="0.2">
      <c r="J122" s="13"/>
      <c r="K122" s="242"/>
      <c r="L122" s="13"/>
    </row>
    <row r="123" spans="10:12" x14ac:dyDescent="0.2">
      <c r="J123" s="13"/>
      <c r="K123" s="242"/>
      <c r="L123" s="13"/>
    </row>
    <row r="124" spans="10:12" x14ac:dyDescent="0.2">
      <c r="J124" s="13"/>
      <c r="K124" s="242"/>
      <c r="L124" s="13"/>
    </row>
    <row r="125" spans="10:12" x14ac:dyDescent="0.2">
      <c r="J125" s="13"/>
      <c r="K125" s="242"/>
      <c r="L125" s="13"/>
    </row>
    <row r="126" spans="10:12" x14ac:dyDescent="0.2">
      <c r="J126" s="13"/>
      <c r="K126" s="242"/>
      <c r="L126" s="13"/>
    </row>
    <row r="127" spans="10:12" x14ac:dyDescent="0.2">
      <c r="J127" s="13"/>
      <c r="K127" s="242"/>
      <c r="L127" s="13"/>
    </row>
    <row r="128" spans="10:12" x14ac:dyDescent="0.2">
      <c r="J128" s="13"/>
      <c r="K128" s="242"/>
      <c r="L128" s="13"/>
    </row>
    <row r="129" spans="10:12" x14ac:dyDescent="0.2">
      <c r="J129" s="13"/>
      <c r="K129" s="242"/>
      <c r="L129" s="13"/>
    </row>
    <row r="130" spans="10:12" x14ac:dyDescent="0.2">
      <c r="J130" s="13"/>
      <c r="K130" s="242"/>
      <c r="L130" s="13"/>
    </row>
    <row r="131" spans="10:12" x14ac:dyDescent="0.2">
      <c r="J131" s="13"/>
      <c r="K131" s="242"/>
      <c r="L131" s="13"/>
    </row>
    <row r="132" spans="10:12" x14ac:dyDescent="0.2">
      <c r="J132" s="13"/>
      <c r="K132" s="242"/>
      <c r="L132" s="13"/>
    </row>
    <row r="133" spans="10:12" x14ac:dyDescent="0.2">
      <c r="J133" s="13"/>
      <c r="K133" s="242"/>
      <c r="L133" s="13"/>
    </row>
    <row r="134" spans="10:12" x14ac:dyDescent="0.2">
      <c r="J134" s="13"/>
      <c r="K134" s="242"/>
      <c r="L134" s="13"/>
    </row>
    <row r="135" spans="10:12" x14ac:dyDescent="0.2">
      <c r="J135" s="13"/>
      <c r="K135" s="242"/>
      <c r="L135" s="13"/>
    </row>
    <row r="136" spans="10:12" x14ac:dyDescent="0.2">
      <c r="J136" s="13"/>
      <c r="K136" s="242"/>
      <c r="L136" s="13"/>
    </row>
    <row r="137" spans="10:12" x14ac:dyDescent="0.2">
      <c r="J137" s="13"/>
      <c r="K137" s="242"/>
      <c r="L137" s="13"/>
    </row>
    <row r="138" spans="10:12" x14ac:dyDescent="0.2">
      <c r="J138" s="13"/>
      <c r="K138" s="242"/>
      <c r="L138" s="13"/>
    </row>
    <row r="139" spans="10:12" x14ac:dyDescent="0.2">
      <c r="J139" s="13"/>
      <c r="K139" s="242"/>
      <c r="L139" s="13"/>
    </row>
    <row r="140" spans="10:12" x14ac:dyDescent="0.2">
      <c r="J140" s="13"/>
      <c r="K140" s="242"/>
      <c r="L140" s="13"/>
    </row>
    <row r="141" spans="10:12" x14ac:dyDescent="0.2">
      <c r="J141" s="13"/>
      <c r="K141" s="242"/>
      <c r="L141" s="13"/>
    </row>
    <row r="142" spans="10:12" x14ac:dyDescent="0.2">
      <c r="J142" s="13"/>
      <c r="K142" s="242"/>
      <c r="L142" s="13"/>
    </row>
    <row r="143" spans="10:12" x14ac:dyDescent="0.2">
      <c r="J143" s="13"/>
      <c r="K143" s="242"/>
      <c r="L143" s="13"/>
    </row>
    <row r="144" spans="10:12" x14ac:dyDescent="0.2">
      <c r="J144" s="13"/>
      <c r="K144" s="242"/>
      <c r="L144" s="13"/>
    </row>
    <row r="145" spans="10:12" x14ac:dyDescent="0.2">
      <c r="J145" s="13"/>
      <c r="K145" s="242"/>
      <c r="L145" s="13"/>
    </row>
    <row r="146" spans="10:12" x14ac:dyDescent="0.2">
      <c r="J146" s="13"/>
      <c r="K146" s="242"/>
      <c r="L146" s="13"/>
    </row>
    <row r="147" spans="10:12" x14ac:dyDescent="0.2">
      <c r="J147" s="13"/>
      <c r="K147" s="242"/>
      <c r="L147" s="13"/>
    </row>
    <row r="148" spans="10:12" x14ac:dyDescent="0.2">
      <c r="J148" s="13"/>
      <c r="K148" s="242"/>
      <c r="L148" s="13"/>
    </row>
    <row r="149" spans="10:12" x14ac:dyDescent="0.2">
      <c r="J149" s="13"/>
      <c r="K149" s="242"/>
      <c r="L149" s="13"/>
    </row>
    <row r="150" spans="10:12" x14ac:dyDescent="0.2">
      <c r="J150" s="13"/>
      <c r="K150" s="242"/>
      <c r="L150" s="13"/>
    </row>
    <row r="151" spans="10:12" x14ac:dyDescent="0.2">
      <c r="J151" s="13"/>
      <c r="K151" s="242"/>
      <c r="L151" s="13"/>
    </row>
    <row r="152" spans="10:12" x14ac:dyDescent="0.2">
      <c r="J152" s="13"/>
      <c r="K152" s="242"/>
      <c r="L152" s="13"/>
    </row>
    <row r="153" spans="10:12" x14ac:dyDescent="0.2">
      <c r="J153" s="13"/>
      <c r="K153" s="242"/>
      <c r="L153" s="13"/>
    </row>
    <row r="154" spans="10:12" x14ac:dyDescent="0.2">
      <c r="J154" s="13"/>
      <c r="K154" s="242"/>
      <c r="L154" s="13"/>
    </row>
    <row r="155" spans="10:12" x14ac:dyDescent="0.2">
      <c r="J155" s="13"/>
      <c r="K155" s="242"/>
      <c r="L155" s="13"/>
    </row>
    <row r="156" spans="10:12" x14ac:dyDescent="0.2">
      <c r="J156" s="13"/>
      <c r="K156" s="242"/>
      <c r="L156" s="13"/>
    </row>
    <row r="157" spans="10:12" x14ac:dyDescent="0.2">
      <c r="J157" s="13"/>
      <c r="K157" s="242"/>
      <c r="L157" s="13"/>
    </row>
    <row r="158" spans="10:12" x14ac:dyDescent="0.2">
      <c r="J158" s="13"/>
      <c r="K158" s="242"/>
      <c r="L158" s="13"/>
    </row>
    <row r="159" spans="10:12" x14ac:dyDescent="0.2">
      <c r="J159" s="13"/>
      <c r="K159" s="242"/>
      <c r="L159" s="13"/>
    </row>
    <row r="160" spans="10:12" x14ac:dyDescent="0.2">
      <c r="J160" s="13"/>
      <c r="K160" s="242"/>
      <c r="L160" s="13"/>
    </row>
    <row r="161" spans="2:12" x14ac:dyDescent="0.2">
      <c r="J161" s="13"/>
      <c r="K161" s="242"/>
      <c r="L161" s="13"/>
    </row>
    <row r="162" spans="2:12" x14ac:dyDescent="0.2">
      <c r="J162" s="13"/>
      <c r="K162" s="242"/>
      <c r="L162" s="13"/>
    </row>
    <row r="163" spans="2:12" x14ac:dyDescent="0.2">
      <c r="B163" s="1181"/>
      <c r="E163" s="12">
        <v>0</v>
      </c>
      <c r="G163" s="11"/>
      <c r="J163" s="13"/>
      <c r="K163" s="242"/>
      <c r="L163" s="13"/>
    </row>
    <row r="164" spans="2:12" x14ac:dyDescent="0.2">
      <c r="B164" s="1181"/>
      <c r="E164" s="12">
        <v>0</v>
      </c>
      <c r="G164" s="11"/>
      <c r="J164" s="13"/>
      <c r="K164" s="242"/>
      <c r="L164" s="13"/>
    </row>
    <row r="165" spans="2:12" x14ac:dyDescent="0.2">
      <c r="B165" s="1181"/>
      <c r="E165" s="12">
        <v>0</v>
      </c>
      <c r="G165" s="11"/>
      <c r="J165" s="13"/>
      <c r="K165" s="242"/>
      <c r="L165" s="13"/>
    </row>
    <row r="166" spans="2:12" x14ac:dyDescent="0.2">
      <c r="B166" s="1181"/>
      <c r="E166" s="12">
        <v>0</v>
      </c>
      <c r="G166" s="11"/>
      <c r="J166" s="13"/>
      <c r="K166" s="242"/>
      <c r="L166" s="13"/>
    </row>
    <row r="167" spans="2:12" x14ac:dyDescent="0.2">
      <c r="B167" s="1181"/>
      <c r="E167" s="12">
        <v>0</v>
      </c>
      <c r="G167" s="11"/>
      <c r="J167" s="13"/>
      <c r="K167" s="242"/>
      <c r="L167" s="13"/>
    </row>
    <row r="168" spans="2:12" x14ac:dyDescent="0.2">
      <c r="B168" s="1181"/>
      <c r="E168" s="12">
        <v>0</v>
      </c>
      <c r="G168" s="11"/>
      <c r="J168" s="13"/>
      <c r="K168" s="242"/>
      <c r="L168" s="13"/>
    </row>
    <row r="169" spans="2:12" x14ac:dyDescent="0.2">
      <c r="B169" s="1181"/>
      <c r="E169" s="12">
        <v>0</v>
      </c>
      <c r="G169" s="11"/>
      <c r="J169" s="13"/>
      <c r="K169" s="242"/>
      <c r="L169" s="13"/>
    </row>
    <row r="170" spans="2:12" x14ac:dyDescent="0.2">
      <c r="B170" s="1181"/>
      <c r="E170" s="12">
        <v>0</v>
      </c>
      <c r="G170" s="11"/>
      <c r="J170" s="13"/>
      <c r="K170" s="242"/>
      <c r="L170" s="13"/>
    </row>
    <row r="171" spans="2:12" x14ac:dyDescent="0.2">
      <c r="B171" s="1181"/>
      <c r="E171" s="12">
        <v>0</v>
      </c>
      <c r="G171" s="11"/>
      <c r="J171" s="13"/>
      <c r="K171" s="242"/>
      <c r="L171" s="13"/>
    </row>
    <row r="172" spans="2:12" x14ac:dyDescent="0.2">
      <c r="B172" s="1181"/>
      <c r="E172" s="12">
        <v>0</v>
      </c>
      <c r="G172" s="11"/>
      <c r="J172" s="13"/>
      <c r="K172" s="242"/>
      <c r="L172" s="13"/>
    </row>
    <row r="173" spans="2:12" x14ac:dyDescent="0.2">
      <c r="B173" s="1181"/>
      <c r="E173" s="12">
        <v>0</v>
      </c>
      <c r="G173" s="11"/>
      <c r="J173" s="13"/>
      <c r="K173" s="242"/>
      <c r="L173" s="13"/>
    </row>
    <row r="174" spans="2:12" x14ac:dyDescent="0.2">
      <c r="B174" s="1181"/>
      <c r="E174" s="12">
        <v>0</v>
      </c>
      <c r="G174" s="11"/>
      <c r="J174" s="13"/>
      <c r="K174" s="242"/>
      <c r="L174" s="13"/>
    </row>
    <row r="175" spans="2:12" x14ac:dyDescent="0.2">
      <c r="B175" s="1181"/>
      <c r="E175" s="12">
        <v>0</v>
      </c>
      <c r="G175" s="11"/>
      <c r="J175" s="13"/>
      <c r="K175" s="242"/>
      <c r="L175" s="13"/>
    </row>
    <row r="176" spans="2:12" x14ac:dyDescent="0.2">
      <c r="B176" s="1181"/>
      <c r="E176" s="12">
        <v>0</v>
      </c>
      <c r="G176" s="11"/>
      <c r="J176" s="13"/>
      <c r="K176" s="242"/>
      <c r="L176" s="13"/>
    </row>
    <row r="177" spans="2:12" x14ac:dyDescent="0.2">
      <c r="B177" s="1181"/>
      <c r="E177" s="12">
        <v>0</v>
      </c>
      <c r="G177" s="11"/>
      <c r="J177" s="13"/>
      <c r="K177" s="242"/>
      <c r="L177" s="13"/>
    </row>
    <row r="178" spans="2:12" x14ac:dyDescent="0.2">
      <c r="B178" s="1181"/>
      <c r="E178" s="12">
        <v>0</v>
      </c>
      <c r="G178" s="11"/>
      <c r="J178" s="13"/>
      <c r="K178" s="242"/>
      <c r="L178" s="13"/>
    </row>
    <row r="179" spans="2:12" x14ac:dyDescent="0.2">
      <c r="B179" s="1181"/>
      <c r="E179" s="12">
        <v>0</v>
      </c>
      <c r="G179" s="11"/>
      <c r="J179" s="13"/>
      <c r="K179" s="242"/>
      <c r="L179" s="13"/>
    </row>
    <row r="180" spans="2:12" x14ac:dyDescent="0.2">
      <c r="B180" s="1181"/>
      <c r="E180" s="12">
        <v>0</v>
      </c>
      <c r="G180" s="11"/>
      <c r="J180" s="13"/>
      <c r="K180" s="242"/>
      <c r="L180" s="13"/>
    </row>
    <row r="181" spans="2:12" x14ac:dyDescent="0.2">
      <c r="B181" s="1181"/>
      <c r="E181" s="12">
        <v>0</v>
      </c>
      <c r="G181" s="11"/>
      <c r="J181" s="13"/>
      <c r="K181" s="242"/>
      <c r="L181" s="13"/>
    </row>
    <row r="182" spans="2:12" x14ac:dyDescent="0.2">
      <c r="B182" s="1181"/>
      <c r="E182" s="12">
        <v>0</v>
      </c>
      <c r="G182" s="11"/>
      <c r="J182" s="13"/>
      <c r="K182" s="242"/>
      <c r="L182" s="13"/>
    </row>
    <row r="183" spans="2:12" x14ac:dyDescent="0.2">
      <c r="B183" s="1181"/>
      <c r="E183" s="12">
        <v>0</v>
      </c>
      <c r="G183" s="11"/>
      <c r="J183" s="13"/>
      <c r="K183" s="242"/>
      <c r="L183" s="13"/>
    </row>
    <row r="184" spans="2:12" x14ac:dyDescent="0.2">
      <c r="B184" s="1181"/>
      <c r="E184" s="12">
        <v>0</v>
      </c>
      <c r="G184" s="11"/>
      <c r="J184" s="13"/>
      <c r="K184" s="242"/>
      <c r="L184" s="13"/>
    </row>
    <row r="185" spans="2:12" x14ac:dyDescent="0.2">
      <c r="B185" s="1181"/>
      <c r="E185" s="12">
        <v>0</v>
      </c>
      <c r="G185" s="11"/>
      <c r="J185" s="13"/>
      <c r="K185" s="242"/>
      <c r="L185" s="13"/>
    </row>
    <row r="186" spans="2:12" x14ac:dyDescent="0.2">
      <c r="B186" s="1181"/>
      <c r="E186" s="12">
        <v>0</v>
      </c>
      <c r="G186" s="11"/>
      <c r="J186" s="13"/>
      <c r="K186" s="242"/>
      <c r="L186" s="13"/>
    </row>
    <row r="187" spans="2:12" x14ac:dyDescent="0.2">
      <c r="B187" s="1181"/>
      <c r="E187" s="12">
        <v>0</v>
      </c>
      <c r="G187" s="11"/>
      <c r="J187" s="13"/>
      <c r="K187" s="242"/>
      <c r="L187" s="13"/>
    </row>
    <row r="188" spans="2:12" x14ac:dyDescent="0.2">
      <c r="B188" s="1181"/>
      <c r="E188" s="12">
        <v>0</v>
      </c>
      <c r="G188" s="11"/>
      <c r="J188" s="13"/>
      <c r="K188" s="242"/>
      <c r="L188" s="13"/>
    </row>
    <row r="189" spans="2:12" x14ac:dyDescent="0.2">
      <c r="B189" s="1181"/>
      <c r="E189" s="12">
        <v>0</v>
      </c>
      <c r="G189" s="11"/>
      <c r="J189" s="13"/>
      <c r="K189" s="242"/>
      <c r="L189" s="13"/>
    </row>
    <row r="190" spans="2:12" x14ac:dyDescent="0.2">
      <c r="B190" s="1181"/>
      <c r="E190" s="12">
        <v>0</v>
      </c>
      <c r="G190" s="11"/>
      <c r="J190" s="13"/>
      <c r="K190" s="242"/>
      <c r="L190" s="13"/>
    </row>
    <row r="191" spans="2:12" x14ac:dyDescent="0.2">
      <c r="B191" s="1181"/>
      <c r="E191" s="12">
        <v>0</v>
      </c>
      <c r="G191" s="11"/>
      <c r="J191" s="13"/>
      <c r="K191" s="242"/>
      <c r="L191" s="13"/>
    </row>
    <row r="192" spans="2:12" x14ac:dyDescent="0.2">
      <c r="B192" s="1181"/>
      <c r="E192" s="12">
        <v>0</v>
      </c>
      <c r="G192" s="11"/>
      <c r="J192" s="13"/>
      <c r="K192" s="242"/>
      <c r="L192" s="13"/>
    </row>
    <row r="193" spans="2:12" x14ac:dyDescent="0.2">
      <c r="B193" s="1181"/>
      <c r="E193" s="12">
        <v>0</v>
      </c>
      <c r="G193" s="11"/>
      <c r="J193" s="13"/>
      <c r="K193" s="242"/>
      <c r="L193" s="13"/>
    </row>
    <row r="194" spans="2:12" x14ac:dyDescent="0.2">
      <c r="B194" s="1181"/>
      <c r="E194" s="12">
        <v>0</v>
      </c>
      <c r="G194" s="11"/>
      <c r="J194" s="13"/>
      <c r="K194" s="242"/>
      <c r="L194" s="13"/>
    </row>
    <row r="195" spans="2:12" x14ac:dyDescent="0.2">
      <c r="B195" s="1181"/>
      <c r="E195" s="12">
        <v>0</v>
      </c>
      <c r="G195" s="11"/>
      <c r="J195" s="13"/>
      <c r="K195" s="242"/>
      <c r="L195" s="13"/>
    </row>
    <row r="196" spans="2:12" x14ac:dyDescent="0.2">
      <c r="B196" s="1181"/>
      <c r="E196" s="12">
        <v>0</v>
      </c>
      <c r="G196" s="11"/>
      <c r="J196" s="13"/>
      <c r="K196" s="242"/>
      <c r="L196" s="13"/>
    </row>
    <row r="197" spans="2:12" x14ac:dyDescent="0.2">
      <c r="B197" s="1181"/>
      <c r="E197" s="12">
        <v>0</v>
      </c>
      <c r="G197" s="11"/>
      <c r="J197" s="13"/>
      <c r="K197" s="242"/>
      <c r="L197" s="13"/>
    </row>
    <row r="198" spans="2:12" x14ac:dyDescent="0.2">
      <c r="B198" s="1181"/>
      <c r="E198" s="12">
        <v>0</v>
      </c>
      <c r="G198" s="11"/>
      <c r="J198" s="13"/>
      <c r="K198" s="242"/>
      <c r="L198" s="13"/>
    </row>
    <row r="199" spans="2:12" x14ac:dyDescent="0.2">
      <c r="B199" s="1181"/>
      <c r="E199" s="12">
        <v>0</v>
      </c>
      <c r="G199" s="11"/>
      <c r="J199" s="13"/>
      <c r="K199" s="242"/>
      <c r="L199" s="13"/>
    </row>
    <row r="200" spans="2:12" x14ac:dyDescent="0.2">
      <c r="B200" s="1181"/>
      <c r="E200" s="12">
        <v>0</v>
      </c>
      <c r="G200" s="11"/>
      <c r="J200" s="13"/>
      <c r="K200" s="242"/>
      <c r="L200" s="13"/>
    </row>
    <row r="201" spans="2:12" x14ac:dyDescent="0.2">
      <c r="B201" s="1181"/>
      <c r="E201" s="12">
        <v>0</v>
      </c>
      <c r="G201" s="11"/>
      <c r="J201" s="13"/>
      <c r="K201" s="242"/>
      <c r="L201" s="13"/>
    </row>
    <row r="202" spans="2:12" x14ac:dyDescent="0.2">
      <c r="B202" s="1181"/>
      <c r="E202" s="12">
        <v>0</v>
      </c>
      <c r="G202" s="11"/>
      <c r="J202" s="13"/>
      <c r="L202" s="13"/>
    </row>
    <row r="203" spans="2:12" x14ac:dyDescent="0.2">
      <c r="B203" s="1181"/>
      <c r="E203" s="12">
        <v>0</v>
      </c>
      <c r="G203" s="11"/>
      <c r="J203" s="13"/>
      <c r="L203" s="13"/>
    </row>
    <row r="204" spans="2:12" x14ac:dyDescent="0.2">
      <c r="B204" s="1181"/>
      <c r="E204" s="12">
        <v>0</v>
      </c>
      <c r="G204" s="11"/>
    </row>
    <row r="205" spans="2:12" x14ac:dyDescent="0.2">
      <c r="B205" s="1181"/>
      <c r="E205" s="12">
        <v>0</v>
      </c>
      <c r="G205" s="11"/>
    </row>
    <row r="206" spans="2:12" x14ac:dyDescent="0.2">
      <c r="B206" s="1181"/>
      <c r="E206" s="12">
        <v>0</v>
      </c>
      <c r="G206" s="11"/>
    </row>
    <row r="207" spans="2:12" x14ac:dyDescent="0.2">
      <c r="B207" s="1181"/>
      <c r="E207" s="12">
        <v>0</v>
      </c>
      <c r="G207" s="11"/>
    </row>
    <row r="208" spans="2:12" x14ac:dyDescent="0.2">
      <c r="B208" s="1181"/>
      <c r="E208" s="12">
        <v>0</v>
      </c>
      <c r="G208" s="11"/>
    </row>
    <row r="209" spans="2:7" x14ac:dyDescent="0.2">
      <c r="B209" s="1181"/>
      <c r="E209" s="12">
        <v>0</v>
      </c>
      <c r="G209" s="11"/>
    </row>
  </sheetData>
  <mergeCells count="1">
    <mergeCell ref="E83:G83"/>
  </mergeCells>
  <phoneticPr fontId="195" type="noConversion"/>
  <pageMargins left="0.78740157480314965" right="0.78740157480314965" top="0.6692913385826772" bottom="0.98425196850393704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70" zoomScaleNormal="70" workbookViewId="0">
      <selection activeCell="H34" sqref="H34"/>
    </sheetView>
  </sheetViews>
  <sheetFormatPr baseColWidth="10" defaultColWidth="11.42578125" defaultRowHeight="12.75" x14ac:dyDescent="0.2"/>
  <cols>
    <col min="1" max="1" width="11.42578125" style="11"/>
    <col min="2" max="2" width="4" style="1181" customWidth="1"/>
    <col min="3" max="3" width="3.7109375" style="11" customWidth="1"/>
    <col min="4" max="4" width="63.85546875" style="11" customWidth="1"/>
    <col min="5" max="5" width="15.42578125" style="12" customWidth="1"/>
    <col min="6" max="6" width="15.42578125" style="11" customWidth="1"/>
    <col min="7" max="7" width="22.85546875" style="11" customWidth="1"/>
    <col min="8" max="11" width="15.42578125" style="11" customWidth="1"/>
    <col min="12" max="16384" width="11.42578125" style="11"/>
  </cols>
  <sheetData>
    <row r="1" spans="4:12" x14ac:dyDescent="0.2">
      <c r="J1" s="13"/>
      <c r="K1" s="13"/>
      <c r="L1" s="13"/>
    </row>
    <row r="2" spans="4:12" ht="18" x14ac:dyDescent="0.25">
      <c r="D2" s="14" t="s">
        <v>175</v>
      </c>
      <c r="E2" s="15"/>
      <c r="G2" s="16"/>
      <c r="J2" s="13"/>
      <c r="K2" s="13"/>
      <c r="L2" s="13"/>
    </row>
    <row r="3" spans="4:12" ht="18" x14ac:dyDescent="0.25">
      <c r="D3" s="14" t="s">
        <v>463</v>
      </c>
      <c r="E3" s="15"/>
      <c r="G3" s="16"/>
      <c r="J3" s="13"/>
      <c r="K3" s="13"/>
      <c r="L3" s="13"/>
    </row>
    <row r="4" spans="4:12" ht="18" x14ac:dyDescent="0.25">
      <c r="D4" s="14" t="s">
        <v>461</v>
      </c>
      <c r="E4" s="15"/>
      <c r="G4" s="16"/>
      <c r="J4" s="13"/>
      <c r="K4" s="13"/>
      <c r="L4" s="13"/>
    </row>
    <row r="5" spans="4:12" ht="18" x14ac:dyDescent="0.25">
      <c r="D5" s="17" t="s">
        <v>1749</v>
      </c>
      <c r="E5" s="15"/>
      <c r="G5" s="16"/>
      <c r="J5" s="13"/>
      <c r="K5" s="13"/>
      <c r="L5" s="13"/>
    </row>
    <row r="6" spans="4:12" ht="18" x14ac:dyDescent="0.25">
      <c r="D6" s="17" t="s">
        <v>58</v>
      </c>
      <c r="E6" s="15"/>
      <c r="G6" s="16"/>
      <c r="J6" s="13"/>
      <c r="K6" s="13"/>
      <c r="L6" s="13"/>
    </row>
    <row r="7" spans="4:12" x14ac:dyDescent="0.2">
      <c r="G7" s="16"/>
      <c r="J7" s="13"/>
      <c r="K7" s="13"/>
      <c r="L7" s="13"/>
    </row>
    <row r="8" spans="4:12" x14ac:dyDescent="0.2">
      <c r="G8" s="16"/>
      <c r="J8" s="13"/>
      <c r="K8" s="13"/>
      <c r="L8" s="13"/>
    </row>
    <row r="9" spans="4:12" x14ac:dyDescent="0.2">
      <c r="J9" s="13"/>
      <c r="K9" s="13"/>
      <c r="L9" s="13"/>
    </row>
    <row r="10" spans="4:12" x14ac:dyDescent="0.2">
      <c r="G10" s="19"/>
      <c r="J10" s="13"/>
      <c r="K10" s="13"/>
      <c r="L10" s="13"/>
    </row>
    <row r="11" spans="4:12" x14ac:dyDescent="0.2">
      <c r="J11" s="13"/>
      <c r="K11" s="13"/>
      <c r="L11" s="13"/>
    </row>
    <row r="12" spans="4:12" x14ac:dyDescent="0.2">
      <c r="J12" s="13"/>
      <c r="K12" s="13"/>
      <c r="L12" s="13"/>
    </row>
    <row r="13" spans="4:12" x14ac:dyDescent="0.2">
      <c r="J13" s="13"/>
      <c r="K13" s="13"/>
      <c r="L13" s="13"/>
    </row>
    <row r="14" spans="4:12" x14ac:dyDescent="0.2">
      <c r="J14" s="13"/>
      <c r="K14" s="13"/>
      <c r="L14" s="13"/>
    </row>
    <row r="15" spans="4:12" x14ac:dyDescent="0.2">
      <c r="J15" s="13"/>
      <c r="K15" s="13"/>
      <c r="L15" s="13"/>
    </row>
    <row r="16" spans="4:12" x14ac:dyDescent="0.2">
      <c r="J16" s="13"/>
      <c r="K16" s="13"/>
      <c r="L16" s="13"/>
    </row>
    <row r="17" spans="1:12" s="16" customFormat="1" x14ac:dyDescent="0.2">
      <c r="B17" s="1181">
        <v>81</v>
      </c>
      <c r="D17" s="16" t="s">
        <v>272</v>
      </c>
      <c r="E17" s="28"/>
      <c r="G17" s="18">
        <v>525175131.88000005</v>
      </c>
      <c r="J17" s="30"/>
      <c r="K17" s="30"/>
      <c r="L17" s="30"/>
    </row>
    <row r="18" spans="1:12" x14ac:dyDescent="0.2">
      <c r="B18" s="1181">
        <v>811</v>
      </c>
      <c r="D18" s="11" t="s">
        <v>233</v>
      </c>
      <c r="E18" s="37"/>
      <c r="F18" s="19">
        <v>1821.66</v>
      </c>
      <c r="G18" s="16"/>
      <c r="J18" s="13" t="s">
        <v>212</v>
      </c>
      <c r="K18" s="38">
        <f>E18+E19+E21+E22+E23</f>
        <v>0</v>
      </c>
      <c r="L18" s="13"/>
    </row>
    <row r="19" spans="1:12" x14ac:dyDescent="0.2">
      <c r="B19" s="1181">
        <v>812</v>
      </c>
      <c r="D19" s="11" t="s">
        <v>331</v>
      </c>
      <c r="E19" s="37"/>
      <c r="F19" s="19">
        <v>0</v>
      </c>
      <c r="G19" s="16"/>
      <c r="J19" s="13"/>
      <c r="K19" s="13"/>
      <c r="L19" s="13"/>
    </row>
    <row r="20" spans="1:12" x14ac:dyDescent="0.2">
      <c r="B20" s="1181">
        <v>813</v>
      </c>
      <c r="D20" s="11" t="s">
        <v>213</v>
      </c>
      <c r="E20" s="37"/>
      <c r="F20" s="19">
        <v>0</v>
      </c>
      <c r="G20" s="16"/>
      <c r="J20" s="13"/>
      <c r="K20" s="13"/>
      <c r="L20" s="13"/>
    </row>
    <row r="21" spans="1:12" x14ac:dyDescent="0.2">
      <c r="B21" s="1181">
        <v>816</v>
      </c>
      <c r="D21" s="11" t="s">
        <v>183</v>
      </c>
      <c r="E21" s="37"/>
      <c r="F21" s="19">
        <v>525173310.22000003</v>
      </c>
      <c r="G21" s="16"/>
      <c r="J21" s="13"/>
      <c r="K21" s="13"/>
      <c r="L21" s="13"/>
    </row>
    <row r="22" spans="1:12" x14ac:dyDescent="0.2">
      <c r="B22" s="1181">
        <v>817</v>
      </c>
      <c r="D22" s="11" t="s">
        <v>214</v>
      </c>
      <c r="E22" s="37"/>
      <c r="F22" s="19">
        <v>0</v>
      </c>
      <c r="G22" s="16"/>
      <c r="J22" s="13"/>
      <c r="K22" s="13"/>
      <c r="L22" s="13"/>
    </row>
    <row r="23" spans="1:12" x14ac:dyDescent="0.2">
      <c r="E23" s="37"/>
      <c r="F23" s="19"/>
      <c r="G23" s="16"/>
      <c r="J23" s="13"/>
      <c r="K23" s="13"/>
      <c r="L23" s="13"/>
    </row>
    <row r="24" spans="1:12" ht="13.5" thickBot="1" x14ac:dyDescent="0.25">
      <c r="A24" s="39"/>
      <c r="C24" s="39"/>
      <c r="D24" s="39"/>
      <c r="E24" s="26"/>
      <c r="F24" s="27"/>
      <c r="G24" s="16"/>
      <c r="J24" s="13"/>
      <c r="K24" s="13"/>
      <c r="L24" s="13"/>
    </row>
    <row r="25" spans="1:12" x14ac:dyDescent="0.2">
      <c r="G25" s="16"/>
      <c r="H25" s="13" t="s">
        <v>215</v>
      </c>
      <c r="J25" s="13"/>
      <c r="K25" s="13"/>
      <c r="L25" s="13"/>
    </row>
    <row r="26" spans="1:12" s="31" customFormat="1" ht="16.5" thickBot="1" x14ac:dyDescent="0.3">
      <c r="B26" s="1181"/>
      <c r="D26" s="16" t="s">
        <v>216</v>
      </c>
      <c r="E26" s="32"/>
      <c r="G26" s="33">
        <v>525175131.88000005</v>
      </c>
      <c r="J26" s="34"/>
      <c r="K26" s="34"/>
      <c r="L26" s="34"/>
    </row>
    <row r="27" spans="1:12" ht="13.5" thickTop="1" x14ac:dyDescent="0.2">
      <c r="G27" s="16"/>
      <c r="J27" s="13"/>
      <c r="K27" s="13"/>
      <c r="L27" s="13"/>
    </row>
    <row r="28" spans="1:12" x14ac:dyDescent="0.2">
      <c r="G28" s="16"/>
      <c r="J28" s="13"/>
      <c r="K28" s="13"/>
      <c r="L28" s="13"/>
    </row>
    <row r="29" spans="1:12" x14ac:dyDescent="0.2">
      <c r="G29" s="16"/>
      <c r="J29" s="13"/>
      <c r="K29" s="13"/>
      <c r="L29" s="13"/>
    </row>
    <row r="30" spans="1:12" x14ac:dyDescent="0.2">
      <c r="G30" s="16"/>
      <c r="J30" s="13"/>
      <c r="K30" s="13"/>
      <c r="L30" s="13"/>
    </row>
    <row r="31" spans="1:12" x14ac:dyDescent="0.2">
      <c r="G31" s="16"/>
      <c r="J31" s="13"/>
      <c r="K31" s="13"/>
      <c r="L31" s="13"/>
    </row>
    <row r="32" spans="1:12" x14ac:dyDescent="0.2">
      <c r="G32" s="16"/>
      <c r="J32" s="13"/>
      <c r="K32" s="13"/>
      <c r="L32" s="13"/>
    </row>
    <row r="33" spans="2:12" x14ac:dyDescent="0.2">
      <c r="G33" s="16"/>
      <c r="J33" s="13"/>
      <c r="K33" s="13"/>
      <c r="L33" s="13"/>
    </row>
    <row r="34" spans="2:12" x14ac:dyDescent="0.2">
      <c r="G34" s="16"/>
      <c r="J34" s="13"/>
      <c r="K34" s="13"/>
      <c r="L34" s="13"/>
    </row>
    <row r="35" spans="2:12" x14ac:dyDescent="0.2">
      <c r="G35" s="16"/>
      <c r="J35" s="13"/>
      <c r="K35" s="13"/>
      <c r="L35" s="13"/>
    </row>
    <row r="36" spans="2:12" x14ac:dyDescent="0.2">
      <c r="G36" s="16"/>
      <c r="J36" s="13"/>
      <c r="K36" s="13"/>
      <c r="L36" s="13"/>
    </row>
    <row r="37" spans="2:12" x14ac:dyDescent="0.2">
      <c r="G37" s="16"/>
      <c r="J37" s="13"/>
      <c r="K37" s="13"/>
      <c r="L37" s="13"/>
    </row>
    <row r="38" spans="2:12" x14ac:dyDescent="0.2">
      <c r="F38" s="19"/>
      <c r="G38" s="16"/>
      <c r="J38" s="13"/>
      <c r="K38" s="13"/>
      <c r="L38" s="13"/>
    </row>
    <row r="39" spans="2:12" x14ac:dyDescent="0.2">
      <c r="F39" s="19"/>
      <c r="G39" s="16"/>
      <c r="J39" s="13"/>
      <c r="K39" s="13"/>
      <c r="L39" s="13"/>
    </row>
    <row r="40" spans="2:12" s="16" customFormat="1" x14ac:dyDescent="0.2">
      <c r="B40" s="1181">
        <v>91</v>
      </c>
      <c r="D40" s="16" t="s">
        <v>34</v>
      </c>
      <c r="E40" s="28"/>
      <c r="F40" s="18"/>
      <c r="G40" s="18">
        <v>525175131.88000005</v>
      </c>
      <c r="J40" s="30"/>
      <c r="K40" s="30"/>
      <c r="L40" s="30"/>
    </row>
    <row r="41" spans="2:12" x14ac:dyDescent="0.2">
      <c r="B41" s="1181">
        <v>910</v>
      </c>
      <c r="D41" s="11" t="s">
        <v>34</v>
      </c>
      <c r="F41" s="19">
        <v>1814.21</v>
      </c>
      <c r="G41" s="16"/>
      <c r="J41" s="13" t="s">
        <v>217</v>
      </c>
      <c r="K41" s="20"/>
      <c r="L41" s="13"/>
    </row>
    <row r="42" spans="2:12" x14ac:dyDescent="0.2">
      <c r="B42" s="1181">
        <v>911</v>
      </c>
      <c r="D42" s="11" t="s">
        <v>95</v>
      </c>
      <c r="F42" s="19">
        <v>7.45</v>
      </c>
      <c r="G42" s="16"/>
    </row>
    <row r="43" spans="2:12" x14ac:dyDescent="0.2">
      <c r="B43" s="1181">
        <v>913</v>
      </c>
      <c r="D43" s="11" t="s">
        <v>218</v>
      </c>
      <c r="F43" s="19">
        <v>0</v>
      </c>
      <c r="G43" s="16"/>
    </row>
    <row r="44" spans="2:12" x14ac:dyDescent="0.2">
      <c r="B44" s="1181">
        <v>914</v>
      </c>
      <c r="D44" s="11" t="s">
        <v>112</v>
      </c>
      <c r="F44" s="19">
        <v>525173310.22000003</v>
      </c>
      <c r="G44" s="16"/>
    </row>
    <row r="45" spans="2:12" x14ac:dyDescent="0.2">
      <c r="B45" s="1181">
        <v>915</v>
      </c>
      <c r="D45" s="11" t="s">
        <v>156</v>
      </c>
      <c r="F45" s="19">
        <v>0</v>
      </c>
      <c r="G45" s="16"/>
    </row>
    <row r="46" spans="2:12" x14ac:dyDescent="0.2">
      <c r="E46" s="24"/>
      <c r="F46" s="25"/>
      <c r="G46" s="45"/>
    </row>
    <row r="47" spans="2:12" x14ac:dyDescent="0.2">
      <c r="E47" s="21"/>
      <c r="F47" s="23"/>
      <c r="G47" s="1209"/>
    </row>
    <row r="48" spans="2:12" s="31" customFormat="1" ht="16.5" thickBot="1" x14ac:dyDescent="0.3">
      <c r="B48" s="1181"/>
      <c r="D48" s="16" t="s">
        <v>313</v>
      </c>
      <c r="E48" s="32"/>
      <c r="G48" s="1208">
        <v>525175131.88000005</v>
      </c>
    </row>
    <row r="49" spans="2:7" ht="13.5" thickTop="1" x14ac:dyDescent="0.2">
      <c r="G49" s="18">
        <v>0</v>
      </c>
    </row>
    <row r="50" spans="2:7" x14ac:dyDescent="0.2">
      <c r="G50" s="18"/>
    </row>
    <row r="51" spans="2:7" x14ac:dyDescent="0.2">
      <c r="G51" s="18"/>
    </row>
    <row r="52" spans="2:7" x14ac:dyDescent="0.2">
      <c r="G52" s="18"/>
    </row>
    <row r="53" spans="2:7" x14ac:dyDescent="0.2">
      <c r="G53" s="18"/>
    </row>
    <row r="54" spans="2:7" x14ac:dyDescent="0.2">
      <c r="G54" s="18"/>
    </row>
    <row r="55" spans="2:7" x14ac:dyDescent="0.2">
      <c r="G55" s="18"/>
    </row>
    <row r="56" spans="2:7" x14ac:dyDescent="0.2">
      <c r="G56" s="16"/>
    </row>
    <row r="57" spans="2:7" x14ac:dyDescent="0.2">
      <c r="G57" s="16"/>
    </row>
    <row r="59" spans="2:7" x14ac:dyDescent="0.2">
      <c r="G59" s="16"/>
    </row>
    <row r="61" spans="2:7" s="1177" customFormat="1" ht="15" x14ac:dyDescent="0.2">
      <c r="B61" s="1182"/>
      <c r="D61" s="1178" t="s">
        <v>333</v>
      </c>
      <c r="E61" s="1194"/>
      <c r="F61" s="1194"/>
      <c r="G61" s="1194"/>
    </row>
    <row r="62" spans="2:7" s="1177" customFormat="1" ht="15" x14ac:dyDescent="0.2">
      <c r="B62" s="1182"/>
      <c r="D62" s="1179" t="s">
        <v>1751</v>
      </c>
      <c r="E62" s="36" t="s">
        <v>1752</v>
      </c>
      <c r="F62" s="1179"/>
    </row>
    <row r="63" spans="2:7" s="1177" customFormat="1" ht="15" x14ac:dyDescent="0.2">
      <c r="B63" s="1182"/>
      <c r="D63" s="1179" t="s">
        <v>1753</v>
      </c>
      <c r="E63" s="1179" t="s">
        <v>1754</v>
      </c>
      <c r="F63" s="1179"/>
    </row>
    <row r="64" spans="2:7" s="1177" customFormat="1" ht="15" x14ac:dyDescent="0.2">
      <c r="B64" s="1182"/>
      <c r="D64" s="1179"/>
      <c r="E64" s="36"/>
      <c r="F64" s="1179"/>
    </row>
    <row r="65" spans="2:7" s="1177" customFormat="1" x14ac:dyDescent="0.2">
      <c r="B65" s="1182"/>
      <c r="E65" s="12"/>
      <c r="G65" s="1180"/>
    </row>
    <row r="66" spans="2:7" s="1177" customFormat="1" x14ac:dyDescent="0.2">
      <c r="B66" s="1182"/>
      <c r="E66" s="12"/>
      <c r="G66" s="1180"/>
    </row>
    <row r="67" spans="2:7" s="1177" customFormat="1" x14ac:dyDescent="0.2">
      <c r="B67" s="1182"/>
      <c r="E67" s="12"/>
    </row>
    <row r="68" spans="2:7" s="1177" customFormat="1" x14ac:dyDescent="0.2">
      <c r="B68" s="1182"/>
      <c r="E68" s="12"/>
    </row>
    <row r="69" spans="2:7" s="1177" customFormat="1" x14ac:dyDescent="0.2">
      <c r="B69" s="1182"/>
      <c r="E69" s="12"/>
    </row>
    <row r="70" spans="2:7" s="1177" customFormat="1" x14ac:dyDescent="0.2">
      <c r="B70" s="1182"/>
      <c r="E70" s="12"/>
    </row>
    <row r="71" spans="2:7" s="1177" customFormat="1" ht="15" x14ac:dyDescent="0.2">
      <c r="B71" s="1182"/>
      <c r="D71" s="1178" t="s">
        <v>333</v>
      </c>
      <c r="E71" s="12"/>
    </row>
    <row r="72" spans="2:7" s="1177" customFormat="1" ht="15" x14ac:dyDescent="0.2">
      <c r="B72" s="1182"/>
      <c r="D72" s="1179" t="s">
        <v>1755</v>
      </c>
      <c r="E72" s="12"/>
    </row>
    <row r="73" spans="2:7" s="1177" customFormat="1" ht="15" x14ac:dyDescent="0.2">
      <c r="B73" s="1182"/>
      <c r="D73" s="1179" t="s">
        <v>335</v>
      </c>
      <c r="E73" s="12"/>
    </row>
    <row r="74" spans="2:7" ht="15" x14ac:dyDescent="0.2">
      <c r="D74" s="35"/>
      <c r="E74" s="35"/>
      <c r="F74" s="35"/>
    </row>
    <row r="75" spans="2:7" ht="15" x14ac:dyDescent="0.2">
      <c r="D75" s="35"/>
      <c r="E75" s="36"/>
      <c r="F75" s="35"/>
    </row>
  </sheetData>
  <mergeCells count="1">
    <mergeCell ref="E61:G61"/>
  </mergeCells>
  <phoneticPr fontId="195" type="noConversion"/>
  <pageMargins left="0.47244094488188981" right="0.74803149606299213" top="0.98425196850393704" bottom="0.98425196850393704" header="0" footer="0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topLeftCell="A13" zoomScale="85" workbookViewId="0">
      <selection activeCell="A20" sqref="A20"/>
    </sheetView>
  </sheetViews>
  <sheetFormatPr baseColWidth="10" defaultColWidth="11.42578125" defaultRowHeight="12.75" x14ac:dyDescent="0.2"/>
  <cols>
    <col min="1" max="1" width="3.5703125" style="84" customWidth="1"/>
    <col min="2" max="2" width="5.42578125" style="1193" customWidth="1"/>
    <col min="3" max="3" width="2.28515625" style="84" customWidth="1"/>
    <col min="4" max="4" width="70.42578125" style="84" bestFit="1" customWidth="1"/>
    <col min="5" max="5" width="23.7109375" style="84" bestFit="1" customWidth="1"/>
    <col min="6" max="6" width="13.7109375" style="84" customWidth="1"/>
    <col min="7" max="7" width="14.7109375" style="84" bestFit="1" customWidth="1"/>
    <col min="8" max="16384" width="11.42578125" style="84"/>
  </cols>
  <sheetData>
    <row r="1" spans="1:12" ht="20.25" x14ac:dyDescent="0.3">
      <c r="A1" s="1196"/>
      <c r="B1" s="1196"/>
      <c r="C1" s="1196"/>
    </row>
    <row r="2" spans="1:12" ht="15" x14ac:dyDescent="0.2">
      <c r="A2" s="1195"/>
      <c r="B2" s="1195"/>
      <c r="C2" s="1195"/>
    </row>
    <row r="3" spans="1:12" ht="15" x14ac:dyDescent="0.2">
      <c r="A3" s="1195"/>
      <c r="B3" s="1195"/>
      <c r="C3" s="1195"/>
    </row>
    <row r="4" spans="1:12" ht="15" x14ac:dyDescent="0.2">
      <c r="A4" s="1195"/>
      <c r="B4" s="1195"/>
      <c r="C4" s="1195"/>
    </row>
    <row r="5" spans="1:12" ht="15" x14ac:dyDescent="0.2">
      <c r="A5" s="1195"/>
      <c r="B5" s="1195"/>
      <c r="C5" s="1195"/>
    </row>
    <row r="6" spans="1:12" s="39" customFormat="1" ht="18" x14ac:dyDescent="0.25">
      <c r="B6" s="1181"/>
      <c r="C6" s="14" t="s">
        <v>175</v>
      </c>
      <c r="D6" s="15"/>
      <c r="E6" s="15"/>
      <c r="G6" s="16"/>
      <c r="J6" s="85"/>
      <c r="K6" s="85"/>
      <c r="L6" s="85"/>
    </row>
    <row r="7" spans="1:12" s="39" customFormat="1" ht="18" x14ac:dyDescent="0.25">
      <c r="B7" s="1181"/>
      <c r="C7" s="14" t="s">
        <v>464</v>
      </c>
      <c r="D7" s="15"/>
      <c r="E7" s="15"/>
      <c r="G7" s="16"/>
      <c r="J7" s="85"/>
      <c r="K7" s="85"/>
      <c r="L7" s="85"/>
    </row>
    <row r="8" spans="1:12" s="39" customFormat="1" ht="18" x14ac:dyDescent="0.25">
      <c r="B8" s="1181"/>
      <c r="C8" s="14" t="s">
        <v>462</v>
      </c>
      <c r="D8" s="15"/>
      <c r="E8" s="15"/>
      <c r="G8" s="16"/>
      <c r="J8" s="85"/>
      <c r="K8" s="85"/>
      <c r="L8" s="85"/>
    </row>
    <row r="9" spans="1:12" s="39" customFormat="1" ht="18" x14ac:dyDescent="0.25">
      <c r="B9" s="1181"/>
      <c r="C9" s="17" t="s">
        <v>1750</v>
      </c>
      <c r="D9" s="15"/>
      <c r="E9" s="15"/>
      <c r="G9" s="16"/>
      <c r="J9" s="85"/>
      <c r="K9" s="85"/>
      <c r="L9" s="85"/>
    </row>
    <row r="10" spans="1:12" s="39" customFormat="1" ht="18" x14ac:dyDescent="0.25">
      <c r="B10" s="1181"/>
      <c r="C10" s="17" t="s">
        <v>58</v>
      </c>
      <c r="D10" s="15"/>
      <c r="E10" s="15"/>
      <c r="G10" s="16"/>
      <c r="J10" s="85"/>
      <c r="K10" s="85"/>
      <c r="L10" s="85"/>
    </row>
    <row r="11" spans="1:12" s="39" customFormat="1" x14ac:dyDescent="0.2">
      <c r="B11" s="1181"/>
      <c r="D11" s="86"/>
      <c r="E11" s="86"/>
      <c r="G11" s="16"/>
      <c r="J11" s="85"/>
      <c r="K11" s="85"/>
      <c r="L11" s="85"/>
    </row>
    <row r="16" spans="1:12" x14ac:dyDescent="0.2">
      <c r="B16" s="1193">
        <v>82</v>
      </c>
      <c r="D16" s="84" t="s">
        <v>314</v>
      </c>
      <c r="F16" s="87"/>
      <c r="G16" s="88">
        <v>1937836.17</v>
      </c>
    </row>
    <row r="17" spans="2:7" x14ac:dyDescent="0.2">
      <c r="B17" s="1193">
        <v>821</v>
      </c>
      <c r="D17" s="84" t="s">
        <v>107</v>
      </c>
      <c r="F17" s="89">
        <v>1937836.17</v>
      </c>
      <c r="G17" s="88"/>
    </row>
    <row r="18" spans="2:7" x14ac:dyDescent="0.2">
      <c r="G18" s="88"/>
    </row>
    <row r="19" spans="2:7" x14ac:dyDescent="0.2">
      <c r="D19" s="90"/>
      <c r="F19" s="84" t="s">
        <v>315</v>
      </c>
      <c r="G19" s="88"/>
    </row>
    <row r="20" spans="2:7" ht="13.5" thickBot="1" x14ac:dyDescent="0.25">
      <c r="D20" s="84" t="s">
        <v>216</v>
      </c>
      <c r="G20" s="91">
        <v>1937836.17</v>
      </c>
    </row>
    <row r="21" spans="2:7" ht="13.5" thickTop="1" x14ac:dyDescent="0.2"/>
    <row r="25" spans="2:7" x14ac:dyDescent="0.2">
      <c r="B25" s="1193">
        <v>92</v>
      </c>
      <c r="D25" s="84" t="s">
        <v>476</v>
      </c>
    </row>
    <row r="26" spans="2:7" x14ac:dyDescent="0.2">
      <c r="F26" s="87"/>
      <c r="G26" s="88">
        <v>1937836.1700000002</v>
      </c>
    </row>
    <row r="27" spans="2:7" x14ac:dyDescent="0.2">
      <c r="B27" s="1193">
        <v>921</v>
      </c>
      <c r="D27" s="84" t="s">
        <v>167</v>
      </c>
      <c r="F27" s="86">
        <v>1937836.1700000002</v>
      </c>
      <c r="G27" s="88"/>
    </row>
    <row r="28" spans="2:7" x14ac:dyDescent="0.2">
      <c r="B28" s="1193">
        <v>9210</v>
      </c>
      <c r="D28" s="84" t="s">
        <v>316</v>
      </c>
      <c r="E28" s="89">
        <v>327975.58</v>
      </c>
      <c r="G28" s="88"/>
    </row>
    <row r="29" spans="2:7" x14ac:dyDescent="0.2">
      <c r="B29" s="1193">
        <v>9211</v>
      </c>
      <c r="D29" s="84" t="s">
        <v>432</v>
      </c>
      <c r="E29" s="89">
        <v>53156.18</v>
      </c>
      <c r="G29" s="88"/>
    </row>
    <row r="30" spans="2:7" x14ac:dyDescent="0.2">
      <c r="B30" s="1193">
        <v>9212</v>
      </c>
      <c r="D30" s="84" t="s">
        <v>317</v>
      </c>
      <c r="E30" s="89">
        <v>34146.33</v>
      </c>
      <c r="G30" s="88"/>
    </row>
    <row r="31" spans="2:7" x14ac:dyDescent="0.2">
      <c r="B31" s="1193">
        <v>9213</v>
      </c>
      <c r="D31" s="84" t="s">
        <v>429</v>
      </c>
      <c r="E31" s="89">
        <v>5545.36</v>
      </c>
      <c r="G31" s="88"/>
    </row>
    <row r="32" spans="2:7" x14ac:dyDescent="0.2">
      <c r="B32" s="1193">
        <v>9214</v>
      </c>
      <c r="D32" s="84" t="s">
        <v>431</v>
      </c>
      <c r="E32" s="89">
        <v>442392.68</v>
      </c>
      <c r="G32" s="88"/>
    </row>
    <row r="33" spans="2:7" x14ac:dyDescent="0.2">
      <c r="B33" s="1193">
        <v>9216</v>
      </c>
      <c r="D33" s="84" t="s">
        <v>318</v>
      </c>
      <c r="E33" s="89">
        <v>1074552.53</v>
      </c>
      <c r="G33" s="88"/>
    </row>
    <row r="34" spans="2:7" x14ac:dyDescent="0.2">
      <c r="B34" s="1193">
        <v>9217</v>
      </c>
      <c r="D34" s="84" t="s">
        <v>319</v>
      </c>
      <c r="E34" s="89">
        <v>56.58</v>
      </c>
      <c r="G34" s="88"/>
    </row>
    <row r="35" spans="2:7" x14ac:dyDescent="0.2">
      <c r="B35" s="1193">
        <v>9218</v>
      </c>
      <c r="D35" s="84" t="s">
        <v>320</v>
      </c>
      <c r="E35" s="89">
        <v>10.93</v>
      </c>
      <c r="G35" s="88"/>
    </row>
    <row r="36" spans="2:7" x14ac:dyDescent="0.2">
      <c r="G36" s="88"/>
    </row>
    <row r="37" spans="2:7" x14ac:dyDescent="0.2">
      <c r="E37" s="92"/>
      <c r="F37" s="92"/>
      <c r="G37" s="93"/>
    </row>
    <row r="38" spans="2:7" ht="13.5" thickBot="1" x14ac:dyDescent="0.25">
      <c r="D38" s="84" t="s">
        <v>313</v>
      </c>
      <c r="G38" s="94">
        <v>1937836.1700000002</v>
      </c>
    </row>
    <row r="39" spans="2:7" ht="13.5" thickTop="1" x14ac:dyDescent="0.2">
      <c r="G39" s="18">
        <v>0</v>
      </c>
    </row>
    <row r="47" spans="2:7" ht="15.75" customHeight="1" x14ac:dyDescent="0.2"/>
    <row r="49" spans="4:7" ht="15" x14ac:dyDescent="0.2">
      <c r="D49" s="1178" t="s">
        <v>333</v>
      </c>
      <c r="E49" s="1194"/>
      <c r="F49" s="1194"/>
      <c r="G49" s="1194"/>
    </row>
    <row r="50" spans="4:7" ht="15" x14ac:dyDescent="0.2">
      <c r="D50" s="1179" t="s">
        <v>1751</v>
      </c>
      <c r="E50" s="36" t="s">
        <v>1752</v>
      </c>
      <c r="F50" s="1179"/>
      <c r="G50" s="1177"/>
    </row>
    <row r="51" spans="4:7" ht="15" x14ac:dyDescent="0.2">
      <c r="D51" s="1179" t="s">
        <v>1753</v>
      </c>
      <c r="E51" s="1179" t="s">
        <v>1754</v>
      </c>
      <c r="F51" s="1179"/>
      <c r="G51" s="1177"/>
    </row>
    <row r="52" spans="4:7" ht="15" x14ac:dyDescent="0.2">
      <c r="D52" s="1179"/>
      <c r="E52" s="36"/>
      <c r="F52" s="1179"/>
      <c r="G52" s="1177"/>
    </row>
    <row r="53" spans="4:7" x14ac:dyDescent="0.2">
      <c r="D53" s="1177"/>
      <c r="E53" s="12"/>
      <c r="F53" s="1177"/>
      <c r="G53" s="1180"/>
    </row>
    <row r="54" spans="4:7" x14ac:dyDescent="0.2">
      <c r="D54" s="1177"/>
      <c r="E54" s="12"/>
      <c r="F54" s="1177"/>
      <c r="G54" s="1180"/>
    </row>
    <row r="55" spans="4:7" x14ac:dyDescent="0.2">
      <c r="D55" s="1177"/>
      <c r="E55" s="12"/>
      <c r="F55" s="1177"/>
      <c r="G55" s="1177"/>
    </row>
    <row r="56" spans="4:7" x14ac:dyDescent="0.2">
      <c r="D56" s="1177"/>
      <c r="E56" s="12"/>
      <c r="F56" s="1177"/>
      <c r="G56" s="1177"/>
    </row>
    <row r="57" spans="4:7" x14ac:dyDescent="0.2">
      <c r="D57" s="1177"/>
      <c r="E57" s="12"/>
      <c r="F57" s="1177"/>
      <c r="G57" s="1177"/>
    </row>
    <row r="58" spans="4:7" x14ac:dyDescent="0.2">
      <c r="D58" s="1177"/>
      <c r="E58" s="12"/>
      <c r="F58" s="1177"/>
      <c r="G58" s="1177"/>
    </row>
    <row r="59" spans="4:7" ht="15" x14ac:dyDescent="0.2">
      <c r="D59" s="1178" t="s">
        <v>333</v>
      </c>
      <c r="E59" s="12"/>
      <c r="F59" s="1177"/>
      <c r="G59" s="1177"/>
    </row>
    <row r="60" spans="4:7" ht="15" x14ac:dyDescent="0.2">
      <c r="D60" s="1179" t="s">
        <v>1755</v>
      </c>
      <c r="E60" s="12"/>
      <c r="F60" s="1177"/>
      <c r="G60" s="1177"/>
    </row>
    <row r="61" spans="4:7" ht="15" x14ac:dyDescent="0.2">
      <c r="D61" s="1179" t="s">
        <v>335</v>
      </c>
      <c r="E61" s="12"/>
      <c r="F61" s="1177"/>
      <c r="G61" s="1177"/>
    </row>
  </sheetData>
  <mergeCells count="6">
    <mergeCell ref="E49:G49"/>
    <mergeCell ref="A5:C5"/>
    <mergeCell ref="A1:C1"/>
    <mergeCell ref="A2:C2"/>
    <mergeCell ref="A3:C3"/>
    <mergeCell ref="A4:C4"/>
  </mergeCells>
  <phoneticPr fontId="195" type="noConversion"/>
  <pageMargins left="0.74803149606299213" right="0.74803149606299213" top="0.98425196850393704" bottom="0.98425196850393704" header="0" footer="0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fitToPage="1"/>
  </sheetPr>
  <dimension ref="A1:R62"/>
  <sheetViews>
    <sheetView showGridLines="0" topLeftCell="D9" workbookViewId="0">
      <selection activeCell="J30" sqref="J30"/>
    </sheetView>
  </sheetViews>
  <sheetFormatPr baseColWidth="10" defaultColWidth="11.42578125" defaultRowHeight="12.75" x14ac:dyDescent="0.2"/>
  <cols>
    <col min="1" max="1" width="5" style="609" hidden="1" customWidth="1"/>
    <col min="2" max="2" width="4.42578125" style="612" hidden="1" customWidth="1"/>
    <col min="3" max="3" width="7.28515625" style="682" hidden="1" customWidth="1"/>
    <col min="4" max="4" width="54.85546875" style="684" customWidth="1"/>
    <col min="5" max="5" width="20.7109375" style="685" customWidth="1"/>
    <col min="6" max="6" width="3.28515625" style="686" customWidth="1"/>
    <col min="7" max="7" width="8.140625" style="612" bestFit="1" customWidth="1"/>
    <col min="8" max="8" width="15.5703125" style="683" customWidth="1"/>
    <col min="9" max="9" width="12.85546875" style="612" bestFit="1" customWidth="1"/>
    <col min="10" max="10" width="8.85546875" style="612" customWidth="1"/>
    <col min="11" max="14" width="11.42578125" style="612"/>
    <col min="15" max="15" width="16.28515625" style="612" customWidth="1"/>
    <col min="16" max="16384" width="11.42578125" style="612"/>
  </cols>
  <sheetData>
    <row r="1" spans="1:18" s="581" customFormat="1" ht="33" customHeight="1" x14ac:dyDescent="0.2">
      <c r="A1" s="572"/>
      <c r="B1" s="573"/>
      <c r="C1" s="574" t="s">
        <v>1528</v>
      </c>
      <c r="D1" s="575"/>
      <c r="E1" s="576" t="s">
        <v>1529</v>
      </c>
      <c r="F1" s="577" t="s">
        <v>1530</v>
      </c>
      <c r="G1" s="578"/>
      <c r="H1" s="579"/>
      <c r="I1" s="580"/>
      <c r="J1" s="580"/>
      <c r="K1" s="580"/>
      <c r="O1" s="582"/>
      <c r="P1" s="580"/>
      <c r="Q1" s="580"/>
      <c r="R1" s="580"/>
    </row>
    <row r="2" spans="1:18" s="581" customFormat="1" ht="47.25" hidden="1" customHeight="1" x14ac:dyDescent="0.2">
      <c r="A2" s="572"/>
      <c r="B2" s="573"/>
      <c r="C2" s="574" t="s">
        <v>1531</v>
      </c>
      <c r="D2" s="583">
        <v>37530</v>
      </c>
      <c r="E2" s="576" t="s">
        <v>1532</v>
      </c>
      <c r="F2" s="584" t="s">
        <v>1533</v>
      </c>
      <c r="G2" s="578"/>
      <c r="H2" s="582"/>
      <c r="I2" s="580"/>
      <c r="J2" s="580"/>
      <c r="K2" s="580"/>
      <c r="O2" s="582"/>
      <c r="P2" s="580"/>
      <c r="Q2" s="580"/>
      <c r="R2" s="580"/>
    </row>
    <row r="3" spans="1:18" s="581" customFormat="1" ht="48.75" hidden="1" customHeight="1" x14ac:dyDescent="0.2">
      <c r="A3" s="572"/>
      <c r="B3" s="573"/>
      <c r="C3" s="574" t="s">
        <v>1534</v>
      </c>
      <c r="D3" s="585"/>
      <c r="E3" s="576" t="s">
        <v>1535</v>
      </c>
      <c r="F3" s="586" t="s">
        <v>1536</v>
      </c>
      <c r="G3" s="587"/>
      <c r="H3" s="588"/>
      <c r="I3" s="589"/>
      <c r="J3" s="589"/>
      <c r="K3" s="589"/>
      <c r="O3" s="588"/>
      <c r="P3" s="589"/>
      <c r="Q3" s="589"/>
      <c r="R3" s="589"/>
    </row>
    <row r="4" spans="1:18" s="581" customFormat="1" ht="48.75" hidden="1" customHeight="1" x14ac:dyDescent="0.2">
      <c r="A4" s="572"/>
      <c r="B4" s="573"/>
      <c r="C4" s="574" t="s">
        <v>1537</v>
      </c>
      <c r="D4" s="585">
        <v>255</v>
      </c>
      <c r="E4" s="576" t="s">
        <v>1538</v>
      </c>
      <c r="F4" s="584">
        <v>0</v>
      </c>
      <c r="G4" s="578"/>
      <c r="H4" s="590"/>
      <c r="I4" s="589"/>
      <c r="J4" s="589"/>
      <c r="K4" s="591"/>
      <c r="L4" s="592"/>
      <c r="O4" s="588"/>
      <c r="P4" s="589"/>
      <c r="Q4" s="589"/>
      <c r="R4" s="591"/>
    </row>
    <row r="5" spans="1:18" s="598" customFormat="1" ht="48.75" hidden="1" customHeight="1" x14ac:dyDescent="0.2">
      <c r="A5" s="593"/>
      <c r="B5" s="594"/>
      <c r="C5" s="574" t="s">
        <v>1539</v>
      </c>
      <c r="D5" s="585">
        <v>255</v>
      </c>
      <c r="E5" s="576" t="s">
        <v>1540</v>
      </c>
      <c r="F5" s="584">
        <v>44</v>
      </c>
      <c r="G5" s="595"/>
      <c r="H5" s="596"/>
      <c r="I5" s="592"/>
      <c r="J5" s="597"/>
      <c r="K5" s="592"/>
      <c r="O5" s="596"/>
      <c r="P5" s="592"/>
      <c r="Q5" s="592"/>
      <c r="R5" s="592"/>
    </row>
    <row r="6" spans="1:18" s="605" customFormat="1" ht="13.5" customHeight="1" x14ac:dyDescent="0.2">
      <c r="A6" s="599"/>
      <c r="B6" s="597"/>
      <c r="C6" s="600"/>
      <c r="D6" s="601"/>
      <c r="E6" s="602"/>
      <c r="F6" s="603"/>
      <c r="G6" s="604"/>
      <c r="O6" s="606"/>
      <c r="R6" s="582"/>
    </row>
    <row r="7" spans="1:18" s="605" customFormat="1" ht="16.5" customHeight="1" x14ac:dyDescent="0.25">
      <c r="A7" s="599"/>
      <c r="B7" s="607"/>
      <c r="C7" s="608"/>
      <c r="D7" s="1197" t="str">
        <f>+'[1]Balance General 2017'!D1</f>
        <v xml:space="preserve">VALORES CUSCATLAN EL SALVADOR, S.A. DE C.V. </v>
      </c>
      <c r="E7" s="1197"/>
      <c r="F7" s="1197"/>
      <c r="H7" s="582"/>
      <c r="I7" s="580"/>
      <c r="J7" s="580"/>
      <c r="K7" s="580"/>
      <c r="L7" s="581"/>
    </row>
    <row r="8" spans="1:18" ht="15.75" x14ac:dyDescent="0.25">
      <c r="B8" s="610"/>
      <c r="C8" s="611"/>
      <c r="D8" s="1198" t="s">
        <v>1541</v>
      </c>
      <c r="E8" s="1198"/>
      <c r="F8" s="1198"/>
      <c r="H8" s="613"/>
      <c r="I8" s="614"/>
      <c r="J8" s="614"/>
      <c r="K8" s="614"/>
      <c r="L8" s="615"/>
    </row>
    <row r="9" spans="1:18" ht="15.75" x14ac:dyDescent="0.25">
      <c r="B9" s="610"/>
      <c r="C9" s="611"/>
      <c r="D9" s="1199" t="s">
        <v>1560</v>
      </c>
      <c r="E9" s="1199"/>
      <c r="F9" s="1199"/>
      <c r="H9" s="616"/>
      <c r="I9" s="617"/>
      <c r="J9" s="617"/>
      <c r="K9" s="617"/>
      <c r="L9" s="618"/>
    </row>
    <row r="10" spans="1:18" ht="15.75" x14ac:dyDescent="0.25">
      <c r="B10" s="610"/>
      <c r="C10" s="611"/>
      <c r="D10" s="1198" t="s">
        <v>1542</v>
      </c>
      <c r="E10" s="1198"/>
      <c r="F10" s="1198"/>
      <c r="H10" s="616"/>
      <c r="I10" s="617"/>
      <c r="J10" s="617"/>
      <c r="K10" s="617"/>
      <c r="L10" s="618"/>
    </row>
    <row r="11" spans="1:18" x14ac:dyDescent="0.2">
      <c r="B11" s="610"/>
      <c r="C11" s="611"/>
      <c r="D11" s="619"/>
      <c r="E11" s="507"/>
      <c r="F11" s="620"/>
      <c r="H11" s="616"/>
      <c r="I11" s="617"/>
      <c r="J11" s="617"/>
      <c r="K11" s="617"/>
      <c r="L11" s="618"/>
      <c r="M11" s="621"/>
      <c r="N11" s="621"/>
    </row>
    <row r="12" spans="1:18" ht="18" customHeight="1" thickBot="1" x14ac:dyDescent="0.25">
      <c r="B12" s="610"/>
      <c r="C12" s="611"/>
      <c r="D12" s="619"/>
      <c r="E12" s="507"/>
      <c r="F12" s="620"/>
      <c r="G12" s="621"/>
      <c r="H12" s="616"/>
      <c r="I12" s="617"/>
      <c r="J12" s="617"/>
      <c r="K12" s="617"/>
      <c r="L12" s="618"/>
      <c r="M12" s="621"/>
      <c r="N12" s="621"/>
    </row>
    <row r="13" spans="1:18" ht="13.5" thickBot="1" x14ac:dyDescent="0.25">
      <c r="B13" s="610">
        <v>33</v>
      </c>
      <c r="C13" s="622"/>
      <c r="D13" s="623" t="s">
        <v>1543</v>
      </c>
      <c r="E13" s="624" t="e">
        <f>'Anexos valores'!F676</f>
        <v>#REF!</v>
      </c>
      <c r="F13" s="625"/>
      <c r="G13" s="621"/>
      <c r="H13" s="626"/>
      <c r="I13" s="627"/>
      <c r="J13" s="617"/>
      <c r="K13" s="617"/>
      <c r="L13" s="618"/>
      <c r="M13" s="621"/>
      <c r="N13" s="621"/>
    </row>
    <row r="14" spans="1:18" ht="12.75" customHeight="1" x14ac:dyDescent="0.2">
      <c r="A14" s="459"/>
      <c r="B14" s="610">
        <v>311</v>
      </c>
      <c r="C14" s="622"/>
      <c r="D14" s="628" t="s">
        <v>1544</v>
      </c>
      <c r="E14" s="629" t="e">
        <f>'Anexos valores'!F563</f>
        <v>#REF!</v>
      </c>
      <c r="F14" s="630"/>
      <c r="G14" s="631"/>
      <c r="H14" s="626"/>
      <c r="I14" s="691"/>
      <c r="J14" s="617"/>
      <c r="K14" s="617"/>
      <c r="L14" s="634"/>
      <c r="M14" s="635"/>
      <c r="N14" s="621"/>
    </row>
    <row r="15" spans="1:18" x14ac:dyDescent="0.2">
      <c r="A15" s="459"/>
      <c r="B15" s="610">
        <v>312</v>
      </c>
      <c r="C15" s="622"/>
      <c r="D15" s="636" t="s">
        <v>1545</v>
      </c>
      <c r="E15" s="629" t="e">
        <f>'Anexos valores'!F641</f>
        <v>#REF!</v>
      </c>
      <c r="F15" s="637"/>
      <c r="G15" s="631"/>
      <c r="H15" s="632"/>
      <c r="I15" s="638"/>
      <c r="J15" s="633"/>
      <c r="K15" s="633"/>
      <c r="L15" s="639"/>
      <c r="M15" s="635"/>
      <c r="N15" s="621"/>
    </row>
    <row r="16" spans="1:18" ht="13.5" thickBot="1" x14ac:dyDescent="0.25">
      <c r="A16" s="459"/>
      <c r="B16" s="610">
        <v>313</v>
      </c>
      <c r="C16" s="622"/>
      <c r="D16" s="640" t="s">
        <v>1546</v>
      </c>
      <c r="E16" s="641" t="e">
        <f>'Anexos valores'!$D$669*-1</f>
        <v>#REF!</v>
      </c>
      <c r="F16" s="642"/>
      <c r="G16" s="631"/>
      <c r="H16" s="632" t="e">
        <f>SUM(E14:E16)</f>
        <v>#REF!</v>
      </c>
      <c r="I16" s="638"/>
      <c r="J16" s="633"/>
      <c r="K16" s="633"/>
      <c r="L16" s="639"/>
      <c r="M16" s="635"/>
      <c r="N16" s="621"/>
    </row>
    <row r="17" spans="1:14" ht="12.75" customHeight="1" thickBot="1" x14ac:dyDescent="0.25">
      <c r="B17" s="610"/>
      <c r="C17" s="622"/>
      <c r="D17" s="619"/>
      <c r="E17" s="643"/>
      <c r="F17" s="620"/>
      <c r="G17" s="621"/>
      <c r="H17" s="632"/>
      <c r="I17" s="638"/>
      <c r="J17" s="633"/>
      <c r="K17" s="633"/>
      <c r="L17" s="639"/>
      <c r="M17" s="635"/>
      <c r="N17" s="621"/>
    </row>
    <row r="18" spans="1:14" ht="12.75" customHeight="1" thickBot="1" x14ac:dyDescent="0.25">
      <c r="A18" s="644"/>
      <c r="B18" s="619"/>
      <c r="C18" s="622"/>
      <c r="D18" s="645" t="s">
        <v>1547</v>
      </c>
      <c r="E18" s="646"/>
      <c r="F18" s="647"/>
      <c r="G18" s="621"/>
      <c r="H18" s="632"/>
      <c r="I18" s="638"/>
      <c r="J18" s="638"/>
      <c r="K18" s="638"/>
      <c r="L18" s="639"/>
      <c r="M18" s="635"/>
      <c r="N18" s="621"/>
    </row>
    <row r="19" spans="1:14" ht="12.75" customHeight="1" x14ac:dyDescent="0.2">
      <c r="A19" s="619">
        <v>111</v>
      </c>
      <c r="B19" s="506"/>
      <c r="C19" s="611"/>
      <c r="D19" s="648" t="s">
        <v>1548</v>
      </c>
      <c r="E19" s="643" t="e">
        <f>'Anexos valores'!$D$546</f>
        <v>#REF!</v>
      </c>
      <c r="F19" s="637"/>
      <c r="G19" s="631"/>
      <c r="H19" s="632" t="e">
        <f>#REF!</f>
        <v>#REF!</v>
      </c>
      <c r="I19" s="638"/>
      <c r="J19" s="638"/>
      <c r="K19" s="649"/>
      <c r="L19" s="639"/>
      <c r="M19" s="635"/>
      <c r="N19" s="621"/>
    </row>
    <row r="20" spans="1:14" ht="12.75" customHeight="1" x14ac:dyDescent="0.2">
      <c r="A20" s="506"/>
      <c r="B20" s="619">
        <v>111</v>
      </c>
      <c r="C20" s="622"/>
      <c r="D20" s="650" t="s">
        <v>1549</v>
      </c>
      <c r="E20" s="507" t="e">
        <f>'Anexos valores'!$F$546</f>
        <v>#REF!</v>
      </c>
      <c r="F20" s="637"/>
      <c r="G20" s="631"/>
      <c r="H20" s="651" t="e">
        <f>#REF!</f>
        <v>#REF!</v>
      </c>
      <c r="I20" s="652"/>
      <c r="J20" s="652"/>
      <c r="K20" s="652"/>
      <c r="L20" s="653"/>
      <c r="M20" s="635"/>
      <c r="N20" s="621"/>
    </row>
    <row r="21" spans="1:14" ht="12.75" customHeight="1" x14ac:dyDescent="0.2">
      <c r="A21" s="644"/>
      <c r="B21" s="619">
        <v>12</v>
      </c>
      <c r="C21" s="622"/>
      <c r="D21" s="654" t="s">
        <v>1550</v>
      </c>
      <c r="E21" s="507" t="e">
        <f>'Anexos valores'!$F$548</f>
        <v>#REF!</v>
      </c>
      <c r="F21" s="637"/>
      <c r="G21" s="631"/>
      <c r="H21" s="651" t="e">
        <f>+H20+H19</f>
        <v>#REF!</v>
      </c>
      <c r="I21" s="652" t="s">
        <v>1551</v>
      </c>
      <c r="J21" s="652"/>
      <c r="K21" s="655" t="e">
        <f>H21/1000</f>
        <v>#REF!</v>
      </c>
      <c r="L21" s="653"/>
      <c r="M21" s="635"/>
      <c r="N21" s="621"/>
    </row>
    <row r="22" spans="1:14" ht="12.75" customHeight="1" x14ac:dyDescent="0.2">
      <c r="A22" s="644"/>
      <c r="B22" s="619">
        <v>13</v>
      </c>
      <c r="C22" s="622"/>
      <c r="D22" s="654" t="s">
        <v>1552</v>
      </c>
      <c r="E22" s="507" t="e">
        <f>'Anexos valores'!$F$678</f>
        <v>#REF!</v>
      </c>
      <c r="F22" s="637"/>
      <c r="G22" s="631"/>
      <c r="H22" s="632"/>
      <c r="I22" s="638"/>
      <c r="J22" s="638"/>
      <c r="K22" s="656"/>
      <c r="L22" s="657"/>
      <c r="M22" s="635"/>
      <c r="N22" s="621"/>
    </row>
    <row r="23" spans="1:14" ht="12.75" customHeight="1" thickBot="1" x14ac:dyDescent="0.25">
      <c r="A23" s="644"/>
      <c r="B23" s="619">
        <v>14</v>
      </c>
      <c r="C23" s="611"/>
      <c r="D23" s="658" t="s">
        <v>1553</v>
      </c>
      <c r="E23" s="659" t="e">
        <f>'Anexos valores'!$F$680</f>
        <v>#REF!</v>
      </c>
      <c r="F23" s="642"/>
      <c r="G23" s="631"/>
      <c r="H23" s="632" t="e">
        <f>+H21-H22</f>
        <v>#REF!</v>
      </c>
      <c r="I23" s="660" t="e">
        <f>E19-H23/1000</f>
        <v>#REF!</v>
      </c>
      <c r="J23" s="633"/>
      <c r="K23" s="633"/>
      <c r="L23" s="639"/>
      <c r="M23" s="635"/>
      <c r="N23" s="621"/>
    </row>
    <row r="24" spans="1:14" ht="12.75" customHeight="1" thickBot="1" x14ac:dyDescent="0.25">
      <c r="A24" s="644"/>
      <c r="B24" s="619"/>
      <c r="C24" s="622"/>
      <c r="D24" s="619"/>
      <c r="E24" s="507"/>
      <c r="F24" s="620"/>
      <c r="G24" s="621"/>
      <c r="H24" s="632" t="e">
        <f>H16-E21</f>
        <v>#REF!</v>
      </c>
      <c r="I24" s="657"/>
      <c r="J24" s="635"/>
      <c r="K24" s="661"/>
      <c r="L24" s="635"/>
      <c r="M24" s="635"/>
      <c r="N24" s="621"/>
    </row>
    <row r="25" spans="1:14" ht="12.75" customHeight="1" thickBot="1" x14ac:dyDescent="0.25">
      <c r="A25" s="644"/>
      <c r="B25" s="619"/>
      <c r="C25" s="622"/>
      <c r="D25" s="662" t="s">
        <v>1554</v>
      </c>
      <c r="E25" s="663"/>
      <c r="F25" s="647"/>
      <c r="G25" s="621"/>
      <c r="H25" s="664" t="e">
        <f>E13/E20</f>
        <v>#REF!</v>
      </c>
      <c r="I25" s="657"/>
      <c r="J25" s="635"/>
      <c r="K25" s="635"/>
      <c r="L25" s="635"/>
      <c r="M25" s="635"/>
      <c r="N25" s="621"/>
    </row>
    <row r="26" spans="1:14" ht="12.75" customHeight="1" x14ac:dyDescent="0.2">
      <c r="A26" s="619">
        <v>222</v>
      </c>
      <c r="B26" s="619"/>
      <c r="C26" s="622"/>
      <c r="D26" s="665" t="s">
        <v>1555</v>
      </c>
      <c r="E26" s="666" t="e">
        <f>'Anexos valores'!$D$783</f>
        <v>#REF!</v>
      </c>
      <c r="F26" s="630"/>
      <c r="G26" s="631"/>
      <c r="H26" s="667" t="e">
        <f>#REF!</f>
        <v>#REF!</v>
      </c>
      <c r="I26" s="657"/>
      <c r="J26" s="635"/>
      <c r="K26" s="635"/>
      <c r="L26" s="635"/>
      <c r="M26" s="635"/>
      <c r="N26" s="621"/>
    </row>
    <row r="27" spans="1:14" ht="12.75" customHeight="1" x14ac:dyDescent="0.2">
      <c r="A27" s="644"/>
      <c r="B27" s="619">
        <v>21</v>
      </c>
      <c r="C27" s="611"/>
      <c r="D27" s="650" t="s">
        <v>1556</v>
      </c>
      <c r="E27" s="507" t="e">
        <f>'Anexos valores'!$F$785</f>
        <v>#REF!</v>
      </c>
      <c r="F27" s="637"/>
      <c r="G27" s="631"/>
      <c r="H27" s="667" t="e">
        <f>#REF!</f>
        <v>#REF!</v>
      </c>
      <c r="I27" s="657"/>
      <c r="J27" s="635"/>
      <c r="K27" s="635"/>
      <c r="L27" s="635"/>
      <c r="M27" s="635"/>
      <c r="N27" s="621"/>
    </row>
    <row r="28" spans="1:14" ht="12.75" customHeight="1" x14ac:dyDescent="0.2">
      <c r="A28" s="644"/>
      <c r="B28" s="619">
        <v>22</v>
      </c>
      <c r="C28" s="611"/>
      <c r="D28" s="654" t="s">
        <v>1557</v>
      </c>
      <c r="E28" s="507" t="e">
        <f>'Anexos valores'!$F$787</f>
        <v>#REF!</v>
      </c>
      <c r="F28" s="637"/>
      <c r="G28" s="631"/>
      <c r="H28" s="668" t="e">
        <f>H26+H27</f>
        <v>#REF!</v>
      </c>
      <c r="I28" s="635" t="s">
        <v>1558</v>
      </c>
      <c r="J28" s="635"/>
      <c r="K28" s="655" t="e">
        <f>H28/1000</f>
        <v>#REF!</v>
      </c>
      <c r="L28" s="621"/>
      <c r="M28" s="635"/>
      <c r="N28" s="621"/>
    </row>
    <row r="29" spans="1:14" ht="12.75" customHeight="1" thickBot="1" x14ac:dyDescent="0.25">
      <c r="A29" s="644"/>
      <c r="B29" s="619"/>
      <c r="C29" s="622"/>
      <c r="D29" s="658" t="s">
        <v>1559</v>
      </c>
      <c r="E29" s="669" t="e">
        <f>'Anexos valores'!$F$789</f>
        <v>#REF!</v>
      </c>
      <c r="F29" s="642"/>
      <c r="G29" s="631"/>
      <c r="H29" s="668" t="e">
        <f>H28*0.07</f>
        <v>#REF!</v>
      </c>
      <c r="I29" s="635"/>
      <c r="J29" s="635"/>
      <c r="K29" s="635"/>
      <c r="L29" s="621"/>
      <c r="M29" s="635"/>
      <c r="N29" s="621"/>
    </row>
    <row r="30" spans="1:14" ht="12.75" customHeight="1" x14ac:dyDescent="0.2">
      <c r="A30" s="644"/>
      <c r="B30" s="619"/>
      <c r="C30" s="622"/>
      <c r="D30" s="507"/>
      <c r="E30" s="507"/>
      <c r="F30" s="620"/>
      <c r="G30" s="621"/>
      <c r="H30" s="670" t="e">
        <f>E13-E27</f>
        <v>#REF!</v>
      </c>
      <c r="I30" s="635"/>
      <c r="J30" s="635"/>
      <c r="K30" s="635"/>
      <c r="L30" s="621"/>
      <c r="M30" s="635"/>
      <c r="N30" s="621"/>
    </row>
    <row r="31" spans="1:14" ht="12.75" customHeight="1" x14ac:dyDescent="0.2">
      <c r="A31" s="644"/>
      <c r="B31" s="619"/>
      <c r="C31" s="622"/>
      <c r="D31" s="671"/>
      <c r="E31" s="507"/>
      <c r="F31" s="620"/>
      <c r="G31" s="621"/>
      <c r="H31" s="672" t="e">
        <f>E13/E26</f>
        <v>#REF!</v>
      </c>
      <c r="I31" s="635"/>
      <c r="J31" s="635"/>
      <c r="K31" s="635"/>
      <c r="L31" s="621"/>
      <c r="M31" s="635"/>
      <c r="N31" s="621"/>
    </row>
    <row r="32" spans="1:14" ht="12.75" customHeight="1" x14ac:dyDescent="0.2">
      <c r="B32" s="610"/>
      <c r="C32" s="611"/>
      <c r="D32" s="619"/>
      <c r="E32" s="507"/>
      <c r="F32" s="620"/>
      <c r="G32" s="621"/>
      <c r="H32" s="670"/>
      <c r="I32" s="635"/>
      <c r="J32" s="635"/>
      <c r="K32" s="635"/>
      <c r="L32" s="621"/>
      <c r="M32" s="635"/>
      <c r="N32" s="621"/>
    </row>
    <row r="33" spans="2:14" ht="12.75" customHeight="1" x14ac:dyDescent="0.2">
      <c r="B33" s="610"/>
      <c r="C33" s="622"/>
      <c r="D33" s="619"/>
      <c r="E33" s="507"/>
      <c r="F33" s="620"/>
      <c r="G33" s="621"/>
      <c r="H33" s="678"/>
      <c r="I33" s="621"/>
      <c r="J33" s="621"/>
      <c r="K33" s="621"/>
      <c r="L33" s="635"/>
      <c r="M33" s="635"/>
      <c r="N33" s="621"/>
    </row>
    <row r="34" spans="2:14" ht="12.75" customHeight="1" x14ac:dyDescent="0.2">
      <c r="B34" s="610"/>
      <c r="C34" s="622"/>
      <c r="D34" s="619"/>
      <c r="E34" s="507"/>
      <c r="F34" s="620"/>
      <c r="G34" s="621"/>
      <c r="H34" s="670"/>
      <c r="I34" s="635"/>
      <c r="J34" s="635"/>
      <c r="K34" s="635"/>
      <c r="L34" s="635"/>
      <c r="M34" s="635"/>
      <c r="N34" s="621"/>
    </row>
    <row r="35" spans="2:14" ht="12.75" customHeight="1" x14ac:dyDescent="0.2">
      <c r="B35" s="459"/>
      <c r="C35" s="622"/>
      <c r="D35" s="673" t="s">
        <v>333</v>
      </c>
      <c r="E35" s="673" t="s">
        <v>334</v>
      </c>
      <c r="F35" s="674"/>
      <c r="G35" s="621"/>
      <c r="H35" s="670"/>
      <c r="I35" s="635"/>
      <c r="J35" s="635"/>
      <c r="K35" s="635"/>
      <c r="L35" s="635"/>
      <c r="M35" s="621"/>
      <c r="N35" s="621"/>
    </row>
    <row r="36" spans="2:14" x14ac:dyDescent="0.2">
      <c r="B36" s="610"/>
      <c r="C36" s="675"/>
      <c r="D36" s="674" t="str">
        <f>'[1]Anexos valores'!C795</f>
        <v>Shearlene Márquez</v>
      </c>
      <c r="E36" s="676" t="str">
        <f>'[1]Anexos valores'!D795</f>
        <v>Jesy Yanira Quijada</v>
      </c>
      <c r="F36" s="674"/>
      <c r="H36" s="670"/>
      <c r="I36" s="635"/>
      <c r="J36" s="635"/>
      <c r="K36" s="635"/>
      <c r="L36" s="635"/>
      <c r="M36" s="621"/>
      <c r="N36" s="621"/>
    </row>
    <row r="37" spans="2:14" x14ac:dyDescent="0.2">
      <c r="B37" s="677"/>
      <c r="C37" s="622"/>
      <c r="D37" s="674" t="s">
        <v>335</v>
      </c>
      <c r="E37" s="674" t="str">
        <f>'[1]Anexos valores'!D796</f>
        <v xml:space="preserve"> Jefe de Contraloría</v>
      </c>
      <c r="F37" s="674"/>
      <c r="H37" s="678"/>
      <c r="I37" s="621"/>
      <c r="J37" s="621"/>
      <c r="K37" s="621"/>
      <c r="L37" s="621"/>
      <c r="M37" s="621"/>
      <c r="N37" s="621"/>
    </row>
    <row r="38" spans="2:14" ht="12.75" customHeight="1" x14ac:dyDescent="0.25">
      <c r="B38" s="610"/>
      <c r="C38" s="679"/>
      <c r="D38" s="680"/>
      <c r="E38" s="507"/>
      <c r="F38" s="620"/>
      <c r="H38" s="678"/>
      <c r="I38" s="621"/>
      <c r="J38" s="621"/>
      <c r="K38" s="621"/>
      <c r="L38" s="621"/>
      <c r="M38" s="621"/>
      <c r="N38" s="621"/>
    </row>
    <row r="39" spans="2:14" ht="12.75" customHeight="1" x14ac:dyDescent="0.2">
      <c r="B39" s="610"/>
      <c r="C39" s="622"/>
      <c r="D39" s="619"/>
      <c r="E39" s="507"/>
      <c r="F39" s="620"/>
      <c r="H39" s="678"/>
      <c r="I39" s="621"/>
      <c r="J39" s="621"/>
      <c r="K39" s="621"/>
      <c r="L39" s="621"/>
      <c r="M39" s="621"/>
      <c r="N39" s="621"/>
    </row>
    <row r="40" spans="2:14" ht="12.75" customHeight="1" x14ac:dyDescent="0.2">
      <c r="B40" s="610"/>
      <c r="C40" s="622"/>
      <c r="D40" s="612"/>
      <c r="E40" s="612"/>
      <c r="F40" s="612"/>
      <c r="G40" s="681"/>
      <c r="H40" s="678"/>
      <c r="I40" s="621"/>
      <c r="J40" s="621"/>
      <c r="K40" s="621"/>
      <c r="L40" s="621"/>
      <c r="M40" s="621"/>
    </row>
    <row r="41" spans="2:14" x14ac:dyDescent="0.2">
      <c r="D41" s="612"/>
      <c r="E41" s="612"/>
      <c r="F41" s="612"/>
      <c r="G41" s="681"/>
      <c r="H41" s="678"/>
      <c r="I41" s="621"/>
      <c r="J41" s="621"/>
      <c r="K41" s="621"/>
      <c r="L41" s="621"/>
    </row>
    <row r="42" spans="2:14" x14ac:dyDescent="0.2">
      <c r="D42" s="612"/>
      <c r="E42" s="612"/>
      <c r="F42" s="612"/>
      <c r="G42" s="681"/>
      <c r="H42" s="678"/>
      <c r="I42" s="621"/>
      <c r="J42" s="621"/>
      <c r="K42" s="621"/>
      <c r="L42" s="621"/>
    </row>
    <row r="43" spans="2:14" x14ac:dyDescent="0.2">
      <c r="D43" s="612"/>
      <c r="E43" s="612"/>
      <c r="F43" s="612"/>
      <c r="G43" s="681"/>
      <c r="H43" s="678"/>
      <c r="I43" s="621"/>
      <c r="J43" s="621"/>
      <c r="K43" s="621"/>
      <c r="L43" s="621"/>
    </row>
    <row r="44" spans="2:14" x14ac:dyDescent="0.2">
      <c r="D44" s="612"/>
      <c r="E44" s="612"/>
      <c r="F44" s="612"/>
      <c r="G44" s="681"/>
    </row>
    <row r="45" spans="2:14" x14ac:dyDescent="0.2">
      <c r="D45" s="612"/>
      <c r="E45" s="612"/>
      <c r="F45" s="612"/>
      <c r="G45" s="681"/>
    </row>
    <row r="46" spans="2:14" x14ac:dyDescent="0.2">
      <c r="D46" s="612"/>
      <c r="E46" s="612"/>
      <c r="F46" s="612"/>
      <c r="G46" s="681"/>
    </row>
    <row r="47" spans="2:14" x14ac:dyDescent="0.2">
      <c r="D47" s="612"/>
      <c r="E47" s="612"/>
      <c r="F47" s="612"/>
      <c r="G47" s="681"/>
    </row>
    <row r="48" spans="2:14" x14ac:dyDescent="0.2">
      <c r="D48" s="612"/>
      <c r="E48" s="612"/>
      <c r="F48" s="612"/>
      <c r="G48" s="681"/>
    </row>
    <row r="49" spans="4:7" x14ac:dyDescent="0.2">
      <c r="D49" s="612"/>
      <c r="E49" s="612"/>
      <c r="F49" s="612"/>
      <c r="G49" s="681"/>
    </row>
    <row r="50" spans="4:7" x14ac:dyDescent="0.2">
      <c r="D50" s="612"/>
      <c r="E50" s="612"/>
      <c r="F50" s="612"/>
      <c r="G50" s="681"/>
    </row>
    <row r="51" spans="4:7" x14ac:dyDescent="0.2">
      <c r="D51" s="612"/>
      <c r="E51" s="612"/>
      <c r="F51" s="612"/>
      <c r="G51" s="681"/>
    </row>
    <row r="52" spans="4:7" x14ac:dyDescent="0.2">
      <c r="D52" s="612"/>
      <c r="E52" s="612"/>
      <c r="F52" s="612"/>
      <c r="G52" s="681"/>
    </row>
    <row r="53" spans="4:7" x14ac:dyDescent="0.2">
      <c r="D53" s="612"/>
      <c r="E53" s="612"/>
      <c r="F53" s="612"/>
      <c r="G53" s="681"/>
    </row>
    <row r="54" spans="4:7" x14ac:dyDescent="0.2">
      <c r="D54" s="612"/>
      <c r="E54" s="612"/>
      <c r="F54" s="612"/>
      <c r="G54" s="681"/>
    </row>
    <row r="55" spans="4:7" x14ac:dyDescent="0.2">
      <c r="D55" s="612"/>
      <c r="E55" s="612"/>
      <c r="F55" s="612"/>
      <c r="G55" s="681"/>
    </row>
    <row r="56" spans="4:7" x14ac:dyDescent="0.2">
      <c r="D56" s="612"/>
      <c r="E56" s="612"/>
      <c r="F56" s="612"/>
      <c r="G56" s="681"/>
    </row>
    <row r="57" spans="4:7" x14ac:dyDescent="0.2">
      <c r="D57" s="612"/>
      <c r="E57" s="612"/>
      <c r="F57" s="612"/>
      <c r="G57" s="681"/>
    </row>
    <row r="58" spans="4:7" x14ac:dyDescent="0.2">
      <c r="D58" s="612"/>
      <c r="E58" s="612"/>
      <c r="F58" s="612"/>
      <c r="G58" s="681"/>
    </row>
    <row r="59" spans="4:7" x14ac:dyDescent="0.2">
      <c r="D59" s="612"/>
      <c r="E59" s="612"/>
      <c r="F59" s="612"/>
      <c r="G59" s="681"/>
    </row>
    <row r="60" spans="4:7" x14ac:dyDescent="0.2">
      <c r="D60" s="612"/>
      <c r="E60" s="612"/>
      <c r="F60" s="612"/>
      <c r="G60" s="681"/>
    </row>
    <row r="61" spans="4:7" x14ac:dyDescent="0.2">
      <c r="D61" s="612"/>
      <c r="E61" s="612"/>
      <c r="F61" s="612"/>
      <c r="G61" s="681"/>
    </row>
    <row r="62" spans="4:7" x14ac:dyDescent="0.2">
      <c r="D62" s="612"/>
      <c r="E62" s="612"/>
      <c r="F62" s="612"/>
    </row>
  </sheetData>
  <mergeCells count="4">
    <mergeCell ref="D7:F7"/>
    <mergeCell ref="D8:F8"/>
    <mergeCell ref="D9:F9"/>
    <mergeCell ref="D10:F10"/>
  </mergeCells>
  <printOptions horizontalCentered="1" verticalCentered="1"/>
  <pageMargins left="0.75" right="0.75" top="1" bottom="1" header="0" footer="0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L4429"/>
  <sheetViews>
    <sheetView showGridLines="0" zoomScale="70" workbookViewId="0">
      <pane xSplit="3" ySplit="14" topLeftCell="D15" activePane="bottomRight" state="frozen"/>
      <selection activeCell="D6" sqref="D6"/>
      <selection pane="topRight" activeCell="D6" sqref="D6"/>
      <selection pane="bottomLeft" activeCell="D6" sqref="D6"/>
      <selection pane="bottomRight" activeCell="D16" sqref="D16:D32"/>
    </sheetView>
  </sheetViews>
  <sheetFormatPr baseColWidth="10" defaultColWidth="11.42578125" defaultRowHeight="12.75" x14ac:dyDescent="0.2"/>
  <cols>
    <col min="1" max="1" width="15" style="458" customWidth="1"/>
    <col min="2" max="2" width="13.28515625" style="459" customWidth="1"/>
    <col min="3" max="3" width="49.42578125" style="459" customWidth="1"/>
    <col min="4" max="4" width="14.7109375" style="459" customWidth="1"/>
    <col min="5" max="5" width="20.28515625" style="460" bestFit="1" customWidth="1"/>
    <col min="6" max="6" width="21.5703125" style="459" bestFit="1" customWidth="1"/>
    <col min="7" max="7" width="8" style="459" customWidth="1"/>
    <col min="8" max="8" width="10.85546875" style="463" hidden="1" customWidth="1"/>
    <col min="9" max="9" width="5.7109375" style="463" hidden="1" customWidth="1"/>
    <col min="10" max="10" width="21.5703125" style="463" customWidth="1"/>
    <col min="11" max="12" width="12.42578125" style="463" bestFit="1" customWidth="1"/>
    <col min="13" max="16384" width="11.42578125" style="463"/>
  </cols>
  <sheetData>
    <row r="1" spans="1:6" ht="12.75" customHeight="1" x14ac:dyDescent="0.2"/>
    <row r="2" spans="1:6" ht="8.25" customHeight="1" x14ac:dyDescent="0.2"/>
    <row r="3" spans="1:6" ht="6.75" customHeight="1" x14ac:dyDescent="0.2"/>
    <row r="4" spans="1:6" ht="17.25" hidden="1" customHeight="1" x14ac:dyDescent="0.2"/>
    <row r="5" spans="1:6" ht="15" hidden="1" customHeight="1" x14ac:dyDescent="0.2"/>
    <row r="6" spans="1:6" ht="16.5" customHeight="1" x14ac:dyDescent="0.25">
      <c r="A6" s="461" t="s">
        <v>1048</v>
      </c>
    </row>
    <row r="7" spans="1:6" ht="16.5" customHeight="1" x14ac:dyDescent="0.2">
      <c r="A7" s="462" t="s">
        <v>1561</v>
      </c>
      <c r="B7" s="463"/>
    </row>
    <row r="8" spans="1:6" ht="1.5" customHeight="1" x14ac:dyDescent="0.2">
      <c r="B8" s="464"/>
      <c r="C8" s="465"/>
    </row>
    <row r="9" spans="1:6" ht="15.75" customHeight="1" x14ac:dyDescent="0.2">
      <c r="A9" s="466" t="s">
        <v>1049</v>
      </c>
      <c r="B9" s="463"/>
    </row>
    <row r="10" spans="1:6" ht="14.25" customHeight="1" thickBot="1" x14ac:dyDescent="0.25">
      <c r="C10" s="465"/>
    </row>
    <row r="11" spans="1:6" ht="1.5" hidden="1" customHeight="1" x14ac:dyDescent="0.2">
      <c r="C11" s="466"/>
    </row>
    <row r="12" spans="1:6" ht="18" customHeight="1" x14ac:dyDescent="0.2">
      <c r="A12" s="467"/>
      <c r="B12" s="468"/>
      <c r="C12" s="469"/>
      <c r="D12" s="469"/>
      <c r="E12" s="470" t="s">
        <v>1050</v>
      </c>
      <c r="F12" s="471"/>
    </row>
    <row r="13" spans="1:6" x14ac:dyDescent="0.2">
      <c r="A13" s="472"/>
      <c r="B13" s="473"/>
      <c r="C13" s="473"/>
      <c r="D13" s="474" t="s">
        <v>1051</v>
      </c>
      <c r="E13" s="475" t="s">
        <v>1052</v>
      </c>
      <c r="F13" s="476" t="s">
        <v>1053</v>
      </c>
    </row>
    <row r="14" spans="1:6" ht="13.5" thickBot="1" x14ac:dyDescent="0.25">
      <c r="A14" s="477"/>
      <c r="B14" s="478"/>
      <c r="C14" s="479" t="s">
        <v>1054</v>
      </c>
      <c r="D14" s="480"/>
      <c r="E14" s="481"/>
      <c r="F14" s="482" t="s">
        <v>1055</v>
      </c>
    </row>
    <row r="15" spans="1:6" x14ac:dyDescent="0.2">
      <c r="A15" s="483">
        <v>1110</v>
      </c>
      <c r="B15" s="484" t="s">
        <v>1056</v>
      </c>
      <c r="C15" s="485" t="s">
        <v>180</v>
      </c>
      <c r="D15" s="486" t="e">
        <f>SUM(D16+D24+D26+D30+D32+D219+D220+D158)</f>
        <v>#REF!</v>
      </c>
      <c r="E15" s="487">
        <v>0</v>
      </c>
      <c r="F15" s="488">
        <v>0</v>
      </c>
    </row>
    <row r="16" spans="1:6" x14ac:dyDescent="0.2">
      <c r="A16" s="489">
        <v>111001</v>
      </c>
      <c r="B16" s="490" t="s">
        <v>1057</v>
      </c>
      <c r="C16" s="491" t="s">
        <v>246</v>
      </c>
      <c r="D16" s="492" t="e">
        <f>SUM(D17:D22)</f>
        <v>#REF!</v>
      </c>
      <c r="E16" s="493">
        <v>0</v>
      </c>
      <c r="F16" s="494">
        <v>0</v>
      </c>
    </row>
    <row r="17" spans="1:6" x14ac:dyDescent="0.2">
      <c r="A17" s="489">
        <v>1110010101</v>
      </c>
      <c r="B17" s="495" t="s">
        <v>20</v>
      </c>
      <c r="C17" s="491" t="s">
        <v>1058</v>
      </c>
      <c r="D17" s="687" t="e">
        <f>VLOOKUP(A17,#REF!,19,0)</f>
        <v>#REF!</v>
      </c>
      <c r="E17" s="493">
        <v>0</v>
      </c>
      <c r="F17" s="494">
        <v>0</v>
      </c>
    </row>
    <row r="18" spans="1:6" x14ac:dyDescent="0.2">
      <c r="A18" s="688">
        <v>1110010201</v>
      </c>
      <c r="B18" s="495" t="s">
        <v>21</v>
      </c>
      <c r="C18" s="491" t="s">
        <v>1059</v>
      </c>
      <c r="D18" s="687" t="e">
        <f>VLOOKUP(A18,#REF!,19,0)</f>
        <v>#REF!</v>
      </c>
      <c r="E18" s="493">
        <v>0</v>
      </c>
      <c r="F18" s="494">
        <v>0</v>
      </c>
    </row>
    <row r="19" spans="1:6" x14ac:dyDescent="0.2">
      <c r="A19" s="688">
        <v>1110010202</v>
      </c>
      <c r="B19" s="495" t="s">
        <v>22</v>
      </c>
      <c r="C19" s="491" t="s">
        <v>1060</v>
      </c>
      <c r="D19" s="687" t="e">
        <f>VLOOKUP(A19,#REF!,19,0)</f>
        <v>#REF!</v>
      </c>
      <c r="E19" s="493">
        <v>0</v>
      </c>
      <c r="F19" s="494">
        <v>0</v>
      </c>
    </row>
    <row r="20" spans="1:6" x14ac:dyDescent="0.2">
      <c r="A20" s="688">
        <v>1110010301</v>
      </c>
      <c r="B20" s="495" t="s">
        <v>157</v>
      </c>
      <c r="C20" s="491" t="s">
        <v>1061</v>
      </c>
      <c r="D20" s="687" t="e">
        <f>VLOOKUP(A20,#REF!,19,0)</f>
        <v>#REF!</v>
      </c>
      <c r="E20" s="493">
        <v>0</v>
      </c>
      <c r="F20" s="494">
        <v>0</v>
      </c>
    </row>
    <row r="21" spans="1:6" x14ac:dyDescent="0.2">
      <c r="A21" s="688">
        <v>1110010401</v>
      </c>
      <c r="B21" s="495" t="s">
        <v>159</v>
      </c>
      <c r="C21" s="491" t="s">
        <v>1062</v>
      </c>
      <c r="D21" s="687" t="e">
        <f>VLOOKUP(A21,#REF!,19,0)</f>
        <v>#REF!</v>
      </c>
      <c r="E21" s="493">
        <v>0.2</v>
      </c>
      <c r="F21" s="494" t="e">
        <f>+D21*E21</f>
        <v>#REF!</v>
      </c>
    </row>
    <row r="22" spans="1:6" x14ac:dyDescent="0.2">
      <c r="A22" s="688">
        <v>1110010402</v>
      </c>
      <c r="B22" s="495" t="s">
        <v>160</v>
      </c>
      <c r="C22" s="491" t="s">
        <v>1063</v>
      </c>
      <c r="D22" s="687" t="e">
        <f>VLOOKUP(A22,#REF!,19,0)</f>
        <v>#REF!</v>
      </c>
      <c r="E22" s="493">
        <v>0.2</v>
      </c>
      <c r="F22" s="494" t="e">
        <f>+D22*E22</f>
        <v>#REF!</v>
      </c>
    </row>
    <row r="23" spans="1:6" x14ac:dyDescent="0.2">
      <c r="A23" s="489"/>
      <c r="B23" s="496"/>
      <c r="C23" s="497"/>
      <c r="D23" s="492"/>
      <c r="E23" s="493"/>
      <c r="F23" s="494"/>
    </row>
    <row r="24" spans="1:6" x14ac:dyDescent="0.2">
      <c r="A24" s="489">
        <v>111002</v>
      </c>
      <c r="B24" s="490" t="s">
        <v>1064</v>
      </c>
      <c r="C24" s="491" t="s">
        <v>247</v>
      </c>
      <c r="D24" s="492">
        <v>0</v>
      </c>
      <c r="E24" s="493">
        <v>0</v>
      </c>
      <c r="F24" s="494">
        <v>0</v>
      </c>
    </row>
    <row r="25" spans="1:6" x14ac:dyDescent="0.2">
      <c r="A25" s="489"/>
      <c r="B25" s="496"/>
      <c r="C25" s="497"/>
      <c r="D25" s="492"/>
      <c r="E25" s="493"/>
      <c r="F25" s="494"/>
    </row>
    <row r="26" spans="1:6" x14ac:dyDescent="0.2">
      <c r="A26" s="489">
        <v>111003</v>
      </c>
      <c r="B26" s="490" t="s">
        <v>161</v>
      </c>
      <c r="C26" s="491" t="s">
        <v>248</v>
      </c>
      <c r="D26" s="492">
        <f>SUM(D27:D28)</f>
        <v>0</v>
      </c>
      <c r="E26" s="493">
        <v>0</v>
      </c>
      <c r="F26" s="494">
        <v>0</v>
      </c>
    </row>
    <row r="27" spans="1:6" x14ac:dyDescent="0.2">
      <c r="A27" s="489" t="s">
        <v>1065</v>
      </c>
      <c r="B27" s="495" t="s">
        <v>176</v>
      </c>
      <c r="C27" s="491" t="s">
        <v>1066</v>
      </c>
      <c r="D27" s="492">
        <v>0</v>
      </c>
      <c r="E27" s="493">
        <v>0</v>
      </c>
      <c r="F27" s="494">
        <v>0</v>
      </c>
    </row>
    <row r="28" spans="1:6" x14ac:dyDescent="0.2">
      <c r="A28" s="489" t="s">
        <v>1067</v>
      </c>
      <c r="B28" s="495" t="s">
        <v>177</v>
      </c>
      <c r="C28" s="491" t="s">
        <v>1068</v>
      </c>
      <c r="D28" s="492">
        <v>0</v>
      </c>
      <c r="E28" s="493">
        <v>0</v>
      </c>
      <c r="F28" s="494">
        <v>0</v>
      </c>
    </row>
    <row r="29" spans="1:6" x14ac:dyDescent="0.2">
      <c r="A29" s="489"/>
      <c r="B29" s="496"/>
      <c r="C29" s="497"/>
      <c r="D29" s="492"/>
      <c r="E29" s="493"/>
      <c r="F29" s="494"/>
    </row>
    <row r="30" spans="1:6" x14ac:dyDescent="0.2">
      <c r="A30" s="489">
        <v>111004</v>
      </c>
      <c r="B30" s="490" t="s">
        <v>1069</v>
      </c>
      <c r="C30" s="491" t="s">
        <v>249</v>
      </c>
      <c r="D30" s="492" t="e">
        <f>#REF!</f>
        <v>#REF!</v>
      </c>
      <c r="E30" s="493">
        <v>0.5</v>
      </c>
      <c r="F30" s="494" t="e">
        <f>+D30*E30</f>
        <v>#REF!</v>
      </c>
    </row>
    <row r="31" spans="1:6" x14ac:dyDescent="0.2">
      <c r="A31" s="489"/>
      <c r="B31" s="496"/>
      <c r="C31" s="491"/>
      <c r="D31" s="492"/>
      <c r="E31" s="493"/>
      <c r="F31" s="494"/>
    </row>
    <row r="32" spans="1:6" ht="12.75" customHeight="1" x14ac:dyDescent="0.2">
      <c r="A32" s="489"/>
      <c r="B32" s="490" t="s">
        <v>192</v>
      </c>
      <c r="C32" s="497" t="s">
        <v>250</v>
      </c>
      <c r="D32" s="687">
        <v>0</v>
      </c>
      <c r="E32" s="493">
        <v>1</v>
      </c>
      <c r="F32" s="494">
        <f>+D32*E32</f>
        <v>0</v>
      </c>
    </row>
    <row r="33" spans="1:6" hidden="1" x14ac:dyDescent="0.2">
      <c r="A33" s="498" t="s">
        <v>1070</v>
      </c>
      <c r="B33" s="496" t="str">
        <f t="shared" ref="B33:B44" si="0">A33</f>
        <v>111006010101</v>
      </c>
      <c r="C33" s="497"/>
      <c r="D33" s="492">
        <v>622.11965999999995</v>
      </c>
      <c r="E33" s="493">
        <v>0</v>
      </c>
      <c r="F33" s="494">
        <v>0</v>
      </c>
    </row>
    <row r="34" spans="1:6" hidden="1" x14ac:dyDescent="0.2">
      <c r="A34" s="498" t="s">
        <v>1071</v>
      </c>
      <c r="B34" s="496" t="str">
        <f t="shared" si="0"/>
        <v>111006010102</v>
      </c>
      <c r="C34" s="497"/>
      <c r="D34" s="492">
        <v>5.5058400000000001</v>
      </c>
      <c r="E34" s="493">
        <v>0</v>
      </c>
      <c r="F34" s="494">
        <v>0</v>
      </c>
    </row>
    <row r="35" spans="1:6" ht="12.75" hidden="1" customHeight="1" x14ac:dyDescent="0.2">
      <c r="A35" s="498" t="s">
        <v>1072</v>
      </c>
      <c r="B35" s="496" t="str">
        <f t="shared" si="0"/>
        <v>111006010103</v>
      </c>
      <c r="C35" s="497"/>
      <c r="D35" s="492">
        <v>123.13212</v>
      </c>
      <c r="E35" s="493">
        <v>0</v>
      </c>
      <c r="F35" s="494">
        <v>0</v>
      </c>
    </row>
    <row r="36" spans="1:6" ht="15" hidden="1" customHeight="1" x14ac:dyDescent="0.2">
      <c r="A36" s="498" t="s">
        <v>1073</v>
      </c>
      <c r="B36" s="490" t="str">
        <f t="shared" si="0"/>
        <v>111006010104</v>
      </c>
      <c r="C36" s="497"/>
      <c r="D36" s="492">
        <v>0</v>
      </c>
      <c r="E36" s="493">
        <v>0</v>
      </c>
      <c r="F36" s="494">
        <v>0</v>
      </c>
    </row>
    <row r="37" spans="1:6" ht="13.5" hidden="1" customHeight="1" x14ac:dyDescent="0.2">
      <c r="A37" s="498" t="s">
        <v>1074</v>
      </c>
      <c r="B37" s="496" t="str">
        <f t="shared" si="0"/>
        <v>111006010105</v>
      </c>
      <c r="C37" s="497"/>
      <c r="D37" s="492">
        <v>405.33708000000001</v>
      </c>
      <c r="E37" s="493">
        <v>0</v>
      </c>
      <c r="F37" s="494">
        <v>0</v>
      </c>
    </row>
    <row r="38" spans="1:6" ht="15" hidden="1" customHeight="1" x14ac:dyDescent="0.2">
      <c r="A38" s="498" t="s">
        <v>1075</v>
      </c>
      <c r="B38" s="496" t="str">
        <f t="shared" si="0"/>
        <v>111006010106</v>
      </c>
      <c r="C38" s="497"/>
      <c r="D38" s="492">
        <v>0</v>
      </c>
      <c r="E38" s="493">
        <v>0</v>
      </c>
      <c r="F38" s="494">
        <v>0</v>
      </c>
    </row>
    <row r="39" spans="1:6" hidden="1" x14ac:dyDescent="0.2">
      <c r="A39" s="498" t="s">
        <v>1076</v>
      </c>
      <c r="B39" s="490" t="str">
        <f t="shared" si="0"/>
        <v>111006010107</v>
      </c>
      <c r="C39" s="497"/>
      <c r="D39" s="492">
        <v>0</v>
      </c>
      <c r="E39" s="493">
        <v>0</v>
      </c>
      <c r="F39" s="494">
        <v>0</v>
      </c>
    </row>
    <row r="40" spans="1:6" hidden="1" x14ac:dyDescent="0.2">
      <c r="A40" s="498" t="s">
        <v>1077</v>
      </c>
      <c r="B40" s="490" t="str">
        <f t="shared" si="0"/>
        <v>111006010108</v>
      </c>
      <c r="C40" s="497"/>
      <c r="D40" s="492">
        <v>0</v>
      </c>
      <c r="E40" s="493">
        <v>0</v>
      </c>
      <c r="F40" s="494">
        <v>0</v>
      </c>
    </row>
    <row r="41" spans="1:6" hidden="1" x14ac:dyDescent="0.2">
      <c r="A41" s="498" t="s">
        <v>1078</v>
      </c>
      <c r="B41" s="496" t="str">
        <f t="shared" si="0"/>
        <v>111006010109</v>
      </c>
      <c r="C41" s="497"/>
      <c r="D41" s="492">
        <v>0</v>
      </c>
      <c r="E41" s="493">
        <v>0</v>
      </c>
      <c r="F41" s="494">
        <v>0</v>
      </c>
    </row>
    <row r="42" spans="1:6" hidden="1" x14ac:dyDescent="0.2">
      <c r="A42" s="498" t="s">
        <v>1079</v>
      </c>
      <c r="B42" s="490" t="str">
        <f t="shared" si="0"/>
        <v>111006010110</v>
      </c>
      <c r="C42" s="497"/>
      <c r="D42" s="492">
        <v>6.6752399999999996</v>
      </c>
      <c r="E42" s="493">
        <v>0</v>
      </c>
      <c r="F42" s="494">
        <v>0</v>
      </c>
    </row>
    <row r="43" spans="1:6" hidden="1" x14ac:dyDescent="0.2">
      <c r="A43" s="498" t="s">
        <v>1080</v>
      </c>
      <c r="B43" s="490" t="str">
        <f t="shared" si="0"/>
        <v>111006010111</v>
      </c>
      <c r="C43" s="497"/>
      <c r="D43" s="492">
        <v>134.38497000000001</v>
      </c>
      <c r="E43" s="493">
        <v>0</v>
      </c>
      <c r="F43" s="494">
        <v>0</v>
      </c>
    </row>
    <row r="44" spans="1:6" hidden="1" x14ac:dyDescent="0.2">
      <c r="A44" s="498" t="s">
        <v>1081</v>
      </c>
      <c r="B44" s="496" t="str">
        <f t="shared" si="0"/>
        <v>111006010112</v>
      </c>
      <c r="C44" s="497"/>
      <c r="D44" s="492">
        <v>-41.588000000000001</v>
      </c>
      <c r="E44" s="493">
        <v>0</v>
      </c>
      <c r="F44" s="494">
        <v>0</v>
      </c>
    </row>
    <row r="45" spans="1:6" hidden="1" x14ac:dyDescent="0.2">
      <c r="A45" s="489" t="s">
        <v>1082</v>
      </c>
      <c r="B45" s="499" t="s">
        <v>1082</v>
      </c>
      <c r="C45" s="497"/>
      <c r="D45" s="492">
        <v>0</v>
      </c>
      <c r="E45" s="493">
        <v>0</v>
      </c>
      <c r="F45" s="494">
        <v>0</v>
      </c>
    </row>
    <row r="46" spans="1:6" hidden="1" x14ac:dyDescent="0.2">
      <c r="A46" s="498" t="s">
        <v>1083</v>
      </c>
      <c r="B46" s="496" t="str">
        <f t="shared" ref="B46:B109" si="1">A46</f>
        <v>111006010114</v>
      </c>
      <c r="C46" s="497"/>
      <c r="D46" s="492">
        <v>0</v>
      </c>
      <c r="E46" s="493">
        <v>0</v>
      </c>
      <c r="F46" s="494">
        <v>0</v>
      </c>
    </row>
    <row r="47" spans="1:6" ht="13.5" hidden="1" customHeight="1" x14ac:dyDescent="0.2">
      <c r="A47" s="498" t="s">
        <v>1084</v>
      </c>
      <c r="B47" s="496" t="str">
        <f t="shared" si="1"/>
        <v>111006010115</v>
      </c>
      <c r="C47" s="497"/>
      <c r="D47" s="492">
        <v>0</v>
      </c>
      <c r="E47" s="493">
        <v>0</v>
      </c>
      <c r="F47" s="494">
        <v>0</v>
      </c>
    </row>
    <row r="48" spans="1:6" hidden="1" x14ac:dyDescent="0.2">
      <c r="A48" s="498" t="s">
        <v>1085</v>
      </c>
      <c r="B48" s="490" t="str">
        <f t="shared" si="1"/>
        <v>111006010116</v>
      </c>
      <c r="C48" s="497"/>
      <c r="D48" s="492">
        <v>0</v>
      </c>
      <c r="E48" s="493">
        <v>0</v>
      </c>
      <c r="F48" s="494">
        <v>0</v>
      </c>
    </row>
    <row r="49" spans="1:6" hidden="1" x14ac:dyDescent="0.2">
      <c r="A49" s="498" t="s">
        <v>1086</v>
      </c>
      <c r="B49" s="496" t="str">
        <f t="shared" si="1"/>
        <v>111006010117</v>
      </c>
      <c r="C49" s="497"/>
      <c r="D49" s="492">
        <v>0.50949</v>
      </c>
      <c r="E49" s="493">
        <v>0</v>
      </c>
      <c r="F49" s="494">
        <v>0</v>
      </c>
    </row>
    <row r="50" spans="1:6" hidden="1" x14ac:dyDescent="0.2">
      <c r="A50" s="498" t="s">
        <v>1087</v>
      </c>
      <c r="B50" s="496" t="str">
        <f t="shared" si="1"/>
        <v>111006010118</v>
      </c>
      <c r="C50" s="497"/>
      <c r="D50" s="492">
        <v>0</v>
      </c>
      <c r="E50" s="493">
        <v>0</v>
      </c>
      <c r="F50" s="494">
        <v>0</v>
      </c>
    </row>
    <row r="51" spans="1:6" hidden="1" x14ac:dyDescent="0.2">
      <c r="A51" s="498" t="s">
        <v>1088</v>
      </c>
      <c r="B51" s="490" t="str">
        <f t="shared" si="1"/>
        <v>111006010119</v>
      </c>
      <c r="C51" s="497"/>
      <c r="D51" s="492">
        <v>0</v>
      </c>
      <c r="E51" s="493">
        <v>0</v>
      </c>
      <c r="F51" s="494">
        <v>0</v>
      </c>
    </row>
    <row r="52" spans="1:6" hidden="1" x14ac:dyDescent="0.2">
      <c r="A52" s="498" t="s">
        <v>1089</v>
      </c>
      <c r="B52" s="490" t="str">
        <f t="shared" si="1"/>
        <v>111006010120</v>
      </c>
      <c r="C52" s="497"/>
      <c r="D52" s="492">
        <v>10.44853</v>
      </c>
      <c r="E52" s="493">
        <v>0</v>
      </c>
      <c r="F52" s="494">
        <v>0</v>
      </c>
    </row>
    <row r="53" spans="1:6" hidden="1" x14ac:dyDescent="0.2">
      <c r="A53" s="498" t="s">
        <v>1090</v>
      </c>
      <c r="B53" s="490" t="str">
        <f t="shared" si="1"/>
        <v>111006010121</v>
      </c>
      <c r="C53" s="497"/>
      <c r="D53" s="492">
        <v>0</v>
      </c>
      <c r="E53" s="493">
        <v>0</v>
      </c>
      <c r="F53" s="494">
        <v>0</v>
      </c>
    </row>
    <row r="54" spans="1:6" hidden="1" x14ac:dyDescent="0.2">
      <c r="A54" s="498" t="s">
        <v>1091</v>
      </c>
      <c r="B54" s="490" t="str">
        <f t="shared" si="1"/>
        <v>111006010122</v>
      </c>
      <c r="C54" s="497"/>
      <c r="D54" s="492">
        <v>0</v>
      </c>
      <c r="E54" s="493">
        <v>0</v>
      </c>
      <c r="F54" s="494">
        <v>0</v>
      </c>
    </row>
    <row r="55" spans="1:6" hidden="1" x14ac:dyDescent="0.2">
      <c r="A55" s="498" t="s">
        <v>1092</v>
      </c>
      <c r="B55" s="496" t="str">
        <f t="shared" si="1"/>
        <v>111006010123</v>
      </c>
      <c r="C55" s="497"/>
      <c r="D55" s="492">
        <v>0</v>
      </c>
      <c r="E55" s="493">
        <v>0</v>
      </c>
      <c r="F55" s="494">
        <v>0</v>
      </c>
    </row>
    <row r="56" spans="1:6" hidden="1" x14ac:dyDescent="0.2">
      <c r="A56" s="498" t="s">
        <v>1093</v>
      </c>
      <c r="B56" s="490" t="str">
        <f t="shared" si="1"/>
        <v>111006010124</v>
      </c>
      <c r="C56" s="497"/>
      <c r="D56" s="492">
        <v>-944.95681999999999</v>
      </c>
      <c r="E56" s="493">
        <v>0</v>
      </c>
      <c r="F56" s="494">
        <v>0</v>
      </c>
    </row>
    <row r="57" spans="1:6" hidden="1" x14ac:dyDescent="0.2">
      <c r="A57" s="498" t="s">
        <v>1094</v>
      </c>
      <c r="B57" s="490" t="str">
        <f t="shared" si="1"/>
        <v>111006010125</v>
      </c>
      <c r="C57" s="497"/>
      <c r="D57" s="492">
        <v>0</v>
      </c>
      <c r="E57" s="493">
        <v>0</v>
      </c>
      <c r="F57" s="494">
        <v>0</v>
      </c>
    </row>
    <row r="58" spans="1:6" hidden="1" x14ac:dyDescent="0.2">
      <c r="A58" s="498" t="s">
        <v>1095</v>
      </c>
      <c r="B58" s="490" t="str">
        <f t="shared" si="1"/>
        <v>111006010126</v>
      </c>
      <c r="C58" s="497"/>
      <c r="D58" s="492">
        <v>0</v>
      </c>
      <c r="E58" s="493">
        <v>0</v>
      </c>
      <c r="F58" s="494">
        <v>0</v>
      </c>
    </row>
    <row r="59" spans="1:6" hidden="1" x14ac:dyDescent="0.2">
      <c r="A59" s="498" t="s">
        <v>1096</v>
      </c>
      <c r="B59" s="490" t="str">
        <f t="shared" si="1"/>
        <v>111006010127</v>
      </c>
      <c r="C59" s="497"/>
      <c r="D59" s="492">
        <v>0</v>
      </c>
      <c r="E59" s="493">
        <v>0</v>
      </c>
      <c r="F59" s="494">
        <v>0</v>
      </c>
    </row>
    <row r="60" spans="1:6" hidden="1" x14ac:dyDescent="0.2">
      <c r="A60" s="498" t="s">
        <v>1097</v>
      </c>
      <c r="B60" s="490" t="str">
        <f t="shared" si="1"/>
        <v>111006010128</v>
      </c>
      <c r="C60" s="497"/>
      <c r="D60" s="492">
        <v>0</v>
      </c>
      <c r="E60" s="493">
        <v>0</v>
      </c>
      <c r="F60" s="494">
        <v>0</v>
      </c>
    </row>
    <row r="61" spans="1:6" hidden="1" x14ac:dyDescent="0.2">
      <c r="A61" s="498" t="s">
        <v>1098</v>
      </c>
      <c r="B61" s="490" t="str">
        <f t="shared" si="1"/>
        <v>111006010129</v>
      </c>
      <c r="C61" s="497"/>
      <c r="D61" s="492">
        <v>0</v>
      </c>
      <c r="E61" s="493">
        <v>0</v>
      </c>
      <c r="F61" s="494">
        <v>0</v>
      </c>
    </row>
    <row r="62" spans="1:6" hidden="1" x14ac:dyDescent="0.2">
      <c r="A62" s="498" t="s">
        <v>1099</v>
      </c>
      <c r="B62" s="490" t="str">
        <f t="shared" si="1"/>
        <v>111006010130</v>
      </c>
      <c r="C62" s="497"/>
      <c r="D62" s="492">
        <v>0</v>
      </c>
      <c r="E62" s="493">
        <v>0</v>
      </c>
      <c r="F62" s="494">
        <v>0</v>
      </c>
    </row>
    <row r="63" spans="1:6" hidden="1" x14ac:dyDescent="0.2">
      <c r="A63" s="498" t="s">
        <v>1100</v>
      </c>
      <c r="B63" s="490" t="str">
        <f t="shared" si="1"/>
        <v>111006010131</v>
      </c>
      <c r="C63" s="497"/>
      <c r="D63" s="492">
        <v>1.4999999999999999E-2</v>
      </c>
      <c r="E63" s="493">
        <v>0</v>
      </c>
      <c r="F63" s="494">
        <v>0</v>
      </c>
    </row>
    <row r="64" spans="1:6" hidden="1" x14ac:dyDescent="0.2">
      <c r="A64" s="498" t="s">
        <v>1101</v>
      </c>
      <c r="B64" s="496" t="str">
        <f t="shared" si="1"/>
        <v>111006010132</v>
      </c>
      <c r="C64" s="497"/>
      <c r="D64" s="492">
        <v>0</v>
      </c>
      <c r="E64" s="493">
        <v>0</v>
      </c>
      <c r="F64" s="494">
        <v>0</v>
      </c>
    </row>
    <row r="65" spans="1:6" hidden="1" x14ac:dyDescent="0.2">
      <c r="A65" s="498" t="s">
        <v>1102</v>
      </c>
      <c r="B65" s="490" t="str">
        <f t="shared" si="1"/>
        <v>111006010133</v>
      </c>
      <c r="C65" s="497"/>
      <c r="D65" s="492">
        <v>1887.3162</v>
      </c>
      <c r="E65" s="493">
        <v>0</v>
      </c>
      <c r="F65" s="494">
        <v>0</v>
      </c>
    </row>
    <row r="66" spans="1:6" hidden="1" x14ac:dyDescent="0.2">
      <c r="A66" s="498" t="s">
        <v>1103</v>
      </c>
      <c r="B66" s="496" t="str">
        <f t="shared" si="1"/>
        <v>111006010134</v>
      </c>
      <c r="C66" s="497"/>
      <c r="D66" s="492">
        <v>0</v>
      </c>
      <c r="E66" s="493">
        <v>0</v>
      </c>
      <c r="F66" s="494">
        <v>0</v>
      </c>
    </row>
    <row r="67" spans="1:6" hidden="1" x14ac:dyDescent="0.2">
      <c r="A67" s="498" t="s">
        <v>1104</v>
      </c>
      <c r="B67" s="496" t="str">
        <f t="shared" si="1"/>
        <v>111006010135</v>
      </c>
      <c r="C67" s="497"/>
      <c r="D67" s="492">
        <v>0</v>
      </c>
      <c r="E67" s="493">
        <v>0</v>
      </c>
      <c r="F67" s="494">
        <v>0</v>
      </c>
    </row>
    <row r="68" spans="1:6" hidden="1" x14ac:dyDescent="0.2">
      <c r="A68" s="498" t="s">
        <v>1105</v>
      </c>
      <c r="B68" s="496" t="str">
        <f t="shared" si="1"/>
        <v>111006010136</v>
      </c>
      <c r="C68" s="497"/>
      <c r="D68" s="492">
        <v>0.55008999999999997</v>
      </c>
      <c r="E68" s="493">
        <v>0</v>
      </c>
      <c r="F68" s="494">
        <v>0</v>
      </c>
    </row>
    <row r="69" spans="1:6" hidden="1" x14ac:dyDescent="0.2">
      <c r="A69" s="498" t="s">
        <v>1106</v>
      </c>
      <c r="B69" s="496" t="str">
        <f t="shared" si="1"/>
        <v>111006010137</v>
      </c>
      <c r="C69" s="497"/>
      <c r="D69" s="492">
        <v>1857.7452800000001</v>
      </c>
      <c r="E69" s="493">
        <v>0</v>
      </c>
      <c r="F69" s="494">
        <v>0</v>
      </c>
    </row>
    <row r="70" spans="1:6" hidden="1" x14ac:dyDescent="0.2">
      <c r="A70" s="498" t="s">
        <v>1107</v>
      </c>
      <c r="B70" s="496" t="str">
        <f t="shared" si="1"/>
        <v>111006010138</v>
      </c>
      <c r="C70" s="497"/>
      <c r="D70" s="492">
        <v>0</v>
      </c>
      <c r="E70" s="493">
        <v>0</v>
      </c>
      <c r="F70" s="494">
        <v>0</v>
      </c>
    </row>
    <row r="71" spans="1:6" ht="13.5" hidden="1" customHeight="1" x14ac:dyDescent="0.2">
      <c r="A71" s="498" t="s">
        <v>1108</v>
      </c>
      <c r="B71" s="490" t="str">
        <f t="shared" si="1"/>
        <v>111006010139</v>
      </c>
      <c r="C71" s="497"/>
      <c r="D71" s="492">
        <v>25.28172</v>
      </c>
      <c r="E71" s="493">
        <v>0</v>
      </c>
      <c r="F71" s="494">
        <v>0</v>
      </c>
    </row>
    <row r="72" spans="1:6" hidden="1" x14ac:dyDescent="0.2">
      <c r="A72" s="498" t="s">
        <v>1109</v>
      </c>
      <c r="B72" s="490" t="str">
        <f t="shared" si="1"/>
        <v>111006010140</v>
      </c>
      <c r="C72" s="497"/>
      <c r="D72" s="492">
        <v>0</v>
      </c>
      <c r="E72" s="493">
        <v>0</v>
      </c>
      <c r="F72" s="494">
        <v>0</v>
      </c>
    </row>
    <row r="73" spans="1:6" hidden="1" x14ac:dyDescent="0.2">
      <c r="A73" s="498" t="s">
        <v>1110</v>
      </c>
      <c r="B73" s="496" t="str">
        <f t="shared" si="1"/>
        <v>111006010141</v>
      </c>
      <c r="C73" s="497"/>
      <c r="D73" s="492">
        <v>76.142110000000002</v>
      </c>
      <c r="E73" s="493">
        <v>0</v>
      </c>
      <c r="F73" s="494">
        <v>0</v>
      </c>
    </row>
    <row r="74" spans="1:6" hidden="1" x14ac:dyDescent="0.2">
      <c r="A74" s="498" t="s">
        <v>1111</v>
      </c>
      <c r="B74" s="490" t="str">
        <f t="shared" si="1"/>
        <v>111006010142</v>
      </c>
      <c r="C74" s="497"/>
      <c r="D74" s="492">
        <v>0</v>
      </c>
      <c r="E74" s="493">
        <v>0</v>
      </c>
      <c r="F74" s="494">
        <v>0</v>
      </c>
    </row>
    <row r="75" spans="1:6" hidden="1" x14ac:dyDescent="0.2">
      <c r="A75" s="498" t="s">
        <v>1112</v>
      </c>
      <c r="B75" s="490" t="str">
        <f t="shared" si="1"/>
        <v>111006010143</v>
      </c>
      <c r="C75" s="497"/>
      <c r="D75" s="492">
        <v>0</v>
      </c>
      <c r="E75" s="493">
        <v>0</v>
      </c>
      <c r="F75" s="494">
        <v>0</v>
      </c>
    </row>
    <row r="76" spans="1:6" hidden="1" x14ac:dyDescent="0.2">
      <c r="A76" s="498" t="s">
        <v>1113</v>
      </c>
      <c r="B76" s="496" t="str">
        <f t="shared" si="1"/>
        <v>111006010144</v>
      </c>
      <c r="C76" s="497"/>
      <c r="D76" s="492">
        <v>0</v>
      </c>
      <c r="E76" s="493">
        <v>0</v>
      </c>
      <c r="F76" s="494">
        <v>0</v>
      </c>
    </row>
    <row r="77" spans="1:6" hidden="1" x14ac:dyDescent="0.2">
      <c r="A77" s="498" t="s">
        <v>1114</v>
      </c>
      <c r="B77" s="496" t="str">
        <f t="shared" si="1"/>
        <v>111006010145</v>
      </c>
      <c r="C77" s="497"/>
      <c r="D77" s="492">
        <v>0</v>
      </c>
      <c r="E77" s="493">
        <v>0</v>
      </c>
      <c r="F77" s="494">
        <v>0</v>
      </c>
    </row>
    <row r="78" spans="1:6" hidden="1" x14ac:dyDescent="0.2">
      <c r="A78" s="498" t="s">
        <v>1115</v>
      </c>
      <c r="B78" s="496" t="str">
        <f t="shared" si="1"/>
        <v>111006010146</v>
      </c>
      <c r="C78" s="497"/>
      <c r="D78" s="492">
        <v>56.796979999999998</v>
      </c>
      <c r="E78" s="493">
        <v>0</v>
      </c>
      <c r="F78" s="494">
        <v>0</v>
      </c>
    </row>
    <row r="79" spans="1:6" hidden="1" x14ac:dyDescent="0.2">
      <c r="A79" s="498" t="s">
        <v>1116</v>
      </c>
      <c r="B79" s="490" t="str">
        <f t="shared" si="1"/>
        <v>111006010147</v>
      </c>
      <c r="C79" s="497"/>
      <c r="D79" s="492">
        <v>0</v>
      </c>
      <c r="E79" s="493">
        <v>0</v>
      </c>
      <c r="F79" s="494">
        <v>0</v>
      </c>
    </row>
    <row r="80" spans="1:6" hidden="1" x14ac:dyDescent="0.2">
      <c r="A80" s="498" t="s">
        <v>1117</v>
      </c>
      <c r="B80" s="490" t="str">
        <f t="shared" si="1"/>
        <v>111006010148</v>
      </c>
      <c r="C80" s="497"/>
      <c r="D80" s="492">
        <v>0</v>
      </c>
      <c r="E80" s="493">
        <v>0</v>
      </c>
      <c r="F80" s="494">
        <v>0</v>
      </c>
    </row>
    <row r="81" spans="1:6" hidden="1" x14ac:dyDescent="0.2">
      <c r="A81" s="498" t="s">
        <v>1118</v>
      </c>
      <c r="B81" s="490" t="str">
        <f t="shared" si="1"/>
        <v>111006010149</v>
      </c>
      <c r="C81" s="497"/>
      <c r="D81" s="492">
        <v>0</v>
      </c>
      <c r="E81" s="493">
        <v>0</v>
      </c>
      <c r="F81" s="494">
        <v>0</v>
      </c>
    </row>
    <row r="82" spans="1:6" hidden="1" x14ac:dyDescent="0.2">
      <c r="A82" s="498" t="s">
        <v>1119</v>
      </c>
      <c r="B82" s="490" t="str">
        <f t="shared" si="1"/>
        <v>111006010150</v>
      </c>
      <c r="C82" s="497"/>
      <c r="D82" s="492">
        <v>-3.5009999999999999</v>
      </c>
      <c r="E82" s="493">
        <v>0</v>
      </c>
      <c r="F82" s="494">
        <v>0</v>
      </c>
    </row>
    <row r="83" spans="1:6" hidden="1" x14ac:dyDescent="0.2">
      <c r="A83" s="498" t="s">
        <v>1120</v>
      </c>
      <c r="B83" s="496" t="str">
        <f t="shared" si="1"/>
        <v>111006010151</v>
      </c>
      <c r="C83" s="497"/>
      <c r="D83" s="492">
        <v>771.49510999999995</v>
      </c>
      <c r="E83" s="493">
        <v>0</v>
      </c>
      <c r="F83" s="494">
        <v>0</v>
      </c>
    </row>
    <row r="84" spans="1:6" hidden="1" x14ac:dyDescent="0.2">
      <c r="A84" s="498" t="s">
        <v>1121</v>
      </c>
      <c r="B84" s="490" t="str">
        <f t="shared" si="1"/>
        <v>111006010154</v>
      </c>
      <c r="C84" s="497"/>
      <c r="D84" s="492">
        <v>0</v>
      </c>
      <c r="E84" s="493">
        <v>0</v>
      </c>
      <c r="F84" s="494">
        <v>0</v>
      </c>
    </row>
    <row r="85" spans="1:6" hidden="1" x14ac:dyDescent="0.2">
      <c r="A85" s="498" t="s">
        <v>1122</v>
      </c>
      <c r="B85" s="490" t="str">
        <f t="shared" si="1"/>
        <v>111006010155</v>
      </c>
      <c r="C85" s="497"/>
      <c r="D85" s="492">
        <v>0</v>
      </c>
      <c r="E85" s="493">
        <v>0</v>
      </c>
      <c r="F85" s="494">
        <v>0</v>
      </c>
    </row>
    <row r="86" spans="1:6" ht="14.25" hidden="1" customHeight="1" x14ac:dyDescent="0.2">
      <c r="A86" s="498" t="s">
        <v>1123</v>
      </c>
      <c r="B86" s="490" t="str">
        <f t="shared" si="1"/>
        <v>111006010156</v>
      </c>
      <c r="C86" s="497"/>
      <c r="D86" s="492">
        <v>0</v>
      </c>
      <c r="E86" s="493">
        <v>0</v>
      </c>
      <c r="F86" s="494">
        <v>0</v>
      </c>
    </row>
    <row r="87" spans="1:6" hidden="1" x14ac:dyDescent="0.2">
      <c r="A87" s="498" t="s">
        <v>1124</v>
      </c>
      <c r="B87" s="490" t="str">
        <f t="shared" si="1"/>
        <v>111006010157</v>
      </c>
      <c r="C87" s="497"/>
      <c r="D87" s="492">
        <v>0</v>
      </c>
      <c r="E87" s="493">
        <v>0</v>
      </c>
      <c r="F87" s="494">
        <v>0</v>
      </c>
    </row>
    <row r="88" spans="1:6" hidden="1" x14ac:dyDescent="0.2">
      <c r="A88" s="498" t="s">
        <v>1125</v>
      </c>
      <c r="B88" s="490" t="str">
        <f t="shared" si="1"/>
        <v>111006010158</v>
      </c>
      <c r="C88" s="497"/>
      <c r="D88" s="492">
        <v>0</v>
      </c>
      <c r="E88" s="493">
        <v>0</v>
      </c>
      <c r="F88" s="494">
        <v>0</v>
      </c>
    </row>
    <row r="89" spans="1:6" hidden="1" x14ac:dyDescent="0.2">
      <c r="A89" s="498" t="s">
        <v>1126</v>
      </c>
      <c r="B89" s="490" t="str">
        <f t="shared" si="1"/>
        <v>111006010159</v>
      </c>
      <c r="C89" s="497"/>
      <c r="D89" s="492">
        <v>61.375070000000001</v>
      </c>
      <c r="E89" s="493">
        <v>0</v>
      </c>
      <c r="F89" s="494">
        <v>0</v>
      </c>
    </row>
    <row r="90" spans="1:6" hidden="1" x14ac:dyDescent="0.2">
      <c r="A90" s="498" t="s">
        <v>1127</v>
      </c>
      <c r="B90" s="490" t="str">
        <f t="shared" si="1"/>
        <v>111006010160</v>
      </c>
      <c r="C90" s="497"/>
      <c r="D90" s="492">
        <v>0</v>
      </c>
      <c r="E90" s="493">
        <v>0</v>
      </c>
      <c r="F90" s="494">
        <v>0</v>
      </c>
    </row>
    <row r="91" spans="1:6" hidden="1" x14ac:dyDescent="0.2">
      <c r="A91" s="498" t="s">
        <v>1128</v>
      </c>
      <c r="B91" s="490" t="str">
        <f t="shared" si="1"/>
        <v>111006010161</v>
      </c>
      <c r="C91" s="497"/>
      <c r="D91" s="492">
        <v>4.0928100000000001</v>
      </c>
      <c r="E91" s="493">
        <v>0</v>
      </c>
      <c r="F91" s="494">
        <v>0</v>
      </c>
    </row>
    <row r="92" spans="1:6" hidden="1" x14ac:dyDescent="0.2">
      <c r="A92" s="498" t="s">
        <v>1129</v>
      </c>
      <c r="B92" s="490" t="str">
        <f t="shared" si="1"/>
        <v>111006010162</v>
      </c>
      <c r="C92" s="497"/>
      <c r="D92" s="492">
        <v>0</v>
      </c>
      <c r="E92" s="493">
        <v>0</v>
      </c>
      <c r="F92" s="494">
        <v>0</v>
      </c>
    </row>
    <row r="93" spans="1:6" hidden="1" x14ac:dyDescent="0.2">
      <c r="A93" s="498" t="s">
        <v>1130</v>
      </c>
      <c r="B93" s="490" t="str">
        <f t="shared" si="1"/>
        <v>111006010163</v>
      </c>
      <c r="C93" s="497"/>
      <c r="D93" s="492">
        <v>0</v>
      </c>
      <c r="E93" s="493">
        <v>0</v>
      </c>
      <c r="F93" s="494">
        <v>0</v>
      </c>
    </row>
    <row r="94" spans="1:6" hidden="1" x14ac:dyDescent="0.2">
      <c r="A94" s="498" t="s">
        <v>1131</v>
      </c>
      <c r="B94" s="490" t="str">
        <f t="shared" si="1"/>
        <v>111006010164</v>
      </c>
      <c r="C94" s="497"/>
      <c r="D94" s="492">
        <v>141.76406</v>
      </c>
      <c r="E94" s="493">
        <v>0</v>
      </c>
      <c r="F94" s="494">
        <v>0</v>
      </c>
    </row>
    <row r="95" spans="1:6" hidden="1" x14ac:dyDescent="0.2">
      <c r="A95" s="498" t="s">
        <v>1132</v>
      </c>
      <c r="B95" s="490" t="str">
        <f t="shared" si="1"/>
        <v>111006010165</v>
      </c>
      <c r="C95" s="497"/>
      <c r="D95" s="492">
        <v>0</v>
      </c>
      <c r="E95" s="493">
        <v>0</v>
      </c>
      <c r="F95" s="494">
        <v>0</v>
      </c>
    </row>
    <row r="96" spans="1:6" hidden="1" x14ac:dyDescent="0.2">
      <c r="A96" s="498" t="s">
        <v>1133</v>
      </c>
      <c r="B96" s="490" t="str">
        <f t="shared" si="1"/>
        <v>111006010166</v>
      </c>
      <c r="C96" s="497"/>
      <c r="D96" s="492">
        <v>144.65468999999999</v>
      </c>
      <c r="E96" s="493">
        <v>0</v>
      </c>
      <c r="F96" s="494">
        <v>0</v>
      </c>
    </row>
    <row r="97" spans="1:6" hidden="1" x14ac:dyDescent="0.2">
      <c r="A97" s="498" t="s">
        <v>1134</v>
      </c>
      <c r="B97" s="490" t="str">
        <f t="shared" si="1"/>
        <v>111006010167</v>
      </c>
      <c r="C97" s="497"/>
      <c r="D97" s="492"/>
      <c r="E97" s="493"/>
      <c r="F97" s="494"/>
    </row>
    <row r="98" spans="1:6" hidden="1" x14ac:dyDescent="0.2">
      <c r="A98" s="498" t="s">
        <v>1135</v>
      </c>
      <c r="B98" s="490" t="str">
        <f t="shared" si="1"/>
        <v>111006010168</v>
      </c>
      <c r="C98" s="497"/>
      <c r="D98" s="492">
        <v>0</v>
      </c>
      <c r="E98" s="493">
        <v>0</v>
      </c>
      <c r="F98" s="494">
        <v>0</v>
      </c>
    </row>
    <row r="99" spans="1:6" hidden="1" x14ac:dyDescent="0.2">
      <c r="A99" s="498" t="s">
        <v>1136</v>
      </c>
      <c r="B99" s="490" t="str">
        <f t="shared" si="1"/>
        <v>111006010169</v>
      </c>
      <c r="C99" s="497"/>
      <c r="D99" s="492">
        <v>0</v>
      </c>
      <c r="E99" s="493">
        <v>0</v>
      </c>
      <c r="F99" s="494">
        <v>0</v>
      </c>
    </row>
    <row r="100" spans="1:6" hidden="1" x14ac:dyDescent="0.2">
      <c r="A100" s="498" t="s">
        <v>1137</v>
      </c>
      <c r="B100" s="496" t="str">
        <f t="shared" si="1"/>
        <v>111006010170</v>
      </c>
      <c r="C100" s="497"/>
      <c r="D100" s="492">
        <v>0</v>
      </c>
      <c r="E100" s="493">
        <v>0</v>
      </c>
      <c r="F100" s="494">
        <v>0</v>
      </c>
    </row>
    <row r="101" spans="1:6" hidden="1" x14ac:dyDescent="0.2">
      <c r="A101" s="498" t="s">
        <v>1138</v>
      </c>
      <c r="B101" s="490" t="str">
        <f t="shared" si="1"/>
        <v>111006010172</v>
      </c>
      <c r="C101" s="497"/>
      <c r="D101" s="492">
        <v>0</v>
      </c>
      <c r="E101" s="493">
        <v>0</v>
      </c>
      <c r="F101" s="494">
        <v>0</v>
      </c>
    </row>
    <row r="102" spans="1:6" hidden="1" x14ac:dyDescent="0.2">
      <c r="A102" s="498" t="s">
        <v>1139</v>
      </c>
      <c r="B102" s="490" t="str">
        <f t="shared" si="1"/>
        <v>111006010174</v>
      </c>
      <c r="C102" s="497"/>
      <c r="D102" s="492">
        <v>0</v>
      </c>
      <c r="E102" s="493">
        <v>0</v>
      </c>
      <c r="F102" s="494">
        <v>0</v>
      </c>
    </row>
    <row r="103" spans="1:6" hidden="1" x14ac:dyDescent="0.2">
      <c r="A103" s="498" t="s">
        <v>1140</v>
      </c>
      <c r="B103" s="496" t="str">
        <f t="shared" si="1"/>
        <v>111006010175</v>
      </c>
      <c r="C103" s="497"/>
      <c r="D103" s="492">
        <v>4906.3112799999999</v>
      </c>
      <c r="E103" s="493">
        <v>0</v>
      </c>
      <c r="F103" s="494">
        <v>0</v>
      </c>
    </row>
    <row r="104" spans="1:6" hidden="1" x14ac:dyDescent="0.2">
      <c r="A104" s="498" t="s">
        <v>1141</v>
      </c>
      <c r="B104" s="496" t="str">
        <f t="shared" si="1"/>
        <v>111006010176</v>
      </c>
      <c r="C104" s="497"/>
      <c r="D104" s="492">
        <v>1.34836</v>
      </c>
      <c r="E104" s="493">
        <v>0</v>
      </c>
      <c r="F104" s="494">
        <v>0</v>
      </c>
    </row>
    <row r="105" spans="1:6" ht="12" hidden="1" customHeight="1" x14ac:dyDescent="0.2">
      <c r="A105" s="498" t="s">
        <v>1142</v>
      </c>
      <c r="B105" s="490" t="str">
        <f t="shared" si="1"/>
        <v>111006010177</v>
      </c>
      <c r="C105" s="497"/>
      <c r="D105" s="492">
        <v>121.56377999999999</v>
      </c>
      <c r="E105" s="493">
        <v>0</v>
      </c>
      <c r="F105" s="494">
        <v>0</v>
      </c>
    </row>
    <row r="106" spans="1:6" hidden="1" x14ac:dyDescent="0.2">
      <c r="A106" s="498" t="s">
        <v>1143</v>
      </c>
      <c r="B106" s="490" t="str">
        <f t="shared" si="1"/>
        <v>111006010178</v>
      </c>
      <c r="C106" s="497"/>
      <c r="D106" s="492">
        <v>0</v>
      </c>
      <c r="E106" s="493">
        <v>0</v>
      </c>
      <c r="F106" s="494">
        <v>0</v>
      </c>
    </row>
    <row r="107" spans="1:6" hidden="1" x14ac:dyDescent="0.2">
      <c r="A107" s="498" t="s">
        <v>1144</v>
      </c>
      <c r="B107" s="490" t="str">
        <f t="shared" si="1"/>
        <v>111006010179</v>
      </c>
      <c r="C107" s="497"/>
      <c r="D107" s="492">
        <v>0</v>
      </c>
      <c r="E107" s="493">
        <v>0</v>
      </c>
      <c r="F107" s="494">
        <v>0</v>
      </c>
    </row>
    <row r="108" spans="1:6" hidden="1" x14ac:dyDescent="0.2">
      <c r="A108" s="498" t="s">
        <v>1145</v>
      </c>
      <c r="B108" s="490" t="str">
        <f t="shared" si="1"/>
        <v>111006010180</v>
      </c>
      <c r="C108" s="497"/>
      <c r="D108" s="492">
        <v>0</v>
      </c>
      <c r="E108" s="493">
        <v>0</v>
      </c>
      <c r="F108" s="494">
        <v>0</v>
      </c>
    </row>
    <row r="109" spans="1:6" hidden="1" x14ac:dyDescent="0.2">
      <c r="A109" s="498" t="s">
        <v>1146</v>
      </c>
      <c r="B109" s="490" t="str">
        <f t="shared" si="1"/>
        <v>111006010181</v>
      </c>
      <c r="C109" s="497"/>
      <c r="D109" s="492">
        <v>865.23397999999997</v>
      </c>
      <c r="E109" s="493">
        <v>0</v>
      </c>
      <c r="F109" s="494">
        <v>0</v>
      </c>
    </row>
    <row r="110" spans="1:6" hidden="1" x14ac:dyDescent="0.2">
      <c r="A110" s="489" t="s">
        <v>1147</v>
      </c>
      <c r="B110" s="490" t="str">
        <f t="shared" ref="B110:B140" si="2">A110</f>
        <v>111006010185</v>
      </c>
      <c r="C110" s="497"/>
      <c r="D110" s="492">
        <v>0</v>
      </c>
      <c r="E110" s="493">
        <v>0</v>
      </c>
      <c r="F110" s="494">
        <v>0</v>
      </c>
    </row>
    <row r="111" spans="1:6" hidden="1" x14ac:dyDescent="0.2">
      <c r="A111" s="489" t="s">
        <v>1148</v>
      </c>
      <c r="B111" s="490" t="str">
        <f t="shared" si="2"/>
        <v>111006010187</v>
      </c>
      <c r="C111" s="497"/>
      <c r="D111" s="492">
        <v>0</v>
      </c>
      <c r="E111" s="493">
        <v>0</v>
      </c>
      <c r="F111" s="494">
        <v>0</v>
      </c>
    </row>
    <row r="112" spans="1:6" hidden="1" x14ac:dyDescent="0.2">
      <c r="A112" s="489" t="s">
        <v>1149</v>
      </c>
      <c r="B112" s="490" t="str">
        <f t="shared" si="2"/>
        <v>111006010189</v>
      </c>
      <c r="C112" s="497"/>
      <c r="D112" s="492">
        <v>0</v>
      </c>
      <c r="E112" s="493">
        <v>0</v>
      </c>
      <c r="F112" s="494">
        <v>0</v>
      </c>
    </row>
    <row r="113" spans="1:6" hidden="1" x14ac:dyDescent="0.2">
      <c r="A113" s="489" t="s">
        <v>1150</v>
      </c>
      <c r="B113" s="490" t="str">
        <f t="shared" si="2"/>
        <v>111006010190</v>
      </c>
      <c r="C113" s="497"/>
      <c r="D113" s="492">
        <v>0</v>
      </c>
      <c r="E113" s="493">
        <v>0</v>
      </c>
      <c r="F113" s="494">
        <v>0</v>
      </c>
    </row>
    <row r="114" spans="1:6" hidden="1" x14ac:dyDescent="0.2">
      <c r="A114" s="489" t="s">
        <v>1151</v>
      </c>
      <c r="B114" s="490" t="str">
        <f t="shared" si="2"/>
        <v>111006010191</v>
      </c>
      <c r="C114" s="497"/>
      <c r="D114" s="492">
        <v>0</v>
      </c>
      <c r="E114" s="493">
        <v>0</v>
      </c>
      <c r="F114" s="494">
        <v>0</v>
      </c>
    </row>
    <row r="115" spans="1:6" hidden="1" x14ac:dyDescent="0.2">
      <c r="A115" s="489" t="s">
        <v>1152</v>
      </c>
      <c r="B115" s="490" t="str">
        <f t="shared" si="2"/>
        <v>111006010192</v>
      </c>
      <c r="C115" s="497"/>
      <c r="D115" s="492">
        <v>0</v>
      </c>
      <c r="E115" s="493">
        <v>0</v>
      </c>
      <c r="F115" s="494">
        <v>0</v>
      </c>
    </row>
    <row r="116" spans="1:6" hidden="1" x14ac:dyDescent="0.2">
      <c r="A116" s="489" t="s">
        <v>1153</v>
      </c>
      <c r="B116" s="490" t="str">
        <f t="shared" si="2"/>
        <v>111006010193</v>
      </c>
      <c r="C116" s="497"/>
      <c r="D116" s="492">
        <v>-3.7835100000000002</v>
      </c>
      <c r="E116" s="493">
        <v>0</v>
      </c>
      <c r="F116" s="494">
        <v>0</v>
      </c>
    </row>
    <row r="117" spans="1:6" hidden="1" x14ac:dyDescent="0.2">
      <c r="A117" s="489" t="s">
        <v>1154</v>
      </c>
      <c r="B117" s="490" t="str">
        <f t="shared" si="2"/>
        <v>111006010194</v>
      </c>
      <c r="C117" s="497"/>
      <c r="D117" s="492">
        <v>0</v>
      </c>
      <c r="E117" s="493">
        <v>0</v>
      </c>
      <c r="F117" s="494">
        <v>0</v>
      </c>
    </row>
    <row r="118" spans="1:6" hidden="1" x14ac:dyDescent="0.2">
      <c r="A118" s="489" t="s">
        <v>1155</v>
      </c>
      <c r="B118" s="490" t="str">
        <f t="shared" si="2"/>
        <v>111006010195</v>
      </c>
      <c r="C118" s="497"/>
      <c r="D118" s="492">
        <v>0</v>
      </c>
      <c r="E118" s="493">
        <v>0</v>
      </c>
      <c r="F118" s="494">
        <v>0</v>
      </c>
    </row>
    <row r="119" spans="1:6" hidden="1" x14ac:dyDescent="0.2">
      <c r="A119" s="489" t="s">
        <v>1156</v>
      </c>
      <c r="B119" s="490" t="str">
        <f t="shared" si="2"/>
        <v>111006010196</v>
      </c>
      <c r="C119" s="497"/>
      <c r="D119" s="492">
        <v>0</v>
      </c>
      <c r="E119" s="493">
        <v>0</v>
      </c>
      <c r="F119" s="494">
        <v>0</v>
      </c>
    </row>
    <row r="120" spans="1:6" hidden="1" x14ac:dyDescent="0.2">
      <c r="A120" s="489" t="s">
        <v>1157</v>
      </c>
      <c r="B120" s="490" t="str">
        <f t="shared" si="2"/>
        <v>111006010197</v>
      </c>
      <c r="C120" s="497"/>
      <c r="D120" s="492">
        <v>1555.93111</v>
      </c>
      <c r="E120" s="493">
        <v>0</v>
      </c>
      <c r="F120" s="494">
        <v>0</v>
      </c>
    </row>
    <row r="121" spans="1:6" hidden="1" x14ac:dyDescent="0.2">
      <c r="A121" s="489" t="s">
        <v>1158</v>
      </c>
      <c r="B121" s="490" t="str">
        <f t="shared" si="2"/>
        <v>111006010199</v>
      </c>
      <c r="C121" s="497"/>
      <c r="D121" s="492">
        <v>0</v>
      </c>
      <c r="E121" s="493">
        <v>0</v>
      </c>
      <c r="F121" s="494">
        <v>0</v>
      </c>
    </row>
    <row r="122" spans="1:6" hidden="1" x14ac:dyDescent="0.2">
      <c r="A122" s="489" t="s">
        <v>1159</v>
      </c>
      <c r="B122" s="490" t="str">
        <f t="shared" si="2"/>
        <v>111006010204</v>
      </c>
      <c r="C122" s="497"/>
      <c r="D122" s="492">
        <v>0</v>
      </c>
      <c r="E122" s="493">
        <v>0</v>
      </c>
      <c r="F122" s="494">
        <v>0</v>
      </c>
    </row>
    <row r="123" spans="1:6" hidden="1" x14ac:dyDescent="0.2">
      <c r="A123" s="489" t="s">
        <v>1160</v>
      </c>
      <c r="B123" s="490" t="str">
        <f t="shared" si="2"/>
        <v>111006010209</v>
      </c>
      <c r="C123" s="497"/>
      <c r="D123" s="492">
        <v>0</v>
      </c>
      <c r="E123" s="493">
        <v>0</v>
      </c>
      <c r="F123" s="494">
        <v>0</v>
      </c>
    </row>
    <row r="124" spans="1:6" hidden="1" x14ac:dyDescent="0.2">
      <c r="A124" s="489" t="s">
        <v>1161</v>
      </c>
      <c r="B124" s="490" t="str">
        <f t="shared" si="2"/>
        <v>111006010213</v>
      </c>
      <c r="C124" s="497"/>
      <c r="D124" s="492">
        <v>1109.5635</v>
      </c>
      <c r="E124" s="493">
        <v>0</v>
      </c>
      <c r="F124" s="494">
        <v>0</v>
      </c>
    </row>
    <row r="125" spans="1:6" hidden="1" x14ac:dyDescent="0.2">
      <c r="A125" s="489" t="s">
        <v>1162</v>
      </c>
      <c r="B125" s="490" t="str">
        <f t="shared" si="2"/>
        <v>111006010214</v>
      </c>
      <c r="C125" s="497"/>
      <c r="D125" s="492">
        <v>0</v>
      </c>
      <c r="E125" s="493">
        <v>0</v>
      </c>
      <c r="F125" s="494">
        <v>0</v>
      </c>
    </row>
    <row r="126" spans="1:6" hidden="1" x14ac:dyDescent="0.2">
      <c r="A126" s="489" t="s">
        <v>1163</v>
      </c>
      <c r="B126" s="490" t="str">
        <f t="shared" si="2"/>
        <v>111006010216</v>
      </c>
      <c r="C126" s="497"/>
      <c r="D126" s="492">
        <v>0</v>
      </c>
      <c r="E126" s="493">
        <v>0</v>
      </c>
      <c r="F126" s="494">
        <v>0</v>
      </c>
    </row>
    <row r="127" spans="1:6" hidden="1" x14ac:dyDescent="0.2">
      <c r="A127" s="489" t="s">
        <v>1164</v>
      </c>
      <c r="B127" s="490" t="str">
        <f t="shared" si="2"/>
        <v>111006010222</v>
      </c>
      <c r="C127" s="497"/>
      <c r="D127" s="492">
        <v>0</v>
      </c>
      <c r="E127" s="493">
        <v>0</v>
      </c>
      <c r="F127" s="494">
        <v>0</v>
      </c>
    </row>
    <row r="128" spans="1:6" hidden="1" x14ac:dyDescent="0.2">
      <c r="A128" s="489" t="s">
        <v>1165</v>
      </c>
      <c r="B128" s="490" t="str">
        <f t="shared" si="2"/>
        <v>111006010224</v>
      </c>
      <c r="C128" s="497"/>
      <c r="D128" s="492">
        <v>0</v>
      </c>
      <c r="E128" s="493">
        <v>0</v>
      </c>
      <c r="F128" s="494">
        <v>0</v>
      </c>
    </row>
    <row r="129" spans="1:6" hidden="1" x14ac:dyDescent="0.2">
      <c r="A129" s="489" t="s">
        <v>1166</v>
      </c>
      <c r="B129" s="490" t="str">
        <f t="shared" si="2"/>
        <v>111006010227</v>
      </c>
      <c r="C129" s="497"/>
      <c r="D129" s="492">
        <v>0</v>
      </c>
      <c r="E129" s="493">
        <v>0</v>
      </c>
      <c r="F129" s="494">
        <v>0</v>
      </c>
    </row>
    <row r="130" spans="1:6" hidden="1" x14ac:dyDescent="0.2">
      <c r="A130" s="489" t="s">
        <v>1167</v>
      </c>
      <c r="B130" s="490" t="str">
        <f t="shared" si="2"/>
        <v>111006010234</v>
      </c>
      <c r="C130" s="497"/>
      <c r="D130" s="492">
        <v>0</v>
      </c>
      <c r="E130" s="493">
        <v>0</v>
      </c>
      <c r="F130" s="494">
        <v>0</v>
      </c>
    </row>
    <row r="131" spans="1:6" hidden="1" x14ac:dyDescent="0.2">
      <c r="A131" s="498" t="s">
        <v>1168</v>
      </c>
      <c r="B131" s="490" t="str">
        <f t="shared" si="2"/>
        <v>111006010252</v>
      </c>
      <c r="C131" s="497"/>
      <c r="D131" s="492">
        <v>10.85528</v>
      </c>
      <c r="E131" s="493">
        <v>0</v>
      </c>
      <c r="F131" s="494">
        <v>0</v>
      </c>
    </row>
    <row r="132" spans="1:6" hidden="1" x14ac:dyDescent="0.2">
      <c r="A132" s="498" t="s">
        <v>1169</v>
      </c>
      <c r="B132" s="490" t="str">
        <f t="shared" si="2"/>
        <v>111006010253</v>
      </c>
      <c r="C132" s="497"/>
      <c r="D132" s="492">
        <v>0</v>
      </c>
      <c r="E132" s="493">
        <v>0</v>
      </c>
      <c r="F132" s="494">
        <v>0</v>
      </c>
    </row>
    <row r="133" spans="1:6" hidden="1" x14ac:dyDescent="0.2">
      <c r="A133" s="489" t="s">
        <v>1170</v>
      </c>
      <c r="B133" s="490" t="str">
        <f t="shared" si="2"/>
        <v>111006010254</v>
      </c>
      <c r="C133" s="497"/>
      <c r="D133" s="492">
        <v>0</v>
      </c>
      <c r="E133" s="493">
        <v>0</v>
      </c>
      <c r="F133" s="494">
        <v>0</v>
      </c>
    </row>
    <row r="134" spans="1:6" hidden="1" x14ac:dyDescent="0.2">
      <c r="A134" s="489" t="s">
        <v>1171</v>
      </c>
      <c r="B134" s="490" t="str">
        <f t="shared" si="2"/>
        <v>111006010255</v>
      </c>
      <c r="C134" s="497"/>
      <c r="D134" s="492">
        <v>0</v>
      </c>
      <c r="E134" s="493">
        <v>0</v>
      </c>
      <c r="F134" s="494">
        <v>0</v>
      </c>
    </row>
    <row r="135" spans="1:6" hidden="1" x14ac:dyDescent="0.2">
      <c r="A135" s="489" t="s">
        <v>1172</v>
      </c>
      <c r="B135" s="490" t="str">
        <f t="shared" si="2"/>
        <v>111006010257</v>
      </c>
      <c r="C135" s="497"/>
      <c r="D135" s="492">
        <v>0</v>
      </c>
      <c r="E135" s="493">
        <v>0</v>
      </c>
      <c r="F135" s="494">
        <v>0</v>
      </c>
    </row>
    <row r="136" spans="1:6" hidden="1" x14ac:dyDescent="0.2">
      <c r="A136" s="498" t="s">
        <v>1173</v>
      </c>
      <c r="B136" s="490" t="str">
        <f t="shared" si="2"/>
        <v>111006010271</v>
      </c>
      <c r="C136" s="497"/>
      <c r="D136" s="492">
        <v>0</v>
      </c>
      <c r="E136" s="493">
        <v>0</v>
      </c>
      <c r="F136" s="494">
        <v>0</v>
      </c>
    </row>
    <row r="137" spans="1:6" hidden="1" x14ac:dyDescent="0.2">
      <c r="A137" s="498" t="s">
        <v>1174</v>
      </c>
      <c r="B137" s="490" t="str">
        <f t="shared" si="2"/>
        <v>111006010273</v>
      </c>
      <c r="C137" s="497"/>
      <c r="D137" s="492">
        <v>21.39602</v>
      </c>
      <c r="E137" s="493">
        <v>0</v>
      </c>
      <c r="F137" s="494">
        <v>0</v>
      </c>
    </row>
    <row r="138" spans="1:6" hidden="1" x14ac:dyDescent="0.2">
      <c r="A138" s="489" t="s">
        <v>1175</v>
      </c>
      <c r="B138" s="490" t="str">
        <f t="shared" si="2"/>
        <v>111006010291</v>
      </c>
      <c r="C138" s="497"/>
      <c r="D138" s="492">
        <v>10.48643</v>
      </c>
      <c r="E138" s="493">
        <v>0</v>
      </c>
      <c r="F138" s="494">
        <v>0</v>
      </c>
    </row>
    <row r="139" spans="1:6" hidden="1" x14ac:dyDescent="0.2">
      <c r="A139" s="498" t="s">
        <v>1176</v>
      </c>
      <c r="B139" s="496" t="str">
        <f t="shared" si="2"/>
        <v>111006010298</v>
      </c>
      <c r="C139" s="497"/>
      <c r="D139" s="492">
        <v>41.044269999999997</v>
      </c>
      <c r="E139" s="493">
        <v>0</v>
      </c>
      <c r="F139" s="494">
        <v>0</v>
      </c>
    </row>
    <row r="140" spans="1:6" hidden="1" x14ac:dyDescent="0.2">
      <c r="A140" s="498" t="s">
        <v>1177</v>
      </c>
      <c r="B140" s="496" t="str">
        <f t="shared" si="2"/>
        <v>111006020101</v>
      </c>
      <c r="C140" s="497"/>
      <c r="D140" s="492">
        <v>0</v>
      </c>
      <c r="E140" s="493">
        <v>0</v>
      </c>
      <c r="F140" s="494">
        <v>0</v>
      </c>
    </row>
    <row r="141" spans="1:6" hidden="1" x14ac:dyDescent="0.2">
      <c r="A141" s="498" t="s">
        <v>1178</v>
      </c>
      <c r="B141" s="500" t="s">
        <v>1178</v>
      </c>
      <c r="C141" s="497"/>
      <c r="D141" s="492">
        <v>181.67804000000001</v>
      </c>
      <c r="E141" s="493">
        <v>0</v>
      </c>
      <c r="F141" s="494">
        <v>0</v>
      </c>
    </row>
    <row r="142" spans="1:6" hidden="1" x14ac:dyDescent="0.2">
      <c r="A142" s="498" t="s">
        <v>1179</v>
      </c>
      <c r="B142" s="500" t="s">
        <v>1179</v>
      </c>
      <c r="C142" s="497"/>
      <c r="D142" s="492">
        <v>85.810199999999995</v>
      </c>
      <c r="E142" s="493">
        <v>0</v>
      </c>
      <c r="F142" s="494">
        <v>0</v>
      </c>
    </row>
    <row r="143" spans="1:6" hidden="1" x14ac:dyDescent="0.2">
      <c r="A143" s="489" t="s">
        <v>1180</v>
      </c>
      <c r="B143" s="499" t="s">
        <v>1180</v>
      </c>
      <c r="C143" s="497"/>
      <c r="D143" s="492">
        <v>3000</v>
      </c>
      <c r="E143" s="493">
        <v>0</v>
      </c>
      <c r="F143" s="494">
        <v>0</v>
      </c>
    </row>
    <row r="144" spans="1:6" hidden="1" x14ac:dyDescent="0.2">
      <c r="A144" s="498" t="s">
        <v>1181</v>
      </c>
      <c r="B144" s="500" t="s">
        <v>1181</v>
      </c>
      <c r="C144" s="497"/>
      <c r="D144" s="492">
        <v>11000</v>
      </c>
      <c r="E144" s="493">
        <v>0</v>
      </c>
      <c r="F144" s="494">
        <v>0</v>
      </c>
    </row>
    <row r="145" spans="1:6" hidden="1" x14ac:dyDescent="0.2">
      <c r="A145" s="489" t="s">
        <v>1182</v>
      </c>
      <c r="B145" s="499" t="s">
        <v>1182</v>
      </c>
      <c r="C145" s="497"/>
      <c r="D145" s="492">
        <v>2.3749699999999998</v>
      </c>
      <c r="E145" s="493">
        <v>0</v>
      </c>
      <c r="F145" s="494">
        <v>0</v>
      </c>
    </row>
    <row r="146" spans="1:6" hidden="1" x14ac:dyDescent="0.2">
      <c r="A146" s="498" t="s">
        <v>1183</v>
      </c>
      <c r="B146" s="496" t="s">
        <v>1183</v>
      </c>
      <c r="C146" s="497"/>
      <c r="D146" s="492">
        <v>0</v>
      </c>
      <c r="E146" s="493">
        <v>0</v>
      </c>
      <c r="F146" s="494">
        <v>0</v>
      </c>
    </row>
    <row r="147" spans="1:6" ht="14.25" hidden="1" customHeight="1" x14ac:dyDescent="0.2">
      <c r="A147" s="498" t="s">
        <v>1184</v>
      </c>
      <c r="B147" s="500" t="s">
        <v>1184</v>
      </c>
      <c r="C147" s="497"/>
      <c r="D147" s="492">
        <v>0</v>
      </c>
      <c r="E147" s="493">
        <v>0</v>
      </c>
      <c r="F147" s="494">
        <v>0</v>
      </c>
    </row>
    <row r="148" spans="1:6" ht="14.25" hidden="1" customHeight="1" x14ac:dyDescent="0.2">
      <c r="A148" s="498" t="s">
        <v>1185</v>
      </c>
      <c r="B148" s="496" t="str">
        <f>A148</f>
        <v>111006020136</v>
      </c>
      <c r="C148" s="497"/>
      <c r="D148" s="492">
        <v>0</v>
      </c>
      <c r="E148" s="493">
        <v>0</v>
      </c>
      <c r="F148" s="494">
        <v>0</v>
      </c>
    </row>
    <row r="149" spans="1:6" ht="14.25" hidden="1" customHeight="1" x14ac:dyDescent="0.2">
      <c r="A149" s="498" t="s">
        <v>1186</v>
      </c>
      <c r="B149" s="496" t="str">
        <f>A149</f>
        <v>111006020137</v>
      </c>
      <c r="C149" s="497"/>
      <c r="D149" s="492">
        <v>0</v>
      </c>
      <c r="E149" s="493">
        <v>0</v>
      </c>
      <c r="F149" s="494">
        <v>0</v>
      </c>
    </row>
    <row r="150" spans="1:6" ht="14.25" hidden="1" customHeight="1" x14ac:dyDescent="0.2">
      <c r="A150" s="498" t="s">
        <v>1187</v>
      </c>
      <c r="B150" s="496" t="str">
        <f>A150</f>
        <v>111006020144</v>
      </c>
      <c r="C150" s="497"/>
      <c r="D150" s="492">
        <v>0</v>
      </c>
      <c r="E150" s="493">
        <v>0</v>
      </c>
      <c r="F150" s="494">
        <v>0</v>
      </c>
    </row>
    <row r="151" spans="1:6" ht="14.25" hidden="1" customHeight="1" x14ac:dyDescent="0.2">
      <c r="A151" s="498" t="s">
        <v>1188</v>
      </c>
      <c r="B151" s="490" t="str">
        <f>A151</f>
        <v>111006020173</v>
      </c>
      <c r="C151" s="497"/>
      <c r="D151" s="492">
        <v>0</v>
      </c>
      <c r="E151" s="493">
        <v>0</v>
      </c>
      <c r="F151" s="494">
        <v>0</v>
      </c>
    </row>
    <row r="152" spans="1:6" ht="14.25" hidden="1" customHeight="1" x14ac:dyDescent="0.2">
      <c r="A152" s="489" t="s">
        <v>1189</v>
      </c>
      <c r="B152" s="499" t="s">
        <v>1189</v>
      </c>
      <c r="C152" s="497"/>
      <c r="D152" s="492">
        <v>3987.1259300000002</v>
      </c>
      <c r="E152" s="493">
        <v>0</v>
      </c>
      <c r="F152" s="494">
        <v>0</v>
      </c>
    </row>
    <row r="153" spans="1:6" ht="14.25" hidden="1" customHeight="1" x14ac:dyDescent="0.2">
      <c r="A153" s="498" t="s">
        <v>1190</v>
      </c>
      <c r="B153" s="496" t="str">
        <f>A153</f>
        <v>111006020198</v>
      </c>
      <c r="C153" s="497"/>
      <c r="D153" s="492">
        <v>0</v>
      </c>
      <c r="E153" s="493">
        <v>0</v>
      </c>
      <c r="F153" s="494">
        <v>0</v>
      </c>
    </row>
    <row r="154" spans="1:6" ht="14.25" hidden="1" customHeight="1" x14ac:dyDescent="0.2">
      <c r="A154" s="498" t="s">
        <v>1191</v>
      </c>
      <c r="B154" s="496" t="str">
        <f>A154</f>
        <v>111006020213</v>
      </c>
      <c r="C154" s="497"/>
      <c r="D154" s="492">
        <v>4113.03593</v>
      </c>
      <c r="E154" s="493">
        <v>0</v>
      </c>
      <c r="F154" s="494">
        <v>0</v>
      </c>
    </row>
    <row r="155" spans="1:6" ht="15" hidden="1" customHeight="1" x14ac:dyDescent="0.2">
      <c r="A155" s="498" t="s">
        <v>1192</v>
      </c>
      <c r="B155" s="496" t="str">
        <f>A155</f>
        <v>1110069901</v>
      </c>
      <c r="C155" s="497"/>
      <c r="D155" s="492">
        <v>90.924059999999997</v>
      </c>
      <c r="E155" s="493">
        <v>0</v>
      </c>
      <c r="F155" s="494">
        <v>0</v>
      </c>
    </row>
    <row r="156" spans="1:6" ht="15" hidden="1" customHeight="1" x14ac:dyDescent="0.2">
      <c r="A156" s="489" t="s">
        <v>1193</v>
      </c>
      <c r="B156" s="496" t="str">
        <f>A156</f>
        <v>1110069902</v>
      </c>
      <c r="C156" s="497"/>
      <c r="D156" s="492">
        <v>0</v>
      </c>
      <c r="E156" s="493">
        <v>0</v>
      </c>
      <c r="F156" s="494">
        <v>0</v>
      </c>
    </row>
    <row r="157" spans="1:6" ht="15" customHeight="1" x14ac:dyDescent="0.2">
      <c r="A157" s="489"/>
      <c r="B157" s="490"/>
      <c r="C157" s="497"/>
      <c r="D157" s="492"/>
      <c r="E157" s="493"/>
      <c r="F157" s="494"/>
    </row>
    <row r="158" spans="1:6" ht="15.75" customHeight="1" x14ac:dyDescent="0.2">
      <c r="A158" s="489"/>
      <c r="B158" s="490" t="s">
        <v>192</v>
      </c>
      <c r="C158" s="497" t="s">
        <v>1194</v>
      </c>
      <c r="D158" s="492">
        <v>0</v>
      </c>
      <c r="E158" s="493">
        <v>-0.5</v>
      </c>
      <c r="F158" s="494">
        <f>+D158*E158</f>
        <v>0</v>
      </c>
    </row>
    <row r="159" spans="1:6" ht="15" hidden="1" customHeight="1" x14ac:dyDescent="0.2">
      <c r="A159" s="498" t="s">
        <v>1070</v>
      </c>
      <c r="B159" s="496" t="str">
        <f>A159</f>
        <v>111006010101</v>
      </c>
      <c r="C159" s="497"/>
      <c r="D159" s="492">
        <v>622.11965999999995</v>
      </c>
      <c r="E159" s="493">
        <v>0</v>
      </c>
      <c r="F159" s="494">
        <v>0</v>
      </c>
    </row>
    <row r="160" spans="1:6" ht="15" hidden="1" customHeight="1" x14ac:dyDescent="0.2">
      <c r="A160" s="498" t="s">
        <v>1074</v>
      </c>
      <c r="B160" s="496" t="str">
        <f>A160</f>
        <v>111006010105</v>
      </c>
      <c r="C160" s="497"/>
      <c r="D160" s="492">
        <v>405.33708000000001</v>
      </c>
      <c r="E160" s="493">
        <v>0</v>
      </c>
      <c r="F160" s="494">
        <v>0</v>
      </c>
    </row>
    <row r="161" spans="1:6" ht="15" hidden="1" customHeight="1" x14ac:dyDescent="0.2">
      <c r="A161" s="498" t="s">
        <v>1076</v>
      </c>
      <c r="B161" s="496" t="str">
        <f>A161</f>
        <v>111006010107</v>
      </c>
      <c r="C161" s="497"/>
      <c r="D161" s="492">
        <v>0</v>
      </c>
      <c r="E161" s="493">
        <v>0</v>
      </c>
      <c r="F161" s="494">
        <v>0</v>
      </c>
    </row>
    <row r="162" spans="1:6" ht="15" hidden="1" customHeight="1" x14ac:dyDescent="0.2">
      <c r="A162" s="498" t="s">
        <v>1080</v>
      </c>
      <c r="B162" s="500" t="s">
        <v>1080</v>
      </c>
      <c r="C162" s="497"/>
      <c r="D162" s="492">
        <v>134.38497000000001</v>
      </c>
      <c r="E162" s="493">
        <v>0</v>
      </c>
      <c r="F162" s="494">
        <v>0</v>
      </c>
    </row>
    <row r="163" spans="1:6" ht="15" hidden="1" customHeight="1" x14ac:dyDescent="0.2">
      <c r="A163" s="498" t="s">
        <v>1081</v>
      </c>
      <c r="B163" s="496" t="str">
        <f>A163</f>
        <v>111006010112</v>
      </c>
      <c r="C163" s="497"/>
      <c r="D163" s="492">
        <v>-41.588000000000001</v>
      </c>
      <c r="E163" s="493">
        <v>0</v>
      </c>
      <c r="F163" s="494">
        <v>0</v>
      </c>
    </row>
    <row r="164" spans="1:6" ht="15" hidden="1" customHeight="1" x14ac:dyDescent="0.2">
      <c r="A164" s="489" t="s">
        <v>1082</v>
      </c>
      <c r="B164" s="499" t="s">
        <v>1082</v>
      </c>
      <c r="C164" s="497"/>
      <c r="D164" s="492">
        <v>0</v>
      </c>
      <c r="E164" s="493">
        <v>0</v>
      </c>
      <c r="F164" s="494">
        <v>0</v>
      </c>
    </row>
    <row r="165" spans="1:6" ht="15" hidden="1" customHeight="1" x14ac:dyDescent="0.2">
      <c r="A165" s="498" t="s">
        <v>1084</v>
      </c>
      <c r="B165" s="500" t="s">
        <v>1084</v>
      </c>
      <c r="C165" s="497"/>
      <c r="D165" s="492">
        <v>0</v>
      </c>
      <c r="E165" s="493">
        <v>0</v>
      </c>
      <c r="F165" s="494">
        <v>0</v>
      </c>
    </row>
    <row r="166" spans="1:6" ht="15" hidden="1" customHeight="1" x14ac:dyDescent="0.2">
      <c r="A166" s="489" t="s">
        <v>1085</v>
      </c>
      <c r="B166" s="499" t="s">
        <v>1085</v>
      </c>
      <c r="C166" s="497"/>
      <c r="D166" s="492">
        <v>0</v>
      </c>
      <c r="E166" s="493">
        <v>0</v>
      </c>
      <c r="F166" s="494">
        <v>0</v>
      </c>
    </row>
    <row r="167" spans="1:6" ht="15" hidden="1" customHeight="1" x14ac:dyDescent="0.2">
      <c r="A167" s="498" t="s">
        <v>1086</v>
      </c>
      <c r="B167" s="496" t="str">
        <f>A167</f>
        <v>111006010117</v>
      </c>
      <c r="C167" s="497"/>
      <c r="D167" s="492">
        <v>0.50949</v>
      </c>
      <c r="E167" s="493">
        <v>0</v>
      </c>
      <c r="F167" s="494">
        <v>0</v>
      </c>
    </row>
    <row r="168" spans="1:6" ht="15" hidden="1" customHeight="1" x14ac:dyDescent="0.2">
      <c r="A168" s="498" t="s">
        <v>1087</v>
      </c>
      <c r="B168" s="496" t="str">
        <f>A168</f>
        <v>111006010118</v>
      </c>
      <c r="C168" s="497"/>
      <c r="D168" s="492">
        <v>0</v>
      </c>
      <c r="E168" s="493">
        <v>0</v>
      </c>
      <c r="F168" s="494">
        <v>0</v>
      </c>
    </row>
    <row r="169" spans="1:6" ht="15" hidden="1" customHeight="1" x14ac:dyDescent="0.2">
      <c r="A169" s="498" t="s">
        <v>1089</v>
      </c>
      <c r="B169" s="496" t="str">
        <f>A169</f>
        <v>111006010120</v>
      </c>
      <c r="C169" s="497"/>
      <c r="D169" s="492">
        <v>10.44853</v>
      </c>
      <c r="E169" s="493">
        <v>0</v>
      </c>
      <c r="F169" s="494">
        <v>0</v>
      </c>
    </row>
    <row r="170" spans="1:6" ht="15" hidden="1" customHeight="1" x14ac:dyDescent="0.2">
      <c r="A170" s="498" t="s">
        <v>1092</v>
      </c>
      <c r="B170" s="500" t="s">
        <v>1092</v>
      </c>
      <c r="C170" s="497"/>
      <c r="D170" s="492">
        <v>0</v>
      </c>
      <c r="E170" s="493">
        <v>0</v>
      </c>
      <c r="F170" s="494">
        <v>0</v>
      </c>
    </row>
    <row r="171" spans="1:6" ht="15" hidden="1" customHeight="1" x14ac:dyDescent="0.2">
      <c r="A171" s="489" t="s">
        <v>1093</v>
      </c>
      <c r="B171" s="499" t="s">
        <v>1093</v>
      </c>
      <c r="C171" s="497"/>
      <c r="D171" s="492">
        <v>-944.95681999999999</v>
      </c>
      <c r="E171" s="493">
        <v>0</v>
      </c>
      <c r="F171" s="494">
        <v>0</v>
      </c>
    </row>
    <row r="172" spans="1:6" ht="15" hidden="1" customHeight="1" x14ac:dyDescent="0.2">
      <c r="A172" s="498" t="s">
        <v>1088</v>
      </c>
      <c r="B172" s="496" t="str">
        <f t="shared" ref="B172:B182" si="3">A172</f>
        <v>111006010119</v>
      </c>
      <c r="C172" s="497"/>
      <c r="D172" s="492">
        <v>0</v>
      </c>
      <c r="E172" s="493">
        <v>0</v>
      </c>
      <c r="F172" s="494">
        <v>0</v>
      </c>
    </row>
    <row r="173" spans="1:6" ht="15" hidden="1" customHeight="1" x14ac:dyDescent="0.2">
      <c r="A173" s="498" t="s">
        <v>1100</v>
      </c>
      <c r="B173" s="496" t="str">
        <f t="shared" si="3"/>
        <v>111006010131</v>
      </c>
      <c r="C173" s="497"/>
      <c r="D173" s="492">
        <v>1.4999999999999999E-2</v>
      </c>
      <c r="E173" s="493">
        <v>0</v>
      </c>
      <c r="F173" s="494">
        <v>0</v>
      </c>
    </row>
    <row r="174" spans="1:6" ht="15" hidden="1" customHeight="1" x14ac:dyDescent="0.2">
      <c r="A174" s="498" t="s">
        <v>1101</v>
      </c>
      <c r="B174" s="496" t="str">
        <f t="shared" si="3"/>
        <v>111006010132</v>
      </c>
      <c r="C174" s="497"/>
      <c r="D174" s="492">
        <v>0</v>
      </c>
      <c r="E174" s="493">
        <v>0</v>
      </c>
      <c r="F174" s="494">
        <v>0</v>
      </c>
    </row>
    <row r="175" spans="1:6" ht="15" hidden="1" customHeight="1" x14ac:dyDescent="0.2">
      <c r="A175" s="498" t="s">
        <v>1102</v>
      </c>
      <c r="B175" s="496" t="str">
        <f t="shared" si="3"/>
        <v>111006010133</v>
      </c>
      <c r="C175" s="497"/>
      <c r="D175" s="492">
        <v>1887.3162</v>
      </c>
      <c r="E175" s="493">
        <v>0</v>
      </c>
      <c r="F175" s="494">
        <v>0</v>
      </c>
    </row>
    <row r="176" spans="1:6" ht="15" hidden="1" customHeight="1" x14ac:dyDescent="0.2">
      <c r="A176" s="498" t="s">
        <v>1105</v>
      </c>
      <c r="B176" s="496" t="str">
        <f t="shared" si="3"/>
        <v>111006010136</v>
      </c>
      <c r="C176" s="497"/>
      <c r="D176" s="492">
        <v>0.55008999999999997</v>
      </c>
      <c r="E176" s="493">
        <v>0</v>
      </c>
      <c r="F176" s="494">
        <v>0</v>
      </c>
    </row>
    <row r="177" spans="1:6" ht="15" hidden="1" customHeight="1" x14ac:dyDescent="0.2">
      <c r="A177" s="498" t="s">
        <v>1106</v>
      </c>
      <c r="B177" s="496" t="str">
        <f t="shared" si="3"/>
        <v>111006010137</v>
      </c>
      <c r="C177" s="497"/>
      <c r="D177" s="492">
        <v>1857.7452800000001</v>
      </c>
      <c r="E177" s="493">
        <v>0</v>
      </c>
      <c r="F177" s="494">
        <v>0</v>
      </c>
    </row>
    <row r="178" spans="1:6" ht="15" hidden="1" customHeight="1" x14ac:dyDescent="0.2">
      <c r="A178" s="498" t="s">
        <v>1110</v>
      </c>
      <c r="B178" s="496" t="str">
        <f t="shared" si="3"/>
        <v>111006010141</v>
      </c>
      <c r="C178" s="497"/>
      <c r="D178" s="492">
        <v>76.142110000000002</v>
      </c>
      <c r="E178" s="493">
        <v>0</v>
      </c>
      <c r="F178" s="494">
        <v>0</v>
      </c>
    </row>
    <row r="179" spans="1:6" ht="15" hidden="1" customHeight="1" x14ac:dyDescent="0.2">
      <c r="A179" s="498" t="s">
        <v>1113</v>
      </c>
      <c r="B179" s="496" t="str">
        <f t="shared" si="3"/>
        <v>111006010144</v>
      </c>
      <c r="C179" s="497"/>
      <c r="D179" s="492">
        <v>0</v>
      </c>
      <c r="E179" s="493">
        <v>0</v>
      </c>
      <c r="F179" s="494">
        <v>0</v>
      </c>
    </row>
    <row r="180" spans="1:6" ht="15" hidden="1" customHeight="1" x14ac:dyDescent="0.2">
      <c r="A180" s="498" t="s">
        <v>1114</v>
      </c>
      <c r="B180" s="496" t="str">
        <f t="shared" si="3"/>
        <v>111006010145</v>
      </c>
      <c r="C180" s="497"/>
      <c r="D180" s="492">
        <v>0</v>
      </c>
      <c r="E180" s="493">
        <v>0</v>
      </c>
      <c r="F180" s="494">
        <v>0</v>
      </c>
    </row>
    <row r="181" spans="1:6" ht="15" hidden="1" customHeight="1" x14ac:dyDescent="0.2">
      <c r="A181" s="498" t="s">
        <v>1115</v>
      </c>
      <c r="B181" s="496" t="str">
        <f t="shared" si="3"/>
        <v>111006010146</v>
      </c>
      <c r="C181" s="497"/>
      <c r="D181" s="492">
        <v>56.796979999999998</v>
      </c>
      <c r="E181" s="493">
        <v>0</v>
      </c>
      <c r="F181" s="494">
        <v>0</v>
      </c>
    </row>
    <row r="182" spans="1:6" ht="15" hidden="1" customHeight="1" x14ac:dyDescent="0.2">
      <c r="A182" s="498" t="s">
        <v>1119</v>
      </c>
      <c r="B182" s="496" t="str">
        <f t="shared" si="3"/>
        <v>111006010150</v>
      </c>
      <c r="C182" s="497"/>
      <c r="D182" s="492">
        <v>-3.5009999999999999</v>
      </c>
      <c r="E182" s="493">
        <v>0</v>
      </c>
      <c r="F182" s="494">
        <v>0</v>
      </c>
    </row>
    <row r="183" spans="1:6" ht="15" hidden="1" customHeight="1" x14ac:dyDescent="0.2">
      <c r="A183" s="489" t="s">
        <v>1125</v>
      </c>
      <c r="B183" s="499" t="s">
        <v>1125</v>
      </c>
      <c r="C183" s="497"/>
      <c r="D183" s="492">
        <v>0</v>
      </c>
      <c r="E183" s="493">
        <v>0</v>
      </c>
      <c r="F183" s="494">
        <v>0</v>
      </c>
    </row>
    <row r="184" spans="1:6" ht="15" hidden="1" customHeight="1" x14ac:dyDescent="0.2">
      <c r="A184" s="498" t="s">
        <v>1120</v>
      </c>
      <c r="B184" s="496" t="str">
        <f>A184</f>
        <v>111006010151</v>
      </c>
      <c r="C184" s="497"/>
      <c r="D184" s="492">
        <v>771.49510999999995</v>
      </c>
      <c r="E184" s="493">
        <v>0</v>
      </c>
      <c r="F184" s="494">
        <v>0</v>
      </c>
    </row>
    <row r="185" spans="1:6" ht="15" hidden="1" customHeight="1" x14ac:dyDescent="0.2">
      <c r="A185" s="489" t="s">
        <v>1128</v>
      </c>
      <c r="B185" s="490" t="s">
        <v>1128</v>
      </c>
      <c r="C185" s="497"/>
      <c r="D185" s="492">
        <v>4.0928100000000001</v>
      </c>
      <c r="E185" s="493">
        <v>0</v>
      </c>
      <c r="F185" s="494">
        <v>0</v>
      </c>
    </row>
    <row r="186" spans="1:6" ht="15" hidden="1" customHeight="1" x14ac:dyDescent="0.2">
      <c r="A186" s="489" t="s">
        <v>1133</v>
      </c>
      <c r="B186" s="499" t="s">
        <v>1133</v>
      </c>
      <c r="C186" s="497"/>
      <c r="D186" s="492">
        <v>144.65468999999999</v>
      </c>
      <c r="E186" s="493">
        <v>0</v>
      </c>
      <c r="F186" s="494">
        <v>0</v>
      </c>
    </row>
    <row r="187" spans="1:6" ht="15" hidden="1" customHeight="1" x14ac:dyDescent="0.2">
      <c r="A187" s="498" t="s">
        <v>1138</v>
      </c>
      <c r="B187" s="496" t="str">
        <f>A187</f>
        <v>111006010172</v>
      </c>
      <c r="C187" s="497"/>
      <c r="D187" s="492">
        <v>0</v>
      </c>
      <c r="E187" s="493">
        <v>0</v>
      </c>
      <c r="F187" s="494">
        <v>0</v>
      </c>
    </row>
    <row r="188" spans="1:6" ht="15" hidden="1" customHeight="1" x14ac:dyDescent="0.2">
      <c r="A188" s="498" t="s">
        <v>1140</v>
      </c>
      <c r="B188" s="496" t="str">
        <f>A188</f>
        <v>111006010175</v>
      </c>
      <c r="C188" s="497"/>
      <c r="D188" s="492">
        <v>4906.3112799999999</v>
      </c>
      <c r="E188" s="493">
        <v>0</v>
      </c>
      <c r="F188" s="494">
        <v>0</v>
      </c>
    </row>
    <row r="189" spans="1:6" ht="15" hidden="1" customHeight="1" x14ac:dyDescent="0.2">
      <c r="A189" s="498" t="s">
        <v>1146</v>
      </c>
      <c r="B189" s="500" t="s">
        <v>1146</v>
      </c>
      <c r="C189" s="497"/>
      <c r="D189" s="492">
        <v>865.23397999999997</v>
      </c>
      <c r="E189" s="493">
        <v>0</v>
      </c>
      <c r="F189" s="494">
        <v>0</v>
      </c>
    </row>
    <row r="190" spans="1:6" ht="15" hidden="1" customHeight="1" x14ac:dyDescent="0.2">
      <c r="A190" s="498" t="s">
        <v>1150</v>
      </c>
      <c r="B190" s="496" t="str">
        <f t="shared" ref="B190:B197" si="4">A190</f>
        <v>111006010190</v>
      </c>
      <c r="C190" s="497"/>
      <c r="D190" s="492">
        <v>0</v>
      </c>
      <c r="E190" s="493">
        <v>0</v>
      </c>
      <c r="F190" s="494">
        <v>0</v>
      </c>
    </row>
    <row r="191" spans="1:6" ht="15" hidden="1" customHeight="1" x14ac:dyDescent="0.2">
      <c r="A191" s="498" t="s">
        <v>1153</v>
      </c>
      <c r="B191" s="496" t="str">
        <f t="shared" si="4"/>
        <v>111006010193</v>
      </c>
      <c r="C191" s="497"/>
      <c r="D191" s="492">
        <v>-3.7835100000000002</v>
      </c>
      <c r="E191" s="493">
        <v>0</v>
      </c>
      <c r="F191" s="494">
        <v>0</v>
      </c>
    </row>
    <row r="192" spans="1:6" ht="15" hidden="1" customHeight="1" x14ac:dyDescent="0.2">
      <c r="A192" s="498" t="s">
        <v>1156</v>
      </c>
      <c r="B192" s="496" t="str">
        <f t="shared" si="4"/>
        <v>111006010196</v>
      </c>
      <c r="C192" s="497"/>
      <c r="D192" s="492">
        <v>0</v>
      </c>
      <c r="E192" s="493">
        <v>0</v>
      </c>
      <c r="F192" s="494">
        <v>0</v>
      </c>
    </row>
    <row r="193" spans="1:6" ht="15" hidden="1" customHeight="1" x14ac:dyDescent="0.2">
      <c r="A193" s="498" t="s">
        <v>1157</v>
      </c>
      <c r="B193" s="496" t="str">
        <f t="shared" si="4"/>
        <v>111006010197</v>
      </c>
      <c r="C193" s="497"/>
      <c r="D193" s="492">
        <v>1555.93111</v>
      </c>
      <c r="E193" s="493">
        <v>0</v>
      </c>
      <c r="F193" s="494">
        <v>0</v>
      </c>
    </row>
    <row r="194" spans="1:6" ht="15" hidden="1" customHeight="1" x14ac:dyDescent="0.2">
      <c r="A194" s="498" t="s">
        <v>1160</v>
      </c>
      <c r="B194" s="496" t="str">
        <f t="shared" si="4"/>
        <v>111006010209</v>
      </c>
      <c r="C194" s="497"/>
      <c r="D194" s="492">
        <v>0</v>
      </c>
      <c r="E194" s="493">
        <v>0</v>
      </c>
      <c r="F194" s="494">
        <v>0</v>
      </c>
    </row>
    <row r="195" spans="1:6" ht="15" hidden="1" customHeight="1" x14ac:dyDescent="0.2">
      <c r="A195" s="498" t="s">
        <v>1161</v>
      </c>
      <c r="B195" s="496" t="str">
        <f t="shared" si="4"/>
        <v>111006010213</v>
      </c>
      <c r="C195" s="497"/>
      <c r="D195" s="492">
        <v>1109.5635</v>
      </c>
      <c r="E195" s="493">
        <v>0</v>
      </c>
      <c r="F195" s="494">
        <v>0</v>
      </c>
    </row>
    <row r="196" spans="1:6" ht="15" hidden="1" customHeight="1" x14ac:dyDescent="0.2">
      <c r="A196" s="498" t="s">
        <v>1175</v>
      </c>
      <c r="B196" s="496" t="str">
        <f t="shared" si="4"/>
        <v>111006010291</v>
      </c>
      <c r="C196" s="497"/>
      <c r="D196" s="492">
        <v>10.48643</v>
      </c>
      <c r="E196" s="493">
        <v>0</v>
      </c>
      <c r="F196" s="494">
        <v>0</v>
      </c>
    </row>
    <row r="197" spans="1:6" ht="15" hidden="1" customHeight="1" x14ac:dyDescent="0.2">
      <c r="A197" s="498" t="s">
        <v>1177</v>
      </c>
      <c r="B197" s="496" t="str">
        <f t="shared" si="4"/>
        <v>111006020101</v>
      </c>
      <c r="C197" s="497"/>
      <c r="D197" s="492">
        <v>0</v>
      </c>
      <c r="E197" s="493">
        <v>0</v>
      </c>
      <c r="F197" s="494">
        <v>0</v>
      </c>
    </row>
    <row r="198" spans="1:6" ht="15" hidden="1" customHeight="1" x14ac:dyDescent="0.2">
      <c r="A198" s="498" t="s">
        <v>1178</v>
      </c>
      <c r="B198" s="500" t="s">
        <v>1178</v>
      </c>
      <c r="C198" s="497"/>
      <c r="D198" s="492">
        <v>181.67804000000001</v>
      </c>
      <c r="E198" s="493">
        <v>0</v>
      </c>
      <c r="F198" s="494">
        <v>0</v>
      </c>
    </row>
    <row r="199" spans="1:6" ht="15" hidden="1" customHeight="1" x14ac:dyDescent="0.2">
      <c r="A199" s="498" t="s">
        <v>1179</v>
      </c>
      <c r="B199" s="500" t="s">
        <v>1179</v>
      </c>
      <c r="C199" s="497"/>
      <c r="D199" s="492">
        <v>85.810199999999995</v>
      </c>
      <c r="E199" s="493">
        <v>0</v>
      </c>
      <c r="F199" s="494">
        <v>0</v>
      </c>
    </row>
    <row r="200" spans="1:6" ht="15" hidden="1" customHeight="1" x14ac:dyDescent="0.2">
      <c r="A200" s="498" t="s">
        <v>1195</v>
      </c>
      <c r="B200" s="496" t="s">
        <v>1195</v>
      </c>
      <c r="C200" s="497"/>
      <c r="D200" s="492"/>
      <c r="E200" s="493">
        <v>0</v>
      </c>
      <c r="F200" s="494">
        <v>0</v>
      </c>
    </row>
    <row r="201" spans="1:6" ht="15" hidden="1" customHeight="1" x14ac:dyDescent="0.2">
      <c r="A201" s="498" t="s">
        <v>1181</v>
      </c>
      <c r="B201" s="500" t="s">
        <v>1181</v>
      </c>
      <c r="C201" s="497"/>
      <c r="D201" s="492">
        <v>11000</v>
      </c>
      <c r="E201" s="493">
        <v>0</v>
      </c>
      <c r="F201" s="494">
        <v>0</v>
      </c>
    </row>
    <row r="202" spans="1:6" ht="15" hidden="1" customHeight="1" x14ac:dyDescent="0.2">
      <c r="A202" s="489" t="s">
        <v>1182</v>
      </c>
      <c r="B202" s="499" t="s">
        <v>1182</v>
      </c>
      <c r="C202" s="497"/>
      <c r="D202" s="492">
        <v>2.3749699999999998</v>
      </c>
      <c r="E202" s="493">
        <v>0</v>
      </c>
      <c r="F202" s="494">
        <v>0</v>
      </c>
    </row>
    <row r="203" spans="1:6" ht="15" hidden="1" customHeight="1" x14ac:dyDescent="0.2">
      <c r="A203" s="498" t="s">
        <v>1183</v>
      </c>
      <c r="B203" s="496" t="s">
        <v>1183</v>
      </c>
      <c r="C203" s="497"/>
      <c r="D203" s="492">
        <v>0</v>
      </c>
      <c r="E203" s="493">
        <v>0</v>
      </c>
      <c r="F203" s="494">
        <v>0</v>
      </c>
    </row>
    <row r="204" spans="1:6" ht="15" hidden="1" customHeight="1" x14ac:dyDescent="0.2">
      <c r="A204" s="498" t="s">
        <v>1184</v>
      </c>
      <c r="B204" s="500" t="s">
        <v>1184</v>
      </c>
      <c r="C204" s="497"/>
      <c r="D204" s="492">
        <v>0</v>
      </c>
      <c r="E204" s="493">
        <v>0</v>
      </c>
      <c r="F204" s="494">
        <v>0</v>
      </c>
    </row>
    <row r="205" spans="1:6" ht="15" hidden="1" customHeight="1" x14ac:dyDescent="0.2">
      <c r="A205" s="498" t="s">
        <v>1185</v>
      </c>
      <c r="B205" s="496" t="str">
        <f>A205</f>
        <v>111006020136</v>
      </c>
      <c r="C205" s="497"/>
      <c r="D205" s="492">
        <v>0</v>
      </c>
      <c r="E205" s="493">
        <v>0</v>
      </c>
      <c r="F205" s="494">
        <v>0</v>
      </c>
    </row>
    <row r="206" spans="1:6" ht="15" hidden="1" customHeight="1" x14ac:dyDescent="0.2">
      <c r="A206" s="498" t="s">
        <v>1186</v>
      </c>
      <c r="B206" s="496" t="str">
        <f>A206</f>
        <v>111006020137</v>
      </c>
      <c r="C206" s="497"/>
      <c r="D206" s="492">
        <v>0</v>
      </c>
      <c r="E206" s="493">
        <v>0</v>
      </c>
      <c r="F206" s="494">
        <v>0</v>
      </c>
    </row>
    <row r="207" spans="1:6" ht="15" hidden="1" customHeight="1" x14ac:dyDescent="0.2">
      <c r="A207" s="498" t="s">
        <v>1187</v>
      </c>
      <c r="B207" s="496" t="str">
        <f>A207</f>
        <v>111006020144</v>
      </c>
      <c r="C207" s="497"/>
      <c r="D207" s="492">
        <v>0</v>
      </c>
      <c r="E207" s="493">
        <v>0</v>
      </c>
      <c r="F207" s="494">
        <v>0</v>
      </c>
    </row>
    <row r="208" spans="1:6" ht="15" hidden="1" customHeight="1" x14ac:dyDescent="0.2">
      <c r="A208" s="489" t="s">
        <v>1189</v>
      </c>
      <c r="B208" s="499" t="s">
        <v>1189</v>
      </c>
      <c r="C208" s="497"/>
      <c r="D208" s="492">
        <v>3987.1259300000002</v>
      </c>
      <c r="E208" s="493">
        <v>0</v>
      </c>
      <c r="F208" s="494">
        <v>0</v>
      </c>
    </row>
    <row r="209" spans="1:6" ht="15" hidden="1" customHeight="1" x14ac:dyDescent="0.2">
      <c r="A209" s="489" t="s">
        <v>1191</v>
      </c>
      <c r="B209" s="496" t="str">
        <f>A209</f>
        <v>111006020213</v>
      </c>
      <c r="C209" s="497"/>
      <c r="D209" s="492">
        <v>4113.03593</v>
      </c>
      <c r="E209" s="493">
        <v>0</v>
      </c>
      <c r="F209" s="494">
        <v>0</v>
      </c>
    </row>
    <row r="210" spans="1:6" ht="15" hidden="1" customHeight="1" x14ac:dyDescent="0.2">
      <c r="A210" s="498" t="s">
        <v>1196</v>
      </c>
      <c r="B210" s="496" t="str">
        <f>A210</f>
        <v>111006990105</v>
      </c>
      <c r="C210" s="497"/>
      <c r="D210" s="492">
        <v>0.16017999999999999</v>
      </c>
      <c r="E210" s="493">
        <v>0</v>
      </c>
      <c r="F210" s="494">
        <v>0</v>
      </c>
    </row>
    <row r="211" spans="1:6" ht="15" hidden="1" customHeight="1" x14ac:dyDescent="0.2">
      <c r="A211" s="489" t="s">
        <v>1197</v>
      </c>
      <c r="B211" s="496" t="str">
        <f>A211</f>
        <v>111006990106</v>
      </c>
      <c r="C211" s="497"/>
      <c r="D211" s="492">
        <v>7.5730000000000006E-2</v>
      </c>
      <c r="E211" s="493">
        <v>0</v>
      </c>
      <c r="F211" s="494">
        <v>0</v>
      </c>
    </row>
    <row r="212" spans="1:6" ht="15" hidden="1" customHeight="1" x14ac:dyDescent="0.2">
      <c r="A212" s="498" t="s">
        <v>1198</v>
      </c>
      <c r="B212" s="500" t="s">
        <v>1198</v>
      </c>
      <c r="C212" s="497"/>
      <c r="D212" s="492">
        <v>83.645830000000004</v>
      </c>
      <c r="E212" s="493">
        <v>0</v>
      </c>
      <c r="F212" s="494">
        <v>0</v>
      </c>
    </row>
    <row r="213" spans="1:6" ht="15" hidden="1" customHeight="1" x14ac:dyDescent="0.2">
      <c r="A213" s="489" t="s">
        <v>1199</v>
      </c>
      <c r="B213" s="496" t="str">
        <f>A213</f>
        <v>111006990120</v>
      </c>
      <c r="C213" s="497"/>
      <c r="D213" s="492"/>
      <c r="E213" s="493"/>
      <c r="F213" s="494"/>
    </row>
    <row r="214" spans="1:6" ht="15" hidden="1" customHeight="1" x14ac:dyDescent="0.2">
      <c r="A214" s="489" t="s">
        <v>1200</v>
      </c>
      <c r="B214" s="496" t="str">
        <f>A214</f>
        <v>111006990133</v>
      </c>
      <c r="C214" s="497"/>
      <c r="D214" s="492">
        <v>0</v>
      </c>
      <c r="E214" s="493">
        <v>0</v>
      </c>
      <c r="F214" s="494">
        <v>0</v>
      </c>
    </row>
    <row r="215" spans="1:6" ht="15" hidden="1" customHeight="1" x14ac:dyDescent="0.2">
      <c r="A215" s="489" t="s">
        <v>1201</v>
      </c>
      <c r="B215" s="496" t="str">
        <f>A215</f>
        <v>111006990137</v>
      </c>
      <c r="C215" s="497"/>
      <c r="D215" s="492">
        <v>0</v>
      </c>
      <c r="E215" s="493">
        <v>0</v>
      </c>
      <c r="F215" s="494">
        <v>0</v>
      </c>
    </row>
    <row r="216" spans="1:6" ht="15" hidden="1" customHeight="1" x14ac:dyDescent="0.2">
      <c r="A216" s="489" t="s">
        <v>1202</v>
      </c>
      <c r="B216" s="496" t="str">
        <f>A216</f>
        <v>111006990144</v>
      </c>
      <c r="C216" s="497"/>
      <c r="D216" s="492">
        <v>0</v>
      </c>
      <c r="E216" s="493">
        <v>0</v>
      </c>
      <c r="F216" s="494">
        <v>0</v>
      </c>
    </row>
    <row r="217" spans="1:6" ht="15.75" hidden="1" customHeight="1" x14ac:dyDescent="0.2">
      <c r="A217" s="489" t="s">
        <v>1203</v>
      </c>
      <c r="B217" s="496" t="str">
        <f>A217</f>
        <v>111006990213</v>
      </c>
      <c r="C217" s="497"/>
      <c r="D217" s="492">
        <v>0</v>
      </c>
      <c r="E217" s="493">
        <v>0</v>
      </c>
      <c r="F217" s="494">
        <v>0</v>
      </c>
    </row>
    <row r="218" spans="1:6" ht="15" customHeight="1" x14ac:dyDescent="0.2">
      <c r="A218" s="489"/>
      <c r="B218" s="496"/>
      <c r="C218" s="497"/>
      <c r="D218" s="492"/>
      <c r="E218" s="493"/>
      <c r="F218" s="494"/>
    </row>
    <row r="219" spans="1:6" ht="15" customHeight="1" x14ac:dyDescent="0.2">
      <c r="A219" s="498" t="s">
        <v>1204</v>
      </c>
      <c r="B219" s="501" t="s">
        <v>157</v>
      </c>
      <c r="C219" s="491" t="s">
        <v>1205</v>
      </c>
      <c r="D219" s="492">
        <v>0</v>
      </c>
      <c r="E219" s="493">
        <v>0.2</v>
      </c>
      <c r="F219" s="494">
        <f>+D219*E219</f>
        <v>0</v>
      </c>
    </row>
    <row r="220" spans="1:6" ht="17.25" customHeight="1" x14ac:dyDescent="0.2">
      <c r="A220" s="489" t="s">
        <v>1206</v>
      </c>
      <c r="B220" s="495" t="s">
        <v>158</v>
      </c>
      <c r="C220" s="491" t="s">
        <v>1207</v>
      </c>
      <c r="D220" s="492">
        <v>0</v>
      </c>
      <c r="E220" s="493">
        <v>0.2</v>
      </c>
      <c r="F220" s="494">
        <f>+D220*E220</f>
        <v>0</v>
      </c>
    </row>
    <row r="221" spans="1:6" x14ac:dyDescent="0.2">
      <c r="A221" s="489"/>
      <c r="B221" s="496"/>
      <c r="C221" s="491"/>
      <c r="D221" s="492"/>
      <c r="E221" s="493"/>
      <c r="F221" s="494"/>
    </row>
    <row r="222" spans="1:6" x14ac:dyDescent="0.2">
      <c r="A222" s="489">
        <v>1121</v>
      </c>
      <c r="B222" s="490" t="s">
        <v>1208</v>
      </c>
      <c r="C222" s="502" t="s">
        <v>1209</v>
      </c>
      <c r="D222" s="492">
        <f>SUM(D223:D234)</f>
        <v>0</v>
      </c>
      <c r="E222" s="493">
        <v>0</v>
      </c>
      <c r="F222" s="494">
        <v>0</v>
      </c>
    </row>
    <row r="223" spans="1:6" hidden="1" x14ac:dyDescent="0.2">
      <c r="A223" s="489">
        <v>112101</v>
      </c>
      <c r="B223" s="490" t="s">
        <v>1057</v>
      </c>
      <c r="C223" s="497" t="s">
        <v>1210</v>
      </c>
      <c r="D223" s="492"/>
      <c r="E223" s="493">
        <v>1</v>
      </c>
      <c r="F223" s="494">
        <f>+D223*E223</f>
        <v>0</v>
      </c>
    </row>
    <row r="224" spans="1:6" hidden="1" x14ac:dyDescent="0.2">
      <c r="A224" s="489">
        <v>112102</v>
      </c>
      <c r="B224" s="490" t="s">
        <v>1064</v>
      </c>
      <c r="C224" s="497" t="s">
        <v>1211</v>
      </c>
      <c r="D224" s="492"/>
      <c r="E224" s="493">
        <v>1</v>
      </c>
      <c r="F224" s="494">
        <f>+D224*E224</f>
        <v>0</v>
      </c>
    </row>
    <row r="225" spans="1:6" hidden="1" x14ac:dyDescent="0.2">
      <c r="A225" s="489"/>
      <c r="B225" s="496"/>
      <c r="C225" s="491"/>
      <c r="D225" s="492"/>
      <c r="E225" s="493"/>
      <c r="F225" s="494"/>
    </row>
    <row r="226" spans="1:6" x14ac:dyDescent="0.2">
      <c r="A226" s="489">
        <v>112103</v>
      </c>
      <c r="B226" s="496" t="s">
        <v>1212</v>
      </c>
      <c r="C226" s="497" t="s">
        <v>1213</v>
      </c>
      <c r="D226" s="492">
        <v>0</v>
      </c>
      <c r="E226" s="493">
        <v>1</v>
      </c>
      <c r="F226" s="494">
        <f>+D226*E226</f>
        <v>0</v>
      </c>
    </row>
    <row r="227" spans="1:6" hidden="1" x14ac:dyDescent="0.2">
      <c r="A227" s="489"/>
      <c r="B227" s="496"/>
      <c r="C227" s="497"/>
      <c r="D227" s="492"/>
      <c r="E227" s="493"/>
      <c r="F227" s="494"/>
    </row>
    <row r="228" spans="1:6" hidden="1" x14ac:dyDescent="0.2">
      <c r="A228" s="489" t="s">
        <v>1214</v>
      </c>
      <c r="B228" s="490" t="s">
        <v>1069</v>
      </c>
      <c r="C228" s="497" t="s">
        <v>1215</v>
      </c>
      <c r="D228" s="492"/>
      <c r="E228" s="493"/>
      <c r="F228" s="494"/>
    </row>
    <row r="229" spans="1:6" hidden="1" x14ac:dyDescent="0.2">
      <c r="A229" s="489"/>
      <c r="B229" s="501"/>
      <c r="C229" s="503"/>
      <c r="D229" s="492"/>
      <c r="E229" s="493"/>
      <c r="F229" s="494"/>
    </row>
    <row r="230" spans="1:6" hidden="1" x14ac:dyDescent="0.2">
      <c r="A230" s="489" t="s">
        <v>1216</v>
      </c>
      <c r="B230" s="490" t="s">
        <v>1217</v>
      </c>
      <c r="C230" s="497" t="s">
        <v>1218</v>
      </c>
      <c r="D230" s="492"/>
      <c r="E230" s="493"/>
      <c r="F230" s="494"/>
    </row>
    <row r="231" spans="1:6" hidden="1" x14ac:dyDescent="0.2">
      <c r="A231" s="489"/>
      <c r="B231" s="501"/>
      <c r="C231" s="503"/>
      <c r="D231" s="492"/>
      <c r="E231" s="493"/>
      <c r="F231" s="494"/>
    </row>
    <row r="232" spans="1:6" hidden="1" x14ac:dyDescent="0.2">
      <c r="A232" s="489" t="s">
        <v>1219</v>
      </c>
      <c r="B232" s="490" t="s">
        <v>192</v>
      </c>
      <c r="C232" s="497" t="s">
        <v>1220</v>
      </c>
      <c r="D232" s="492"/>
      <c r="E232" s="493"/>
      <c r="F232" s="494"/>
    </row>
    <row r="233" spans="1:6" hidden="1" x14ac:dyDescent="0.2">
      <c r="A233" s="489"/>
      <c r="B233" s="501"/>
      <c r="C233" s="503"/>
      <c r="D233" s="492"/>
      <c r="E233" s="493"/>
      <c r="F233" s="494"/>
    </row>
    <row r="234" spans="1:6" x14ac:dyDescent="0.2">
      <c r="A234" s="498" t="s">
        <v>1221</v>
      </c>
      <c r="B234" s="490" t="s">
        <v>1222</v>
      </c>
      <c r="C234" s="497" t="s">
        <v>251</v>
      </c>
      <c r="D234" s="492">
        <f>SUM(D235:D245)</f>
        <v>0</v>
      </c>
      <c r="E234" s="493">
        <v>0</v>
      </c>
      <c r="F234" s="494">
        <v>0</v>
      </c>
    </row>
    <row r="235" spans="1:6" hidden="1" x14ac:dyDescent="0.2">
      <c r="A235" s="498" t="s">
        <v>1223</v>
      </c>
      <c r="B235" s="495" t="s">
        <v>20</v>
      </c>
      <c r="C235" s="491" t="s">
        <v>1224</v>
      </c>
      <c r="D235" s="492">
        <v>0</v>
      </c>
      <c r="E235" s="493">
        <v>0</v>
      </c>
      <c r="F235" s="494">
        <v>0</v>
      </c>
    </row>
    <row r="236" spans="1:6" hidden="1" x14ac:dyDescent="0.2">
      <c r="A236" s="498"/>
      <c r="B236" s="495"/>
      <c r="C236" s="491" t="s">
        <v>1225</v>
      </c>
      <c r="D236" s="492"/>
      <c r="E236" s="493">
        <v>0</v>
      </c>
      <c r="F236" s="494">
        <f>+D236*E236</f>
        <v>0</v>
      </c>
    </row>
    <row r="237" spans="1:6" hidden="1" x14ac:dyDescent="0.2">
      <c r="A237" s="498" t="s">
        <v>1226</v>
      </c>
      <c r="B237" s="495" t="s">
        <v>21</v>
      </c>
      <c r="C237" s="491" t="s">
        <v>1227</v>
      </c>
      <c r="D237" s="492">
        <v>0</v>
      </c>
      <c r="E237" s="493">
        <v>0</v>
      </c>
      <c r="F237" s="494">
        <v>0</v>
      </c>
    </row>
    <row r="238" spans="1:6" ht="21" hidden="1" customHeight="1" x14ac:dyDescent="0.2">
      <c r="A238" s="498"/>
      <c r="B238" s="495"/>
      <c r="C238" s="491" t="s">
        <v>1228</v>
      </c>
      <c r="D238" s="492">
        <v>0</v>
      </c>
      <c r="E238" s="493">
        <v>0</v>
      </c>
      <c r="F238" s="494">
        <v>0</v>
      </c>
    </row>
    <row r="239" spans="1:6" ht="15.75" hidden="1" customHeight="1" x14ac:dyDescent="0.2">
      <c r="A239" s="498" t="s">
        <v>1229</v>
      </c>
      <c r="B239" s="495" t="s">
        <v>157</v>
      </c>
      <c r="C239" s="502" t="s">
        <v>1230</v>
      </c>
      <c r="D239" s="492">
        <v>0</v>
      </c>
      <c r="E239" s="493">
        <v>1</v>
      </c>
      <c r="F239" s="494">
        <f>+D239*E239</f>
        <v>0</v>
      </c>
    </row>
    <row r="240" spans="1:6" ht="18" hidden="1" customHeight="1" x14ac:dyDescent="0.2">
      <c r="A240" s="498"/>
      <c r="B240" s="495"/>
      <c r="C240" s="497" t="s">
        <v>1231</v>
      </c>
      <c r="D240" s="492">
        <v>0</v>
      </c>
      <c r="E240" s="493">
        <v>1</v>
      </c>
      <c r="F240" s="494">
        <v>0</v>
      </c>
    </row>
    <row r="241" spans="1:6" ht="14.25" hidden="1" customHeight="1" x14ac:dyDescent="0.2">
      <c r="A241" s="504">
        <v>1121070501</v>
      </c>
      <c r="B241" s="505" t="s">
        <v>163</v>
      </c>
      <c r="C241" s="506" t="s">
        <v>1232</v>
      </c>
      <c r="D241" s="507">
        <v>0</v>
      </c>
      <c r="E241" s="493">
        <v>1</v>
      </c>
      <c r="F241" s="494">
        <f>+D241*E241</f>
        <v>0</v>
      </c>
    </row>
    <row r="242" spans="1:6" ht="30" hidden="1" customHeight="1" x14ac:dyDescent="0.2">
      <c r="A242" s="504"/>
      <c r="B242" s="505"/>
      <c r="C242" s="506" t="s">
        <v>1233</v>
      </c>
      <c r="D242" s="506">
        <v>0</v>
      </c>
      <c r="E242" s="493">
        <v>1</v>
      </c>
      <c r="F242" s="494">
        <v>0</v>
      </c>
    </row>
    <row r="243" spans="1:6" ht="39" hidden="1" customHeight="1" x14ac:dyDescent="0.2">
      <c r="A243" s="498" t="s">
        <v>1234</v>
      </c>
      <c r="B243" s="495" t="s">
        <v>162</v>
      </c>
      <c r="C243" s="497" t="s">
        <v>1235</v>
      </c>
      <c r="D243" s="492">
        <v>0</v>
      </c>
      <c r="E243" s="493">
        <v>1</v>
      </c>
      <c r="F243" s="494">
        <v>0</v>
      </c>
    </row>
    <row r="244" spans="1:6" ht="15" hidden="1" customHeight="1" x14ac:dyDescent="0.2">
      <c r="A244" s="489" t="s">
        <v>1236</v>
      </c>
      <c r="B244" s="495" t="s">
        <v>164</v>
      </c>
      <c r="C244" s="502" t="s">
        <v>1237</v>
      </c>
      <c r="D244" s="492">
        <v>0</v>
      </c>
      <c r="E244" s="493">
        <v>1</v>
      </c>
      <c r="F244" s="494">
        <f>+D244*E244</f>
        <v>0</v>
      </c>
    </row>
    <row r="245" spans="1:6" ht="15" hidden="1" customHeight="1" x14ac:dyDescent="0.2">
      <c r="A245" s="498" t="s">
        <v>1238</v>
      </c>
      <c r="B245" s="495" t="s">
        <v>142</v>
      </c>
      <c r="C245" s="491" t="s">
        <v>1239</v>
      </c>
      <c r="D245" s="492">
        <v>0</v>
      </c>
      <c r="E245" s="493">
        <v>1</v>
      </c>
      <c r="F245" s="494">
        <f>+D245*E245</f>
        <v>0</v>
      </c>
    </row>
    <row r="246" spans="1:6" hidden="1" x14ac:dyDescent="0.2">
      <c r="A246" s="498"/>
      <c r="B246" s="495"/>
      <c r="C246" s="491"/>
      <c r="D246" s="492"/>
      <c r="E246" s="493"/>
      <c r="F246" s="494"/>
    </row>
    <row r="247" spans="1:6" hidden="1" x14ac:dyDescent="0.2">
      <c r="A247" s="489" t="s">
        <v>1240</v>
      </c>
      <c r="B247" s="495" t="s">
        <v>1240</v>
      </c>
      <c r="C247" s="491" t="s">
        <v>1241</v>
      </c>
      <c r="D247" s="492"/>
      <c r="E247" s="493">
        <v>0</v>
      </c>
      <c r="F247" s="494">
        <v>0</v>
      </c>
    </row>
    <row r="248" spans="1:6" hidden="1" x14ac:dyDescent="0.2">
      <c r="A248" s="498"/>
      <c r="B248" s="495"/>
      <c r="C248" s="491"/>
      <c r="D248" s="492"/>
      <c r="E248" s="493"/>
      <c r="F248" s="494"/>
    </row>
    <row r="249" spans="1:6" hidden="1" x14ac:dyDescent="0.2">
      <c r="A249" s="489" t="s">
        <v>1242</v>
      </c>
      <c r="B249" s="495" t="s">
        <v>1242</v>
      </c>
      <c r="C249" s="491" t="s">
        <v>1243</v>
      </c>
      <c r="D249" s="492"/>
      <c r="E249" s="493">
        <v>0</v>
      </c>
      <c r="F249" s="494">
        <v>0</v>
      </c>
    </row>
    <row r="250" spans="1:6" hidden="1" x14ac:dyDescent="0.2">
      <c r="A250" s="489"/>
      <c r="B250" s="490"/>
      <c r="C250" s="497"/>
      <c r="D250" s="492"/>
      <c r="E250" s="493"/>
      <c r="F250" s="494"/>
    </row>
    <row r="251" spans="1:6" x14ac:dyDescent="0.2">
      <c r="A251" s="489">
        <v>1130</v>
      </c>
      <c r="B251" s="495">
        <v>1130</v>
      </c>
      <c r="C251" s="497" t="s">
        <v>1244</v>
      </c>
      <c r="D251" s="492" t="e">
        <f>SUM(D252+D267)</f>
        <v>#REF!</v>
      </c>
      <c r="E251" s="493">
        <v>0</v>
      </c>
      <c r="F251" s="494">
        <v>0</v>
      </c>
    </row>
    <row r="252" spans="1:6" x14ac:dyDescent="0.2">
      <c r="A252" s="489">
        <v>113001</v>
      </c>
      <c r="B252" s="490" t="s">
        <v>1057</v>
      </c>
      <c r="C252" s="491" t="s">
        <v>78</v>
      </c>
      <c r="D252" s="492" t="e">
        <f>SUM(D253:D265)</f>
        <v>#REF!</v>
      </c>
      <c r="E252" s="493">
        <v>0</v>
      </c>
      <c r="F252" s="494">
        <v>0</v>
      </c>
    </row>
    <row r="253" spans="1:6" x14ac:dyDescent="0.2">
      <c r="A253" s="688">
        <v>1130010101</v>
      </c>
      <c r="B253" s="495" t="s">
        <v>20</v>
      </c>
      <c r="C253" s="491" t="s">
        <v>1224</v>
      </c>
      <c r="D253" s="687" t="e">
        <f>VLOOKUP(A253,#REF!,19,0)</f>
        <v>#REF!</v>
      </c>
      <c r="E253" s="493">
        <v>0</v>
      </c>
      <c r="F253" s="494">
        <v>0</v>
      </c>
    </row>
    <row r="254" spans="1:6" hidden="1" x14ac:dyDescent="0.2">
      <c r="A254" s="489"/>
      <c r="B254" s="495"/>
      <c r="C254" s="497" t="s">
        <v>1225</v>
      </c>
      <c r="D254" s="492">
        <v>0</v>
      </c>
      <c r="E254" s="493">
        <v>0</v>
      </c>
      <c r="F254" s="494">
        <v>0</v>
      </c>
    </row>
    <row r="255" spans="1:6" x14ac:dyDescent="0.2">
      <c r="A255" s="688">
        <v>1130010201</v>
      </c>
      <c r="B255" s="495" t="s">
        <v>21</v>
      </c>
      <c r="C255" s="491" t="s">
        <v>1245</v>
      </c>
      <c r="D255" s="687" t="e">
        <f>VLOOKUP(A255,#REF!,19,0)</f>
        <v>#REF!</v>
      </c>
      <c r="E255" s="508">
        <v>0</v>
      </c>
      <c r="F255" s="494">
        <v>0</v>
      </c>
    </row>
    <row r="256" spans="1:6" ht="15.75" hidden="1" customHeight="1" x14ac:dyDescent="0.2">
      <c r="A256" s="489"/>
      <c r="B256" s="495"/>
      <c r="C256" s="491" t="s">
        <v>1246</v>
      </c>
      <c r="D256" s="492">
        <v>0</v>
      </c>
      <c r="E256" s="493">
        <v>0</v>
      </c>
      <c r="F256" s="494">
        <v>0</v>
      </c>
    </row>
    <row r="257" spans="1:6" x14ac:dyDescent="0.2">
      <c r="A257" s="688">
        <v>1130010301</v>
      </c>
      <c r="B257" s="495" t="s">
        <v>157</v>
      </c>
      <c r="C257" s="502" t="s">
        <v>1247</v>
      </c>
      <c r="D257" s="687" t="e">
        <f>VLOOKUP(A257,#REF!,19,0)</f>
        <v>#REF!</v>
      </c>
      <c r="E257" s="493">
        <v>1</v>
      </c>
      <c r="F257" s="494" t="e">
        <f>+D257*E257</f>
        <v>#REF!</v>
      </c>
    </row>
    <row r="258" spans="1:6" x14ac:dyDescent="0.2">
      <c r="A258" s="688">
        <v>1130010501</v>
      </c>
      <c r="B258" s="495" t="s">
        <v>163</v>
      </c>
      <c r="C258" s="491" t="s">
        <v>1248</v>
      </c>
      <c r="D258" s="687" t="e">
        <f>VLOOKUP(A258,#REF!,19,0)</f>
        <v>#REF!</v>
      </c>
      <c r="E258" s="493">
        <v>1</v>
      </c>
      <c r="F258" s="494" t="e">
        <f>+D258*E258</f>
        <v>#REF!</v>
      </c>
    </row>
    <row r="259" spans="1:6" hidden="1" x14ac:dyDescent="0.2">
      <c r="A259" s="489"/>
      <c r="B259" s="495"/>
      <c r="C259" s="491" t="s">
        <v>1249</v>
      </c>
      <c r="D259" s="492"/>
      <c r="E259" s="493">
        <v>1</v>
      </c>
      <c r="F259" s="494"/>
    </row>
    <row r="260" spans="1:6" x14ac:dyDescent="0.2">
      <c r="A260" s="688">
        <v>1130010601</v>
      </c>
      <c r="B260" s="495" t="s">
        <v>162</v>
      </c>
      <c r="C260" s="497" t="s">
        <v>1235</v>
      </c>
      <c r="D260" s="687" t="e">
        <f>VLOOKUP(A260,#REF!,19,0)</f>
        <v>#REF!</v>
      </c>
      <c r="E260" s="493">
        <v>1</v>
      </c>
      <c r="F260" s="494" t="e">
        <f t="shared" ref="F260:F265" si="5">+D260*E260</f>
        <v>#REF!</v>
      </c>
    </row>
    <row r="261" spans="1:6" x14ac:dyDescent="0.2">
      <c r="A261" s="690">
        <v>113001060131</v>
      </c>
      <c r="B261" s="501" t="s">
        <v>1250</v>
      </c>
      <c r="C261" s="502" t="s">
        <v>1251</v>
      </c>
      <c r="D261" s="687">
        <v>0</v>
      </c>
      <c r="E261" s="493">
        <v>-1</v>
      </c>
      <c r="F261" s="494">
        <f t="shared" si="5"/>
        <v>0</v>
      </c>
    </row>
    <row r="262" spans="1:6" x14ac:dyDescent="0.2">
      <c r="A262" s="689">
        <v>1130010701</v>
      </c>
      <c r="B262" s="501" t="s">
        <v>164</v>
      </c>
      <c r="C262" s="491" t="s">
        <v>1252</v>
      </c>
      <c r="D262" s="687" t="e">
        <f>VLOOKUP(A262,#REF!,19,0)</f>
        <v>#REF!</v>
      </c>
      <c r="E262" s="493">
        <v>1</v>
      </c>
      <c r="F262" s="494" t="e">
        <f t="shared" si="5"/>
        <v>#REF!</v>
      </c>
    </row>
    <row r="263" spans="1:6" ht="13.5" customHeight="1" x14ac:dyDescent="0.2">
      <c r="A263" s="689">
        <v>1130010702</v>
      </c>
      <c r="B263" s="495" t="s">
        <v>142</v>
      </c>
      <c r="C263" s="497" t="s">
        <v>1253</v>
      </c>
      <c r="D263" s="687" t="e">
        <f>VLOOKUP(A263,#REF!,19,0)</f>
        <v>#REF!</v>
      </c>
      <c r="E263" s="493">
        <v>1</v>
      </c>
      <c r="F263" s="494" t="e">
        <f t="shared" si="5"/>
        <v>#REF!</v>
      </c>
    </row>
    <row r="264" spans="1:6" x14ac:dyDescent="0.2">
      <c r="A264" s="688">
        <v>1130019901</v>
      </c>
      <c r="B264" s="505" t="s">
        <v>143</v>
      </c>
      <c r="C264" s="502" t="s">
        <v>1254</v>
      </c>
      <c r="D264" s="687" t="e">
        <f>VLOOKUP(A264,#REF!,19,0)</f>
        <v>#REF!</v>
      </c>
      <c r="E264" s="493">
        <v>1</v>
      </c>
      <c r="F264" s="494" t="e">
        <f t="shared" si="5"/>
        <v>#REF!</v>
      </c>
    </row>
    <row r="265" spans="1:6" ht="15" customHeight="1" x14ac:dyDescent="0.2">
      <c r="A265" s="688">
        <v>1130019902</v>
      </c>
      <c r="B265" s="505" t="s">
        <v>169</v>
      </c>
      <c r="C265" s="502" t="s">
        <v>1255</v>
      </c>
      <c r="D265" s="492"/>
      <c r="E265" s="493">
        <v>1</v>
      </c>
      <c r="F265" s="494">
        <f t="shared" si="5"/>
        <v>0</v>
      </c>
    </row>
    <row r="266" spans="1:6" x14ac:dyDescent="0.2">
      <c r="A266" s="489"/>
      <c r="B266" s="509"/>
      <c r="C266" s="506"/>
      <c r="D266" s="492"/>
      <c r="E266" s="493"/>
      <c r="F266" s="494"/>
    </row>
    <row r="267" spans="1:6" x14ac:dyDescent="0.2">
      <c r="A267" s="489">
        <v>113002</v>
      </c>
      <c r="B267" s="496" t="s">
        <v>1256</v>
      </c>
      <c r="C267" s="497" t="s">
        <v>1257</v>
      </c>
      <c r="D267" s="492" t="e">
        <f>SUM(D268:D272)</f>
        <v>#REF!</v>
      </c>
      <c r="E267" s="493">
        <v>0</v>
      </c>
      <c r="F267" s="494">
        <v>0</v>
      </c>
    </row>
    <row r="268" spans="1:6" x14ac:dyDescent="0.2">
      <c r="A268" s="688">
        <v>1130020101</v>
      </c>
      <c r="B268" s="495" t="s">
        <v>20</v>
      </c>
      <c r="C268" s="491" t="s">
        <v>1224</v>
      </c>
      <c r="D268" s="687" t="e">
        <f>VLOOKUP(A268,#REF!,19,0)</f>
        <v>#REF!</v>
      </c>
      <c r="E268" s="493">
        <v>0</v>
      </c>
      <c r="F268" s="494">
        <v>0</v>
      </c>
    </row>
    <row r="269" spans="1:6" hidden="1" x14ac:dyDescent="0.2">
      <c r="A269" s="489"/>
      <c r="B269" s="495"/>
      <c r="C269" s="497" t="s">
        <v>1225</v>
      </c>
      <c r="D269" s="492"/>
      <c r="E269" s="493">
        <v>0</v>
      </c>
      <c r="F269" s="494">
        <v>0</v>
      </c>
    </row>
    <row r="270" spans="1:6" hidden="1" x14ac:dyDescent="0.2">
      <c r="A270" s="489" t="s">
        <v>1258</v>
      </c>
      <c r="B270" s="495" t="s">
        <v>21</v>
      </c>
      <c r="C270" s="491" t="s">
        <v>1245</v>
      </c>
      <c r="D270" s="492"/>
      <c r="E270" s="493">
        <v>0</v>
      </c>
      <c r="F270" s="494">
        <f>+D270*E270</f>
        <v>0</v>
      </c>
    </row>
    <row r="271" spans="1:6" hidden="1" x14ac:dyDescent="0.2">
      <c r="A271" s="489"/>
      <c r="B271" s="495"/>
      <c r="C271" s="491" t="s">
        <v>1246</v>
      </c>
      <c r="D271" s="492"/>
      <c r="E271" s="493">
        <v>0</v>
      </c>
      <c r="F271" s="494">
        <f>+D271*E271</f>
        <v>0</v>
      </c>
    </row>
    <row r="272" spans="1:6" hidden="1" x14ac:dyDescent="0.2">
      <c r="A272" s="489" t="s">
        <v>1259</v>
      </c>
      <c r="B272" s="495" t="s">
        <v>157</v>
      </c>
      <c r="C272" s="502" t="s">
        <v>1247</v>
      </c>
      <c r="D272" s="492"/>
      <c r="E272" s="493">
        <v>1</v>
      </c>
      <c r="F272" s="494">
        <f>+D272*E272</f>
        <v>0</v>
      </c>
    </row>
    <row r="273" spans="1:6" hidden="1" x14ac:dyDescent="0.2">
      <c r="A273" s="489"/>
      <c r="B273" s="495"/>
      <c r="C273" s="502" t="s">
        <v>1260</v>
      </c>
      <c r="D273" s="492"/>
      <c r="E273" s="493">
        <v>1</v>
      </c>
      <c r="F273" s="494">
        <v>0</v>
      </c>
    </row>
    <row r="274" spans="1:6" hidden="1" x14ac:dyDescent="0.2">
      <c r="A274" s="489" t="s">
        <v>1261</v>
      </c>
      <c r="B274" s="495" t="s">
        <v>163</v>
      </c>
      <c r="C274" s="491" t="s">
        <v>1248</v>
      </c>
      <c r="D274" s="492"/>
      <c r="E274" s="493">
        <v>1</v>
      </c>
      <c r="F274" s="494">
        <f>+D274*E274</f>
        <v>0</v>
      </c>
    </row>
    <row r="275" spans="1:6" hidden="1" x14ac:dyDescent="0.2">
      <c r="A275" s="489"/>
      <c r="B275" s="495"/>
      <c r="C275" s="491" t="s">
        <v>1249</v>
      </c>
      <c r="D275" s="492"/>
      <c r="E275" s="493">
        <v>1</v>
      </c>
      <c r="F275" s="494"/>
    </row>
    <row r="276" spans="1:6" hidden="1" x14ac:dyDescent="0.2">
      <c r="A276" s="489" t="s">
        <v>1262</v>
      </c>
      <c r="B276" s="495" t="s">
        <v>162</v>
      </c>
      <c r="C276" s="497" t="s">
        <v>1235</v>
      </c>
      <c r="D276" s="492"/>
      <c r="E276" s="493">
        <v>1</v>
      </c>
      <c r="F276" s="494">
        <f>+D276*E276</f>
        <v>0</v>
      </c>
    </row>
    <row r="277" spans="1:6" hidden="1" x14ac:dyDescent="0.2">
      <c r="A277" s="489"/>
      <c r="B277" s="495"/>
      <c r="C277" s="497" t="s">
        <v>1263</v>
      </c>
      <c r="D277" s="492"/>
      <c r="E277" s="493">
        <v>1</v>
      </c>
      <c r="F277" s="494"/>
    </row>
    <row r="278" spans="1:6" hidden="1" x14ac:dyDescent="0.2">
      <c r="A278" s="489" t="s">
        <v>1264</v>
      </c>
      <c r="B278" s="495" t="s">
        <v>142</v>
      </c>
      <c r="C278" s="491" t="s">
        <v>1252</v>
      </c>
      <c r="D278" s="492"/>
      <c r="E278" s="493">
        <v>1</v>
      </c>
      <c r="F278" s="494">
        <f>+D278*E278</f>
        <v>0</v>
      </c>
    </row>
    <row r="279" spans="1:6" hidden="1" x14ac:dyDescent="0.2">
      <c r="A279" s="489" t="s">
        <v>1265</v>
      </c>
      <c r="B279" s="495" t="s">
        <v>1266</v>
      </c>
      <c r="C279" s="491" t="s">
        <v>1267</v>
      </c>
      <c r="D279" s="492">
        <v>0</v>
      </c>
      <c r="E279" s="493">
        <v>0</v>
      </c>
      <c r="F279" s="494">
        <v>0</v>
      </c>
    </row>
    <row r="280" spans="1:6" hidden="1" x14ac:dyDescent="0.2">
      <c r="A280" s="489"/>
      <c r="B280" s="495"/>
      <c r="C280" s="491" t="s">
        <v>1268</v>
      </c>
      <c r="D280" s="492">
        <v>0</v>
      </c>
      <c r="E280" s="493">
        <v>0</v>
      </c>
      <c r="F280" s="494">
        <v>0</v>
      </c>
    </row>
    <row r="281" spans="1:6" hidden="1" x14ac:dyDescent="0.2">
      <c r="A281" s="489" t="s">
        <v>1269</v>
      </c>
      <c r="B281" s="505" t="s">
        <v>143</v>
      </c>
      <c r="C281" s="502" t="s">
        <v>1254</v>
      </c>
      <c r="D281" s="492">
        <v>0</v>
      </c>
      <c r="E281" s="493">
        <v>1</v>
      </c>
      <c r="F281" s="494">
        <v>0</v>
      </c>
    </row>
    <row r="282" spans="1:6" hidden="1" x14ac:dyDescent="0.2">
      <c r="A282" s="489"/>
      <c r="B282" s="505"/>
      <c r="C282" s="502" t="s">
        <v>1255</v>
      </c>
      <c r="D282" s="492"/>
      <c r="E282" s="493">
        <v>0</v>
      </c>
      <c r="F282" s="494"/>
    </row>
    <row r="283" spans="1:6" x14ac:dyDescent="0.2">
      <c r="A283" s="489"/>
      <c r="B283" s="496"/>
      <c r="C283" s="497"/>
      <c r="D283" s="492"/>
      <c r="E283" s="493"/>
      <c r="F283" s="494"/>
    </row>
    <row r="284" spans="1:6" x14ac:dyDescent="0.2">
      <c r="A284" s="489">
        <v>1131</v>
      </c>
      <c r="B284" s="495">
        <v>1131</v>
      </c>
      <c r="C284" s="497" t="s">
        <v>1270</v>
      </c>
      <c r="D284" s="492" t="e">
        <f>+D285</f>
        <v>#REF!</v>
      </c>
      <c r="E284" s="493">
        <v>0</v>
      </c>
      <c r="F284" s="494">
        <v>0</v>
      </c>
    </row>
    <row r="285" spans="1:6" x14ac:dyDescent="0.2">
      <c r="A285" s="489">
        <v>113100</v>
      </c>
      <c r="B285" s="496" t="s">
        <v>1271</v>
      </c>
      <c r="C285" s="497" t="s">
        <v>1270</v>
      </c>
      <c r="D285" s="492" t="e">
        <f>SUM(D286:D299)</f>
        <v>#REF!</v>
      </c>
      <c r="E285" s="493">
        <v>0</v>
      </c>
      <c r="F285" s="494">
        <v>0</v>
      </c>
    </row>
    <row r="286" spans="1:6" x14ac:dyDescent="0.2">
      <c r="A286" s="688">
        <v>1131000101</v>
      </c>
      <c r="B286" s="495" t="s">
        <v>20</v>
      </c>
      <c r="C286" s="491" t="s">
        <v>1224</v>
      </c>
      <c r="D286" s="687" t="e">
        <f>VLOOKUP(A286,#REF!,19,0)</f>
        <v>#REF!</v>
      </c>
      <c r="E286" s="493">
        <v>0</v>
      </c>
      <c r="F286" s="494">
        <v>0</v>
      </c>
    </row>
    <row r="287" spans="1:6" ht="0.75" hidden="1" customHeight="1" x14ac:dyDescent="0.2">
      <c r="A287" s="489"/>
      <c r="B287" s="495"/>
      <c r="C287" s="497" t="s">
        <v>1225</v>
      </c>
      <c r="D287" s="492"/>
      <c r="E287" s="493">
        <v>0</v>
      </c>
      <c r="F287" s="494">
        <v>0</v>
      </c>
    </row>
    <row r="288" spans="1:6" ht="13.5" customHeight="1" x14ac:dyDescent="0.2">
      <c r="A288" s="688">
        <v>1131000201</v>
      </c>
      <c r="B288" s="495" t="s">
        <v>21</v>
      </c>
      <c r="C288" s="491" t="s">
        <v>1245</v>
      </c>
      <c r="D288" s="687" t="e">
        <f>VLOOKUP(A288,#REF!,19,0)</f>
        <v>#REF!</v>
      </c>
      <c r="E288" s="493">
        <v>0</v>
      </c>
      <c r="F288" s="494">
        <v>0</v>
      </c>
    </row>
    <row r="289" spans="1:6" ht="21" hidden="1" customHeight="1" x14ac:dyDescent="0.2">
      <c r="A289" s="489"/>
      <c r="B289" s="495"/>
      <c r="C289" s="491" t="s">
        <v>1246</v>
      </c>
      <c r="D289" s="492"/>
      <c r="E289" s="493">
        <v>0</v>
      </c>
      <c r="F289" s="494">
        <f>+D289*E289</f>
        <v>0</v>
      </c>
    </row>
    <row r="290" spans="1:6" ht="17.25" hidden="1" customHeight="1" x14ac:dyDescent="0.2">
      <c r="A290" s="688">
        <v>1131000301</v>
      </c>
      <c r="B290" s="495" t="s">
        <v>157</v>
      </c>
      <c r="C290" s="502" t="s">
        <v>1247</v>
      </c>
      <c r="D290" s="492">
        <v>0</v>
      </c>
      <c r="E290" s="493">
        <v>1</v>
      </c>
      <c r="F290" s="494">
        <v>0</v>
      </c>
    </row>
    <row r="291" spans="1:6" ht="20.25" hidden="1" customHeight="1" x14ac:dyDescent="0.2">
      <c r="A291" s="489"/>
      <c r="B291" s="495"/>
      <c r="C291" s="502" t="s">
        <v>1260</v>
      </c>
      <c r="D291" s="492"/>
      <c r="E291" s="493">
        <v>1</v>
      </c>
      <c r="F291" s="494">
        <v>0</v>
      </c>
    </row>
    <row r="292" spans="1:6" ht="23.25" hidden="1" customHeight="1" x14ac:dyDescent="0.2">
      <c r="A292" s="688">
        <v>1131000501</v>
      </c>
      <c r="B292" s="495" t="s">
        <v>163</v>
      </c>
      <c r="C292" s="491" t="s">
        <v>1248</v>
      </c>
      <c r="D292" s="492"/>
      <c r="E292" s="493">
        <v>1</v>
      </c>
      <c r="F292" s="494">
        <f>+D292*E292</f>
        <v>0</v>
      </c>
    </row>
    <row r="293" spans="1:6" ht="18.75" hidden="1" customHeight="1" x14ac:dyDescent="0.2">
      <c r="A293" s="489"/>
      <c r="B293" s="495"/>
      <c r="C293" s="491" t="s">
        <v>1249</v>
      </c>
      <c r="D293" s="492"/>
      <c r="E293" s="493">
        <v>1</v>
      </c>
      <c r="F293" s="494"/>
    </row>
    <row r="294" spans="1:6" ht="24" hidden="1" customHeight="1" x14ac:dyDescent="0.2">
      <c r="A294" s="688">
        <v>1131000601</v>
      </c>
      <c r="B294" s="495" t="s">
        <v>162</v>
      </c>
      <c r="C294" s="497" t="s">
        <v>1235</v>
      </c>
      <c r="D294" s="492"/>
      <c r="E294" s="493">
        <v>1</v>
      </c>
      <c r="F294" s="494">
        <f>+D294*E294</f>
        <v>0</v>
      </c>
    </row>
    <row r="295" spans="1:6" ht="17.25" hidden="1" customHeight="1" x14ac:dyDescent="0.2">
      <c r="A295" s="489"/>
      <c r="B295" s="495"/>
      <c r="C295" s="497" t="s">
        <v>1263</v>
      </c>
      <c r="D295" s="492"/>
      <c r="E295" s="493">
        <v>1</v>
      </c>
      <c r="F295" s="494"/>
    </row>
    <row r="296" spans="1:6" ht="18.75" hidden="1" customHeight="1" x14ac:dyDescent="0.2">
      <c r="A296" s="688">
        <v>1131000702</v>
      </c>
      <c r="B296" s="495" t="s">
        <v>142</v>
      </c>
      <c r="C296" s="491" t="s">
        <v>1252</v>
      </c>
      <c r="D296" s="492">
        <v>0</v>
      </c>
      <c r="E296" s="493">
        <v>1</v>
      </c>
      <c r="F296" s="494">
        <v>0</v>
      </c>
    </row>
    <row r="297" spans="1:6" ht="21" hidden="1" customHeight="1" x14ac:dyDescent="0.2">
      <c r="A297" s="688">
        <v>1131000801</v>
      </c>
      <c r="B297" s="495" t="s">
        <v>1266</v>
      </c>
      <c r="C297" s="491" t="s">
        <v>1267</v>
      </c>
      <c r="D297" s="492"/>
      <c r="E297" s="493">
        <v>0</v>
      </c>
      <c r="F297" s="494"/>
    </row>
    <row r="298" spans="1:6" ht="18" hidden="1" customHeight="1" x14ac:dyDescent="0.2">
      <c r="A298" s="489"/>
      <c r="B298" s="495"/>
      <c r="C298" s="491" t="s">
        <v>1268</v>
      </c>
      <c r="D298" s="492"/>
      <c r="E298" s="493">
        <v>0</v>
      </c>
      <c r="F298" s="494">
        <f>+D298*E298</f>
        <v>0</v>
      </c>
    </row>
    <row r="299" spans="1:6" x14ac:dyDescent="0.2">
      <c r="A299" s="688">
        <v>1131009901</v>
      </c>
      <c r="B299" s="505" t="s">
        <v>143</v>
      </c>
      <c r="C299" s="502" t="s">
        <v>1254</v>
      </c>
      <c r="D299" s="687" t="e">
        <f>VLOOKUP(A299,#REF!,19,0)</f>
        <v>#REF!</v>
      </c>
      <c r="E299" s="493">
        <v>1</v>
      </c>
      <c r="F299" s="494" t="e">
        <f>+D299*E299</f>
        <v>#REF!</v>
      </c>
    </row>
    <row r="300" spans="1:6" hidden="1" x14ac:dyDescent="0.2">
      <c r="A300" s="489"/>
      <c r="B300" s="505"/>
      <c r="C300" s="502" t="s">
        <v>1255</v>
      </c>
      <c r="D300" s="492"/>
      <c r="E300" s="493">
        <v>1</v>
      </c>
      <c r="F300" s="494"/>
    </row>
    <row r="301" spans="1:6" x14ac:dyDescent="0.2">
      <c r="A301" s="489"/>
      <c r="B301" s="496"/>
      <c r="C301" s="497"/>
      <c r="D301" s="492"/>
      <c r="E301" s="493"/>
      <c r="F301" s="494">
        <f>+D301*E301</f>
        <v>0</v>
      </c>
    </row>
    <row r="302" spans="1:6" x14ac:dyDescent="0.2">
      <c r="A302" s="489">
        <v>1132</v>
      </c>
      <c r="B302" s="490">
        <v>1132</v>
      </c>
      <c r="C302" s="497" t="s">
        <v>1272</v>
      </c>
      <c r="D302" s="492">
        <f>SUM(D303)</f>
        <v>0</v>
      </c>
      <c r="E302" s="493">
        <v>0</v>
      </c>
      <c r="F302" s="494">
        <v>0</v>
      </c>
    </row>
    <row r="303" spans="1:6" x14ac:dyDescent="0.2">
      <c r="A303" s="489">
        <v>113200</v>
      </c>
      <c r="B303" s="496" t="s">
        <v>1271</v>
      </c>
      <c r="C303" s="497" t="s">
        <v>1272</v>
      </c>
      <c r="D303" s="492">
        <f>SUM(D304:D317)-D313</f>
        <v>0</v>
      </c>
      <c r="E303" s="493">
        <v>0</v>
      </c>
      <c r="F303" s="494">
        <v>0</v>
      </c>
    </row>
    <row r="304" spans="1:6" x14ac:dyDescent="0.2">
      <c r="A304" s="489" t="s">
        <v>1273</v>
      </c>
      <c r="B304" s="495" t="s">
        <v>20</v>
      </c>
      <c r="C304" s="491" t="s">
        <v>1224</v>
      </c>
      <c r="D304" s="492">
        <v>0</v>
      </c>
      <c r="E304" s="493">
        <v>0</v>
      </c>
      <c r="F304" s="494">
        <v>0</v>
      </c>
    </row>
    <row r="305" spans="1:6" hidden="1" x14ac:dyDescent="0.2">
      <c r="A305" s="489"/>
      <c r="B305" s="495"/>
      <c r="C305" s="497" t="s">
        <v>1225</v>
      </c>
      <c r="D305" s="492"/>
      <c r="E305" s="493">
        <v>0</v>
      </c>
      <c r="F305" s="494">
        <f>+D305*E305</f>
        <v>0</v>
      </c>
    </row>
    <row r="306" spans="1:6" x14ac:dyDescent="0.2">
      <c r="A306" s="489" t="s">
        <v>1274</v>
      </c>
      <c r="B306" s="495" t="s">
        <v>21</v>
      </c>
      <c r="C306" s="491" t="s">
        <v>1245</v>
      </c>
      <c r="D306" s="492">
        <v>0</v>
      </c>
      <c r="E306" s="493">
        <v>0</v>
      </c>
      <c r="F306" s="494">
        <v>0</v>
      </c>
    </row>
    <row r="307" spans="1:6" hidden="1" x14ac:dyDescent="0.2">
      <c r="A307" s="489"/>
      <c r="B307" s="495"/>
      <c r="C307" s="491" t="s">
        <v>1246</v>
      </c>
      <c r="D307" s="492"/>
      <c r="E307" s="493">
        <v>0</v>
      </c>
      <c r="F307" s="494">
        <f>+D307*E307</f>
        <v>0</v>
      </c>
    </row>
    <row r="308" spans="1:6" hidden="1" x14ac:dyDescent="0.2">
      <c r="A308" s="489" t="s">
        <v>1275</v>
      </c>
      <c r="B308" s="495" t="s">
        <v>157</v>
      </c>
      <c r="C308" s="502" t="s">
        <v>1247</v>
      </c>
      <c r="D308" s="492"/>
      <c r="E308" s="493">
        <v>1</v>
      </c>
      <c r="F308" s="494">
        <f>+D308*E308</f>
        <v>0</v>
      </c>
    </row>
    <row r="309" spans="1:6" hidden="1" x14ac:dyDescent="0.2">
      <c r="A309" s="489"/>
      <c r="B309" s="495"/>
      <c r="C309" s="502" t="s">
        <v>1260</v>
      </c>
      <c r="D309" s="492"/>
      <c r="E309" s="493">
        <v>1</v>
      </c>
      <c r="F309" s="494">
        <v>0</v>
      </c>
    </row>
    <row r="310" spans="1:6" x14ac:dyDescent="0.2">
      <c r="A310" s="489" t="s">
        <v>1276</v>
      </c>
      <c r="B310" s="495" t="s">
        <v>163</v>
      </c>
      <c r="C310" s="491" t="s">
        <v>1248</v>
      </c>
      <c r="D310" s="492">
        <v>0</v>
      </c>
      <c r="E310" s="493">
        <v>1</v>
      </c>
      <c r="F310" s="494">
        <f>+D310*E310</f>
        <v>0</v>
      </c>
    </row>
    <row r="311" spans="1:6" hidden="1" x14ac:dyDescent="0.2">
      <c r="A311" s="489"/>
      <c r="B311" s="495"/>
      <c r="C311" s="491" t="s">
        <v>1249</v>
      </c>
      <c r="D311" s="492"/>
      <c r="E311" s="493">
        <v>1</v>
      </c>
      <c r="F311" s="494"/>
    </row>
    <row r="312" spans="1:6" x14ac:dyDescent="0.2">
      <c r="A312" s="489" t="s">
        <v>1277</v>
      </c>
      <c r="B312" s="495" t="s">
        <v>162</v>
      </c>
      <c r="C312" s="497" t="s">
        <v>1278</v>
      </c>
      <c r="D312" s="492">
        <v>0</v>
      </c>
      <c r="E312" s="493">
        <v>1</v>
      </c>
      <c r="F312" s="494">
        <f>+D312*E312</f>
        <v>0</v>
      </c>
    </row>
    <row r="313" spans="1:6" x14ac:dyDescent="0.2">
      <c r="A313" s="498" t="s">
        <v>1279</v>
      </c>
      <c r="B313" s="500" t="s">
        <v>1279</v>
      </c>
      <c r="C313" s="497" t="s">
        <v>1278</v>
      </c>
      <c r="D313" s="492">
        <f>+D312*-1</f>
        <v>0</v>
      </c>
      <c r="E313" s="493">
        <v>-1</v>
      </c>
      <c r="F313" s="494">
        <f>+D313*E313</f>
        <v>0</v>
      </c>
    </row>
    <row r="314" spans="1:6" hidden="1" x14ac:dyDescent="0.2">
      <c r="A314" s="489" t="s">
        <v>1280</v>
      </c>
      <c r="B314" s="495" t="s">
        <v>142</v>
      </c>
      <c r="C314" s="491" t="s">
        <v>1252</v>
      </c>
      <c r="D314" s="492"/>
      <c r="E314" s="493">
        <v>1</v>
      </c>
      <c r="F314" s="494">
        <f>+D314*E314</f>
        <v>0</v>
      </c>
    </row>
    <row r="315" spans="1:6" hidden="1" x14ac:dyDescent="0.2">
      <c r="A315" s="489" t="s">
        <v>1281</v>
      </c>
      <c r="B315" s="495" t="s">
        <v>1266</v>
      </c>
      <c r="C315" s="491" t="s">
        <v>1267</v>
      </c>
      <c r="D315" s="492"/>
      <c r="E315" s="493">
        <v>0</v>
      </c>
      <c r="F315" s="494">
        <v>0</v>
      </c>
    </row>
    <row r="316" spans="1:6" hidden="1" x14ac:dyDescent="0.2">
      <c r="A316" s="489"/>
      <c r="B316" s="495"/>
      <c r="C316" s="491" t="s">
        <v>1268</v>
      </c>
      <c r="D316" s="492"/>
      <c r="E316" s="493">
        <v>0</v>
      </c>
      <c r="F316" s="494">
        <f>+D316*E316</f>
        <v>0</v>
      </c>
    </row>
    <row r="317" spans="1:6" x14ac:dyDescent="0.2">
      <c r="A317" s="489" t="s">
        <v>1282</v>
      </c>
      <c r="B317" s="505" t="s">
        <v>143</v>
      </c>
      <c r="C317" s="502" t="s">
        <v>1254</v>
      </c>
      <c r="D317" s="492">
        <v>0</v>
      </c>
      <c r="E317" s="493">
        <v>1</v>
      </c>
      <c r="F317" s="494">
        <f>+D317*E317</f>
        <v>0</v>
      </c>
    </row>
    <row r="318" spans="1:6" hidden="1" x14ac:dyDescent="0.2">
      <c r="A318" s="489"/>
      <c r="B318" s="505"/>
      <c r="C318" s="502" t="s">
        <v>1255</v>
      </c>
      <c r="D318" s="492"/>
      <c r="E318" s="493">
        <v>0</v>
      </c>
      <c r="F318" s="494">
        <f t="shared" ref="F318:F325" si="6">+D318*E318</f>
        <v>0</v>
      </c>
    </row>
    <row r="319" spans="1:6" x14ac:dyDescent="0.2">
      <c r="A319" s="489"/>
      <c r="B319" s="496"/>
      <c r="C319" s="497"/>
      <c r="D319" s="492"/>
      <c r="E319" s="493"/>
      <c r="F319" s="494">
        <f t="shared" si="6"/>
        <v>0</v>
      </c>
    </row>
    <row r="320" spans="1:6" hidden="1" x14ac:dyDescent="0.2">
      <c r="A320" s="489">
        <v>1138</v>
      </c>
      <c r="B320" s="490">
        <v>1138</v>
      </c>
      <c r="C320" s="503" t="s">
        <v>1283</v>
      </c>
      <c r="D320" s="492">
        <f>SUM(D321+D338+D355)</f>
        <v>0</v>
      </c>
      <c r="E320" s="493"/>
      <c r="F320" s="494">
        <f t="shared" si="6"/>
        <v>0</v>
      </c>
    </row>
    <row r="321" spans="1:6" hidden="1" x14ac:dyDescent="0.2">
      <c r="A321" s="489">
        <v>113801</v>
      </c>
      <c r="B321" s="496" t="s">
        <v>1284</v>
      </c>
      <c r="C321" s="497" t="s">
        <v>1285</v>
      </c>
      <c r="D321" s="492">
        <f>SUM(D322:D336)</f>
        <v>0</v>
      </c>
      <c r="E321" s="493">
        <v>0</v>
      </c>
      <c r="F321" s="494">
        <f t="shared" si="6"/>
        <v>0</v>
      </c>
    </row>
    <row r="322" spans="1:6" hidden="1" x14ac:dyDescent="0.2">
      <c r="A322" s="489" t="s">
        <v>1286</v>
      </c>
      <c r="B322" s="495" t="s">
        <v>20</v>
      </c>
      <c r="C322" s="491" t="s">
        <v>1224</v>
      </c>
      <c r="D322" s="492"/>
      <c r="E322" s="493">
        <v>0</v>
      </c>
      <c r="F322" s="494">
        <f t="shared" si="6"/>
        <v>0</v>
      </c>
    </row>
    <row r="323" spans="1:6" hidden="1" x14ac:dyDescent="0.2">
      <c r="A323" s="489"/>
      <c r="B323" s="495"/>
      <c r="C323" s="497" t="s">
        <v>1225</v>
      </c>
      <c r="D323" s="492"/>
      <c r="E323" s="493">
        <v>0</v>
      </c>
      <c r="F323" s="494">
        <f t="shared" si="6"/>
        <v>0</v>
      </c>
    </row>
    <row r="324" spans="1:6" hidden="1" x14ac:dyDescent="0.2">
      <c r="A324" s="489" t="s">
        <v>1287</v>
      </c>
      <c r="B324" s="495" t="s">
        <v>21</v>
      </c>
      <c r="C324" s="491" t="s">
        <v>1245</v>
      </c>
      <c r="D324" s="492"/>
      <c r="E324" s="493">
        <v>0</v>
      </c>
      <c r="F324" s="494">
        <f t="shared" si="6"/>
        <v>0</v>
      </c>
    </row>
    <row r="325" spans="1:6" hidden="1" x14ac:dyDescent="0.2">
      <c r="A325" s="489"/>
      <c r="B325" s="495"/>
      <c r="C325" s="491" t="s">
        <v>1246</v>
      </c>
      <c r="D325" s="492"/>
      <c r="E325" s="493">
        <v>0</v>
      </c>
      <c r="F325" s="494">
        <f t="shared" si="6"/>
        <v>0</v>
      </c>
    </row>
    <row r="326" spans="1:6" hidden="1" x14ac:dyDescent="0.2">
      <c r="A326" s="489" t="s">
        <v>1288</v>
      </c>
      <c r="B326" s="495" t="s">
        <v>157</v>
      </c>
      <c r="C326" s="502" t="s">
        <v>1247</v>
      </c>
      <c r="D326" s="492"/>
      <c r="E326" s="493">
        <v>1</v>
      </c>
      <c r="F326" s="494">
        <v>0</v>
      </c>
    </row>
    <row r="327" spans="1:6" hidden="1" x14ac:dyDescent="0.2">
      <c r="A327" s="489"/>
      <c r="B327" s="495"/>
      <c r="C327" s="502" t="s">
        <v>1260</v>
      </c>
      <c r="D327" s="492"/>
      <c r="E327" s="493">
        <v>1</v>
      </c>
      <c r="F327" s="494">
        <v>0</v>
      </c>
    </row>
    <row r="328" spans="1:6" hidden="1" x14ac:dyDescent="0.2">
      <c r="A328" s="489" t="s">
        <v>1289</v>
      </c>
      <c r="B328" s="495" t="s">
        <v>163</v>
      </c>
      <c r="C328" s="491" t="s">
        <v>1248</v>
      </c>
      <c r="D328" s="492"/>
      <c r="E328" s="493">
        <v>1</v>
      </c>
      <c r="F328" s="494">
        <f>+D328*E328</f>
        <v>0</v>
      </c>
    </row>
    <row r="329" spans="1:6" hidden="1" x14ac:dyDescent="0.2">
      <c r="A329" s="489"/>
      <c r="B329" s="495"/>
      <c r="C329" s="491" t="s">
        <v>1249</v>
      </c>
      <c r="D329" s="492"/>
      <c r="E329" s="493">
        <v>1</v>
      </c>
      <c r="F329" s="494"/>
    </row>
    <row r="330" spans="1:6" hidden="1" x14ac:dyDescent="0.2">
      <c r="A330" s="489" t="s">
        <v>1290</v>
      </c>
      <c r="B330" s="495" t="s">
        <v>162</v>
      </c>
      <c r="C330" s="497" t="s">
        <v>1235</v>
      </c>
      <c r="D330" s="492"/>
      <c r="E330" s="493">
        <v>1</v>
      </c>
      <c r="F330" s="494">
        <f>+D330*E330</f>
        <v>0</v>
      </c>
    </row>
    <row r="331" spans="1:6" hidden="1" x14ac:dyDescent="0.2">
      <c r="A331" s="489"/>
      <c r="B331" s="495"/>
      <c r="C331" s="497" t="s">
        <v>1263</v>
      </c>
      <c r="D331" s="492"/>
      <c r="E331" s="493">
        <v>1</v>
      </c>
      <c r="F331" s="494"/>
    </row>
    <row r="332" spans="1:6" hidden="1" x14ac:dyDescent="0.2">
      <c r="A332" s="489" t="s">
        <v>1291</v>
      </c>
      <c r="B332" s="495" t="s">
        <v>142</v>
      </c>
      <c r="C332" s="491" t="s">
        <v>1252</v>
      </c>
      <c r="D332" s="492"/>
      <c r="E332" s="493">
        <v>1</v>
      </c>
      <c r="F332" s="494">
        <f t="shared" ref="F332:F342" si="7">+D332*E332</f>
        <v>0</v>
      </c>
    </row>
    <row r="333" spans="1:6" hidden="1" x14ac:dyDescent="0.2">
      <c r="A333" s="489" t="s">
        <v>1292</v>
      </c>
      <c r="B333" s="495" t="s">
        <v>1266</v>
      </c>
      <c r="C333" s="491" t="s">
        <v>1267</v>
      </c>
      <c r="D333" s="492"/>
      <c r="E333" s="493">
        <v>0</v>
      </c>
      <c r="F333" s="494">
        <f t="shared" si="7"/>
        <v>0</v>
      </c>
    </row>
    <row r="334" spans="1:6" hidden="1" x14ac:dyDescent="0.2">
      <c r="A334" s="489"/>
      <c r="B334" s="495"/>
      <c r="C334" s="491" t="s">
        <v>1268</v>
      </c>
      <c r="D334" s="492"/>
      <c r="E334" s="493">
        <v>0</v>
      </c>
      <c r="F334" s="494">
        <f t="shared" si="7"/>
        <v>0</v>
      </c>
    </row>
    <row r="335" spans="1:6" hidden="1" x14ac:dyDescent="0.2">
      <c r="A335" s="489" t="s">
        <v>1293</v>
      </c>
      <c r="B335" s="505" t="s">
        <v>143</v>
      </c>
      <c r="C335" s="502" t="s">
        <v>1254</v>
      </c>
      <c r="D335" s="492"/>
      <c r="E335" s="493">
        <v>0</v>
      </c>
      <c r="F335" s="494">
        <f t="shared" si="7"/>
        <v>0</v>
      </c>
    </row>
    <row r="336" spans="1:6" hidden="1" x14ac:dyDescent="0.2">
      <c r="A336" s="489"/>
      <c r="B336" s="505"/>
      <c r="C336" s="502" t="s">
        <v>1255</v>
      </c>
      <c r="D336" s="492"/>
      <c r="E336" s="493">
        <v>0</v>
      </c>
      <c r="F336" s="494">
        <f t="shared" si="7"/>
        <v>0</v>
      </c>
    </row>
    <row r="337" spans="1:6" hidden="1" x14ac:dyDescent="0.2">
      <c r="A337" s="489"/>
      <c r="B337" s="496"/>
      <c r="C337" s="497"/>
      <c r="D337" s="492"/>
      <c r="E337" s="493"/>
      <c r="F337" s="494">
        <f t="shared" si="7"/>
        <v>0</v>
      </c>
    </row>
    <row r="338" spans="1:6" hidden="1" x14ac:dyDescent="0.2">
      <c r="A338" s="489">
        <v>113802</v>
      </c>
      <c r="B338" s="496" t="s">
        <v>1294</v>
      </c>
      <c r="C338" s="497" t="s">
        <v>1295</v>
      </c>
      <c r="D338" s="492">
        <f>SUM(D339:D353)</f>
        <v>0</v>
      </c>
      <c r="E338" s="493"/>
      <c r="F338" s="494">
        <f t="shared" si="7"/>
        <v>0</v>
      </c>
    </row>
    <row r="339" spans="1:6" hidden="1" x14ac:dyDescent="0.2">
      <c r="A339" s="489" t="s">
        <v>1296</v>
      </c>
      <c r="B339" s="495" t="s">
        <v>20</v>
      </c>
      <c r="C339" s="491" t="s">
        <v>1224</v>
      </c>
      <c r="D339" s="492"/>
      <c r="E339" s="493">
        <v>0</v>
      </c>
      <c r="F339" s="494">
        <f t="shared" si="7"/>
        <v>0</v>
      </c>
    </row>
    <row r="340" spans="1:6" hidden="1" x14ac:dyDescent="0.2">
      <c r="A340" s="489"/>
      <c r="B340" s="495"/>
      <c r="C340" s="497" t="s">
        <v>1225</v>
      </c>
      <c r="D340" s="492"/>
      <c r="E340" s="493">
        <v>0</v>
      </c>
      <c r="F340" s="494">
        <f t="shared" si="7"/>
        <v>0</v>
      </c>
    </row>
    <row r="341" spans="1:6" hidden="1" x14ac:dyDescent="0.2">
      <c r="A341" s="489" t="s">
        <v>1297</v>
      </c>
      <c r="B341" s="495" t="s">
        <v>21</v>
      </c>
      <c r="C341" s="491" t="s">
        <v>1245</v>
      </c>
      <c r="D341" s="492"/>
      <c r="E341" s="493">
        <v>0</v>
      </c>
      <c r="F341" s="494">
        <f t="shared" si="7"/>
        <v>0</v>
      </c>
    </row>
    <row r="342" spans="1:6" hidden="1" x14ac:dyDescent="0.2">
      <c r="A342" s="489"/>
      <c r="B342" s="495"/>
      <c r="C342" s="491" t="s">
        <v>1246</v>
      </c>
      <c r="D342" s="492"/>
      <c r="E342" s="493">
        <v>0</v>
      </c>
      <c r="F342" s="494">
        <f t="shared" si="7"/>
        <v>0</v>
      </c>
    </row>
    <row r="343" spans="1:6" hidden="1" x14ac:dyDescent="0.2">
      <c r="A343" s="489" t="s">
        <v>1298</v>
      </c>
      <c r="B343" s="495" t="s">
        <v>157</v>
      </c>
      <c r="C343" s="502" t="s">
        <v>1247</v>
      </c>
      <c r="D343" s="492"/>
      <c r="E343" s="493">
        <v>1</v>
      </c>
      <c r="F343" s="494">
        <v>0</v>
      </c>
    </row>
    <row r="344" spans="1:6" hidden="1" x14ac:dyDescent="0.2">
      <c r="A344" s="489"/>
      <c r="B344" s="495"/>
      <c r="C344" s="502" t="s">
        <v>1260</v>
      </c>
      <c r="D344" s="492"/>
      <c r="E344" s="493">
        <v>1</v>
      </c>
      <c r="F344" s="494">
        <v>0</v>
      </c>
    </row>
    <row r="345" spans="1:6" hidden="1" x14ac:dyDescent="0.2">
      <c r="A345" s="489" t="s">
        <v>1299</v>
      </c>
      <c r="B345" s="495" t="s">
        <v>163</v>
      </c>
      <c r="C345" s="491" t="s">
        <v>1248</v>
      </c>
      <c r="D345" s="492"/>
      <c r="E345" s="493">
        <v>1</v>
      </c>
      <c r="F345" s="494">
        <f>+D345*E345</f>
        <v>0</v>
      </c>
    </row>
    <row r="346" spans="1:6" hidden="1" x14ac:dyDescent="0.2">
      <c r="A346" s="489"/>
      <c r="B346" s="495"/>
      <c r="C346" s="491" t="s">
        <v>1249</v>
      </c>
      <c r="D346" s="492"/>
      <c r="E346" s="493">
        <v>1</v>
      </c>
      <c r="F346" s="494"/>
    </row>
    <row r="347" spans="1:6" hidden="1" x14ac:dyDescent="0.2">
      <c r="A347" s="489" t="s">
        <v>1300</v>
      </c>
      <c r="B347" s="495" t="s">
        <v>162</v>
      </c>
      <c r="C347" s="497" t="s">
        <v>1235</v>
      </c>
      <c r="D347" s="492"/>
      <c r="E347" s="493">
        <v>1</v>
      </c>
      <c r="F347" s="494">
        <f>+D347*E347</f>
        <v>0</v>
      </c>
    </row>
    <row r="348" spans="1:6" hidden="1" x14ac:dyDescent="0.2">
      <c r="A348" s="489"/>
      <c r="B348" s="495"/>
      <c r="C348" s="497" t="s">
        <v>1263</v>
      </c>
      <c r="D348" s="492"/>
      <c r="E348" s="493">
        <v>1</v>
      </c>
      <c r="F348" s="494"/>
    </row>
    <row r="349" spans="1:6" hidden="1" x14ac:dyDescent="0.2">
      <c r="A349" s="489" t="s">
        <v>1301</v>
      </c>
      <c r="B349" s="495" t="s">
        <v>142</v>
      </c>
      <c r="C349" s="491" t="s">
        <v>1252</v>
      </c>
      <c r="D349" s="492"/>
      <c r="E349" s="493">
        <v>1</v>
      </c>
      <c r="F349" s="494">
        <f t="shared" ref="F349:F359" si="8">+D349*E349</f>
        <v>0</v>
      </c>
    </row>
    <row r="350" spans="1:6" hidden="1" x14ac:dyDescent="0.2">
      <c r="A350" s="489" t="s">
        <v>1302</v>
      </c>
      <c r="B350" s="495" t="s">
        <v>1266</v>
      </c>
      <c r="C350" s="491" t="s">
        <v>1267</v>
      </c>
      <c r="D350" s="492"/>
      <c r="E350" s="493">
        <v>0</v>
      </c>
      <c r="F350" s="494">
        <f t="shared" si="8"/>
        <v>0</v>
      </c>
    </row>
    <row r="351" spans="1:6" hidden="1" x14ac:dyDescent="0.2">
      <c r="A351" s="489"/>
      <c r="B351" s="495"/>
      <c r="C351" s="491" t="s">
        <v>1268</v>
      </c>
      <c r="D351" s="492"/>
      <c r="E351" s="493">
        <v>0</v>
      </c>
      <c r="F351" s="494">
        <f t="shared" si="8"/>
        <v>0</v>
      </c>
    </row>
    <row r="352" spans="1:6" hidden="1" x14ac:dyDescent="0.2">
      <c r="A352" s="489" t="s">
        <v>1303</v>
      </c>
      <c r="B352" s="505" t="s">
        <v>143</v>
      </c>
      <c r="C352" s="502" t="s">
        <v>1254</v>
      </c>
      <c r="D352" s="492"/>
      <c r="E352" s="493">
        <v>0</v>
      </c>
      <c r="F352" s="494">
        <f t="shared" si="8"/>
        <v>0</v>
      </c>
    </row>
    <row r="353" spans="1:6" hidden="1" x14ac:dyDescent="0.2">
      <c r="A353" s="489"/>
      <c r="B353" s="505"/>
      <c r="C353" s="502" t="s">
        <v>1255</v>
      </c>
      <c r="D353" s="492"/>
      <c r="E353" s="493">
        <v>0</v>
      </c>
      <c r="F353" s="494">
        <f t="shared" si="8"/>
        <v>0</v>
      </c>
    </row>
    <row r="354" spans="1:6" hidden="1" x14ac:dyDescent="0.2">
      <c r="A354" s="489"/>
      <c r="B354" s="496"/>
      <c r="C354" s="497"/>
      <c r="D354" s="492"/>
      <c r="E354" s="493"/>
      <c r="F354" s="494">
        <f t="shared" si="8"/>
        <v>0</v>
      </c>
    </row>
    <row r="355" spans="1:6" hidden="1" x14ac:dyDescent="0.2">
      <c r="A355" s="489">
        <v>113803</v>
      </c>
      <c r="B355" s="496" t="s">
        <v>1304</v>
      </c>
      <c r="C355" s="497" t="s">
        <v>1305</v>
      </c>
      <c r="D355" s="492">
        <f>SUM(D356:D370)</f>
        <v>0</v>
      </c>
      <c r="E355" s="493"/>
      <c r="F355" s="494">
        <f t="shared" si="8"/>
        <v>0</v>
      </c>
    </row>
    <row r="356" spans="1:6" hidden="1" x14ac:dyDescent="0.2">
      <c r="A356" s="489" t="s">
        <v>1306</v>
      </c>
      <c r="B356" s="495" t="s">
        <v>20</v>
      </c>
      <c r="C356" s="491" t="s">
        <v>1224</v>
      </c>
      <c r="D356" s="492"/>
      <c r="E356" s="493">
        <v>0</v>
      </c>
      <c r="F356" s="494">
        <f t="shared" si="8"/>
        <v>0</v>
      </c>
    </row>
    <row r="357" spans="1:6" hidden="1" x14ac:dyDescent="0.2">
      <c r="A357" s="489"/>
      <c r="B357" s="495"/>
      <c r="C357" s="497" t="s">
        <v>1225</v>
      </c>
      <c r="D357" s="492"/>
      <c r="E357" s="493">
        <v>0</v>
      </c>
      <c r="F357" s="494">
        <f t="shared" si="8"/>
        <v>0</v>
      </c>
    </row>
    <row r="358" spans="1:6" hidden="1" x14ac:dyDescent="0.2">
      <c r="A358" s="489" t="s">
        <v>1307</v>
      </c>
      <c r="B358" s="495" t="s">
        <v>21</v>
      </c>
      <c r="C358" s="491" t="s">
        <v>1245</v>
      </c>
      <c r="D358" s="492"/>
      <c r="E358" s="493">
        <v>0</v>
      </c>
      <c r="F358" s="494">
        <f t="shared" si="8"/>
        <v>0</v>
      </c>
    </row>
    <row r="359" spans="1:6" hidden="1" x14ac:dyDescent="0.2">
      <c r="A359" s="489"/>
      <c r="B359" s="495"/>
      <c r="C359" s="491" t="s">
        <v>1246</v>
      </c>
      <c r="D359" s="492"/>
      <c r="E359" s="493">
        <v>0</v>
      </c>
      <c r="F359" s="494">
        <f t="shared" si="8"/>
        <v>0</v>
      </c>
    </row>
    <row r="360" spans="1:6" hidden="1" x14ac:dyDescent="0.2">
      <c r="A360" s="489" t="s">
        <v>1308</v>
      </c>
      <c r="B360" s="495" t="s">
        <v>157</v>
      </c>
      <c r="C360" s="502" t="s">
        <v>1247</v>
      </c>
      <c r="D360" s="492"/>
      <c r="E360" s="493">
        <v>1</v>
      </c>
      <c r="F360" s="494">
        <v>0</v>
      </c>
    </row>
    <row r="361" spans="1:6" hidden="1" x14ac:dyDescent="0.2">
      <c r="A361" s="489"/>
      <c r="B361" s="495"/>
      <c r="C361" s="502" t="s">
        <v>1260</v>
      </c>
      <c r="D361" s="492"/>
      <c r="E361" s="493">
        <v>1</v>
      </c>
      <c r="F361" s="494">
        <v>0</v>
      </c>
    </row>
    <row r="362" spans="1:6" hidden="1" x14ac:dyDescent="0.2">
      <c r="A362" s="489" t="s">
        <v>1309</v>
      </c>
      <c r="B362" s="495" t="s">
        <v>163</v>
      </c>
      <c r="C362" s="491" t="s">
        <v>1248</v>
      </c>
      <c r="D362" s="492"/>
      <c r="E362" s="493">
        <v>1</v>
      </c>
      <c r="F362" s="494">
        <f>+D362*E362</f>
        <v>0</v>
      </c>
    </row>
    <row r="363" spans="1:6" hidden="1" x14ac:dyDescent="0.2">
      <c r="A363" s="489"/>
      <c r="B363" s="495"/>
      <c r="C363" s="491" t="s">
        <v>1249</v>
      </c>
      <c r="D363" s="492"/>
      <c r="E363" s="493">
        <v>1</v>
      </c>
      <c r="F363" s="494"/>
    </row>
    <row r="364" spans="1:6" hidden="1" x14ac:dyDescent="0.2">
      <c r="A364" s="489" t="s">
        <v>1310</v>
      </c>
      <c r="B364" s="495" t="s">
        <v>162</v>
      </c>
      <c r="C364" s="497" t="s">
        <v>1235</v>
      </c>
      <c r="D364" s="492"/>
      <c r="E364" s="493">
        <v>1</v>
      </c>
      <c r="F364" s="494">
        <f>+D364*E364</f>
        <v>0</v>
      </c>
    </row>
    <row r="365" spans="1:6" hidden="1" x14ac:dyDescent="0.2">
      <c r="A365" s="489"/>
      <c r="B365" s="495"/>
      <c r="C365" s="497" t="s">
        <v>1263</v>
      </c>
      <c r="D365" s="492"/>
      <c r="E365" s="493">
        <v>1</v>
      </c>
      <c r="F365" s="494"/>
    </row>
    <row r="366" spans="1:6" hidden="1" x14ac:dyDescent="0.2">
      <c r="A366" s="489" t="s">
        <v>1311</v>
      </c>
      <c r="B366" s="495" t="s">
        <v>142</v>
      </c>
      <c r="C366" s="491" t="s">
        <v>1252</v>
      </c>
      <c r="D366" s="492"/>
      <c r="E366" s="493">
        <v>1</v>
      </c>
      <c r="F366" s="494">
        <f>+D366*E366</f>
        <v>0</v>
      </c>
    </row>
    <row r="367" spans="1:6" hidden="1" x14ac:dyDescent="0.2">
      <c r="A367" s="489" t="s">
        <v>1312</v>
      </c>
      <c r="B367" s="495" t="s">
        <v>1266</v>
      </c>
      <c r="C367" s="491" t="s">
        <v>1267</v>
      </c>
      <c r="D367" s="492"/>
      <c r="E367" s="493">
        <v>0</v>
      </c>
      <c r="F367" s="494">
        <f>+D367*E367</f>
        <v>0</v>
      </c>
    </row>
    <row r="368" spans="1:6" hidden="1" x14ac:dyDescent="0.2">
      <c r="A368" s="489"/>
      <c r="B368" s="495"/>
      <c r="C368" s="491" t="s">
        <v>1268</v>
      </c>
      <c r="D368" s="492"/>
      <c r="E368" s="493">
        <v>0</v>
      </c>
      <c r="F368" s="494">
        <f>+D368*E368</f>
        <v>0</v>
      </c>
    </row>
    <row r="369" spans="1:6" hidden="1" x14ac:dyDescent="0.2">
      <c r="A369" s="489" t="s">
        <v>1313</v>
      </c>
      <c r="B369" s="505" t="s">
        <v>143</v>
      </c>
      <c r="C369" s="502" t="s">
        <v>1254</v>
      </c>
      <c r="D369" s="492"/>
      <c r="E369" s="493">
        <v>0</v>
      </c>
      <c r="F369" s="494">
        <f>+D369*E369</f>
        <v>0</v>
      </c>
    </row>
    <row r="370" spans="1:6" hidden="1" x14ac:dyDescent="0.2">
      <c r="A370" s="489"/>
      <c r="B370" s="505"/>
      <c r="C370" s="502" t="s">
        <v>1255</v>
      </c>
      <c r="D370" s="492"/>
      <c r="E370" s="493">
        <v>0</v>
      </c>
      <c r="F370" s="494">
        <f>+D370*E370</f>
        <v>0</v>
      </c>
    </row>
    <row r="371" spans="1:6" hidden="1" x14ac:dyDescent="0.2">
      <c r="A371" s="489"/>
      <c r="B371" s="496"/>
      <c r="C371" s="497"/>
      <c r="D371" s="492"/>
      <c r="E371" s="493"/>
      <c r="F371" s="494"/>
    </row>
    <row r="372" spans="1:6" x14ac:dyDescent="0.2">
      <c r="A372" s="489">
        <v>1139</v>
      </c>
      <c r="B372" s="496">
        <v>1139</v>
      </c>
      <c r="C372" s="503" t="s">
        <v>349</v>
      </c>
      <c r="D372" s="492">
        <f>SUM(D373)</f>
        <v>0</v>
      </c>
      <c r="E372" s="493">
        <v>0</v>
      </c>
      <c r="F372" s="494">
        <v>0</v>
      </c>
    </row>
    <row r="373" spans="1:6" x14ac:dyDescent="0.2">
      <c r="A373" s="489" t="s">
        <v>1314</v>
      </c>
      <c r="B373" s="490" t="s">
        <v>44</v>
      </c>
      <c r="C373" s="502" t="s">
        <v>349</v>
      </c>
      <c r="D373" s="492">
        <f>SUM(D374)</f>
        <v>0</v>
      </c>
      <c r="E373" s="493">
        <v>0</v>
      </c>
      <c r="F373" s="494">
        <v>0</v>
      </c>
    </row>
    <row r="374" spans="1:6" x14ac:dyDescent="0.2">
      <c r="A374" s="489" t="s">
        <v>1315</v>
      </c>
      <c r="B374" s="496"/>
      <c r="C374" s="502" t="s">
        <v>349</v>
      </c>
      <c r="D374" s="492">
        <f>SUM(D375:D378)</f>
        <v>0</v>
      </c>
      <c r="E374" s="493">
        <v>0</v>
      </c>
      <c r="F374" s="494">
        <v>0</v>
      </c>
    </row>
    <row r="375" spans="1:6" x14ac:dyDescent="0.2">
      <c r="A375" s="489" t="s">
        <v>103</v>
      </c>
      <c r="B375" s="490" t="s">
        <v>44</v>
      </c>
      <c r="C375" s="502" t="s">
        <v>324</v>
      </c>
      <c r="D375" s="492">
        <v>0</v>
      </c>
      <c r="E375" s="493">
        <v>0</v>
      </c>
      <c r="F375" s="494">
        <v>0</v>
      </c>
    </row>
    <row r="376" spans="1:6" x14ac:dyDescent="0.2">
      <c r="A376" s="498" t="s">
        <v>104</v>
      </c>
      <c r="B376" s="490" t="s">
        <v>1057</v>
      </c>
      <c r="C376" s="502" t="s">
        <v>88</v>
      </c>
      <c r="D376" s="492">
        <v>0</v>
      </c>
      <c r="E376" s="493">
        <v>0</v>
      </c>
      <c r="F376" s="494">
        <v>0</v>
      </c>
    </row>
    <row r="377" spans="1:6" hidden="1" x14ac:dyDescent="0.2">
      <c r="A377" s="498" t="s">
        <v>105</v>
      </c>
      <c r="B377" s="490" t="s">
        <v>1064</v>
      </c>
      <c r="C377" s="497" t="s">
        <v>30</v>
      </c>
      <c r="D377" s="492"/>
      <c r="E377" s="493">
        <v>1</v>
      </c>
      <c r="F377" s="494">
        <f>+D377*E377</f>
        <v>0</v>
      </c>
    </row>
    <row r="378" spans="1:6" hidden="1" x14ac:dyDescent="0.2">
      <c r="A378" s="498" t="s">
        <v>305</v>
      </c>
      <c r="B378" s="490" t="s">
        <v>161</v>
      </c>
      <c r="C378" s="502" t="s">
        <v>3</v>
      </c>
      <c r="D378" s="492"/>
      <c r="E378" s="493">
        <v>1</v>
      </c>
      <c r="F378" s="494">
        <f>+D378*E378</f>
        <v>0</v>
      </c>
    </row>
    <row r="379" spans="1:6" x14ac:dyDescent="0.2">
      <c r="A379" s="498"/>
      <c r="B379" s="490"/>
      <c r="C379" s="502"/>
      <c r="D379" s="492"/>
      <c r="E379" s="493"/>
      <c r="F379" s="494"/>
    </row>
    <row r="380" spans="1:6" x14ac:dyDescent="0.2">
      <c r="A380" s="489">
        <v>1141</v>
      </c>
      <c r="B380" s="495">
        <v>1141</v>
      </c>
      <c r="C380" s="491" t="s">
        <v>1316</v>
      </c>
      <c r="D380" s="492">
        <f>SUM(D381+D389+D397+D405+D414+D422+D430)</f>
        <v>0</v>
      </c>
      <c r="E380" s="493">
        <v>0</v>
      </c>
      <c r="F380" s="494">
        <v>0</v>
      </c>
    </row>
    <row r="381" spans="1:6" x14ac:dyDescent="0.2">
      <c r="A381" s="489">
        <v>114102</v>
      </c>
      <c r="B381" s="490" t="s">
        <v>1064</v>
      </c>
      <c r="C381" s="491" t="s">
        <v>106</v>
      </c>
      <c r="D381" s="492">
        <v>0</v>
      </c>
      <c r="E381" s="493">
        <v>1</v>
      </c>
      <c r="F381" s="494">
        <f>+D381*E381</f>
        <v>0</v>
      </c>
    </row>
    <row r="382" spans="1:6" hidden="1" x14ac:dyDescent="0.2">
      <c r="A382" s="489" t="s">
        <v>1317</v>
      </c>
      <c r="B382" s="495" t="s">
        <v>20</v>
      </c>
      <c r="C382" s="491" t="s">
        <v>1318</v>
      </c>
      <c r="D382" s="492">
        <v>13117.83538</v>
      </c>
      <c r="E382" s="493">
        <v>0</v>
      </c>
      <c r="F382" s="494">
        <v>0</v>
      </c>
    </row>
    <row r="383" spans="1:6" hidden="1" x14ac:dyDescent="0.2">
      <c r="A383" s="489"/>
      <c r="B383" s="495"/>
      <c r="C383" s="491" t="s">
        <v>1319</v>
      </c>
      <c r="D383" s="492">
        <v>0</v>
      </c>
      <c r="E383" s="493">
        <v>0</v>
      </c>
      <c r="F383" s="494">
        <v>0</v>
      </c>
    </row>
    <row r="384" spans="1:6" hidden="1" x14ac:dyDescent="0.2">
      <c r="A384" s="489" t="s">
        <v>1320</v>
      </c>
      <c r="B384" s="495" t="s">
        <v>21</v>
      </c>
      <c r="C384" s="491" t="s">
        <v>1321</v>
      </c>
      <c r="D384" s="492"/>
      <c r="E384" s="493">
        <v>0</v>
      </c>
      <c r="F384" s="494"/>
    </row>
    <row r="385" spans="1:6" hidden="1" x14ac:dyDescent="0.2">
      <c r="A385" s="489"/>
      <c r="B385" s="495"/>
      <c r="C385" s="491" t="s">
        <v>1322</v>
      </c>
      <c r="D385" s="492"/>
      <c r="E385" s="493">
        <v>0</v>
      </c>
      <c r="F385" s="494">
        <f>+D385*E385</f>
        <v>0</v>
      </c>
    </row>
    <row r="386" spans="1:6" hidden="1" x14ac:dyDescent="0.2">
      <c r="A386" s="489" t="s">
        <v>1323</v>
      </c>
      <c r="B386" s="505" t="s">
        <v>143</v>
      </c>
      <c r="C386" s="502" t="s">
        <v>1324</v>
      </c>
      <c r="D386" s="492">
        <v>38.440159999999999</v>
      </c>
      <c r="E386" s="493">
        <v>0</v>
      </c>
      <c r="F386" s="494">
        <v>0</v>
      </c>
    </row>
    <row r="387" spans="1:6" hidden="1" x14ac:dyDescent="0.2">
      <c r="A387" s="489"/>
      <c r="B387" s="505"/>
      <c r="C387" s="502" t="s">
        <v>1325</v>
      </c>
      <c r="D387" s="492">
        <v>0</v>
      </c>
      <c r="E387" s="493">
        <v>0</v>
      </c>
      <c r="F387" s="494">
        <v>0</v>
      </c>
    </row>
    <row r="388" spans="1:6" x14ac:dyDescent="0.2">
      <c r="A388" s="489"/>
      <c r="B388" s="490"/>
      <c r="C388" s="497"/>
      <c r="D388" s="492"/>
      <c r="E388" s="493"/>
      <c r="F388" s="494"/>
    </row>
    <row r="389" spans="1:6" x14ac:dyDescent="0.2">
      <c r="A389" s="489">
        <v>114103</v>
      </c>
      <c r="B389" s="490" t="s">
        <v>161</v>
      </c>
      <c r="C389" s="491" t="s">
        <v>171</v>
      </c>
      <c r="D389" s="492">
        <v>0</v>
      </c>
      <c r="E389" s="493">
        <v>1</v>
      </c>
      <c r="F389" s="494">
        <f>+D389*E389</f>
        <v>0</v>
      </c>
    </row>
    <row r="390" spans="1:6" hidden="1" x14ac:dyDescent="0.2">
      <c r="A390" s="489" t="s">
        <v>1326</v>
      </c>
      <c r="B390" s="495" t="s">
        <v>20</v>
      </c>
      <c r="C390" s="491" t="s">
        <v>1318</v>
      </c>
      <c r="D390" s="492">
        <v>170674.6888</v>
      </c>
      <c r="E390" s="493">
        <v>0</v>
      </c>
      <c r="F390" s="494">
        <v>0</v>
      </c>
    </row>
    <row r="391" spans="1:6" hidden="1" x14ac:dyDescent="0.2">
      <c r="A391" s="489"/>
      <c r="B391" s="495"/>
      <c r="C391" s="491" t="s">
        <v>1319</v>
      </c>
      <c r="D391" s="492">
        <v>688045.23814000003</v>
      </c>
      <c r="E391" s="493">
        <v>0</v>
      </c>
      <c r="F391" s="494">
        <v>0</v>
      </c>
    </row>
    <row r="392" spans="1:6" hidden="1" x14ac:dyDescent="0.2">
      <c r="A392" s="489" t="s">
        <v>1327</v>
      </c>
      <c r="B392" s="495" t="s">
        <v>21</v>
      </c>
      <c r="C392" s="491" t="s">
        <v>1321</v>
      </c>
      <c r="D392" s="492">
        <v>188.29191</v>
      </c>
      <c r="E392" s="493">
        <v>0</v>
      </c>
      <c r="F392" s="494">
        <v>0</v>
      </c>
    </row>
    <row r="393" spans="1:6" hidden="1" x14ac:dyDescent="0.2">
      <c r="A393" s="489"/>
      <c r="B393" s="495"/>
      <c r="C393" s="491" t="s">
        <v>1322</v>
      </c>
      <c r="D393" s="492"/>
      <c r="E393" s="493">
        <v>0</v>
      </c>
      <c r="F393" s="494">
        <f>+D393*E393</f>
        <v>0</v>
      </c>
    </row>
    <row r="394" spans="1:6" hidden="1" x14ac:dyDescent="0.2">
      <c r="A394" s="489" t="s">
        <v>1328</v>
      </c>
      <c r="B394" s="505" t="s">
        <v>143</v>
      </c>
      <c r="C394" s="502" t="s">
        <v>1324</v>
      </c>
      <c r="D394" s="492">
        <v>728.49833999999998</v>
      </c>
      <c r="E394" s="493">
        <v>0</v>
      </c>
      <c r="F394" s="494">
        <v>0</v>
      </c>
    </row>
    <row r="395" spans="1:6" hidden="1" x14ac:dyDescent="0.2">
      <c r="A395" s="489"/>
      <c r="B395" s="505"/>
      <c r="C395" s="502" t="s">
        <v>1325</v>
      </c>
      <c r="D395" s="492">
        <v>1034.42833</v>
      </c>
      <c r="E395" s="493">
        <v>0</v>
      </c>
      <c r="F395" s="494">
        <v>0</v>
      </c>
    </row>
    <row r="396" spans="1:6" x14ac:dyDescent="0.2">
      <c r="A396" s="489"/>
      <c r="B396" s="500"/>
      <c r="C396" s="502"/>
      <c r="D396" s="492"/>
      <c r="E396" s="493"/>
      <c r="F396" s="494"/>
    </row>
    <row r="397" spans="1:6" hidden="1" x14ac:dyDescent="0.2">
      <c r="A397" s="489">
        <v>114104</v>
      </c>
      <c r="B397" s="490" t="s">
        <v>1069</v>
      </c>
      <c r="C397" s="491" t="s">
        <v>240</v>
      </c>
      <c r="D397" s="492">
        <v>0</v>
      </c>
      <c r="E397" s="493">
        <v>1</v>
      </c>
      <c r="F397" s="494">
        <f>+D397*E397</f>
        <v>0</v>
      </c>
    </row>
    <row r="398" spans="1:6" hidden="1" x14ac:dyDescent="0.2">
      <c r="A398" s="489" t="s">
        <v>1329</v>
      </c>
      <c r="B398" s="495" t="s">
        <v>20</v>
      </c>
      <c r="C398" s="491" t="s">
        <v>1318</v>
      </c>
      <c r="D398" s="492">
        <v>14339.833839999999</v>
      </c>
      <c r="E398" s="493">
        <v>0</v>
      </c>
      <c r="F398" s="494">
        <v>0</v>
      </c>
    </row>
    <row r="399" spans="1:6" hidden="1" x14ac:dyDescent="0.2">
      <c r="A399" s="489"/>
      <c r="B399" s="495"/>
      <c r="C399" s="491" t="s">
        <v>1319</v>
      </c>
      <c r="D399" s="492">
        <v>8337.74028</v>
      </c>
      <c r="E399" s="493">
        <v>0</v>
      </c>
      <c r="F399" s="494">
        <v>0</v>
      </c>
    </row>
    <row r="400" spans="1:6" hidden="1" x14ac:dyDescent="0.2">
      <c r="A400" s="489" t="s">
        <v>1330</v>
      </c>
      <c r="B400" s="495" t="s">
        <v>21</v>
      </c>
      <c r="C400" s="491" t="s">
        <v>1321</v>
      </c>
      <c r="D400" s="492">
        <v>3.8778700000000002</v>
      </c>
      <c r="E400" s="493">
        <v>0</v>
      </c>
      <c r="F400" s="494">
        <v>0</v>
      </c>
    </row>
    <row r="401" spans="1:6" hidden="1" x14ac:dyDescent="0.2">
      <c r="A401" s="489"/>
      <c r="B401" s="495"/>
      <c r="C401" s="491" t="s">
        <v>1322</v>
      </c>
      <c r="D401" s="492"/>
      <c r="E401" s="493">
        <v>0</v>
      </c>
      <c r="F401" s="494">
        <f>+D401*E401</f>
        <v>0</v>
      </c>
    </row>
    <row r="402" spans="1:6" hidden="1" x14ac:dyDescent="0.2">
      <c r="A402" s="489" t="s">
        <v>1331</v>
      </c>
      <c r="B402" s="505" t="s">
        <v>143</v>
      </c>
      <c r="C402" s="502" t="s">
        <v>1324</v>
      </c>
      <c r="D402" s="492">
        <v>63.216990000000003</v>
      </c>
      <c r="E402" s="493">
        <v>0</v>
      </c>
      <c r="F402" s="494">
        <v>0</v>
      </c>
    </row>
    <row r="403" spans="1:6" hidden="1" x14ac:dyDescent="0.2">
      <c r="A403" s="489"/>
      <c r="B403" s="505"/>
      <c r="C403" s="502" t="s">
        <v>1325</v>
      </c>
      <c r="D403" s="492">
        <v>29.627790000000001</v>
      </c>
      <c r="E403" s="493">
        <v>0</v>
      </c>
      <c r="F403" s="494">
        <v>0</v>
      </c>
    </row>
    <row r="404" spans="1:6" x14ac:dyDescent="0.2">
      <c r="A404" s="489"/>
      <c r="B404" s="505"/>
      <c r="C404" s="502"/>
      <c r="D404" s="492"/>
      <c r="E404" s="493"/>
      <c r="F404" s="494"/>
    </row>
    <row r="405" spans="1:6" x14ac:dyDescent="0.2">
      <c r="A405" s="489">
        <v>114105</v>
      </c>
      <c r="B405" s="490" t="s">
        <v>1217</v>
      </c>
      <c r="C405" s="491" t="s">
        <v>239</v>
      </c>
      <c r="D405" s="492">
        <f>SUM(D406:D410)</f>
        <v>0</v>
      </c>
      <c r="E405" s="493">
        <v>0</v>
      </c>
      <c r="F405" s="494">
        <v>0</v>
      </c>
    </row>
    <row r="406" spans="1:6" x14ac:dyDescent="0.2">
      <c r="A406" s="489" t="s">
        <v>1332</v>
      </c>
      <c r="B406" s="495" t="s">
        <v>20</v>
      </c>
      <c r="C406" s="491" t="s">
        <v>1333</v>
      </c>
      <c r="D406" s="492">
        <v>0</v>
      </c>
      <c r="E406" s="493">
        <v>0.5</v>
      </c>
      <c r="F406" s="494">
        <f>+D406*E406</f>
        <v>0</v>
      </c>
    </row>
    <row r="407" spans="1:6" hidden="1" x14ac:dyDescent="0.2">
      <c r="A407" s="489"/>
      <c r="B407" s="495"/>
      <c r="C407" s="491" t="s">
        <v>1334</v>
      </c>
      <c r="D407" s="492">
        <v>0</v>
      </c>
      <c r="E407" s="493">
        <v>0.5</v>
      </c>
      <c r="F407" s="494">
        <v>0</v>
      </c>
    </row>
    <row r="408" spans="1:6" hidden="1" x14ac:dyDescent="0.2">
      <c r="A408" s="489" t="s">
        <v>1335</v>
      </c>
      <c r="B408" s="495" t="s">
        <v>157</v>
      </c>
      <c r="C408" s="491" t="s">
        <v>1336</v>
      </c>
      <c r="D408" s="492"/>
      <c r="E408" s="493">
        <v>1</v>
      </c>
      <c r="F408" s="494">
        <f>+D408*E408</f>
        <v>0</v>
      </c>
    </row>
    <row r="409" spans="1:6" hidden="1" x14ac:dyDescent="0.2">
      <c r="A409" s="489"/>
      <c r="B409" s="495"/>
      <c r="C409" s="491" t="s">
        <v>1337</v>
      </c>
      <c r="D409" s="492"/>
      <c r="E409" s="493">
        <v>1</v>
      </c>
      <c r="F409" s="494"/>
    </row>
    <row r="410" spans="1:6" hidden="1" x14ac:dyDescent="0.2">
      <c r="A410" s="489" t="s">
        <v>1338</v>
      </c>
      <c r="B410" s="495" t="s">
        <v>143</v>
      </c>
      <c r="C410" s="491" t="s">
        <v>1324</v>
      </c>
      <c r="D410" s="492"/>
      <c r="E410" s="493">
        <v>0</v>
      </c>
      <c r="F410" s="494">
        <v>0</v>
      </c>
    </row>
    <row r="411" spans="1:6" hidden="1" x14ac:dyDescent="0.2">
      <c r="A411" s="489"/>
      <c r="B411" s="495"/>
      <c r="C411" s="491" t="s">
        <v>1325</v>
      </c>
      <c r="D411" s="492"/>
      <c r="E411" s="493">
        <v>0</v>
      </c>
      <c r="F411" s="494"/>
    </row>
    <row r="412" spans="1:6" x14ac:dyDescent="0.2">
      <c r="A412" s="489"/>
      <c r="B412" s="496"/>
      <c r="C412" s="491"/>
      <c r="D412" s="492"/>
      <c r="E412" s="493"/>
      <c r="F412" s="494"/>
    </row>
    <row r="413" spans="1:6" x14ac:dyDescent="0.2">
      <c r="A413" s="489"/>
      <c r="B413" s="496"/>
      <c r="C413" s="491"/>
      <c r="D413" s="492"/>
      <c r="E413" s="493"/>
      <c r="F413" s="494"/>
    </row>
    <row r="414" spans="1:6" x14ac:dyDescent="0.2">
      <c r="A414" s="489">
        <v>114106</v>
      </c>
      <c r="B414" s="490" t="s">
        <v>192</v>
      </c>
      <c r="C414" s="491" t="s">
        <v>1339</v>
      </c>
      <c r="D414" s="492">
        <v>0</v>
      </c>
      <c r="E414" s="493">
        <v>1</v>
      </c>
      <c r="F414" s="494">
        <f>+D414*E414</f>
        <v>0</v>
      </c>
    </row>
    <row r="415" spans="1:6" hidden="1" x14ac:dyDescent="0.2">
      <c r="A415" s="489" t="s">
        <v>1340</v>
      </c>
      <c r="B415" s="495" t="s">
        <v>20</v>
      </c>
      <c r="C415" s="491" t="s">
        <v>1318</v>
      </c>
      <c r="D415" s="492">
        <v>99.533019999999993</v>
      </c>
      <c r="E415" s="493">
        <v>0</v>
      </c>
      <c r="F415" s="494">
        <v>0</v>
      </c>
    </row>
    <row r="416" spans="1:6" hidden="1" x14ac:dyDescent="0.2">
      <c r="A416" s="489"/>
      <c r="B416" s="495"/>
      <c r="C416" s="491" t="s">
        <v>1319</v>
      </c>
      <c r="D416" s="492">
        <v>0</v>
      </c>
      <c r="E416" s="493">
        <v>0</v>
      </c>
      <c r="F416" s="494">
        <v>0</v>
      </c>
    </row>
    <row r="417" spans="1:6" hidden="1" x14ac:dyDescent="0.2">
      <c r="A417" s="489" t="s">
        <v>1341</v>
      </c>
      <c r="B417" s="495" t="s">
        <v>21</v>
      </c>
      <c r="C417" s="491" t="s">
        <v>1321</v>
      </c>
      <c r="D417" s="492"/>
      <c r="E417" s="493">
        <v>0</v>
      </c>
      <c r="F417" s="494"/>
    </row>
    <row r="418" spans="1:6" hidden="1" x14ac:dyDescent="0.2">
      <c r="A418" s="489"/>
      <c r="B418" s="495"/>
      <c r="C418" s="491" t="s">
        <v>1322</v>
      </c>
      <c r="D418" s="492"/>
      <c r="E418" s="493">
        <v>0</v>
      </c>
      <c r="F418" s="494">
        <f>+D418*E418</f>
        <v>0</v>
      </c>
    </row>
    <row r="419" spans="1:6" hidden="1" x14ac:dyDescent="0.2">
      <c r="A419" s="489" t="s">
        <v>1342</v>
      </c>
      <c r="B419" s="505" t="s">
        <v>143</v>
      </c>
      <c r="C419" s="502" t="s">
        <v>1324</v>
      </c>
      <c r="D419" s="492">
        <v>7.7799999999999994E-2</v>
      </c>
      <c r="E419" s="493">
        <v>0</v>
      </c>
      <c r="F419" s="494">
        <v>0</v>
      </c>
    </row>
    <row r="420" spans="1:6" hidden="1" x14ac:dyDescent="0.2">
      <c r="A420" s="489"/>
      <c r="B420" s="505"/>
      <c r="C420" s="502" t="s">
        <v>1325</v>
      </c>
      <c r="D420" s="492">
        <v>0</v>
      </c>
      <c r="E420" s="493">
        <v>0</v>
      </c>
      <c r="F420" s="494">
        <v>0</v>
      </c>
    </row>
    <row r="421" spans="1:6" x14ac:dyDescent="0.2">
      <c r="A421" s="489"/>
      <c r="B421" s="505"/>
      <c r="C421" s="502"/>
      <c r="D421" s="492"/>
      <c r="E421" s="493"/>
      <c r="F421" s="494"/>
    </row>
    <row r="422" spans="1:6" x14ac:dyDescent="0.2">
      <c r="A422" s="489">
        <v>114108</v>
      </c>
      <c r="B422" s="490" t="s">
        <v>1343</v>
      </c>
      <c r="C422" s="491" t="s">
        <v>206</v>
      </c>
      <c r="D422" s="492">
        <v>0</v>
      </c>
      <c r="E422" s="493">
        <v>1</v>
      </c>
      <c r="F422" s="494">
        <f>+D422*E422</f>
        <v>0</v>
      </c>
    </row>
    <row r="423" spans="1:6" hidden="1" x14ac:dyDescent="0.2">
      <c r="A423" s="489" t="s">
        <v>1344</v>
      </c>
      <c r="B423" s="495" t="s">
        <v>20</v>
      </c>
      <c r="C423" s="491" t="s">
        <v>1318</v>
      </c>
      <c r="D423" s="492">
        <v>43289.169560000002</v>
      </c>
      <c r="E423" s="493">
        <v>0</v>
      </c>
      <c r="F423" s="494">
        <v>0</v>
      </c>
    </row>
    <row r="424" spans="1:6" hidden="1" x14ac:dyDescent="0.2">
      <c r="A424" s="489"/>
      <c r="B424" s="495"/>
      <c r="C424" s="491" t="s">
        <v>1319</v>
      </c>
      <c r="D424" s="492">
        <v>0</v>
      </c>
      <c r="E424" s="493">
        <v>0</v>
      </c>
      <c r="F424" s="494">
        <v>0</v>
      </c>
    </row>
    <row r="425" spans="1:6" hidden="1" x14ac:dyDescent="0.2">
      <c r="A425" s="489" t="s">
        <v>1345</v>
      </c>
      <c r="B425" s="495" t="s">
        <v>21</v>
      </c>
      <c r="C425" s="491" t="s">
        <v>1321</v>
      </c>
      <c r="D425" s="492">
        <v>0</v>
      </c>
      <c r="E425" s="493">
        <v>0</v>
      </c>
      <c r="F425" s="494">
        <v>0</v>
      </c>
    </row>
    <row r="426" spans="1:6" hidden="1" x14ac:dyDescent="0.2">
      <c r="A426" s="489"/>
      <c r="B426" s="495"/>
      <c r="C426" s="491" t="s">
        <v>1322</v>
      </c>
      <c r="D426" s="492">
        <v>0</v>
      </c>
      <c r="E426" s="493">
        <v>0</v>
      </c>
      <c r="F426" s="494">
        <v>0</v>
      </c>
    </row>
    <row r="427" spans="1:6" hidden="1" x14ac:dyDescent="0.2">
      <c r="A427" s="489" t="s">
        <v>1346</v>
      </c>
      <c r="B427" s="505" t="s">
        <v>143</v>
      </c>
      <c r="C427" s="502" t="s">
        <v>1324</v>
      </c>
      <c r="D427" s="492">
        <v>65.852119999999999</v>
      </c>
      <c r="E427" s="493">
        <v>0</v>
      </c>
      <c r="F427" s="494">
        <v>0</v>
      </c>
    </row>
    <row r="428" spans="1:6" hidden="1" x14ac:dyDescent="0.2">
      <c r="A428" s="489"/>
      <c r="B428" s="505"/>
      <c r="C428" s="502" t="s">
        <v>1325</v>
      </c>
      <c r="D428" s="492">
        <v>0</v>
      </c>
      <c r="E428" s="493">
        <v>0</v>
      </c>
      <c r="F428" s="494">
        <v>0</v>
      </c>
    </row>
    <row r="429" spans="1:6" x14ac:dyDescent="0.2">
      <c r="A429" s="489"/>
      <c r="B429" s="496"/>
      <c r="C429" s="491"/>
      <c r="D429" s="492"/>
      <c r="E429" s="493"/>
      <c r="F429" s="494"/>
    </row>
    <row r="430" spans="1:6" x14ac:dyDescent="0.2">
      <c r="A430" s="489">
        <v>114199</v>
      </c>
      <c r="B430" s="490" t="s">
        <v>51</v>
      </c>
      <c r="C430" s="491" t="s">
        <v>170</v>
      </c>
      <c r="D430" s="492">
        <v>0</v>
      </c>
      <c r="E430" s="493">
        <v>1</v>
      </c>
      <c r="F430" s="494">
        <f>+D430*E430</f>
        <v>0</v>
      </c>
    </row>
    <row r="431" spans="1:6" hidden="1" x14ac:dyDescent="0.2">
      <c r="A431" s="489" t="s">
        <v>1347</v>
      </c>
      <c r="B431" s="495" t="s">
        <v>20</v>
      </c>
      <c r="C431" s="491" t="s">
        <v>1348</v>
      </c>
      <c r="D431" s="492">
        <v>396.76105000000001</v>
      </c>
      <c r="E431" s="493">
        <v>0</v>
      </c>
      <c r="F431" s="494">
        <v>0</v>
      </c>
    </row>
    <row r="432" spans="1:6" hidden="1" x14ac:dyDescent="0.2">
      <c r="A432" s="489"/>
      <c r="B432" s="495"/>
      <c r="C432" s="491" t="s">
        <v>1349</v>
      </c>
      <c r="D432" s="492">
        <v>0</v>
      </c>
      <c r="E432" s="493">
        <v>0</v>
      </c>
      <c r="F432" s="494">
        <v>0</v>
      </c>
    </row>
    <row r="433" spans="1:6" hidden="1" x14ac:dyDescent="0.2">
      <c r="A433" s="489" t="s">
        <v>1350</v>
      </c>
      <c r="B433" s="495" t="s">
        <v>21</v>
      </c>
      <c r="C433" s="491" t="s">
        <v>1351</v>
      </c>
      <c r="D433" s="492">
        <v>-41.650010000000002</v>
      </c>
      <c r="E433" s="493">
        <v>0</v>
      </c>
      <c r="F433" s="494">
        <v>0</v>
      </c>
    </row>
    <row r="434" spans="1:6" hidden="1" x14ac:dyDescent="0.2">
      <c r="A434" s="489"/>
      <c r="B434" s="495"/>
      <c r="C434" s="491" t="s">
        <v>1352</v>
      </c>
      <c r="D434" s="492">
        <v>0</v>
      </c>
      <c r="E434" s="493">
        <v>0</v>
      </c>
      <c r="F434" s="494">
        <v>0</v>
      </c>
    </row>
    <row r="435" spans="1:6" x14ac:dyDescent="0.2">
      <c r="A435" s="489"/>
      <c r="B435" s="496"/>
      <c r="C435" s="491"/>
      <c r="D435" s="492"/>
      <c r="E435" s="493"/>
      <c r="F435" s="494"/>
    </row>
    <row r="436" spans="1:6" x14ac:dyDescent="0.2">
      <c r="A436" s="489">
        <v>1142</v>
      </c>
      <c r="B436" s="501">
        <v>1142</v>
      </c>
      <c r="C436" s="502" t="s">
        <v>1353</v>
      </c>
      <c r="D436" s="492">
        <f>+'[1]Balance General 2017'!S112</f>
        <v>0</v>
      </c>
      <c r="E436" s="493">
        <v>1</v>
      </c>
      <c r="F436" s="494">
        <f>+D436*E436</f>
        <v>0</v>
      </c>
    </row>
    <row r="437" spans="1:6" hidden="1" x14ac:dyDescent="0.2">
      <c r="A437" s="489"/>
      <c r="B437" s="496"/>
      <c r="C437" s="510"/>
      <c r="D437" s="492"/>
      <c r="E437" s="493"/>
      <c r="F437" s="494"/>
    </row>
    <row r="438" spans="1:6" hidden="1" x14ac:dyDescent="0.2">
      <c r="A438" s="489" t="s">
        <v>1354</v>
      </c>
      <c r="B438" s="499" t="s">
        <v>1354</v>
      </c>
      <c r="C438" s="502" t="s">
        <v>1355</v>
      </c>
      <c r="D438" s="492"/>
      <c r="E438" s="493">
        <v>-1</v>
      </c>
      <c r="F438" s="494"/>
    </row>
    <row r="439" spans="1:6" hidden="1" x14ac:dyDescent="0.2">
      <c r="A439" s="489"/>
      <c r="B439" s="499"/>
      <c r="C439" s="502" t="s">
        <v>1356</v>
      </c>
      <c r="D439" s="492"/>
      <c r="E439" s="493">
        <v>-1</v>
      </c>
      <c r="F439" s="494"/>
    </row>
    <row r="440" spans="1:6" hidden="1" x14ac:dyDescent="0.2">
      <c r="A440" s="489" t="s">
        <v>1357</v>
      </c>
      <c r="B440" s="499" t="s">
        <v>1357</v>
      </c>
      <c r="C440" s="502" t="s">
        <v>1358</v>
      </c>
      <c r="D440" s="492"/>
      <c r="E440" s="493">
        <v>-1</v>
      </c>
      <c r="F440" s="494"/>
    </row>
    <row r="441" spans="1:6" x14ac:dyDescent="0.2">
      <c r="A441" s="489"/>
      <c r="B441" s="499"/>
      <c r="C441" s="502"/>
      <c r="D441" s="492"/>
      <c r="E441" s="493"/>
      <c r="F441" s="494"/>
    </row>
    <row r="442" spans="1:6" ht="13.5" thickBot="1" x14ac:dyDescent="0.25">
      <c r="A442" s="511">
        <v>1148</v>
      </c>
      <c r="B442" s="512" t="s">
        <v>1359</v>
      </c>
      <c r="C442" s="513" t="s">
        <v>196</v>
      </c>
      <c r="D442" s="514">
        <f>+'[1]Balance General 2017'!S120</f>
        <v>0</v>
      </c>
      <c r="E442" s="515">
        <v>1</v>
      </c>
      <c r="F442" s="516">
        <f>+D442*E442</f>
        <v>0</v>
      </c>
    </row>
    <row r="443" spans="1:6" hidden="1" x14ac:dyDescent="0.2">
      <c r="A443" s="489" t="s">
        <v>1360</v>
      </c>
      <c r="B443" s="495" t="s">
        <v>1360</v>
      </c>
      <c r="C443" s="497" t="s">
        <v>1361</v>
      </c>
      <c r="D443" s="492"/>
      <c r="E443" s="493">
        <v>-1</v>
      </c>
      <c r="F443" s="494">
        <f>+D443*E443</f>
        <v>0</v>
      </c>
    </row>
    <row r="444" spans="1:6" x14ac:dyDescent="0.2">
      <c r="A444" s="489"/>
      <c r="B444" s="495"/>
      <c r="C444" s="510"/>
      <c r="D444" s="492"/>
      <c r="E444" s="493"/>
      <c r="F444" s="494"/>
    </row>
    <row r="445" spans="1:6" x14ac:dyDescent="0.2">
      <c r="A445" s="489"/>
      <c r="B445" s="501" t="s">
        <v>1362</v>
      </c>
      <c r="C445" s="497" t="s">
        <v>303</v>
      </c>
      <c r="D445" s="492">
        <f>SUM(D446:D447)</f>
        <v>0</v>
      </c>
      <c r="E445" s="493">
        <v>1</v>
      </c>
      <c r="F445" s="494">
        <f>+D445*E445</f>
        <v>0</v>
      </c>
    </row>
    <row r="446" spans="1:6" x14ac:dyDescent="0.2">
      <c r="A446" s="489" t="s">
        <v>1363</v>
      </c>
      <c r="B446" s="499" t="s">
        <v>1363</v>
      </c>
      <c r="C446" s="502" t="s">
        <v>1364</v>
      </c>
      <c r="D446" s="492">
        <f>+'[1]Balance General 2017'!S126</f>
        <v>0</v>
      </c>
      <c r="E446" s="493">
        <v>0</v>
      </c>
      <c r="F446" s="494">
        <v>0</v>
      </c>
    </row>
    <row r="447" spans="1:6" x14ac:dyDescent="0.2">
      <c r="A447" s="489" t="s">
        <v>1365</v>
      </c>
      <c r="B447" s="499" t="s">
        <v>1365</v>
      </c>
      <c r="C447" s="502" t="s">
        <v>1366</v>
      </c>
      <c r="D447" s="492">
        <v>0</v>
      </c>
      <c r="E447" s="493">
        <v>0</v>
      </c>
      <c r="F447" s="494">
        <v>0</v>
      </c>
    </row>
    <row r="448" spans="1:6" x14ac:dyDescent="0.2">
      <c r="A448" s="489"/>
      <c r="B448" s="490"/>
      <c r="C448" s="517"/>
      <c r="D448" s="492"/>
      <c r="E448" s="493"/>
      <c r="F448" s="494"/>
    </row>
    <row r="449" spans="1:6" x14ac:dyDescent="0.2">
      <c r="A449" s="489"/>
      <c r="B449" s="490"/>
      <c r="C449" s="491" t="s">
        <v>1367</v>
      </c>
      <c r="D449" s="492"/>
      <c r="E449" s="493">
        <v>0.8</v>
      </c>
      <c r="F449" s="494">
        <f>+D449*E449</f>
        <v>0</v>
      </c>
    </row>
    <row r="450" spans="1:6" x14ac:dyDescent="0.2">
      <c r="A450" s="489"/>
      <c r="B450" s="490"/>
      <c r="C450" s="510"/>
      <c r="D450" s="492"/>
      <c r="E450" s="493"/>
      <c r="F450" s="494"/>
    </row>
    <row r="451" spans="1:6" x14ac:dyDescent="0.2">
      <c r="A451" s="489"/>
      <c r="B451" s="490"/>
      <c r="C451" s="491" t="s">
        <v>1368</v>
      </c>
      <c r="D451" s="492"/>
      <c r="E451" s="493"/>
      <c r="F451" s="494"/>
    </row>
    <row r="452" spans="1:6" x14ac:dyDescent="0.2">
      <c r="A452" s="489"/>
      <c r="B452" s="490"/>
      <c r="C452" s="491" t="s">
        <v>1369</v>
      </c>
      <c r="D452" s="492">
        <v>0</v>
      </c>
      <c r="E452" s="493">
        <v>0.5</v>
      </c>
      <c r="F452" s="494">
        <f>+D452*E452</f>
        <v>0</v>
      </c>
    </row>
    <row r="453" spans="1:6" x14ac:dyDescent="0.2">
      <c r="A453" s="489"/>
      <c r="B453" s="490"/>
      <c r="C453" s="491"/>
      <c r="D453" s="492"/>
      <c r="E453" s="493"/>
      <c r="F453" s="494"/>
    </row>
    <row r="454" spans="1:6" ht="51" x14ac:dyDescent="0.2">
      <c r="A454" s="489"/>
      <c r="B454" s="501"/>
      <c r="C454" s="518" t="s">
        <v>1370</v>
      </c>
      <c r="D454" s="492"/>
      <c r="E454" s="493">
        <v>-0.5</v>
      </c>
      <c r="F454" s="494">
        <f>+D454*E454</f>
        <v>0</v>
      </c>
    </row>
    <row r="455" spans="1:6" x14ac:dyDescent="0.2">
      <c r="A455" s="489"/>
      <c r="B455" s="501"/>
      <c r="C455" s="502"/>
      <c r="D455" s="492"/>
      <c r="E455" s="493"/>
      <c r="F455" s="494"/>
    </row>
    <row r="456" spans="1:6" x14ac:dyDescent="0.2">
      <c r="A456" s="489"/>
      <c r="B456" s="501">
        <v>1220</v>
      </c>
      <c r="C456" s="491" t="s">
        <v>304</v>
      </c>
      <c r="D456" s="492">
        <f>+'[1]Balance General 2017'!S133-'[1]Balance General 2017'!S344</f>
        <v>0</v>
      </c>
      <c r="E456" s="493">
        <v>1</v>
      </c>
      <c r="F456" s="494">
        <f>+D456*E456</f>
        <v>0</v>
      </c>
    </row>
    <row r="457" spans="1:6" hidden="1" x14ac:dyDescent="0.2">
      <c r="A457" s="489">
        <v>122001</v>
      </c>
      <c r="B457" s="495" t="s">
        <v>1371</v>
      </c>
      <c r="C457" s="510"/>
      <c r="D457" s="492">
        <v>63343.559070000003</v>
      </c>
      <c r="E457" s="493">
        <v>0</v>
      </c>
      <c r="F457" s="494">
        <v>0</v>
      </c>
    </row>
    <row r="458" spans="1:6" hidden="1" x14ac:dyDescent="0.2">
      <c r="A458" s="489">
        <v>122002</v>
      </c>
      <c r="B458" s="495" t="s">
        <v>1372</v>
      </c>
      <c r="C458" s="510"/>
      <c r="D458" s="492">
        <v>5.3123100000000001</v>
      </c>
      <c r="E458" s="493">
        <v>0</v>
      </c>
      <c r="F458" s="494">
        <v>0</v>
      </c>
    </row>
    <row r="459" spans="1:6" hidden="1" x14ac:dyDescent="0.2">
      <c r="A459" s="489">
        <v>122003</v>
      </c>
      <c r="B459" s="495" t="s">
        <v>1373</v>
      </c>
      <c r="C459" s="510"/>
      <c r="D459" s="492">
        <v>2953.1142799999998</v>
      </c>
      <c r="E459" s="493">
        <v>0</v>
      </c>
      <c r="F459" s="494">
        <v>0</v>
      </c>
    </row>
    <row r="460" spans="1:6" hidden="1" x14ac:dyDescent="0.2">
      <c r="A460" s="489">
        <v>122004</v>
      </c>
      <c r="B460" s="495" t="s">
        <v>1374</v>
      </c>
      <c r="C460" s="510"/>
      <c r="D460" s="492">
        <v>0</v>
      </c>
      <c r="E460" s="493"/>
      <c r="F460" s="494">
        <v>0</v>
      </c>
    </row>
    <row r="461" spans="1:6" hidden="1" x14ac:dyDescent="0.2">
      <c r="A461" s="489" t="s">
        <v>1375</v>
      </c>
      <c r="B461" s="505" t="s">
        <v>1375</v>
      </c>
      <c r="C461" s="510"/>
      <c r="D461" s="492">
        <v>-911.63660000000004</v>
      </c>
      <c r="E461" s="493">
        <v>0</v>
      </c>
      <c r="F461" s="494">
        <v>0</v>
      </c>
    </row>
    <row r="462" spans="1:6" x14ac:dyDescent="0.2">
      <c r="A462" s="489"/>
      <c r="B462" s="490"/>
      <c r="C462" s="510"/>
      <c r="D462" s="492"/>
      <c r="E462" s="493"/>
      <c r="F462" s="494"/>
    </row>
    <row r="463" spans="1:6" hidden="1" x14ac:dyDescent="0.2">
      <c r="A463" s="489"/>
      <c r="B463" s="495">
        <v>1229</v>
      </c>
      <c r="C463" s="491" t="s">
        <v>1376</v>
      </c>
      <c r="D463" s="492"/>
      <c r="E463" s="493">
        <v>1</v>
      </c>
      <c r="F463" s="494">
        <f>+D463*E463</f>
        <v>0</v>
      </c>
    </row>
    <row r="464" spans="1:6" hidden="1" x14ac:dyDescent="0.2">
      <c r="A464" s="489" t="s">
        <v>1377</v>
      </c>
      <c r="B464" s="495" t="str">
        <f>A464</f>
        <v>122900</v>
      </c>
      <c r="C464" s="510"/>
      <c r="D464" s="492">
        <v>0</v>
      </c>
      <c r="E464" s="493">
        <v>0</v>
      </c>
      <c r="F464" s="494">
        <v>0</v>
      </c>
    </row>
    <row r="465" spans="1:6" hidden="1" x14ac:dyDescent="0.2">
      <c r="A465" s="489"/>
      <c r="B465" s="495"/>
      <c r="C465" s="510"/>
      <c r="D465" s="492"/>
      <c r="E465" s="493"/>
      <c r="F465" s="494"/>
    </row>
    <row r="466" spans="1:6" x14ac:dyDescent="0.2">
      <c r="A466" s="489"/>
      <c r="B466" s="495">
        <v>1230</v>
      </c>
      <c r="C466" s="491" t="s">
        <v>1378</v>
      </c>
      <c r="D466" s="492">
        <f>+'[1]Balance General 2017'!S141</f>
        <v>0</v>
      </c>
      <c r="E466" s="493">
        <v>1</v>
      </c>
      <c r="F466" s="494">
        <f>+D466*E466</f>
        <v>0</v>
      </c>
    </row>
    <row r="467" spans="1:6" hidden="1" x14ac:dyDescent="0.2">
      <c r="A467" s="489">
        <v>123001</v>
      </c>
      <c r="B467" s="495">
        <f>A467</f>
        <v>123001</v>
      </c>
      <c r="C467" s="510"/>
      <c r="D467" s="492">
        <v>46.253390000000003</v>
      </c>
      <c r="E467" s="493">
        <v>0</v>
      </c>
      <c r="F467" s="494">
        <v>0</v>
      </c>
    </row>
    <row r="468" spans="1:6" hidden="1" x14ac:dyDescent="0.2">
      <c r="A468" s="489">
        <v>123002</v>
      </c>
      <c r="B468" s="495">
        <f>A468</f>
        <v>123002</v>
      </c>
      <c r="C468" s="510"/>
      <c r="D468" s="492">
        <v>240.82997</v>
      </c>
      <c r="E468" s="493">
        <v>0</v>
      </c>
      <c r="F468" s="494">
        <v>0</v>
      </c>
    </row>
    <row r="469" spans="1:6" x14ac:dyDescent="0.2">
      <c r="A469" s="489"/>
      <c r="B469" s="495"/>
      <c r="C469" s="510"/>
      <c r="D469" s="492"/>
      <c r="E469" s="493"/>
      <c r="F469" s="494"/>
    </row>
    <row r="470" spans="1:6" x14ac:dyDescent="0.2">
      <c r="A470" s="489"/>
      <c r="B470" s="495">
        <v>1240</v>
      </c>
      <c r="C470" s="502" t="s">
        <v>165</v>
      </c>
      <c r="D470" s="492" t="e">
        <f>#REF!</f>
        <v>#REF!</v>
      </c>
      <c r="E470" s="493">
        <v>1</v>
      </c>
      <c r="F470" s="494" t="e">
        <f>+D470*E470</f>
        <v>#REF!</v>
      </c>
    </row>
    <row r="471" spans="1:6" hidden="1" x14ac:dyDescent="0.2">
      <c r="A471" s="489">
        <v>124001</v>
      </c>
      <c r="B471" s="495">
        <f>A471</f>
        <v>124001</v>
      </c>
      <c r="C471" s="517"/>
      <c r="D471" s="492">
        <v>1130.1502700000001</v>
      </c>
      <c r="E471" s="493">
        <v>0</v>
      </c>
      <c r="F471" s="494">
        <v>0</v>
      </c>
    </row>
    <row r="472" spans="1:6" hidden="1" x14ac:dyDescent="0.2">
      <c r="A472" s="489">
        <v>124002</v>
      </c>
      <c r="B472" s="495">
        <f>A472</f>
        <v>124002</v>
      </c>
      <c r="C472" s="517"/>
      <c r="D472" s="492">
        <v>0</v>
      </c>
      <c r="E472" s="493">
        <v>0</v>
      </c>
      <c r="F472" s="494">
        <v>0</v>
      </c>
    </row>
    <row r="473" spans="1:6" hidden="1" x14ac:dyDescent="0.2">
      <c r="A473" s="489">
        <v>124003</v>
      </c>
      <c r="B473" s="495">
        <f>A473</f>
        <v>124003</v>
      </c>
      <c r="C473" s="517"/>
      <c r="D473" s="492"/>
      <c r="E473" s="493"/>
      <c r="F473" s="494"/>
    </row>
    <row r="474" spans="1:6" hidden="1" x14ac:dyDescent="0.2">
      <c r="A474" s="489">
        <v>124004</v>
      </c>
      <c r="B474" s="495">
        <f>A474</f>
        <v>124004</v>
      </c>
      <c r="C474" s="517"/>
      <c r="D474" s="492">
        <v>1005.3498</v>
      </c>
      <c r="E474" s="493">
        <v>0</v>
      </c>
      <c r="F474" s="494">
        <v>0</v>
      </c>
    </row>
    <row r="475" spans="1:6" hidden="1" x14ac:dyDescent="0.2">
      <c r="A475" s="489" t="s">
        <v>1379</v>
      </c>
      <c r="B475" s="495" t="s">
        <v>1379</v>
      </c>
      <c r="C475" s="517"/>
      <c r="D475" s="492">
        <v>1814.86779</v>
      </c>
      <c r="E475" s="493">
        <v>0</v>
      </c>
      <c r="F475" s="494">
        <v>0</v>
      </c>
    </row>
    <row r="476" spans="1:6" hidden="1" x14ac:dyDescent="0.2">
      <c r="A476" s="489">
        <v>124098</v>
      </c>
      <c r="B476" s="495">
        <f>A476</f>
        <v>124098</v>
      </c>
      <c r="C476" s="517"/>
      <c r="D476" s="492">
        <v>6577.0144600000003</v>
      </c>
      <c r="E476" s="493">
        <v>0</v>
      </c>
      <c r="F476" s="494">
        <v>0</v>
      </c>
    </row>
    <row r="477" spans="1:6" hidden="1" x14ac:dyDescent="0.2">
      <c r="A477" s="489">
        <v>124099</v>
      </c>
      <c r="B477" s="495">
        <f>A477</f>
        <v>124099</v>
      </c>
      <c r="C477" s="517"/>
      <c r="D477" s="492">
        <v>3127.9571999999998</v>
      </c>
      <c r="E477" s="493">
        <v>0</v>
      </c>
      <c r="F477" s="494">
        <v>0</v>
      </c>
    </row>
    <row r="478" spans="1:6" x14ac:dyDescent="0.2">
      <c r="A478" s="489"/>
      <c r="B478" s="495"/>
      <c r="C478" s="517"/>
      <c r="D478" s="492"/>
      <c r="E478" s="493"/>
      <c r="F478" s="494"/>
    </row>
    <row r="479" spans="1:6" x14ac:dyDescent="0.2">
      <c r="A479" s="489"/>
      <c r="B479" s="495">
        <v>1250</v>
      </c>
      <c r="C479" s="491" t="s">
        <v>331</v>
      </c>
      <c r="D479" s="492" t="e">
        <f>#REF!</f>
        <v>#REF!</v>
      </c>
      <c r="E479" s="493">
        <v>1</v>
      </c>
      <c r="F479" s="494" t="e">
        <f>+D479*E479</f>
        <v>#REF!</v>
      </c>
    </row>
    <row r="480" spans="1:6" hidden="1" x14ac:dyDescent="0.2">
      <c r="A480" s="519">
        <v>125001</v>
      </c>
      <c r="B480" s="495">
        <f>A480</f>
        <v>125001</v>
      </c>
      <c r="C480" s="510"/>
      <c r="D480" s="492">
        <v>0</v>
      </c>
      <c r="E480" s="493">
        <v>0</v>
      </c>
      <c r="F480" s="494">
        <v>0</v>
      </c>
    </row>
    <row r="481" spans="1:6" hidden="1" x14ac:dyDescent="0.2">
      <c r="A481" s="519">
        <v>125002</v>
      </c>
      <c r="B481" s="495">
        <f>A481</f>
        <v>125002</v>
      </c>
      <c r="C481" s="510"/>
      <c r="D481" s="492">
        <v>1118.5936400000001</v>
      </c>
      <c r="E481" s="493">
        <v>0</v>
      </c>
      <c r="F481" s="494">
        <v>0</v>
      </c>
    </row>
    <row r="482" spans="1:6" hidden="1" x14ac:dyDescent="0.2">
      <c r="A482" s="519">
        <v>125003</v>
      </c>
      <c r="B482" s="495">
        <f>A482</f>
        <v>125003</v>
      </c>
      <c r="C482" s="510"/>
      <c r="D482" s="492">
        <v>40.002119999999998</v>
      </c>
      <c r="E482" s="493">
        <v>0</v>
      </c>
      <c r="F482" s="494">
        <v>0</v>
      </c>
    </row>
    <row r="483" spans="1:6" hidden="1" x14ac:dyDescent="0.2">
      <c r="A483" s="519">
        <v>125004</v>
      </c>
      <c r="B483" s="495">
        <f>A483</f>
        <v>125004</v>
      </c>
      <c r="C483" s="510"/>
      <c r="D483" s="492">
        <v>2740.6747099999998</v>
      </c>
      <c r="E483" s="493">
        <v>0</v>
      </c>
      <c r="F483" s="494">
        <v>0</v>
      </c>
    </row>
    <row r="484" spans="1:6" hidden="1" x14ac:dyDescent="0.2">
      <c r="A484" s="489">
        <v>125099</v>
      </c>
      <c r="B484" s="495">
        <f>A484</f>
        <v>125099</v>
      </c>
      <c r="C484" s="510"/>
      <c r="D484" s="492">
        <v>2667.9361100000001</v>
      </c>
      <c r="E484" s="493">
        <v>0</v>
      </c>
      <c r="F484" s="494">
        <v>0</v>
      </c>
    </row>
    <row r="485" spans="1:6" x14ac:dyDescent="0.2">
      <c r="A485" s="489"/>
      <c r="B485" s="495"/>
      <c r="C485" s="510"/>
      <c r="D485" s="492"/>
      <c r="E485" s="493"/>
      <c r="F485" s="494"/>
    </row>
    <row r="486" spans="1:6" x14ac:dyDescent="0.2">
      <c r="A486" s="489"/>
      <c r="B486" s="495">
        <v>1259</v>
      </c>
      <c r="C486" s="491" t="s">
        <v>1380</v>
      </c>
      <c r="D486" s="492">
        <v>0</v>
      </c>
      <c r="E486" s="493">
        <v>1</v>
      </c>
      <c r="F486" s="494">
        <f>+D486*E486</f>
        <v>0</v>
      </c>
    </row>
    <row r="487" spans="1:6" hidden="1" x14ac:dyDescent="0.2">
      <c r="A487" s="489" t="s">
        <v>1381</v>
      </c>
      <c r="B487" s="495" t="str">
        <f>A487</f>
        <v>125900</v>
      </c>
      <c r="C487" s="510"/>
      <c r="D487" s="492">
        <v>-412.19314000000003</v>
      </c>
      <c r="E487" s="493">
        <v>0</v>
      </c>
      <c r="F487" s="494">
        <v>0</v>
      </c>
    </row>
    <row r="488" spans="1:6" x14ac:dyDescent="0.2">
      <c r="A488" s="489"/>
      <c r="B488" s="495"/>
      <c r="C488" s="510"/>
      <c r="D488" s="492"/>
      <c r="E488" s="493"/>
      <c r="F488" s="494"/>
    </row>
    <row r="489" spans="1:6" x14ac:dyDescent="0.2">
      <c r="A489" s="489"/>
      <c r="B489" s="495">
        <v>1260</v>
      </c>
      <c r="C489" s="491" t="s">
        <v>82</v>
      </c>
      <c r="D489" s="492" t="e">
        <f>SUM(D490:D491)</f>
        <v>#REF!</v>
      </c>
      <c r="E489" s="493">
        <v>0</v>
      </c>
      <c r="F489" s="494" t="e">
        <f>+D489*E489</f>
        <v>#REF!</v>
      </c>
    </row>
    <row r="490" spans="1:6" x14ac:dyDescent="0.2">
      <c r="A490" s="489" t="s">
        <v>1382</v>
      </c>
      <c r="B490" s="490"/>
      <c r="C490" s="491" t="s">
        <v>83</v>
      </c>
      <c r="D490" s="492" t="e">
        <f>#REF!</f>
        <v>#REF!</v>
      </c>
      <c r="E490" s="493">
        <v>0</v>
      </c>
      <c r="F490" s="494">
        <v>0</v>
      </c>
    </row>
    <row r="491" spans="1:6" x14ac:dyDescent="0.2">
      <c r="A491" s="489">
        <v>126003</v>
      </c>
      <c r="B491" s="490"/>
      <c r="C491" s="491" t="s">
        <v>1383</v>
      </c>
      <c r="D491" s="492"/>
      <c r="E491" s="493">
        <v>1</v>
      </c>
      <c r="F491" s="494">
        <f>+D491*E491</f>
        <v>0</v>
      </c>
    </row>
    <row r="492" spans="1:6" x14ac:dyDescent="0.2">
      <c r="A492" s="489"/>
      <c r="B492" s="495"/>
      <c r="C492" s="491"/>
      <c r="D492" s="492"/>
      <c r="E492" s="493"/>
      <c r="F492" s="494"/>
    </row>
    <row r="493" spans="1:6" x14ac:dyDescent="0.2">
      <c r="A493" s="489"/>
      <c r="B493" s="495">
        <v>1310</v>
      </c>
      <c r="C493" s="497" t="s">
        <v>1384</v>
      </c>
      <c r="D493" s="492">
        <v>0</v>
      </c>
      <c r="E493" s="493">
        <v>1</v>
      </c>
      <c r="F493" s="494">
        <f>+D493*E493</f>
        <v>0</v>
      </c>
    </row>
    <row r="494" spans="1:6" hidden="1" x14ac:dyDescent="0.2">
      <c r="A494" s="489">
        <v>131001</v>
      </c>
      <c r="B494" s="495">
        <v>131001</v>
      </c>
      <c r="C494" s="517"/>
      <c r="D494" s="492">
        <v>24817.466850000001</v>
      </c>
      <c r="E494" s="493">
        <v>0</v>
      </c>
      <c r="F494" s="494">
        <v>0</v>
      </c>
    </row>
    <row r="495" spans="1:6" hidden="1" x14ac:dyDescent="0.2">
      <c r="A495" s="489">
        <v>131002</v>
      </c>
      <c r="B495" s="495">
        <v>131002</v>
      </c>
      <c r="C495" s="517"/>
      <c r="D495" s="492">
        <v>520.05085999999994</v>
      </c>
      <c r="E495" s="493">
        <v>0</v>
      </c>
      <c r="F495" s="494">
        <v>0</v>
      </c>
    </row>
    <row r="496" spans="1:6" hidden="1" x14ac:dyDescent="0.2">
      <c r="A496" s="489">
        <v>131003</v>
      </c>
      <c r="B496" s="495">
        <v>131003</v>
      </c>
      <c r="C496" s="517"/>
      <c r="D496" s="492">
        <v>3.3081499999999999</v>
      </c>
      <c r="E496" s="493">
        <v>0</v>
      </c>
      <c r="F496" s="494">
        <v>0</v>
      </c>
    </row>
    <row r="497" spans="1:6" x14ac:dyDescent="0.2">
      <c r="A497" s="489"/>
      <c r="B497" s="495"/>
      <c r="C497" s="510"/>
      <c r="D497" s="492"/>
      <c r="E497" s="493"/>
      <c r="F497" s="494"/>
    </row>
    <row r="498" spans="1:6" x14ac:dyDescent="0.2">
      <c r="A498" s="489"/>
      <c r="B498" s="495">
        <v>1320</v>
      </c>
      <c r="C498" s="491" t="s">
        <v>1385</v>
      </c>
      <c r="D498" s="492" t="e">
        <f>#REF!</f>
        <v>#REF!</v>
      </c>
      <c r="E498" s="493">
        <v>1</v>
      </c>
      <c r="F498" s="494" t="e">
        <f>+D498*E498</f>
        <v>#REF!</v>
      </c>
    </row>
    <row r="499" spans="1:6" hidden="1" x14ac:dyDescent="0.2">
      <c r="A499" s="489">
        <v>132001</v>
      </c>
      <c r="B499" s="495">
        <f t="shared" ref="B499:B505" si="9">A499</f>
        <v>132001</v>
      </c>
      <c r="C499" s="510"/>
      <c r="D499" s="492">
        <v>35667.88652</v>
      </c>
      <c r="E499" s="493">
        <v>0</v>
      </c>
      <c r="F499" s="494">
        <v>0</v>
      </c>
    </row>
    <row r="500" spans="1:6" hidden="1" x14ac:dyDescent="0.2">
      <c r="A500" s="489">
        <v>132002</v>
      </c>
      <c r="B500" s="495">
        <f t="shared" si="9"/>
        <v>132002</v>
      </c>
      <c r="C500" s="510"/>
      <c r="D500" s="492">
        <v>14131.823340000001</v>
      </c>
      <c r="E500" s="493">
        <v>0</v>
      </c>
      <c r="F500" s="494">
        <v>0</v>
      </c>
    </row>
    <row r="501" spans="1:6" hidden="1" x14ac:dyDescent="0.2">
      <c r="A501" s="489">
        <v>132003</v>
      </c>
      <c r="B501" s="495">
        <f t="shared" si="9"/>
        <v>132003</v>
      </c>
      <c r="C501" s="510"/>
      <c r="D501" s="492">
        <v>3453.7941999999998</v>
      </c>
      <c r="E501" s="493">
        <v>0</v>
      </c>
      <c r="F501" s="494">
        <v>0</v>
      </c>
    </row>
    <row r="502" spans="1:6" hidden="1" x14ac:dyDescent="0.2">
      <c r="A502" s="489">
        <v>132004</v>
      </c>
      <c r="B502" s="495">
        <f t="shared" si="9"/>
        <v>132004</v>
      </c>
      <c r="C502" s="510"/>
      <c r="D502" s="492">
        <v>3953.27421</v>
      </c>
      <c r="E502" s="493">
        <v>0</v>
      </c>
      <c r="F502" s="494">
        <v>0</v>
      </c>
    </row>
    <row r="503" spans="1:6" hidden="1" x14ac:dyDescent="0.2">
      <c r="A503" s="489">
        <v>132005</v>
      </c>
      <c r="B503" s="495">
        <f t="shared" si="9"/>
        <v>132005</v>
      </c>
      <c r="C503" s="510"/>
      <c r="D503" s="492">
        <v>1340.0930800000001</v>
      </c>
      <c r="E503" s="493">
        <v>0</v>
      </c>
      <c r="F503" s="494">
        <v>0</v>
      </c>
    </row>
    <row r="504" spans="1:6" hidden="1" x14ac:dyDescent="0.2">
      <c r="A504" s="489">
        <v>132006</v>
      </c>
      <c r="B504" s="495">
        <f t="shared" si="9"/>
        <v>132006</v>
      </c>
      <c r="C504" s="510"/>
      <c r="D504" s="492">
        <v>8286.3507800000007</v>
      </c>
      <c r="E504" s="493">
        <v>0</v>
      </c>
      <c r="F504" s="494">
        <v>0</v>
      </c>
    </row>
    <row r="505" spans="1:6" hidden="1" x14ac:dyDescent="0.2">
      <c r="A505" s="489">
        <v>132099</v>
      </c>
      <c r="B505" s="495">
        <f t="shared" si="9"/>
        <v>132099</v>
      </c>
      <c r="C505" s="510"/>
      <c r="D505" s="492">
        <v>34.159579999999998</v>
      </c>
      <c r="E505" s="493">
        <v>0</v>
      </c>
      <c r="F505" s="494">
        <v>0</v>
      </c>
    </row>
    <row r="506" spans="1:6" x14ac:dyDescent="0.2">
      <c r="A506" s="489"/>
      <c r="B506" s="495"/>
      <c r="C506" s="510"/>
      <c r="D506" s="492"/>
      <c r="E506" s="493"/>
      <c r="F506" s="494"/>
    </row>
    <row r="507" spans="1:6" x14ac:dyDescent="0.2">
      <c r="A507" s="489"/>
      <c r="B507" s="495">
        <v>1329</v>
      </c>
      <c r="C507" s="491" t="s">
        <v>173</v>
      </c>
      <c r="D507" s="492" t="e">
        <f>#REF!</f>
        <v>#REF!</v>
      </c>
      <c r="E507" s="493">
        <v>1</v>
      </c>
      <c r="F507" s="494" t="e">
        <f>+D507*E507</f>
        <v>#REF!</v>
      </c>
    </row>
    <row r="508" spans="1:6" hidden="1" x14ac:dyDescent="0.2">
      <c r="A508" s="489" t="s">
        <v>1386</v>
      </c>
      <c r="B508" s="495" t="str">
        <f>A508</f>
        <v>132900</v>
      </c>
      <c r="C508" s="510"/>
      <c r="D508" s="492">
        <v>-31029.636450000002</v>
      </c>
      <c r="E508" s="493">
        <v>0</v>
      </c>
      <c r="F508" s="494">
        <v>0</v>
      </c>
    </row>
    <row r="509" spans="1:6" x14ac:dyDescent="0.2">
      <c r="A509" s="489"/>
      <c r="B509" s="495"/>
      <c r="C509" s="510"/>
      <c r="D509" s="492"/>
      <c r="E509" s="493"/>
      <c r="F509" s="494"/>
    </row>
    <row r="510" spans="1:6" x14ac:dyDescent="0.2">
      <c r="A510" s="489"/>
      <c r="B510" s="495">
        <v>1330</v>
      </c>
      <c r="C510" s="491" t="s">
        <v>1387</v>
      </c>
      <c r="D510" s="492">
        <f>+'[1]Balance General 2017'!S185</f>
        <v>0</v>
      </c>
      <c r="E510" s="493">
        <v>1</v>
      </c>
      <c r="F510" s="494">
        <f>+D510*E510</f>
        <v>0</v>
      </c>
    </row>
    <row r="511" spans="1:6" hidden="1" x14ac:dyDescent="0.2">
      <c r="A511" s="489">
        <v>133001</v>
      </c>
      <c r="B511" s="495">
        <f>A511</f>
        <v>133001</v>
      </c>
      <c r="C511" s="510"/>
      <c r="D511" s="492">
        <v>470.59697999999997</v>
      </c>
      <c r="E511" s="493">
        <v>0</v>
      </c>
      <c r="F511" s="494">
        <v>0</v>
      </c>
    </row>
    <row r="512" spans="1:6" hidden="1" x14ac:dyDescent="0.2">
      <c r="A512" s="489">
        <v>133002</v>
      </c>
      <c r="B512" s="495">
        <f>A512</f>
        <v>133002</v>
      </c>
      <c r="C512" s="510"/>
      <c r="D512" s="492">
        <v>2045.3924300000001</v>
      </c>
      <c r="E512" s="493">
        <v>0</v>
      </c>
      <c r="F512" s="494">
        <v>0</v>
      </c>
    </row>
    <row r="513" spans="1:6" hidden="1" x14ac:dyDescent="0.2">
      <c r="A513" s="489">
        <v>133003</v>
      </c>
      <c r="B513" s="495">
        <f>A513</f>
        <v>133003</v>
      </c>
      <c r="C513" s="510"/>
      <c r="D513" s="492">
        <v>0</v>
      </c>
      <c r="E513" s="493">
        <v>0</v>
      </c>
      <c r="F513" s="494">
        <v>0</v>
      </c>
    </row>
    <row r="514" spans="1:6" hidden="1" x14ac:dyDescent="0.2">
      <c r="A514" s="489">
        <v>133099</v>
      </c>
      <c r="B514" s="495">
        <f>A514</f>
        <v>133099</v>
      </c>
      <c r="C514" s="510"/>
      <c r="D514" s="492">
        <v>39.126130000000003</v>
      </c>
      <c r="E514" s="493">
        <v>0</v>
      </c>
      <c r="F514" s="494">
        <v>0</v>
      </c>
    </row>
    <row r="515" spans="1:6" x14ac:dyDescent="0.2">
      <c r="A515" s="489"/>
      <c r="B515" s="495"/>
      <c r="C515" s="510"/>
      <c r="D515" s="492"/>
      <c r="E515" s="493"/>
      <c r="F515" s="494"/>
    </row>
    <row r="516" spans="1:6" hidden="1" x14ac:dyDescent="0.2">
      <c r="A516" s="489">
        <v>211203</v>
      </c>
      <c r="B516" s="495">
        <v>211203</v>
      </c>
      <c r="C516" s="497" t="s">
        <v>1388</v>
      </c>
      <c r="D516" s="492"/>
      <c r="E516" s="493">
        <v>0.5</v>
      </c>
      <c r="F516" s="494">
        <f>+D516*E516</f>
        <v>0</v>
      </c>
    </row>
    <row r="517" spans="1:6" hidden="1" x14ac:dyDescent="0.2">
      <c r="A517" s="489"/>
      <c r="B517" s="501"/>
      <c r="C517" s="497"/>
      <c r="D517" s="492"/>
      <c r="E517" s="493"/>
      <c r="F517" s="494"/>
    </row>
    <row r="518" spans="1:6" x14ac:dyDescent="0.2">
      <c r="A518" s="489"/>
      <c r="B518" s="495">
        <v>4110</v>
      </c>
      <c r="C518" s="491" t="s">
        <v>182</v>
      </c>
      <c r="D518" s="492">
        <f>+'[1]Balance General 2017'!S194</f>
        <v>0</v>
      </c>
      <c r="E518" s="493">
        <v>0.5</v>
      </c>
      <c r="F518" s="494">
        <f>+D518*E518</f>
        <v>0</v>
      </c>
    </row>
    <row r="519" spans="1:6" hidden="1" x14ac:dyDescent="0.2">
      <c r="A519" s="489">
        <v>411001</v>
      </c>
      <c r="B519" s="495">
        <f>A519</f>
        <v>411001</v>
      </c>
      <c r="C519" s="510"/>
      <c r="D519" s="492">
        <v>22918.60959</v>
      </c>
      <c r="E519" s="493">
        <v>0</v>
      </c>
      <c r="F519" s="494">
        <v>0</v>
      </c>
    </row>
    <row r="520" spans="1:6" hidden="1" x14ac:dyDescent="0.2">
      <c r="A520" s="489">
        <v>411002</v>
      </c>
      <c r="B520" s="495">
        <f>A520</f>
        <v>411002</v>
      </c>
      <c r="C520" s="510"/>
      <c r="D520" s="492">
        <v>21106.94298</v>
      </c>
      <c r="E520" s="493">
        <v>0</v>
      </c>
      <c r="F520" s="494">
        <v>0</v>
      </c>
    </row>
    <row r="521" spans="1:6" hidden="1" x14ac:dyDescent="0.2">
      <c r="A521" s="489" t="s">
        <v>1389</v>
      </c>
      <c r="B521" s="495" t="str">
        <f>A521</f>
        <v>411003</v>
      </c>
      <c r="C521" s="510"/>
      <c r="D521" s="492">
        <v>36.686639999999997</v>
      </c>
      <c r="E521" s="493">
        <v>0</v>
      </c>
      <c r="F521" s="494">
        <v>0</v>
      </c>
    </row>
    <row r="522" spans="1:6" hidden="1" x14ac:dyDescent="0.2">
      <c r="A522" s="489" t="s">
        <v>1390</v>
      </c>
      <c r="B522" s="495" t="str">
        <f>A522</f>
        <v>411004</v>
      </c>
      <c r="C522" s="510"/>
      <c r="D522" s="492"/>
      <c r="E522" s="493"/>
      <c r="F522" s="494"/>
    </row>
    <row r="523" spans="1:6" hidden="1" x14ac:dyDescent="0.2">
      <c r="A523" s="489" t="s">
        <v>1391</v>
      </c>
      <c r="B523" s="495" t="str">
        <f>A523</f>
        <v>411005</v>
      </c>
      <c r="C523" s="510"/>
      <c r="D523" s="492">
        <v>0</v>
      </c>
      <c r="E523" s="493"/>
      <c r="F523" s="494">
        <v>0</v>
      </c>
    </row>
    <row r="524" spans="1:6" x14ac:dyDescent="0.2">
      <c r="A524" s="489"/>
      <c r="B524" s="495"/>
      <c r="C524" s="510"/>
      <c r="D524" s="492"/>
      <c r="E524" s="493"/>
      <c r="F524" s="494"/>
    </row>
    <row r="525" spans="1:6" ht="13.5" customHeight="1" x14ac:dyDescent="0.2">
      <c r="A525" s="489"/>
      <c r="B525" s="495">
        <v>4119</v>
      </c>
      <c r="C525" s="491" t="s">
        <v>330</v>
      </c>
      <c r="D525" s="492">
        <f>+'[1]Balance General 2017'!S199</f>
        <v>0</v>
      </c>
      <c r="E525" s="493">
        <v>0.5</v>
      </c>
      <c r="F525" s="494">
        <f>+D525*E525</f>
        <v>0</v>
      </c>
    </row>
    <row r="526" spans="1:6" ht="12.75" hidden="1" customHeight="1" x14ac:dyDescent="0.2">
      <c r="A526" s="489">
        <v>411900</v>
      </c>
      <c r="B526" s="495">
        <v>411900</v>
      </c>
      <c r="C526" s="510"/>
      <c r="D526" s="492">
        <v>-89.761030000000005</v>
      </c>
      <c r="E526" s="493">
        <v>0</v>
      </c>
      <c r="F526" s="494">
        <v>0</v>
      </c>
    </row>
    <row r="527" spans="1:6" x14ac:dyDescent="0.2">
      <c r="A527" s="489"/>
      <c r="B527" s="495"/>
      <c r="C527" s="510"/>
      <c r="D527" s="492"/>
      <c r="E527" s="493"/>
      <c r="F527" s="494"/>
    </row>
    <row r="528" spans="1:6" x14ac:dyDescent="0.2">
      <c r="A528" s="489"/>
      <c r="B528" s="495">
        <v>4120</v>
      </c>
      <c r="C528" s="491" t="s">
        <v>189</v>
      </c>
      <c r="D528" s="492" t="e">
        <f>#REF!</f>
        <v>#REF!</v>
      </c>
      <c r="E528" s="493">
        <v>0.5</v>
      </c>
      <c r="F528" s="494" t="e">
        <f>+D528*E528</f>
        <v>#REF!</v>
      </c>
    </row>
    <row r="529" spans="1:6" ht="17.25" hidden="1" customHeight="1" x14ac:dyDescent="0.2">
      <c r="A529" s="489">
        <v>412001</v>
      </c>
      <c r="B529" s="495">
        <v>412001</v>
      </c>
      <c r="C529" s="510"/>
      <c r="D529" s="492">
        <v>318.49</v>
      </c>
      <c r="E529" s="493">
        <v>0</v>
      </c>
      <c r="F529" s="494">
        <v>0</v>
      </c>
    </row>
    <row r="530" spans="1:6" ht="18" hidden="1" customHeight="1" x14ac:dyDescent="0.2">
      <c r="A530" s="489">
        <v>412002</v>
      </c>
      <c r="B530" s="495">
        <v>412002</v>
      </c>
      <c r="C530" s="510"/>
      <c r="D530" s="492">
        <v>60187.424249999996</v>
      </c>
      <c r="E530" s="493">
        <v>0</v>
      </c>
      <c r="F530" s="494">
        <v>0</v>
      </c>
    </row>
    <row r="531" spans="1:6" ht="14.25" hidden="1" customHeight="1" x14ac:dyDescent="0.2">
      <c r="A531" s="489" t="s">
        <v>1392</v>
      </c>
      <c r="B531" s="495" t="s">
        <v>1392</v>
      </c>
      <c r="C531" s="510"/>
      <c r="D531" s="492"/>
      <c r="E531" s="493"/>
      <c r="F531" s="494"/>
    </row>
    <row r="532" spans="1:6" ht="14.25" hidden="1" customHeight="1" x14ac:dyDescent="0.2">
      <c r="A532" s="489" t="s">
        <v>1393</v>
      </c>
      <c r="B532" s="495" t="s">
        <v>1393</v>
      </c>
      <c r="C532" s="510"/>
      <c r="D532" s="492">
        <v>117807.33132</v>
      </c>
      <c r="E532" s="493">
        <v>0</v>
      </c>
      <c r="F532" s="494">
        <v>0</v>
      </c>
    </row>
    <row r="533" spans="1:6" ht="14.25" hidden="1" customHeight="1" x14ac:dyDescent="0.2">
      <c r="A533" s="489" t="s">
        <v>1394</v>
      </c>
      <c r="B533" s="495" t="s">
        <v>1394</v>
      </c>
      <c r="C533" s="491" t="s">
        <v>1395</v>
      </c>
      <c r="D533" s="492"/>
      <c r="E533" s="493">
        <v>0</v>
      </c>
      <c r="F533" s="494">
        <v>0</v>
      </c>
    </row>
    <row r="534" spans="1:6" ht="1.5" hidden="1" customHeight="1" x14ac:dyDescent="0.2">
      <c r="A534" s="489" t="s">
        <v>1396</v>
      </c>
      <c r="B534" s="501" t="str">
        <f>A534</f>
        <v>4120010502</v>
      </c>
      <c r="C534" s="497"/>
      <c r="D534" s="492"/>
      <c r="E534" s="493"/>
      <c r="F534" s="494"/>
    </row>
    <row r="535" spans="1:6" ht="14.25" hidden="1" customHeight="1" x14ac:dyDescent="0.2">
      <c r="A535" s="489" t="s">
        <v>1397</v>
      </c>
      <c r="B535" s="501" t="str">
        <f>A535</f>
        <v>4120020502</v>
      </c>
      <c r="C535" s="497"/>
      <c r="D535" s="492"/>
      <c r="E535" s="493"/>
      <c r="F535" s="494"/>
    </row>
    <row r="536" spans="1:6" ht="15.75" hidden="1" customHeight="1" x14ac:dyDescent="0.2">
      <c r="A536" s="498" t="s">
        <v>1398</v>
      </c>
      <c r="B536" s="501" t="str">
        <f>A536</f>
        <v>4120030502</v>
      </c>
      <c r="C536" s="497"/>
      <c r="D536" s="492"/>
      <c r="E536" s="493"/>
      <c r="F536" s="494"/>
    </row>
    <row r="537" spans="1:6" ht="18" hidden="1" customHeight="1" x14ac:dyDescent="0.2">
      <c r="A537" s="498" t="s">
        <v>1399</v>
      </c>
      <c r="B537" s="501" t="str">
        <f>A537</f>
        <v>4120040502</v>
      </c>
      <c r="C537" s="497"/>
      <c r="D537" s="492"/>
      <c r="E537" s="493"/>
      <c r="F537" s="494"/>
    </row>
    <row r="538" spans="1:6" x14ac:dyDescent="0.2">
      <c r="A538" s="489"/>
      <c r="B538" s="501"/>
      <c r="C538" s="497"/>
      <c r="D538" s="492"/>
      <c r="E538" s="493"/>
      <c r="F538" s="494"/>
    </row>
    <row r="539" spans="1:6" x14ac:dyDescent="0.2">
      <c r="A539" s="489"/>
      <c r="B539" s="495">
        <v>4129</v>
      </c>
      <c r="C539" s="491" t="s">
        <v>330</v>
      </c>
      <c r="D539" s="492">
        <f>+'[1]Balance General 2017'!S207</f>
        <v>0</v>
      </c>
      <c r="E539" s="493">
        <v>0.5</v>
      </c>
      <c r="F539" s="494">
        <f>+D539*E539</f>
        <v>0</v>
      </c>
    </row>
    <row r="540" spans="1:6" hidden="1" x14ac:dyDescent="0.2">
      <c r="A540" s="489">
        <v>412900</v>
      </c>
      <c r="B540" s="495">
        <v>412900</v>
      </c>
      <c r="C540" s="510"/>
      <c r="D540" s="492">
        <v>-6145.2737500000003</v>
      </c>
      <c r="E540" s="493">
        <v>0</v>
      </c>
      <c r="F540" s="494">
        <v>0</v>
      </c>
    </row>
    <row r="541" spans="1:6" x14ac:dyDescent="0.2">
      <c r="A541" s="489"/>
      <c r="B541" s="495"/>
      <c r="C541" s="510"/>
      <c r="D541" s="492"/>
      <c r="E541" s="493"/>
      <c r="F541" s="494"/>
    </row>
    <row r="542" spans="1:6" x14ac:dyDescent="0.2">
      <c r="A542" s="489"/>
      <c r="B542" s="495">
        <v>9120</v>
      </c>
      <c r="C542" s="491" t="s">
        <v>306</v>
      </c>
      <c r="D542" s="520">
        <f>+'[1]Balance General 2017'!S369</f>
        <v>0</v>
      </c>
      <c r="E542" s="493">
        <v>0.2</v>
      </c>
      <c r="F542" s="521">
        <f>+D542*E542</f>
        <v>0</v>
      </c>
    </row>
    <row r="543" spans="1:6" hidden="1" x14ac:dyDescent="0.2">
      <c r="A543" s="489">
        <v>912001</v>
      </c>
      <c r="B543" s="495">
        <v>912001</v>
      </c>
      <c r="C543" s="491" t="s">
        <v>306</v>
      </c>
      <c r="D543" s="492">
        <v>49899.660089999998</v>
      </c>
      <c r="E543" s="493">
        <v>0</v>
      </c>
      <c r="F543" s="494">
        <v>0</v>
      </c>
    </row>
    <row r="544" spans="1:6" x14ac:dyDescent="0.2">
      <c r="A544" s="489"/>
      <c r="B544" s="490"/>
      <c r="C544" s="510"/>
      <c r="D544" s="492"/>
      <c r="E544" s="493"/>
      <c r="F544" s="494"/>
    </row>
    <row r="545" spans="1:12" hidden="1" x14ac:dyDescent="0.2">
      <c r="A545" s="489"/>
      <c r="B545" s="490"/>
      <c r="C545" s="510"/>
      <c r="D545" s="492"/>
      <c r="E545" s="493"/>
      <c r="F545" s="494"/>
    </row>
    <row r="546" spans="1:12" ht="13.5" thickBot="1" x14ac:dyDescent="0.25">
      <c r="A546" s="489"/>
      <c r="B546" s="522" t="s">
        <v>1400</v>
      </c>
      <c r="C546" s="510" t="s">
        <v>1401</v>
      </c>
      <c r="D546" s="523" t="e">
        <f>SUM(D15+D222+D251+D284+D302+D320+D372+D380+D436+D442+D443+D445+D449+D452+D456+D463+D466+D470+D479+D486+D489+D493+D498+D507+D510+D516+D518+D525+D528+D533+D539+D542)</f>
        <v>#REF!</v>
      </c>
      <c r="E546" s="493"/>
      <c r="F546" s="524" t="e">
        <f>SUM(F15:F542)</f>
        <v>#REF!</v>
      </c>
      <c r="I546" s="463">
        <v>111</v>
      </c>
      <c r="J546" s="525"/>
      <c r="K546" s="525"/>
      <c r="L546" s="525"/>
    </row>
    <row r="547" spans="1:12" ht="13.5" thickTop="1" x14ac:dyDescent="0.2">
      <c r="A547" s="489"/>
      <c r="B547" s="526"/>
      <c r="C547" s="491"/>
      <c r="D547" s="492"/>
      <c r="E547" s="493"/>
      <c r="F547" s="494"/>
      <c r="K547" s="525"/>
      <c r="L547" s="525"/>
    </row>
    <row r="548" spans="1:12" ht="13.5" thickBot="1" x14ac:dyDescent="0.25">
      <c r="A548" s="489"/>
      <c r="B548" s="522" t="s">
        <v>1402</v>
      </c>
      <c r="C548" s="517" t="s">
        <v>1403</v>
      </c>
      <c r="D548" s="492"/>
      <c r="E548" s="493"/>
      <c r="F548" s="524" t="e">
        <f>+F546*12/100</f>
        <v>#REF!</v>
      </c>
      <c r="I548" s="463">
        <v>12</v>
      </c>
      <c r="L548" s="525"/>
    </row>
    <row r="549" spans="1:12" ht="13.5" thickTop="1" x14ac:dyDescent="0.2">
      <c r="A549" s="489"/>
      <c r="B549" s="490"/>
      <c r="C549" s="491"/>
      <c r="D549" s="492"/>
      <c r="E549" s="493"/>
      <c r="F549" s="494"/>
      <c r="K549" s="525"/>
    </row>
    <row r="550" spans="1:12" x14ac:dyDescent="0.2">
      <c r="A550" s="489"/>
      <c r="B550" s="490"/>
      <c r="C550" s="510" t="s">
        <v>1404</v>
      </c>
      <c r="D550" s="492"/>
      <c r="E550" s="493"/>
      <c r="F550" s="494"/>
    </row>
    <row r="551" spans="1:12" x14ac:dyDescent="0.2">
      <c r="A551" s="489"/>
      <c r="B551" s="490"/>
      <c r="C551" s="510"/>
      <c r="D551" s="492"/>
      <c r="E551" s="493"/>
      <c r="F551" s="494"/>
    </row>
    <row r="552" spans="1:12" x14ac:dyDescent="0.2">
      <c r="A552" s="489"/>
      <c r="B552" s="490"/>
      <c r="C552" s="510" t="s">
        <v>1405</v>
      </c>
      <c r="D552" s="492"/>
      <c r="E552" s="493"/>
      <c r="F552" s="494"/>
    </row>
    <row r="553" spans="1:12" x14ac:dyDescent="0.2">
      <c r="A553" s="527"/>
      <c r="B553" s="495">
        <v>3110</v>
      </c>
      <c r="C553" s="491" t="s">
        <v>243</v>
      </c>
      <c r="D553" s="492" t="e">
        <f>#REF!</f>
        <v>#REF!</v>
      </c>
      <c r="E553" s="493">
        <v>1</v>
      </c>
      <c r="F553" s="494" t="e">
        <f>+D553*E553</f>
        <v>#REF!</v>
      </c>
    </row>
    <row r="554" spans="1:12" hidden="1" x14ac:dyDescent="0.2">
      <c r="A554" s="489">
        <v>311001</v>
      </c>
      <c r="B554" s="495">
        <f>A554</f>
        <v>311001</v>
      </c>
      <c r="C554" s="491"/>
      <c r="D554" s="492">
        <v>-90000</v>
      </c>
      <c r="E554" s="493">
        <v>0</v>
      </c>
      <c r="F554" s="494">
        <v>0</v>
      </c>
    </row>
    <row r="555" spans="1:12" hidden="1" x14ac:dyDescent="0.2">
      <c r="A555" s="489">
        <v>311002</v>
      </c>
      <c r="B555" s="495">
        <f>A555</f>
        <v>311002</v>
      </c>
      <c r="C555" s="491"/>
      <c r="D555" s="492">
        <v>0</v>
      </c>
      <c r="E555" s="493"/>
      <c r="F555" s="494">
        <v>0</v>
      </c>
    </row>
    <row r="556" spans="1:12" hidden="1" x14ac:dyDescent="0.2">
      <c r="A556" s="489">
        <v>311003</v>
      </c>
      <c r="B556" s="495">
        <f>A556</f>
        <v>311003</v>
      </c>
      <c r="C556" s="491"/>
      <c r="D556" s="492">
        <v>0</v>
      </c>
      <c r="E556" s="493"/>
      <c r="F556" s="494">
        <v>0</v>
      </c>
    </row>
    <row r="557" spans="1:12" x14ac:dyDescent="0.2">
      <c r="A557" s="489"/>
      <c r="B557" s="495">
        <v>3120</v>
      </c>
      <c r="C557" s="491" t="s">
        <v>1406</v>
      </c>
      <c r="D557" s="492">
        <v>0</v>
      </c>
      <c r="E557" s="493">
        <f>E558</f>
        <v>1</v>
      </c>
      <c r="F557" s="494">
        <f>+D557*E557</f>
        <v>0</v>
      </c>
    </row>
    <row r="558" spans="1:12" hidden="1" x14ac:dyDescent="0.2">
      <c r="A558" s="489">
        <v>312000</v>
      </c>
      <c r="B558" s="495">
        <v>312000</v>
      </c>
      <c r="C558" s="491"/>
      <c r="D558" s="492">
        <v>0</v>
      </c>
      <c r="E558" s="493">
        <v>1</v>
      </c>
      <c r="F558" s="494">
        <v>0</v>
      </c>
    </row>
    <row r="559" spans="1:12" x14ac:dyDescent="0.2">
      <c r="A559" s="527"/>
      <c r="B559" s="495">
        <v>3130</v>
      </c>
      <c r="C559" s="491" t="s">
        <v>244</v>
      </c>
      <c r="D559" s="520" t="e">
        <f>#REF!</f>
        <v>#REF!</v>
      </c>
      <c r="E559" s="493">
        <v>1</v>
      </c>
      <c r="F559" s="521" t="e">
        <f>+D559*E559</f>
        <v>#REF!</v>
      </c>
    </row>
    <row r="560" spans="1:12" hidden="1" x14ac:dyDescent="0.2">
      <c r="A560" s="489" t="s">
        <v>1407</v>
      </c>
      <c r="B560" s="495" t="str">
        <f>A560</f>
        <v>3130000100</v>
      </c>
      <c r="C560" s="491" t="s">
        <v>308</v>
      </c>
      <c r="D560" s="492">
        <v>-16125.332350000001</v>
      </c>
      <c r="E560" s="493">
        <v>0</v>
      </c>
      <c r="F560" s="528">
        <v>0</v>
      </c>
    </row>
    <row r="561" spans="1:9" hidden="1" x14ac:dyDescent="0.2">
      <c r="A561" s="529" t="s">
        <v>1408</v>
      </c>
      <c r="B561" s="495" t="str">
        <f>A561</f>
        <v>3130000200</v>
      </c>
      <c r="C561" s="491" t="s">
        <v>1409</v>
      </c>
      <c r="D561" s="492">
        <v>0</v>
      </c>
      <c r="E561" s="493">
        <v>0</v>
      </c>
      <c r="F561" s="494">
        <v>0</v>
      </c>
    </row>
    <row r="562" spans="1:9" hidden="1" x14ac:dyDescent="0.2">
      <c r="A562" s="529" t="s">
        <v>1410</v>
      </c>
      <c r="B562" s="495" t="str">
        <f>A562</f>
        <v>3130000300</v>
      </c>
      <c r="C562" s="491" t="s">
        <v>1411</v>
      </c>
      <c r="D562" s="492">
        <v>-21303.392479999999</v>
      </c>
      <c r="E562" s="493">
        <v>0</v>
      </c>
      <c r="F562" s="494">
        <v>0</v>
      </c>
    </row>
    <row r="563" spans="1:9" x14ac:dyDescent="0.2">
      <c r="A563" s="489"/>
      <c r="B563" s="495"/>
      <c r="C563" s="517" t="s">
        <v>1412</v>
      </c>
      <c r="D563" s="492" t="e">
        <f>SUM(D553+D557+D559)</f>
        <v>#REF!</v>
      </c>
      <c r="E563" s="493"/>
      <c r="F563" s="528" t="e">
        <f>SUM(F553+F557+F559)</f>
        <v>#REF!</v>
      </c>
      <c r="I563" s="463">
        <v>311</v>
      </c>
    </row>
    <row r="564" spans="1:9" x14ac:dyDescent="0.2">
      <c r="A564" s="489"/>
      <c r="B564" s="495"/>
      <c r="C564" s="510" t="s">
        <v>1413</v>
      </c>
      <c r="D564" s="492"/>
      <c r="E564" s="493"/>
      <c r="F564" s="494"/>
    </row>
    <row r="565" spans="1:9" x14ac:dyDescent="0.2">
      <c r="A565" s="489"/>
      <c r="B565" s="495"/>
      <c r="C565" s="510"/>
      <c r="D565" s="492"/>
      <c r="E565" s="493"/>
      <c r="F565" s="494"/>
    </row>
    <row r="566" spans="1:9" x14ac:dyDescent="0.2">
      <c r="A566" s="489"/>
      <c r="B566" s="495"/>
      <c r="C566" s="510" t="s">
        <v>1414</v>
      </c>
      <c r="D566" s="492"/>
      <c r="E566" s="493"/>
      <c r="F566" s="494"/>
    </row>
    <row r="567" spans="1:9" x14ac:dyDescent="0.2">
      <c r="A567" s="489"/>
      <c r="B567" s="495">
        <v>3140</v>
      </c>
      <c r="C567" s="491" t="s">
        <v>245</v>
      </c>
      <c r="D567" s="492"/>
      <c r="E567" s="493"/>
      <c r="F567" s="494"/>
    </row>
    <row r="568" spans="1:9" x14ac:dyDescent="0.2">
      <c r="A568" s="489"/>
      <c r="B568" s="496" t="s">
        <v>1284</v>
      </c>
      <c r="C568" s="491" t="s">
        <v>284</v>
      </c>
      <c r="D568" s="492" t="e">
        <f>#REF!</f>
        <v>#REF!</v>
      </c>
      <c r="E568" s="493">
        <v>1</v>
      </c>
      <c r="F568" s="494" t="e">
        <f>+D568*E568</f>
        <v>#REF!</v>
      </c>
    </row>
    <row r="569" spans="1:9" hidden="1" x14ac:dyDescent="0.2">
      <c r="A569" s="489">
        <v>314001</v>
      </c>
      <c r="B569" s="501">
        <f>A569</f>
        <v>314001</v>
      </c>
      <c r="C569" s="491"/>
      <c r="D569" s="492">
        <v>0</v>
      </c>
      <c r="E569" s="493">
        <v>0</v>
      </c>
      <c r="F569" s="494">
        <v>0</v>
      </c>
    </row>
    <row r="570" spans="1:9" ht="12.75" customHeight="1" x14ac:dyDescent="0.2">
      <c r="A570" s="489"/>
      <c r="B570" s="496" t="s">
        <v>1294</v>
      </c>
      <c r="C570" s="497" t="s">
        <v>1415</v>
      </c>
      <c r="D570" s="492" t="e">
        <f>#REF!</f>
        <v>#REF!</v>
      </c>
      <c r="E570" s="530" t="e">
        <f>IF(D570&gt;0,0.5,1)</f>
        <v>#REF!</v>
      </c>
      <c r="F570" s="494" t="e">
        <f>+D570*E570</f>
        <v>#REF!</v>
      </c>
    </row>
    <row r="571" spans="1:9" ht="12.75" hidden="1" customHeight="1" x14ac:dyDescent="0.2">
      <c r="A571" s="489">
        <v>314002</v>
      </c>
      <c r="B571" s="501">
        <f t="shared" ref="B571:B626" si="10">A571</f>
        <v>314002</v>
      </c>
      <c r="C571" s="497"/>
      <c r="D571" s="492">
        <v>0</v>
      </c>
      <c r="E571" s="493">
        <v>0</v>
      </c>
      <c r="F571" s="494">
        <v>0</v>
      </c>
    </row>
    <row r="572" spans="1:9" ht="12.75" hidden="1" customHeight="1" x14ac:dyDescent="0.2">
      <c r="A572" s="489">
        <v>611001</v>
      </c>
      <c r="B572" s="501">
        <f t="shared" si="10"/>
        <v>611001</v>
      </c>
      <c r="C572" s="497"/>
      <c r="D572" s="492">
        <v>-89733.469450000004</v>
      </c>
      <c r="E572" s="493">
        <v>0</v>
      </c>
      <c r="F572" s="494">
        <v>0</v>
      </c>
    </row>
    <row r="573" spans="1:9" ht="12.75" hidden="1" customHeight="1" x14ac:dyDescent="0.2">
      <c r="A573" s="489">
        <v>611002</v>
      </c>
      <c r="B573" s="501">
        <f t="shared" si="10"/>
        <v>611002</v>
      </c>
      <c r="C573" s="497"/>
      <c r="D573" s="492">
        <v>-26319.83772</v>
      </c>
      <c r="E573" s="493">
        <v>0</v>
      </c>
      <c r="F573" s="494">
        <v>0</v>
      </c>
    </row>
    <row r="574" spans="1:9" hidden="1" x14ac:dyDescent="0.2">
      <c r="A574" s="489">
        <v>611003</v>
      </c>
      <c r="B574" s="501">
        <f t="shared" si="10"/>
        <v>611003</v>
      </c>
      <c r="C574" s="497"/>
      <c r="D574" s="492">
        <v>0</v>
      </c>
      <c r="E574" s="493"/>
      <c r="F574" s="494">
        <v>0</v>
      </c>
    </row>
    <row r="575" spans="1:9" hidden="1" x14ac:dyDescent="0.2">
      <c r="A575" s="489">
        <v>611004</v>
      </c>
      <c r="B575" s="501">
        <f t="shared" si="10"/>
        <v>611004</v>
      </c>
      <c r="C575" s="497"/>
      <c r="D575" s="492">
        <v>-2825.9997100000001</v>
      </c>
      <c r="E575" s="493">
        <v>0</v>
      </c>
      <c r="F575" s="494">
        <v>0</v>
      </c>
    </row>
    <row r="576" spans="1:9" hidden="1" x14ac:dyDescent="0.2">
      <c r="A576" s="489">
        <v>621001</v>
      </c>
      <c r="B576" s="501">
        <f t="shared" si="10"/>
        <v>621001</v>
      </c>
      <c r="C576" s="497"/>
      <c r="D576" s="492">
        <v>-551.26125999999999</v>
      </c>
      <c r="E576" s="493">
        <v>0</v>
      </c>
      <c r="F576" s="494">
        <v>0</v>
      </c>
    </row>
    <row r="577" spans="1:6" hidden="1" x14ac:dyDescent="0.2">
      <c r="A577" s="489">
        <v>621002</v>
      </c>
      <c r="B577" s="501">
        <f t="shared" si="10"/>
        <v>621002</v>
      </c>
      <c r="C577" s="497"/>
      <c r="D577" s="492">
        <v>-607.95741999999996</v>
      </c>
      <c r="E577" s="493">
        <v>0</v>
      </c>
      <c r="F577" s="494">
        <v>0</v>
      </c>
    </row>
    <row r="578" spans="1:6" hidden="1" x14ac:dyDescent="0.2">
      <c r="A578" s="489">
        <v>621003</v>
      </c>
      <c r="B578" s="501">
        <f t="shared" si="10"/>
        <v>621003</v>
      </c>
      <c r="C578" s="497"/>
      <c r="D578" s="492">
        <v>-352.57817</v>
      </c>
      <c r="E578" s="493">
        <v>0</v>
      </c>
      <c r="F578" s="494">
        <v>0</v>
      </c>
    </row>
    <row r="579" spans="1:6" hidden="1" x14ac:dyDescent="0.2">
      <c r="A579" s="489">
        <v>621004</v>
      </c>
      <c r="B579" s="501">
        <f t="shared" si="10"/>
        <v>621004</v>
      </c>
      <c r="C579" s="497"/>
      <c r="D579" s="492">
        <v>-6759.3560799999996</v>
      </c>
      <c r="E579" s="493">
        <v>0</v>
      </c>
      <c r="F579" s="494">
        <v>0</v>
      </c>
    </row>
    <row r="580" spans="1:6" hidden="1" x14ac:dyDescent="0.2">
      <c r="A580" s="489">
        <v>631001</v>
      </c>
      <c r="B580" s="501">
        <f t="shared" si="10"/>
        <v>631001</v>
      </c>
      <c r="C580" s="497"/>
      <c r="D580" s="492">
        <v>-7192.7735300000004</v>
      </c>
      <c r="E580" s="493">
        <v>0</v>
      </c>
      <c r="F580" s="494">
        <v>0</v>
      </c>
    </row>
    <row r="581" spans="1:6" hidden="1" x14ac:dyDescent="0.2">
      <c r="A581" s="489">
        <v>631002</v>
      </c>
      <c r="B581" s="501">
        <f t="shared" si="10"/>
        <v>631002</v>
      </c>
      <c r="C581" s="497"/>
      <c r="D581" s="492">
        <v>-176.93625</v>
      </c>
      <c r="E581" s="493">
        <v>0</v>
      </c>
      <c r="F581" s="494">
        <v>0</v>
      </c>
    </row>
    <row r="582" spans="1:6" hidden="1" x14ac:dyDescent="0.2">
      <c r="A582" s="489">
        <v>631003</v>
      </c>
      <c r="B582" s="501">
        <f t="shared" si="10"/>
        <v>631003</v>
      </c>
      <c r="C582" s="497"/>
      <c r="D582" s="492">
        <v>-50.417029999999997</v>
      </c>
      <c r="E582" s="493">
        <v>0</v>
      </c>
      <c r="F582" s="494">
        <v>0</v>
      </c>
    </row>
    <row r="583" spans="1:6" hidden="1" x14ac:dyDescent="0.2">
      <c r="A583" s="489">
        <v>631004</v>
      </c>
      <c r="B583" s="501">
        <f t="shared" si="10"/>
        <v>631004</v>
      </c>
      <c r="C583" s="497"/>
      <c r="D583" s="492">
        <v>-4148.2724799999996</v>
      </c>
      <c r="E583" s="493">
        <v>0</v>
      </c>
      <c r="F583" s="494">
        <v>0</v>
      </c>
    </row>
    <row r="584" spans="1:6" hidden="1" x14ac:dyDescent="0.2">
      <c r="A584" s="489" t="s">
        <v>1416</v>
      </c>
      <c r="B584" s="501" t="str">
        <f t="shared" si="10"/>
        <v>631099</v>
      </c>
      <c r="C584" s="497"/>
      <c r="D584" s="492">
        <v>-700.80817000000002</v>
      </c>
      <c r="E584" s="493">
        <v>0</v>
      </c>
      <c r="F584" s="494">
        <v>0</v>
      </c>
    </row>
    <row r="585" spans="1:6" hidden="1" x14ac:dyDescent="0.2">
      <c r="A585" s="489">
        <v>711001</v>
      </c>
      <c r="B585" s="501">
        <f t="shared" si="10"/>
        <v>711001</v>
      </c>
      <c r="C585" s="497"/>
      <c r="D585" s="492">
        <v>26665.308799999999</v>
      </c>
      <c r="E585" s="493">
        <v>0</v>
      </c>
      <c r="F585" s="494">
        <v>0</v>
      </c>
    </row>
    <row r="586" spans="1:6" hidden="1" x14ac:dyDescent="0.2">
      <c r="A586" s="489">
        <v>711002</v>
      </c>
      <c r="B586" s="501">
        <f t="shared" si="10"/>
        <v>711002</v>
      </c>
      <c r="C586" s="497"/>
      <c r="D586" s="492">
        <v>11445.86166</v>
      </c>
      <c r="E586" s="493">
        <v>0</v>
      </c>
      <c r="F586" s="494">
        <v>0</v>
      </c>
    </row>
    <row r="587" spans="1:6" hidden="1" x14ac:dyDescent="0.2">
      <c r="A587" s="489">
        <v>711003</v>
      </c>
      <c r="B587" s="501">
        <f t="shared" si="10"/>
        <v>711003</v>
      </c>
      <c r="C587" s="497"/>
      <c r="D587" s="492">
        <v>2.2465799999999998</v>
      </c>
      <c r="E587" s="493">
        <v>0</v>
      </c>
      <c r="F587" s="494">
        <v>0</v>
      </c>
    </row>
    <row r="588" spans="1:6" hidden="1" x14ac:dyDescent="0.2">
      <c r="A588" s="489">
        <v>711004</v>
      </c>
      <c r="B588" s="501">
        <f t="shared" si="10"/>
        <v>711004</v>
      </c>
      <c r="C588" s="497"/>
      <c r="D588" s="492">
        <v>2780.5795800000001</v>
      </c>
      <c r="E588" s="493">
        <v>0</v>
      </c>
      <c r="F588" s="494">
        <v>0</v>
      </c>
    </row>
    <row r="589" spans="1:6" hidden="1" x14ac:dyDescent="0.2">
      <c r="A589" s="489">
        <v>711005</v>
      </c>
      <c r="B589" s="501">
        <f t="shared" si="10"/>
        <v>711005</v>
      </c>
      <c r="C589" s="497"/>
      <c r="D589" s="492">
        <v>158.17737</v>
      </c>
      <c r="E589" s="493">
        <v>0</v>
      </c>
      <c r="F589" s="494">
        <v>0</v>
      </c>
    </row>
    <row r="590" spans="1:6" hidden="1" x14ac:dyDescent="0.2">
      <c r="A590" s="489">
        <v>711006</v>
      </c>
      <c r="B590" s="501">
        <f t="shared" si="10"/>
        <v>711006</v>
      </c>
      <c r="C590" s="497"/>
      <c r="D590" s="492">
        <v>0</v>
      </c>
      <c r="E590" s="493"/>
      <c r="F590" s="494">
        <v>0</v>
      </c>
    </row>
    <row r="591" spans="1:6" hidden="1" x14ac:dyDescent="0.2">
      <c r="A591" s="489">
        <v>711007</v>
      </c>
      <c r="B591" s="501">
        <f t="shared" si="10"/>
        <v>711007</v>
      </c>
      <c r="C591" s="497"/>
      <c r="D591" s="492">
        <v>1210.21426</v>
      </c>
      <c r="E591" s="493">
        <v>0</v>
      </c>
      <c r="F591" s="494">
        <v>0</v>
      </c>
    </row>
    <row r="592" spans="1:6" hidden="1" x14ac:dyDescent="0.2">
      <c r="A592" s="489" t="s">
        <v>1417</v>
      </c>
      <c r="B592" s="501" t="str">
        <f t="shared" si="10"/>
        <v>712000</v>
      </c>
      <c r="C592" s="497"/>
      <c r="D592" s="492">
        <v>15170.33747</v>
      </c>
      <c r="E592" s="493">
        <v>0</v>
      </c>
      <c r="F592" s="494">
        <v>0</v>
      </c>
    </row>
    <row r="593" spans="1:6" hidden="1" x14ac:dyDescent="0.2">
      <c r="A593" s="489" t="s">
        <v>1418</v>
      </c>
      <c r="B593" s="501" t="str">
        <f t="shared" si="10"/>
        <v>713000</v>
      </c>
      <c r="C593" s="497"/>
      <c r="D593" s="492">
        <v>68.842709999999997</v>
      </c>
      <c r="E593" s="493">
        <v>0</v>
      </c>
      <c r="F593" s="494">
        <v>0</v>
      </c>
    </row>
    <row r="594" spans="1:6" hidden="1" x14ac:dyDescent="0.2">
      <c r="A594" s="489" t="s">
        <v>1419</v>
      </c>
      <c r="B594" s="501" t="str">
        <f t="shared" si="10"/>
        <v>721000</v>
      </c>
      <c r="C594" s="497"/>
      <c r="D594" s="492">
        <v>193.29494</v>
      </c>
      <c r="E594" s="493">
        <v>0</v>
      </c>
      <c r="F594" s="494">
        <v>0</v>
      </c>
    </row>
    <row r="595" spans="1:6" hidden="1" x14ac:dyDescent="0.2">
      <c r="A595" s="489" t="s">
        <v>1420</v>
      </c>
      <c r="B595" s="501" t="str">
        <f t="shared" si="10"/>
        <v>722000</v>
      </c>
      <c r="C595" s="497"/>
      <c r="D595" s="492">
        <v>0</v>
      </c>
      <c r="E595" s="493">
        <v>0</v>
      </c>
      <c r="F595" s="494">
        <v>0</v>
      </c>
    </row>
    <row r="596" spans="1:6" hidden="1" x14ac:dyDescent="0.2">
      <c r="A596" s="489" t="s">
        <v>1421</v>
      </c>
      <c r="B596" s="501" t="str">
        <f t="shared" si="10"/>
        <v>723000</v>
      </c>
      <c r="C596" s="497"/>
      <c r="D596" s="492">
        <v>0</v>
      </c>
      <c r="E596" s="493">
        <v>0</v>
      </c>
      <c r="F596" s="494">
        <v>0</v>
      </c>
    </row>
    <row r="597" spans="1:6" hidden="1" x14ac:dyDescent="0.2">
      <c r="A597" s="489" t="s">
        <v>1422</v>
      </c>
      <c r="B597" s="501" t="str">
        <f t="shared" si="10"/>
        <v>724000</v>
      </c>
      <c r="C597" s="497"/>
      <c r="D597" s="492">
        <v>7679.3259699999999</v>
      </c>
      <c r="E597" s="493">
        <v>0</v>
      </c>
      <c r="F597" s="494">
        <v>0</v>
      </c>
    </row>
    <row r="598" spans="1:6" hidden="1" x14ac:dyDescent="0.2">
      <c r="A598" s="489" t="s">
        <v>1423</v>
      </c>
      <c r="B598" s="501" t="str">
        <f t="shared" si="10"/>
        <v>725000</v>
      </c>
      <c r="C598" s="497"/>
      <c r="D598" s="492">
        <v>46.21264</v>
      </c>
      <c r="E598" s="493">
        <v>0</v>
      </c>
      <c r="F598" s="494">
        <v>0</v>
      </c>
    </row>
    <row r="599" spans="1:6" hidden="1" x14ac:dyDescent="0.2">
      <c r="A599" s="489" t="s">
        <v>1424</v>
      </c>
      <c r="B599" s="501" t="str">
        <f t="shared" si="10"/>
        <v>726000</v>
      </c>
      <c r="C599" s="497"/>
      <c r="D599" s="492">
        <v>0</v>
      </c>
      <c r="E599" s="493"/>
      <c r="F599" s="494">
        <v>0</v>
      </c>
    </row>
    <row r="600" spans="1:6" hidden="1" x14ac:dyDescent="0.2">
      <c r="A600" s="489">
        <v>811001</v>
      </c>
      <c r="B600" s="501">
        <f t="shared" si="10"/>
        <v>811001</v>
      </c>
      <c r="C600" s="497"/>
      <c r="D600" s="492">
        <v>12176.691440000001</v>
      </c>
      <c r="E600" s="493">
        <v>0</v>
      </c>
      <c r="F600" s="494">
        <v>0</v>
      </c>
    </row>
    <row r="601" spans="1:6" hidden="1" x14ac:dyDescent="0.2">
      <c r="A601" s="489">
        <v>811002</v>
      </c>
      <c r="B601" s="501">
        <f t="shared" si="10"/>
        <v>811002</v>
      </c>
      <c r="C601" s="497"/>
      <c r="D601" s="492">
        <v>9523.97876</v>
      </c>
      <c r="E601" s="493">
        <v>0</v>
      </c>
      <c r="F601" s="494">
        <v>0</v>
      </c>
    </row>
    <row r="602" spans="1:6" hidden="1" x14ac:dyDescent="0.2">
      <c r="A602" s="489">
        <v>811003</v>
      </c>
      <c r="B602" s="501">
        <f t="shared" si="10"/>
        <v>811003</v>
      </c>
      <c r="C602" s="497"/>
      <c r="D602" s="492">
        <v>619.84592999999995</v>
      </c>
      <c r="E602" s="493">
        <v>0</v>
      </c>
      <c r="F602" s="494">
        <v>0</v>
      </c>
    </row>
    <row r="603" spans="1:6" hidden="1" x14ac:dyDescent="0.2">
      <c r="A603" s="489">
        <v>811004</v>
      </c>
      <c r="B603" s="501">
        <f t="shared" si="10"/>
        <v>811004</v>
      </c>
      <c r="C603" s="497"/>
      <c r="D603" s="492">
        <v>122.84994</v>
      </c>
      <c r="E603" s="493">
        <v>0</v>
      </c>
      <c r="F603" s="494">
        <v>0</v>
      </c>
    </row>
    <row r="604" spans="1:6" hidden="1" x14ac:dyDescent="0.2">
      <c r="A604" s="489">
        <v>811005</v>
      </c>
      <c r="B604" s="501">
        <f t="shared" si="10"/>
        <v>811005</v>
      </c>
      <c r="C604" s="497"/>
      <c r="D604" s="492">
        <v>458.70056</v>
      </c>
      <c r="E604" s="493">
        <v>0</v>
      </c>
      <c r="F604" s="494">
        <v>0</v>
      </c>
    </row>
    <row r="605" spans="1:6" hidden="1" x14ac:dyDescent="0.2">
      <c r="A605" s="489">
        <v>811006</v>
      </c>
      <c r="B605" s="501">
        <f t="shared" si="10"/>
        <v>811006</v>
      </c>
      <c r="C605" s="497"/>
      <c r="D605" s="492">
        <v>47.448</v>
      </c>
      <c r="E605" s="493">
        <v>0</v>
      </c>
      <c r="F605" s="494">
        <v>0</v>
      </c>
    </row>
    <row r="606" spans="1:6" hidden="1" x14ac:dyDescent="0.2">
      <c r="A606" s="489">
        <v>812001</v>
      </c>
      <c r="B606" s="501">
        <f t="shared" si="10"/>
        <v>812001</v>
      </c>
      <c r="C606" s="497"/>
      <c r="D606" s="492">
        <v>672.44092999999998</v>
      </c>
      <c r="E606" s="493">
        <v>0</v>
      </c>
      <c r="F606" s="494">
        <v>0</v>
      </c>
    </row>
    <row r="607" spans="1:6" hidden="1" x14ac:dyDescent="0.2">
      <c r="A607" s="489">
        <v>812002</v>
      </c>
      <c r="B607" s="501">
        <f t="shared" si="10"/>
        <v>812002</v>
      </c>
      <c r="C607" s="497"/>
      <c r="D607" s="492">
        <v>1376.4565700000001</v>
      </c>
      <c r="E607" s="493">
        <v>0</v>
      </c>
      <c r="F607" s="494">
        <v>0</v>
      </c>
    </row>
    <row r="608" spans="1:6" hidden="1" x14ac:dyDescent="0.2">
      <c r="A608" s="489">
        <v>812003</v>
      </c>
      <c r="B608" s="501">
        <f t="shared" si="10"/>
        <v>812003</v>
      </c>
      <c r="C608" s="497"/>
      <c r="D608" s="492">
        <v>3278.3503300000002</v>
      </c>
      <c r="E608" s="493">
        <v>0</v>
      </c>
      <c r="F608" s="494">
        <v>0</v>
      </c>
    </row>
    <row r="609" spans="1:6" hidden="1" x14ac:dyDescent="0.2">
      <c r="A609" s="489">
        <v>812004</v>
      </c>
      <c r="B609" s="501">
        <f t="shared" si="10"/>
        <v>812004</v>
      </c>
      <c r="C609" s="497"/>
      <c r="D609" s="492">
        <v>1995.3538100000001</v>
      </c>
      <c r="E609" s="493">
        <v>0</v>
      </c>
      <c r="F609" s="494">
        <v>0</v>
      </c>
    </row>
    <row r="610" spans="1:6" hidden="1" x14ac:dyDescent="0.2">
      <c r="A610" s="489">
        <v>812005</v>
      </c>
      <c r="B610" s="501">
        <f t="shared" si="10"/>
        <v>812005</v>
      </c>
      <c r="C610" s="497"/>
      <c r="D610" s="492">
        <v>1014.81934</v>
      </c>
      <c r="E610" s="493">
        <v>0</v>
      </c>
      <c r="F610" s="494">
        <v>0</v>
      </c>
    </row>
    <row r="611" spans="1:6" hidden="1" x14ac:dyDescent="0.2">
      <c r="A611" s="489">
        <v>812006</v>
      </c>
      <c r="B611" s="501">
        <f t="shared" si="10"/>
        <v>812006</v>
      </c>
      <c r="C611" s="497"/>
      <c r="D611" s="492">
        <v>670.61027999999999</v>
      </c>
      <c r="E611" s="493">
        <v>0</v>
      </c>
      <c r="F611" s="494">
        <v>0</v>
      </c>
    </row>
    <row r="612" spans="1:6" hidden="1" x14ac:dyDescent="0.2">
      <c r="A612" s="489">
        <v>812007</v>
      </c>
      <c r="B612" s="501">
        <f t="shared" si="10"/>
        <v>812007</v>
      </c>
      <c r="C612" s="497"/>
      <c r="D612" s="492">
        <v>2285.06999</v>
      </c>
      <c r="E612" s="493">
        <v>0</v>
      </c>
      <c r="F612" s="494">
        <v>0</v>
      </c>
    </row>
    <row r="613" spans="1:6" hidden="1" x14ac:dyDescent="0.2">
      <c r="A613" s="489">
        <v>812008</v>
      </c>
      <c r="B613" s="501">
        <f t="shared" si="10"/>
        <v>812008</v>
      </c>
      <c r="C613" s="497"/>
      <c r="D613" s="492">
        <v>715.27588000000003</v>
      </c>
      <c r="E613" s="493">
        <v>0</v>
      </c>
      <c r="F613" s="494">
        <v>0</v>
      </c>
    </row>
    <row r="614" spans="1:6" hidden="1" x14ac:dyDescent="0.2">
      <c r="A614" s="489" t="s">
        <v>1425</v>
      </c>
      <c r="B614" s="501" t="str">
        <f t="shared" si="10"/>
        <v>812009</v>
      </c>
      <c r="C614" s="497"/>
      <c r="D614" s="492"/>
      <c r="E614" s="493"/>
      <c r="F614" s="494"/>
    </row>
    <row r="615" spans="1:6" hidden="1" x14ac:dyDescent="0.2">
      <c r="A615" s="489">
        <v>812099</v>
      </c>
      <c r="B615" s="501">
        <f t="shared" si="10"/>
        <v>812099</v>
      </c>
      <c r="C615" s="497"/>
      <c r="D615" s="492">
        <v>1747.2249099999999</v>
      </c>
      <c r="E615" s="493">
        <v>0</v>
      </c>
      <c r="F615" s="494">
        <v>0</v>
      </c>
    </row>
    <row r="616" spans="1:6" hidden="1" x14ac:dyDescent="0.2">
      <c r="A616" s="489">
        <v>813001</v>
      </c>
      <c r="B616" s="501">
        <f t="shared" si="10"/>
        <v>813001</v>
      </c>
      <c r="C616" s="497"/>
      <c r="D616" s="492">
        <v>2869.76152</v>
      </c>
      <c r="E616" s="493">
        <v>0</v>
      </c>
      <c r="F616" s="494">
        <v>0</v>
      </c>
    </row>
    <row r="617" spans="1:6" ht="15" hidden="1" customHeight="1" x14ac:dyDescent="0.2">
      <c r="A617" s="489">
        <v>813002</v>
      </c>
      <c r="B617" s="501">
        <f t="shared" si="10"/>
        <v>813002</v>
      </c>
      <c r="C617" s="497"/>
      <c r="D617" s="492">
        <v>2065.5692100000001</v>
      </c>
      <c r="E617" s="493">
        <v>0</v>
      </c>
      <c r="F617" s="494">
        <v>0</v>
      </c>
    </row>
    <row r="618" spans="1:6" ht="11.25" hidden="1" customHeight="1" x14ac:dyDescent="0.2">
      <c r="A618" s="489">
        <v>821001</v>
      </c>
      <c r="B618" s="501">
        <f t="shared" si="10"/>
        <v>821001</v>
      </c>
      <c r="C618" s="497"/>
      <c r="D618" s="492">
        <v>6.3746299999999998</v>
      </c>
      <c r="E618" s="493">
        <v>0</v>
      </c>
      <c r="F618" s="494">
        <v>0</v>
      </c>
    </row>
    <row r="619" spans="1:6" ht="12" hidden="1" customHeight="1" x14ac:dyDescent="0.2">
      <c r="A619" s="489">
        <v>821002</v>
      </c>
      <c r="B619" s="501">
        <f t="shared" si="10"/>
        <v>821002</v>
      </c>
      <c r="C619" s="497"/>
      <c r="D619" s="492">
        <v>0.28147</v>
      </c>
      <c r="E619" s="493">
        <v>0</v>
      </c>
      <c r="F619" s="494">
        <v>0</v>
      </c>
    </row>
    <row r="620" spans="1:6" hidden="1" x14ac:dyDescent="0.2">
      <c r="A620" s="489">
        <v>821003</v>
      </c>
      <c r="B620" s="501">
        <f t="shared" si="10"/>
        <v>821003</v>
      </c>
      <c r="C620" s="497"/>
      <c r="D620" s="492">
        <v>590.63949000000002</v>
      </c>
      <c r="E620" s="493">
        <v>0</v>
      </c>
      <c r="F620" s="494">
        <v>0</v>
      </c>
    </row>
    <row r="621" spans="1:6" hidden="1" x14ac:dyDescent="0.2">
      <c r="A621" s="489">
        <v>822001</v>
      </c>
      <c r="B621" s="501">
        <f t="shared" si="10"/>
        <v>822001</v>
      </c>
      <c r="C621" s="497"/>
      <c r="D621" s="492">
        <v>422.06288000000001</v>
      </c>
      <c r="E621" s="493">
        <v>0</v>
      </c>
      <c r="F621" s="494">
        <v>0</v>
      </c>
    </row>
    <row r="622" spans="1:6" ht="18.75" hidden="1" customHeight="1" x14ac:dyDescent="0.2">
      <c r="A622" s="489">
        <v>822002</v>
      </c>
      <c r="B622" s="501">
        <f t="shared" si="10"/>
        <v>822002</v>
      </c>
      <c r="C622" s="497"/>
      <c r="D622" s="492">
        <v>7120.2650000000003</v>
      </c>
      <c r="E622" s="493">
        <v>0</v>
      </c>
      <c r="F622" s="494">
        <v>0</v>
      </c>
    </row>
    <row r="623" spans="1:6" hidden="1" x14ac:dyDescent="0.2">
      <c r="A623" s="489">
        <v>823001</v>
      </c>
      <c r="B623" s="501">
        <f t="shared" si="10"/>
        <v>823001</v>
      </c>
      <c r="C623" s="497"/>
      <c r="D623" s="492">
        <v>0</v>
      </c>
      <c r="E623" s="493">
        <v>0</v>
      </c>
      <c r="F623" s="494">
        <v>0</v>
      </c>
    </row>
    <row r="624" spans="1:6" hidden="1" x14ac:dyDescent="0.2">
      <c r="A624" s="489">
        <v>823002</v>
      </c>
      <c r="B624" s="501">
        <f t="shared" si="10"/>
        <v>823002</v>
      </c>
      <c r="C624" s="497"/>
      <c r="D624" s="492">
        <v>771.77304000000004</v>
      </c>
      <c r="E624" s="493">
        <v>0</v>
      </c>
      <c r="F624" s="494">
        <v>0</v>
      </c>
    </row>
    <row r="625" spans="1:6" hidden="1" x14ac:dyDescent="0.2">
      <c r="A625" s="489" t="s">
        <v>1426</v>
      </c>
      <c r="B625" s="501" t="str">
        <f t="shared" si="10"/>
        <v>824000</v>
      </c>
      <c r="C625" s="497"/>
      <c r="D625" s="492">
        <v>5950.4856900000004</v>
      </c>
      <c r="E625" s="493">
        <v>0</v>
      </c>
      <c r="F625" s="494">
        <v>0</v>
      </c>
    </row>
    <row r="626" spans="1:6" hidden="1" x14ac:dyDescent="0.2">
      <c r="A626" s="489">
        <v>825000</v>
      </c>
      <c r="B626" s="501">
        <f t="shared" si="10"/>
        <v>825000</v>
      </c>
      <c r="C626" s="497"/>
      <c r="D626" s="492">
        <v>0</v>
      </c>
      <c r="E626" s="493">
        <v>0</v>
      </c>
      <c r="F626" s="494">
        <v>0</v>
      </c>
    </row>
    <row r="627" spans="1:6" hidden="1" x14ac:dyDescent="0.2">
      <c r="A627" s="489" t="s">
        <v>1427</v>
      </c>
      <c r="B627" s="505" t="s">
        <v>1427</v>
      </c>
      <c r="C627" s="497"/>
      <c r="D627" s="492">
        <v>383.72370999999998</v>
      </c>
      <c r="E627" s="493">
        <v>0</v>
      </c>
      <c r="F627" s="494">
        <v>0</v>
      </c>
    </row>
    <row r="628" spans="1:6" hidden="1" x14ac:dyDescent="0.2">
      <c r="A628" s="489">
        <v>831000</v>
      </c>
      <c r="B628" s="501">
        <f>A628</f>
        <v>831000</v>
      </c>
      <c r="C628" s="497"/>
      <c r="D628" s="492">
        <v>0</v>
      </c>
      <c r="E628" s="493">
        <v>0</v>
      </c>
      <c r="F628" s="494">
        <v>0</v>
      </c>
    </row>
    <row r="629" spans="1:6" x14ac:dyDescent="0.2">
      <c r="A629" s="489"/>
      <c r="B629" s="495">
        <v>3210</v>
      </c>
      <c r="C629" s="491" t="s">
        <v>1428</v>
      </c>
      <c r="D629" s="492">
        <v>0</v>
      </c>
      <c r="E629" s="493">
        <v>1</v>
      </c>
      <c r="F629" s="494">
        <f>+D629*E629</f>
        <v>0</v>
      </c>
    </row>
    <row r="630" spans="1:6" hidden="1" x14ac:dyDescent="0.2">
      <c r="A630" s="489">
        <v>321000</v>
      </c>
      <c r="B630" s="495">
        <v>321000</v>
      </c>
      <c r="C630" s="491"/>
      <c r="D630" s="492">
        <v>-19336.121340000002</v>
      </c>
      <c r="E630" s="493">
        <v>0</v>
      </c>
      <c r="F630" s="494">
        <v>0</v>
      </c>
    </row>
    <row r="631" spans="1:6" x14ac:dyDescent="0.2">
      <c r="A631" s="489"/>
      <c r="B631" s="495">
        <v>3220</v>
      </c>
      <c r="C631" s="497" t="s">
        <v>1429</v>
      </c>
      <c r="D631" s="492">
        <v>0</v>
      </c>
      <c r="E631" s="493">
        <v>0.75</v>
      </c>
      <c r="F631" s="494">
        <f>+D631*E631</f>
        <v>0</v>
      </c>
    </row>
    <row r="632" spans="1:6" hidden="1" x14ac:dyDescent="0.2">
      <c r="A632" s="489" t="s">
        <v>1430</v>
      </c>
      <c r="B632" s="495" t="str">
        <f>A632</f>
        <v>322000</v>
      </c>
      <c r="C632" s="497"/>
      <c r="D632" s="492">
        <v>-11398.28795</v>
      </c>
      <c r="E632" s="493">
        <v>0</v>
      </c>
      <c r="F632" s="494">
        <v>0</v>
      </c>
    </row>
    <row r="633" spans="1:6" hidden="1" x14ac:dyDescent="0.2">
      <c r="A633" s="527"/>
      <c r="B633" s="501" t="s">
        <v>1431</v>
      </c>
      <c r="C633" s="497" t="s">
        <v>1432</v>
      </c>
      <c r="D633" s="492">
        <v>0</v>
      </c>
      <c r="E633" s="493">
        <v>0.5</v>
      </c>
      <c r="F633" s="494">
        <f>+D633*E633</f>
        <v>0</v>
      </c>
    </row>
    <row r="634" spans="1:6" hidden="1" x14ac:dyDescent="0.2">
      <c r="A634" s="498" t="s">
        <v>1433</v>
      </c>
      <c r="B634" s="495" t="str">
        <f>A634</f>
        <v>114901030111</v>
      </c>
      <c r="C634" s="491"/>
      <c r="D634" s="492">
        <v>-14579.501979999999</v>
      </c>
      <c r="E634" s="493">
        <v>0</v>
      </c>
      <c r="F634" s="494">
        <v>0</v>
      </c>
    </row>
    <row r="635" spans="1:6" hidden="1" x14ac:dyDescent="0.2">
      <c r="A635" s="489"/>
      <c r="B635" s="501"/>
      <c r="C635" s="497"/>
      <c r="D635" s="492"/>
      <c r="E635" s="493"/>
      <c r="F635" s="494"/>
    </row>
    <row r="636" spans="1:6" hidden="1" x14ac:dyDescent="0.2">
      <c r="A636" s="489">
        <v>2311</v>
      </c>
      <c r="B636" s="495">
        <v>2311</v>
      </c>
      <c r="C636" s="491" t="s">
        <v>1434</v>
      </c>
      <c r="D636" s="492"/>
      <c r="E636" s="493">
        <v>1</v>
      </c>
      <c r="F636" s="494">
        <f>+D636*E636</f>
        <v>0</v>
      </c>
    </row>
    <row r="637" spans="1:6" x14ac:dyDescent="0.2">
      <c r="A637" s="489"/>
      <c r="B637" s="501" t="s">
        <v>1435</v>
      </c>
      <c r="C637" s="491" t="s">
        <v>1436</v>
      </c>
      <c r="D637" s="492">
        <v>0</v>
      </c>
      <c r="E637" s="493">
        <v>1</v>
      </c>
      <c r="F637" s="494">
        <f>+D637*E637</f>
        <v>0</v>
      </c>
    </row>
    <row r="638" spans="1:6" ht="11.25" hidden="1" customHeight="1" x14ac:dyDescent="0.2">
      <c r="A638" s="531" t="s">
        <v>1437</v>
      </c>
      <c r="B638" s="532" t="s">
        <v>1437</v>
      </c>
      <c r="C638" s="491"/>
      <c r="D638" s="492">
        <v>-10000</v>
      </c>
      <c r="E638" s="493">
        <v>0</v>
      </c>
      <c r="F638" s="494">
        <v>0</v>
      </c>
    </row>
    <row r="639" spans="1:6" ht="13.5" customHeight="1" x14ac:dyDescent="0.2">
      <c r="A639" s="489"/>
      <c r="B639" s="490"/>
      <c r="C639" s="510" t="s">
        <v>1438</v>
      </c>
      <c r="D639" s="492"/>
      <c r="E639" s="493"/>
      <c r="F639" s="494"/>
    </row>
    <row r="640" spans="1:6" x14ac:dyDescent="0.2">
      <c r="A640" s="489"/>
      <c r="B640" s="490"/>
      <c r="C640" s="491" t="s">
        <v>1439</v>
      </c>
      <c r="D640" s="520"/>
      <c r="E640" s="493">
        <v>1</v>
      </c>
      <c r="F640" s="521">
        <f>+D640*E640</f>
        <v>0</v>
      </c>
    </row>
    <row r="641" spans="1:12" ht="14.25" customHeight="1" x14ac:dyDescent="0.2">
      <c r="A641" s="489"/>
      <c r="B641" s="490"/>
      <c r="C641" s="510" t="s">
        <v>1440</v>
      </c>
      <c r="D641" s="492" t="e">
        <f>SUM(D568+D570+D629+D631+D633+D636-D640+D635+D637)</f>
        <v>#REF!</v>
      </c>
      <c r="E641" s="493"/>
      <c r="F641" s="528" t="e">
        <f>SUM(F568+F570+F629+F631+F633+F636-F640+F635+F637)</f>
        <v>#REF!</v>
      </c>
      <c r="I641" s="463">
        <v>312</v>
      </c>
    </row>
    <row r="642" spans="1:12" x14ac:dyDescent="0.2">
      <c r="A642" s="489"/>
      <c r="B642" s="490"/>
      <c r="C642" s="497" t="s">
        <v>1441</v>
      </c>
      <c r="D642" s="492"/>
      <c r="E642" s="493"/>
      <c r="F642" s="494"/>
      <c r="J642" s="533"/>
      <c r="K642" s="533"/>
      <c r="L642" s="533"/>
    </row>
    <row r="643" spans="1:12" x14ac:dyDescent="0.2">
      <c r="A643" s="489"/>
      <c r="B643" s="490"/>
      <c r="C643" s="491"/>
      <c r="D643" s="520"/>
      <c r="E643" s="493"/>
      <c r="F643" s="521"/>
      <c r="J643" s="533"/>
      <c r="K643" s="533"/>
      <c r="L643" s="533"/>
    </row>
    <row r="644" spans="1:12" x14ac:dyDescent="0.2">
      <c r="A644" s="489"/>
      <c r="B644" s="490"/>
      <c r="C644" s="510" t="s">
        <v>1442</v>
      </c>
      <c r="D644" s="492" t="e">
        <f>SUM(D563+D641)</f>
        <v>#REF!</v>
      </c>
      <c r="E644" s="493"/>
      <c r="F644" s="528" t="e">
        <f>SUM(F563+F641)</f>
        <v>#REF!</v>
      </c>
      <c r="J644" s="533" t="e">
        <f>+D644*1000</f>
        <v>#REF!</v>
      </c>
      <c r="K644" s="533">
        <v>3450148.57</v>
      </c>
      <c r="L644" s="533"/>
    </row>
    <row r="645" spans="1:12" x14ac:dyDescent="0.2">
      <c r="A645" s="489"/>
      <c r="B645" s="490"/>
      <c r="C645" s="510"/>
      <c r="D645" s="492"/>
      <c r="E645" s="493"/>
      <c r="F645" s="528"/>
      <c r="J645" s="533"/>
      <c r="K645" s="533">
        <v>690029.72</v>
      </c>
      <c r="L645" s="533"/>
    </row>
    <row r="646" spans="1:12" x14ac:dyDescent="0.2">
      <c r="A646" s="489"/>
      <c r="B646" s="490"/>
      <c r="C646" s="510"/>
      <c r="D646" s="492"/>
      <c r="E646" s="493"/>
      <c r="F646" s="528"/>
      <c r="J646" s="533"/>
      <c r="K646" s="533"/>
      <c r="L646" s="533"/>
    </row>
    <row r="647" spans="1:12" x14ac:dyDescent="0.2">
      <c r="A647" s="489"/>
      <c r="B647" s="490"/>
      <c r="C647" s="534"/>
      <c r="D647" s="492"/>
      <c r="E647" s="493"/>
      <c r="F647" s="494"/>
      <c r="J647" s="533"/>
      <c r="K647" s="533">
        <v>636813.99</v>
      </c>
      <c r="L647" s="533"/>
    </row>
    <row r="648" spans="1:12" hidden="1" x14ac:dyDescent="0.2">
      <c r="A648" s="489" t="s">
        <v>1396</v>
      </c>
      <c r="B648" s="495" t="s">
        <v>1396</v>
      </c>
      <c r="C648" s="497" t="s">
        <v>1443</v>
      </c>
      <c r="D648" s="492">
        <v>0</v>
      </c>
      <c r="E648" s="493">
        <v>1</v>
      </c>
      <c r="F648" s="494">
        <f>+D648*E648</f>
        <v>0</v>
      </c>
      <c r="J648" s="533"/>
      <c r="K648" s="533"/>
      <c r="L648" s="533"/>
    </row>
    <row r="649" spans="1:12" ht="15" hidden="1" customHeight="1" x14ac:dyDescent="0.2">
      <c r="A649" s="498" t="s">
        <v>1397</v>
      </c>
      <c r="B649" s="501" t="s">
        <v>1397</v>
      </c>
      <c r="C649" s="497" t="s">
        <v>1443</v>
      </c>
      <c r="D649" s="492"/>
      <c r="E649" s="493"/>
      <c r="F649" s="494"/>
      <c r="J649" s="533"/>
      <c r="K649" s="533"/>
      <c r="L649" s="533"/>
    </row>
    <row r="650" spans="1:12" ht="15" hidden="1" customHeight="1" x14ac:dyDescent="0.2">
      <c r="A650" s="498" t="s">
        <v>1398</v>
      </c>
      <c r="B650" s="501" t="s">
        <v>1398</v>
      </c>
      <c r="C650" s="497" t="s">
        <v>1443</v>
      </c>
      <c r="D650" s="492"/>
      <c r="E650" s="493"/>
      <c r="F650" s="494"/>
      <c r="J650" s="533"/>
      <c r="K650" s="533"/>
      <c r="L650" s="533"/>
    </row>
    <row r="651" spans="1:12" ht="15" hidden="1" customHeight="1" x14ac:dyDescent="0.2">
      <c r="A651" s="498" t="s">
        <v>1399</v>
      </c>
      <c r="B651" s="501" t="s">
        <v>1399</v>
      </c>
      <c r="C651" s="497" t="s">
        <v>1443</v>
      </c>
      <c r="D651" s="492"/>
      <c r="E651" s="493"/>
      <c r="F651" s="494"/>
      <c r="J651" s="533"/>
      <c r="K651" s="533"/>
      <c r="L651" s="533"/>
    </row>
    <row r="652" spans="1:12" ht="15" customHeight="1" x14ac:dyDescent="0.2">
      <c r="A652" s="489"/>
      <c r="B652" s="495"/>
      <c r="C652" s="510" t="s">
        <v>1438</v>
      </c>
      <c r="D652" s="492"/>
      <c r="E652" s="493"/>
      <c r="F652" s="494"/>
      <c r="J652" s="533"/>
      <c r="K652" s="533">
        <f>SUM(K644:K651)</f>
        <v>4776992.28</v>
      </c>
      <c r="L652" s="533"/>
    </row>
    <row r="653" spans="1:12" ht="15" hidden="1" customHeight="1" x14ac:dyDescent="0.2">
      <c r="A653" s="489" t="s">
        <v>1444</v>
      </c>
      <c r="B653" s="495" t="s">
        <v>1444</v>
      </c>
      <c r="C653" s="497" t="s">
        <v>1445</v>
      </c>
      <c r="D653" s="492">
        <v>0</v>
      </c>
      <c r="E653" s="493">
        <v>1</v>
      </c>
      <c r="F653" s="494">
        <v>0</v>
      </c>
      <c r="J653" s="533"/>
      <c r="K653" s="533"/>
      <c r="L653" s="533"/>
    </row>
    <row r="654" spans="1:12" ht="15" hidden="1" customHeight="1" x14ac:dyDescent="0.2">
      <c r="A654" s="489"/>
      <c r="B654" s="495"/>
      <c r="C654" s="491"/>
      <c r="D654" s="492"/>
      <c r="E654" s="493"/>
      <c r="F654" s="494"/>
      <c r="J654" s="533"/>
      <c r="K654" s="533"/>
      <c r="L654" s="533"/>
    </row>
    <row r="655" spans="1:12" ht="14.25" hidden="1" customHeight="1" x14ac:dyDescent="0.2">
      <c r="A655" s="489" t="s">
        <v>1446</v>
      </c>
      <c r="B655" s="495" t="s">
        <v>1446</v>
      </c>
      <c r="C655" s="497" t="s">
        <v>1445</v>
      </c>
      <c r="D655" s="492">
        <v>0</v>
      </c>
      <c r="E655" s="493"/>
      <c r="F655" s="494">
        <v>0</v>
      </c>
      <c r="J655" s="533"/>
      <c r="K655" s="533"/>
      <c r="L655" s="533"/>
    </row>
    <row r="656" spans="1:12" ht="13.5" hidden="1" customHeight="1" x14ac:dyDescent="0.2">
      <c r="A656" s="489"/>
      <c r="B656" s="495"/>
      <c r="C656" s="491" t="s">
        <v>1447</v>
      </c>
      <c r="D656" s="492">
        <v>0</v>
      </c>
      <c r="E656" s="493">
        <v>1</v>
      </c>
      <c r="F656" s="494">
        <f>+D656*E656</f>
        <v>0</v>
      </c>
      <c r="J656" s="533"/>
      <c r="K656" s="533"/>
      <c r="L656" s="533"/>
    </row>
    <row r="657" spans="1:12" ht="15" hidden="1" customHeight="1" x14ac:dyDescent="0.2">
      <c r="A657" s="489" t="s">
        <v>1360</v>
      </c>
      <c r="B657" s="495" t="s">
        <v>1360</v>
      </c>
      <c r="C657" s="497" t="s">
        <v>1445</v>
      </c>
      <c r="D657" s="492">
        <v>0</v>
      </c>
      <c r="E657" s="493">
        <v>1</v>
      </c>
      <c r="F657" s="494">
        <f>+D657*E657</f>
        <v>0</v>
      </c>
      <c r="J657" s="533"/>
      <c r="K657" s="533"/>
      <c r="L657" s="533"/>
    </row>
    <row r="658" spans="1:12" ht="16.5" hidden="1" customHeight="1" x14ac:dyDescent="0.2">
      <c r="A658" s="489"/>
      <c r="B658" s="490"/>
      <c r="C658" s="491"/>
      <c r="D658" s="492">
        <v>0</v>
      </c>
      <c r="E658" s="493">
        <v>1</v>
      </c>
      <c r="F658" s="494">
        <f>+D658*E658</f>
        <v>0</v>
      </c>
      <c r="J658" s="533"/>
      <c r="K658" s="533"/>
      <c r="L658" s="533"/>
    </row>
    <row r="659" spans="1:12" hidden="1" x14ac:dyDescent="0.2">
      <c r="A659" s="489"/>
      <c r="B659" s="490"/>
      <c r="C659" s="491"/>
      <c r="D659" s="492"/>
      <c r="E659" s="493"/>
      <c r="F659" s="494"/>
      <c r="J659" s="533"/>
      <c r="K659" s="533"/>
      <c r="L659" s="533"/>
    </row>
    <row r="660" spans="1:12" ht="14.25" hidden="1" customHeight="1" x14ac:dyDescent="0.2">
      <c r="A660" s="489">
        <v>121000</v>
      </c>
      <c r="B660" s="495">
        <v>121000</v>
      </c>
      <c r="C660" s="510" t="s">
        <v>1448</v>
      </c>
      <c r="D660" s="492">
        <v>0</v>
      </c>
      <c r="E660" s="493"/>
      <c r="F660" s="494">
        <v>0</v>
      </c>
      <c r="H660" s="535" t="s">
        <v>1449</v>
      </c>
      <c r="J660" s="533"/>
      <c r="K660" s="533"/>
      <c r="L660" s="533"/>
    </row>
    <row r="661" spans="1:12" ht="14.25" hidden="1" customHeight="1" x14ac:dyDescent="0.2">
      <c r="A661" s="489"/>
      <c r="B661" s="501"/>
      <c r="C661" s="491" t="s">
        <v>1450</v>
      </c>
      <c r="D661" s="492"/>
      <c r="E661" s="493"/>
      <c r="F661" s="494"/>
      <c r="J661" s="533"/>
      <c r="K661" s="533"/>
      <c r="L661" s="533"/>
    </row>
    <row r="662" spans="1:12" ht="14.25" hidden="1" customHeight="1" x14ac:dyDescent="0.2">
      <c r="A662" s="489"/>
      <c r="B662" s="501"/>
      <c r="C662" s="491" t="s">
        <v>1451</v>
      </c>
      <c r="D662" s="492"/>
      <c r="E662" s="493"/>
      <c r="F662" s="494"/>
      <c r="J662" s="533"/>
      <c r="K662" s="533"/>
      <c r="L662" s="533"/>
    </row>
    <row r="663" spans="1:12" ht="12" hidden="1" customHeight="1" x14ac:dyDescent="0.2">
      <c r="A663" s="489"/>
      <c r="B663" s="501"/>
      <c r="C663" s="491" t="s">
        <v>1452</v>
      </c>
      <c r="D663" s="492"/>
      <c r="E663" s="493"/>
      <c r="F663" s="494"/>
      <c r="H663" s="536"/>
      <c r="J663" s="533"/>
      <c r="K663" s="533"/>
      <c r="L663" s="533"/>
    </row>
    <row r="664" spans="1:12" hidden="1" x14ac:dyDescent="0.2">
      <c r="A664" s="489"/>
      <c r="B664" s="501"/>
      <c r="C664" s="491" t="s">
        <v>1453</v>
      </c>
      <c r="D664" s="492"/>
      <c r="E664" s="493"/>
      <c r="F664" s="494"/>
      <c r="J664" s="533"/>
      <c r="K664" s="533"/>
      <c r="L664" s="533"/>
    </row>
    <row r="665" spans="1:12" hidden="1" x14ac:dyDescent="0.2">
      <c r="A665" s="489"/>
      <c r="B665" s="495"/>
      <c r="C665" s="491"/>
      <c r="D665" s="492"/>
      <c r="E665" s="493"/>
      <c r="F665" s="494"/>
      <c r="J665" s="533"/>
      <c r="K665" s="533"/>
      <c r="L665" s="533"/>
    </row>
    <row r="666" spans="1:12" hidden="1" x14ac:dyDescent="0.2">
      <c r="A666" s="489"/>
      <c r="B666" s="495"/>
      <c r="C666" s="491" t="s">
        <v>331</v>
      </c>
      <c r="D666" s="492">
        <v>0</v>
      </c>
      <c r="E666" s="493">
        <v>1</v>
      </c>
      <c r="F666" s="494">
        <f>+D666*E666</f>
        <v>0</v>
      </c>
      <c r="J666" s="533"/>
      <c r="K666" s="533"/>
      <c r="L666" s="533"/>
    </row>
    <row r="667" spans="1:12" hidden="1" x14ac:dyDescent="0.2">
      <c r="A667" s="489"/>
      <c r="B667" s="495"/>
      <c r="C667" s="491"/>
      <c r="D667" s="492"/>
      <c r="E667" s="493"/>
      <c r="F667" s="494"/>
      <c r="J667" s="533"/>
      <c r="K667" s="533"/>
      <c r="L667" s="533"/>
    </row>
    <row r="668" spans="1:12" x14ac:dyDescent="0.2">
      <c r="A668" s="489"/>
      <c r="B668" s="495"/>
      <c r="C668" s="491"/>
      <c r="D668" s="492"/>
      <c r="E668" s="493"/>
      <c r="F668" s="494"/>
      <c r="J668" s="533"/>
      <c r="K668" s="533" t="e">
        <f>+J644-K652</f>
        <v>#REF!</v>
      </c>
      <c r="L668" s="533"/>
    </row>
    <row r="669" spans="1:12" x14ac:dyDescent="0.2">
      <c r="A669" s="489">
        <v>1260</v>
      </c>
      <c r="B669" s="495">
        <v>1260</v>
      </c>
      <c r="C669" s="510" t="s">
        <v>82</v>
      </c>
      <c r="D669" s="492" t="e">
        <f>SUM(D670:D673)</f>
        <v>#REF!</v>
      </c>
      <c r="E669" s="493">
        <v>0</v>
      </c>
      <c r="F669" s="494">
        <v>0</v>
      </c>
      <c r="J669" s="533"/>
      <c r="K669" s="533"/>
      <c r="L669" s="533"/>
    </row>
    <row r="670" spans="1:12" x14ac:dyDescent="0.2">
      <c r="A670" s="489">
        <v>126001</v>
      </c>
      <c r="B670" s="490" t="s">
        <v>1057</v>
      </c>
      <c r="C670" s="491" t="s">
        <v>83</v>
      </c>
      <c r="D670" s="492" t="e">
        <f>#REF!</f>
        <v>#REF!</v>
      </c>
      <c r="E670" s="493">
        <v>1</v>
      </c>
      <c r="F670" s="494" t="e">
        <f>+D670*E670</f>
        <v>#REF!</v>
      </c>
      <c r="J670" s="533"/>
      <c r="K670" s="533"/>
      <c r="L670" s="533"/>
    </row>
    <row r="671" spans="1:12" x14ac:dyDescent="0.2">
      <c r="A671" s="489">
        <v>126002</v>
      </c>
      <c r="B671" s="490" t="s">
        <v>1064</v>
      </c>
      <c r="C671" s="491" t="s">
        <v>84</v>
      </c>
      <c r="D671" s="492">
        <v>0</v>
      </c>
      <c r="E671" s="493">
        <v>1</v>
      </c>
      <c r="F671" s="494">
        <f>+D671*E671</f>
        <v>0</v>
      </c>
      <c r="J671" s="533"/>
      <c r="K671" s="533"/>
      <c r="L671" s="533"/>
    </row>
    <row r="672" spans="1:12" hidden="1" x14ac:dyDescent="0.2">
      <c r="A672" s="489">
        <v>126004</v>
      </c>
      <c r="B672" s="496" t="s">
        <v>1454</v>
      </c>
      <c r="C672" s="491" t="s">
        <v>1455</v>
      </c>
      <c r="D672" s="492"/>
      <c r="E672" s="493"/>
      <c r="F672" s="494">
        <v>0</v>
      </c>
      <c r="J672" s="533"/>
      <c r="K672" s="533"/>
      <c r="L672" s="533"/>
    </row>
    <row r="673" spans="1:12" hidden="1" x14ac:dyDescent="0.2">
      <c r="A673" s="489">
        <v>126005</v>
      </c>
      <c r="B673" s="496" t="s">
        <v>1456</v>
      </c>
      <c r="C673" s="497" t="s">
        <v>1457</v>
      </c>
      <c r="D673" s="492"/>
      <c r="E673" s="493"/>
      <c r="F673" s="494">
        <v>0</v>
      </c>
      <c r="J673" s="533"/>
      <c r="K673" s="533"/>
      <c r="L673" s="533"/>
    </row>
    <row r="674" spans="1:12" ht="10.5" hidden="1" customHeight="1" x14ac:dyDescent="0.2">
      <c r="A674" s="489"/>
      <c r="B674" s="490"/>
      <c r="C674" s="510"/>
      <c r="D674" s="537" t="e">
        <f>SUM(D670+D671+D666)*-1</f>
        <v>#REF!</v>
      </c>
      <c r="E674" s="493"/>
      <c r="F674" s="521" t="e">
        <f>SUM(F666:F673)*-1</f>
        <v>#REF!</v>
      </c>
      <c r="I674" s="463">
        <v>313</v>
      </c>
      <c r="J674" s="533"/>
      <c r="K674" s="533"/>
      <c r="L674" s="533"/>
    </row>
    <row r="675" spans="1:12" x14ac:dyDescent="0.2">
      <c r="A675" s="489"/>
      <c r="B675" s="490"/>
      <c r="C675" s="510"/>
      <c r="D675" s="492"/>
      <c r="E675" s="493"/>
      <c r="F675" s="494"/>
      <c r="J675" s="533"/>
      <c r="K675" s="533"/>
      <c r="L675" s="533"/>
    </row>
    <row r="676" spans="1:12" ht="13.5" customHeight="1" thickBot="1" x14ac:dyDescent="0.25">
      <c r="A676" s="489"/>
      <c r="B676" s="522" t="s">
        <v>1458</v>
      </c>
      <c r="C676" s="517" t="s">
        <v>1459</v>
      </c>
      <c r="D676" s="523" t="e">
        <f>SUM(D644-D648-D653-D655-D657-D660-D669-D666)</f>
        <v>#REF!</v>
      </c>
      <c r="E676" s="493"/>
      <c r="F676" s="538" t="e">
        <f>SUM(F644-F648-F653-F655-F657-F660-F666-F670-F671-F672-F673)</f>
        <v>#REF!</v>
      </c>
      <c r="I676" s="463">
        <v>33</v>
      </c>
      <c r="J676" s="533"/>
      <c r="K676" s="533"/>
      <c r="L676" s="533"/>
    </row>
    <row r="677" spans="1:12" ht="13.5" customHeight="1" thickTop="1" thickBot="1" x14ac:dyDescent="0.25">
      <c r="A677" s="511"/>
      <c r="B677" s="539"/>
      <c r="C677" s="540"/>
      <c r="D677" s="514"/>
      <c r="E677" s="515"/>
      <c r="F677" s="516"/>
      <c r="J677" s="533"/>
      <c r="K677" s="533"/>
      <c r="L677" s="533"/>
    </row>
    <row r="678" spans="1:12" ht="13.5" customHeight="1" thickBot="1" x14ac:dyDescent="0.25">
      <c r="A678" s="489"/>
      <c r="B678" s="522" t="s">
        <v>1460</v>
      </c>
      <c r="C678" s="503" t="s">
        <v>1461</v>
      </c>
      <c r="D678" s="492"/>
      <c r="E678" s="493"/>
      <c r="F678" s="524" t="e">
        <f>+F676-F548</f>
        <v>#REF!</v>
      </c>
      <c r="I678" s="463">
        <v>13</v>
      </c>
    </row>
    <row r="679" spans="1:12" ht="13.5" thickTop="1" x14ac:dyDescent="0.2">
      <c r="A679" s="489"/>
      <c r="B679" s="522"/>
      <c r="C679" s="503"/>
      <c r="D679" s="492"/>
      <c r="E679" s="493"/>
      <c r="F679" s="494"/>
    </row>
    <row r="680" spans="1:12" ht="13.5" thickBot="1" x14ac:dyDescent="0.25">
      <c r="A680" s="489"/>
      <c r="B680" s="522" t="s">
        <v>1462</v>
      </c>
      <c r="C680" s="517" t="s">
        <v>1463</v>
      </c>
      <c r="D680" s="492"/>
      <c r="E680" s="493"/>
      <c r="F680" s="541" t="e">
        <f>+F676/F546</f>
        <v>#REF!</v>
      </c>
      <c r="I680" s="463">
        <v>14</v>
      </c>
    </row>
    <row r="681" spans="1:12" ht="13.5" thickTop="1" x14ac:dyDescent="0.2">
      <c r="A681" s="489"/>
      <c r="B681" s="522"/>
      <c r="C681" s="517"/>
      <c r="D681" s="492"/>
      <c r="E681" s="493"/>
      <c r="F681" s="494"/>
    </row>
    <row r="682" spans="1:12" x14ac:dyDescent="0.2">
      <c r="A682" s="489"/>
      <c r="B682" s="526" t="s">
        <v>1464</v>
      </c>
      <c r="C682" s="503"/>
      <c r="D682" s="492"/>
      <c r="E682" s="493"/>
      <c r="F682" s="494"/>
    </row>
    <row r="683" spans="1:12" x14ac:dyDescent="0.2">
      <c r="A683" s="489"/>
      <c r="B683" s="522"/>
      <c r="C683" s="517"/>
      <c r="D683" s="492"/>
      <c r="E683" s="493"/>
      <c r="F683" s="494"/>
    </row>
    <row r="684" spans="1:12" x14ac:dyDescent="0.2">
      <c r="A684" s="489"/>
      <c r="B684" s="496">
        <v>211</v>
      </c>
      <c r="C684" s="502" t="s">
        <v>79</v>
      </c>
      <c r="D684" s="492" t="e">
        <f>VLOOKUP(B684,#REF!,19,0)</f>
        <v>#REF!</v>
      </c>
      <c r="E684" s="493">
        <v>7.0000000000000007E-2</v>
      </c>
      <c r="F684" s="494" t="e">
        <f>+D684*E684</f>
        <v>#REF!</v>
      </c>
    </row>
    <row r="685" spans="1:12" hidden="1" x14ac:dyDescent="0.2">
      <c r="A685" s="489">
        <v>211001</v>
      </c>
      <c r="B685" s="496">
        <f t="shared" ref="B685:B708" si="11">A685</f>
        <v>211001</v>
      </c>
      <c r="C685" s="502"/>
      <c r="D685" s="492">
        <v>-235899.04949</v>
      </c>
      <c r="E685" s="493">
        <v>0</v>
      </c>
      <c r="F685" s="494">
        <v>0</v>
      </c>
    </row>
    <row r="686" spans="1:12" hidden="1" x14ac:dyDescent="0.2">
      <c r="A686" s="489">
        <v>211002</v>
      </c>
      <c r="B686" s="496">
        <f t="shared" si="11"/>
        <v>211002</v>
      </c>
      <c r="C686" s="502"/>
      <c r="D686" s="492">
        <v>-408495.81789000001</v>
      </c>
      <c r="E686" s="493">
        <v>0</v>
      </c>
      <c r="F686" s="494">
        <v>0</v>
      </c>
    </row>
    <row r="687" spans="1:12" hidden="1" x14ac:dyDescent="0.2">
      <c r="A687" s="489">
        <v>211101</v>
      </c>
      <c r="B687" s="496">
        <f t="shared" si="11"/>
        <v>211101</v>
      </c>
      <c r="C687" s="502"/>
      <c r="D687" s="492">
        <v>-854.62049999999999</v>
      </c>
      <c r="E687" s="493">
        <v>0</v>
      </c>
      <c r="F687" s="494">
        <v>0</v>
      </c>
    </row>
    <row r="688" spans="1:12" hidden="1" x14ac:dyDescent="0.2">
      <c r="A688" s="489">
        <v>211102</v>
      </c>
      <c r="B688" s="496">
        <f t="shared" si="11"/>
        <v>211102</v>
      </c>
      <c r="C688" s="502"/>
      <c r="D688" s="492">
        <v>-124610.00053</v>
      </c>
      <c r="E688" s="493">
        <v>0</v>
      </c>
      <c r="F688" s="494">
        <v>0</v>
      </c>
    </row>
    <row r="689" spans="1:6" hidden="1" x14ac:dyDescent="0.2">
      <c r="A689" s="489">
        <v>211103</v>
      </c>
      <c r="B689" s="496">
        <f t="shared" si="11"/>
        <v>211103</v>
      </c>
      <c r="C689" s="502"/>
      <c r="D689" s="492">
        <v>-36800.537239999998</v>
      </c>
      <c r="E689" s="493">
        <v>0</v>
      </c>
      <c r="F689" s="494">
        <v>0</v>
      </c>
    </row>
    <row r="690" spans="1:6" hidden="1" x14ac:dyDescent="0.2">
      <c r="A690" s="489">
        <v>211104</v>
      </c>
      <c r="B690" s="496">
        <f t="shared" si="11"/>
        <v>211104</v>
      </c>
      <c r="C690" s="502"/>
      <c r="D690" s="492">
        <v>-71923.38897</v>
      </c>
      <c r="E690" s="493">
        <v>0</v>
      </c>
      <c r="F690" s="494">
        <v>0</v>
      </c>
    </row>
    <row r="691" spans="1:6" hidden="1" x14ac:dyDescent="0.2">
      <c r="A691" s="489">
        <v>211105</v>
      </c>
      <c r="B691" s="496">
        <f t="shared" si="11"/>
        <v>211105</v>
      </c>
      <c r="C691" s="502"/>
      <c r="D691" s="492">
        <v>-15758.64955</v>
      </c>
      <c r="E691" s="493">
        <v>0</v>
      </c>
      <c r="F691" s="494">
        <v>0</v>
      </c>
    </row>
    <row r="692" spans="1:6" hidden="1" x14ac:dyDescent="0.2">
      <c r="A692" s="489">
        <v>211106</v>
      </c>
      <c r="B692" s="496">
        <f t="shared" si="11"/>
        <v>211106</v>
      </c>
      <c r="C692" s="502"/>
      <c r="D692" s="492">
        <v>-2406.9058399999999</v>
      </c>
      <c r="E692" s="493">
        <v>0</v>
      </c>
      <c r="F692" s="494">
        <v>0</v>
      </c>
    </row>
    <row r="693" spans="1:6" hidden="1" x14ac:dyDescent="0.2">
      <c r="A693" s="489">
        <v>211107</v>
      </c>
      <c r="B693" s="496">
        <f t="shared" si="11"/>
        <v>211107</v>
      </c>
      <c r="C693" s="502"/>
      <c r="D693" s="492">
        <v>-282379.64945999999</v>
      </c>
      <c r="E693" s="493">
        <v>0</v>
      </c>
      <c r="F693" s="494">
        <v>0</v>
      </c>
    </row>
    <row r="694" spans="1:6" hidden="1" x14ac:dyDescent="0.2">
      <c r="A694" s="489" t="s">
        <v>1465</v>
      </c>
      <c r="B694" s="496" t="str">
        <f t="shared" si="11"/>
        <v>211108</v>
      </c>
      <c r="C694" s="502"/>
      <c r="D694" s="492">
        <v>-456.33064999999999</v>
      </c>
      <c r="E694" s="493">
        <v>0</v>
      </c>
      <c r="F694" s="494">
        <v>0</v>
      </c>
    </row>
    <row r="695" spans="1:6" hidden="1" x14ac:dyDescent="0.2">
      <c r="A695" s="489">
        <v>211113</v>
      </c>
      <c r="B695" s="496">
        <f t="shared" si="11"/>
        <v>211113</v>
      </c>
      <c r="C695" s="502"/>
      <c r="D695" s="492">
        <v>-187198.64060000001</v>
      </c>
      <c r="E695" s="493">
        <v>0</v>
      </c>
      <c r="F695" s="494">
        <v>0</v>
      </c>
    </row>
    <row r="696" spans="1:6" hidden="1" x14ac:dyDescent="0.2">
      <c r="A696" s="489">
        <v>211114</v>
      </c>
      <c r="B696" s="496">
        <f t="shared" si="11"/>
        <v>211114</v>
      </c>
      <c r="C696" s="502"/>
      <c r="D696" s="492">
        <v>0</v>
      </c>
      <c r="E696" s="493">
        <v>0</v>
      </c>
      <c r="F696" s="494">
        <v>0</v>
      </c>
    </row>
    <row r="697" spans="1:6" hidden="1" x14ac:dyDescent="0.2">
      <c r="A697" s="489">
        <v>211199</v>
      </c>
      <c r="B697" s="496">
        <f t="shared" si="11"/>
        <v>211199</v>
      </c>
      <c r="C697" s="502"/>
      <c r="D697" s="492">
        <v>-390.20073000000002</v>
      </c>
      <c r="E697" s="493">
        <v>0</v>
      </c>
      <c r="F697" s="494">
        <v>0</v>
      </c>
    </row>
    <row r="698" spans="1:6" hidden="1" x14ac:dyDescent="0.2">
      <c r="A698" s="489">
        <v>211201</v>
      </c>
      <c r="B698" s="496">
        <f t="shared" si="11"/>
        <v>211201</v>
      </c>
      <c r="C698" s="502"/>
      <c r="D698" s="492">
        <v>-2711.4753000000001</v>
      </c>
      <c r="E698" s="493">
        <v>0</v>
      </c>
      <c r="F698" s="494">
        <v>0</v>
      </c>
    </row>
    <row r="699" spans="1:6" hidden="1" x14ac:dyDescent="0.2">
      <c r="A699" s="489">
        <v>211202</v>
      </c>
      <c r="B699" s="496">
        <f t="shared" si="11"/>
        <v>211202</v>
      </c>
      <c r="C699" s="502"/>
      <c r="D699" s="492">
        <v>-20577.756229999999</v>
      </c>
      <c r="E699" s="493">
        <v>0</v>
      </c>
      <c r="F699" s="494">
        <v>0</v>
      </c>
    </row>
    <row r="700" spans="1:6" hidden="1" x14ac:dyDescent="0.2">
      <c r="A700" s="489">
        <v>211203</v>
      </c>
      <c r="B700" s="496">
        <f t="shared" si="11"/>
        <v>211203</v>
      </c>
      <c r="C700" s="502"/>
      <c r="D700" s="492"/>
      <c r="E700" s="493"/>
      <c r="F700" s="494"/>
    </row>
    <row r="701" spans="1:6" hidden="1" x14ac:dyDescent="0.2">
      <c r="A701" s="489">
        <v>211204</v>
      </c>
      <c r="B701" s="496">
        <f t="shared" si="11"/>
        <v>211204</v>
      </c>
      <c r="C701" s="502"/>
      <c r="D701" s="492">
        <v>0</v>
      </c>
      <c r="E701" s="493">
        <v>0</v>
      </c>
      <c r="F701" s="494">
        <v>0</v>
      </c>
    </row>
    <row r="702" spans="1:6" hidden="1" x14ac:dyDescent="0.2">
      <c r="A702" s="489" t="s">
        <v>1466</v>
      </c>
      <c r="B702" s="496" t="str">
        <f t="shared" si="11"/>
        <v>211401</v>
      </c>
      <c r="C702" s="502"/>
      <c r="D702" s="492">
        <v>0</v>
      </c>
      <c r="E702" s="493">
        <v>0</v>
      </c>
      <c r="F702" s="494">
        <v>0</v>
      </c>
    </row>
    <row r="703" spans="1:6" hidden="1" x14ac:dyDescent="0.2">
      <c r="A703" s="489" t="s">
        <v>1467</v>
      </c>
      <c r="B703" s="496" t="str">
        <f t="shared" si="11"/>
        <v>211402</v>
      </c>
      <c r="C703" s="502"/>
      <c r="D703" s="492">
        <v>-15802.95336</v>
      </c>
      <c r="E703" s="493">
        <v>0</v>
      </c>
      <c r="F703" s="494">
        <v>0</v>
      </c>
    </row>
    <row r="704" spans="1:6" hidden="1" x14ac:dyDescent="0.2">
      <c r="A704" s="489" t="s">
        <v>1468</v>
      </c>
      <c r="B704" s="496" t="str">
        <f t="shared" si="11"/>
        <v>211403</v>
      </c>
      <c r="C704" s="502"/>
      <c r="D704" s="492">
        <v>-338.4821</v>
      </c>
      <c r="E704" s="493">
        <v>0</v>
      </c>
      <c r="F704" s="494">
        <v>0</v>
      </c>
    </row>
    <row r="705" spans="1:6" hidden="1" x14ac:dyDescent="0.2">
      <c r="A705" s="489" t="s">
        <v>1469</v>
      </c>
      <c r="B705" s="496" t="str">
        <f t="shared" si="11"/>
        <v>211404</v>
      </c>
      <c r="C705" s="502"/>
      <c r="D705" s="492">
        <v>-70.615669999999994</v>
      </c>
      <c r="E705" s="493">
        <v>0</v>
      </c>
      <c r="F705" s="494">
        <v>0</v>
      </c>
    </row>
    <row r="706" spans="1:6" hidden="1" x14ac:dyDescent="0.2">
      <c r="A706" s="489" t="s">
        <v>1470</v>
      </c>
      <c r="B706" s="496" t="str">
        <f t="shared" si="11"/>
        <v>211405</v>
      </c>
      <c r="C706" s="502"/>
      <c r="D706" s="492">
        <v>-65.128600000000006</v>
      </c>
      <c r="E706" s="493">
        <v>0</v>
      </c>
      <c r="F706" s="494">
        <v>0</v>
      </c>
    </row>
    <row r="707" spans="1:6" hidden="1" x14ac:dyDescent="0.2">
      <c r="A707" s="489" t="s">
        <v>1471</v>
      </c>
      <c r="B707" s="496" t="str">
        <f t="shared" si="11"/>
        <v>211406</v>
      </c>
      <c r="C707" s="502"/>
      <c r="D707" s="492">
        <v>-3408.7192700000001</v>
      </c>
      <c r="E707" s="493">
        <v>0</v>
      </c>
      <c r="F707" s="494">
        <v>0</v>
      </c>
    </row>
    <row r="708" spans="1:6" hidden="1" x14ac:dyDescent="0.2">
      <c r="A708" s="489" t="s">
        <v>1472</v>
      </c>
      <c r="B708" s="496" t="str">
        <f t="shared" si="11"/>
        <v>211407</v>
      </c>
      <c r="C708" s="502"/>
      <c r="D708" s="492">
        <v>-8218.2510299999994</v>
      </c>
      <c r="E708" s="493">
        <v>0</v>
      </c>
      <c r="F708" s="494">
        <v>0</v>
      </c>
    </row>
    <row r="709" spans="1:6" x14ac:dyDescent="0.2">
      <c r="A709" s="489"/>
      <c r="B709" s="496">
        <v>212</v>
      </c>
      <c r="C709" s="502" t="s">
        <v>1473</v>
      </c>
      <c r="D709" s="492" t="e">
        <f>VLOOKUP(B709,#REF!,19,0)</f>
        <v>#REF!</v>
      </c>
      <c r="E709" s="493">
        <v>7.0000000000000007E-2</v>
      </c>
      <c r="F709" s="494" t="e">
        <f>+D709*E709</f>
        <v>#REF!</v>
      </c>
    </row>
    <row r="710" spans="1:6" hidden="1" x14ac:dyDescent="0.2">
      <c r="A710" s="489">
        <v>212101</v>
      </c>
      <c r="B710" s="496">
        <f t="shared" ref="B710:B726" si="12">A710</f>
        <v>212101</v>
      </c>
      <c r="C710" s="502"/>
      <c r="D710" s="492">
        <v>0</v>
      </c>
      <c r="E710" s="493">
        <v>0</v>
      </c>
      <c r="F710" s="494">
        <v>0</v>
      </c>
    </row>
    <row r="711" spans="1:6" hidden="1" x14ac:dyDescent="0.2">
      <c r="A711" s="489">
        <v>212102</v>
      </c>
      <c r="B711" s="496">
        <f t="shared" si="12"/>
        <v>212102</v>
      </c>
      <c r="C711" s="502"/>
      <c r="D711" s="492">
        <v>0</v>
      </c>
      <c r="E711" s="493">
        <v>0</v>
      </c>
      <c r="F711" s="494">
        <v>0</v>
      </c>
    </row>
    <row r="712" spans="1:6" hidden="1" x14ac:dyDescent="0.2">
      <c r="A712" s="489" t="s">
        <v>1474</v>
      </c>
      <c r="B712" s="496" t="str">
        <f t="shared" si="12"/>
        <v>212103</v>
      </c>
      <c r="C712" s="502"/>
      <c r="D712" s="492">
        <v>0</v>
      </c>
      <c r="E712" s="493">
        <v>0</v>
      </c>
      <c r="F712" s="494">
        <v>0</v>
      </c>
    </row>
    <row r="713" spans="1:6" hidden="1" x14ac:dyDescent="0.2">
      <c r="A713" s="489">
        <v>212105</v>
      </c>
      <c r="B713" s="496">
        <f t="shared" si="12"/>
        <v>212105</v>
      </c>
      <c r="C713" s="502"/>
      <c r="D713" s="492">
        <v>0</v>
      </c>
      <c r="E713" s="493">
        <v>0</v>
      </c>
      <c r="F713" s="494">
        <v>0</v>
      </c>
    </row>
    <row r="714" spans="1:6" hidden="1" x14ac:dyDescent="0.2">
      <c r="A714" s="489">
        <v>212106</v>
      </c>
      <c r="B714" s="496">
        <f t="shared" si="12"/>
        <v>212106</v>
      </c>
      <c r="C714" s="502"/>
      <c r="D714" s="492">
        <v>0</v>
      </c>
      <c r="E714" s="493">
        <v>0</v>
      </c>
      <c r="F714" s="494">
        <v>0</v>
      </c>
    </row>
    <row r="715" spans="1:6" hidden="1" x14ac:dyDescent="0.2">
      <c r="A715" s="489" t="s">
        <v>1475</v>
      </c>
      <c r="B715" s="496" t="str">
        <f t="shared" si="12"/>
        <v>212107</v>
      </c>
      <c r="C715" s="502"/>
      <c r="D715" s="492">
        <v>0</v>
      </c>
      <c r="E715" s="493">
        <v>0</v>
      </c>
      <c r="F715" s="494">
        <v>0</v>
      </c>
    </row>
    <row r="716" spans="1:6" hidden="1" x14ac:dyDescent="0.2">
      <c r="A716" s="489" t="s">
        <v>1476</v>
      </c>
      <c r="B716" s="496" t="str">
        <f t="shared" si="12"/>
        <v>212108</v>
      </c>
      <c r="C716" s="502"/>
      <c r="D716" s="492">
        <v>-208776.04358999999</v>
      </c>
      <c r="E716" s="493">
        <v>0</v>
      </c>
      <c r="F716" s="494">
        <v>0</v>
      </c>
    </row>
    <row r="717" spans="1:6" hidden="1" x14ac:dyDescent="0.2">
      <c r="A717" s="489" t="s">
        <v>1477</v>
      </c>
      <c r="B717" s="496" t="str">
        <f t="shared" si="12"/>
        <v>212109</v>
      </c>
      <c r="C717" s="502"/>
      <c r="D717" s="492"/>
      <c r="E717" s="493"/>
      <c r="F717" s="494"/>
    </row>
    <row r="718" spans="1:6" hidden="1" x14ac:dyDescent="0.2">
      <c r="A718" s="489">
        <v>212201</v>
      </c>
      <c r="B718" s="496">
        <f t="shared" si="12"/>
        <v>212201</v>
      </c>
      <c r="C718" s="502"/>
      <c r="D718" s="492"/>
      <c r="E718" s="493"/>
      <c r="F718" s="494"/>
    </row>
    <row r="719" spans="1:6" hidden="1" x14ac:dyDescent="0.2">
      <c r="A719" s="489">
        <v>212202</v>
      </c>
      <c r="B719" s="496">
        <f t="shared" si="12"/>
        <v>212202</v>
      </c>
      <c r="C719" s="502"/>
      <c r="D719" s="492">
        <v>0</v>
      </c>
      <c r="E719" s="493">
        <v>0</v>
      </c>
      <c r="F719" s="494">
        <v>0</v>
      </c>
    </row>
    <row r="720" spans="1:6" hidden="1" x14ac:dyDescent="0.2">
      <c r="A720" s="489" t="s">
        <v>1478</v>
      </c>
      <c r="B720" s="496" t="str">
        <f t="shared" si="12"/>
        <v>212203</v>
      </c>
      <c r="C720" s="502"/>
      <c r="D720" s="492">
        <v>0</v>
      </c>
      <c r="E720" s="493">
        <v>0</v>
      </c>
      <c r="F720" s="494">
        <v>0</v>
      </c>
    </row>
    <row r="721" spans="1:6" ht="20.25" hidden="1" customHeight="1" x14ac:dyDescent="0.2">
      <c r="A721" s="489">
        <v>212206</v>
      </c>
      <c r="B721" s="496">
        <f t="shared" si="12"/>
        <v>212206</v>
      </c>
      <c r="C721" s="502"/>
      <c r="D721" s="492">
        <v>-2355.8333600000001</v>
      </c>
      <c r="E721" s="493">
        <v>0</v>
      </c>
      <c r="F721" s="494">
        <v>0</v>
      </c>
    </row>
    <row r="722" spans="1:6" ht="18.75" hidden="1" customHeight="1" x14ac:dyDescent="0.2">
      <c r="A722" s="489" t="s">
        <v>1479</v>
      </c>
      <c r="B722" s="496" t="str">
        <f t="shared" si="12"/>
        <v>212207</v>
      </c>
      <c r="C722" s="502"/>
      <c r="D722" s="492">
        <v>-43135.146979999998</v>
      </c>
      <c r="E722" s="493">
        <v>0</v>
      </c>
      <c r="F722" s="494">
        <v>0</v>
      </c>
    </row>
    <row r="723" spans="1:6" ht="17.25" hidden="1" customHeight="1" x14ac:dyDescent="0.2">
      <c r="A723" s="489" t="s">
        <v>1480</v>
      </c>
      <c r="B723" s="496" t="str">
        <f t="shared" si="12"/>
        <v>212208</v>
      </c>
      <c r="C723" s="502"/>
      <c r="D723" s="492">
        <v>-3457.5586199999998</v>
      </c>
      <c r="E723" s="493">
        <v>0</v>
      </c>
      <c r="F723" s="494">
        <v>0</v>
      </c>
    </row>
    <row r="724" spans="1:6" ht="18" hidden="1" customHeight="1" x14ac:dyDescent="0.2">
      <c r="A724" s="489" t="s">
        <v>1481</v>
      </c>
      <c r="B724" s="496" t="str">
        <f t="shared" si="12"/>
        <v>212209</v>
      </c>
      <c r="C724" s="502"/>
      <c r="D724" s="492"/>
      <c r="E724" s="493"/>
      <c r="F724" s="494"/>
    </row>
    <row r="725" spans="1:6" ht="15.75" hidden="1" customHeight="1" x14ac:dyDescent="0.2">
      <c r="A725" s="489" t="s">
        <v>1482</v>
      </c>
      <c r="B725" s="496" t="str">
        <f t="shared" si="12"/>
        <v>212308</v>
      </c>
      <c r="C725" s="502"/>
      <c r="D725" s="492">
        <v>-133196.52882000001</v>
      </c>
      <c r="E725" s="493">
        <v>0</v>
      </c>
      <c r="F725" s="494">
        <v>0</v>
      </c>
    </row>
    <row r="726" spans="1:6" ht="47.25" hidden="1" customHeight="1" x14ac:dyDescent="0.2">
      <c r="A726" s="489" t="s">
        <v>1483</v>
      </c>
      <c r="B726" s="496" t="str">
        <f t="shared" si="12"/>
        <v>212309</v>
      </c>
      <c r="C726" s="502"/>
      <c r="D726" s="492"/>
      <c r="E726" s="493"/>
      <c r="F726" s="494"/>
    </row>
    <row r="727" spans="1:6" x14ac:dyDescent="0.2">
      <c r="A727" s="489"/>
      <c r="B727" s="496">
        <v>213</v>
      </c>
      <c r="C727" s="502" t="s">
        <v>174</v>
      </c>
      <c r="D727" s="492">
        <v>0</v>
      </c>
      <c r="E727" s="493">
        <v>7.0000000000000007E-2</v>
      </c>
      <c r="F727" s="494">
        <f>+D727*E727</f>
        <v>0</v>
      </c>
    </row>
    <row r="728" spans="1:6" hidden="1" x14ac:dyDescent="0.2">
      <c r="A728" s="489">
        <v>213001</v>
      </c>
      <c r="B728" s="496">
        <f>A728</f>
        <v>213001</v>
      </c>
      <c r="C728" s="502"/>
      <c r="D728" s="492">
        <v>-14820.946910000001</v>
      </c>
      <c r="E728" s="493">
        <v>0</v>
      </c>
      <c r="F728" s="494">
        <v>0</v>
      </c>
    </row>
    <row r="729" spans="1:6" hidden="1" x14ac:dyDescent="0.2">
      <c r="A729" s="489">
        <v>213002</v>
      </c>
      <c r="B729" s="496">
        <f>A729</f>
        <v>213002</v>
      </c>
      <c r="C729" s="502"/>
      <c r="D729" s="492">
        <v>0</v>
      </c>
      <c r="E729" s="493">
        <v>0</v>
      </c>
      <c r="F729" s="494">
        <v>0</v>
      </c>
    </row>
    <row r="730" spans="1:6" hidden="1" x14ac:dyDescent="0.2">
      <c r="A730" s="489">
        <v>213003</v>
      </c>
      <c r="B730" s="496">
        <f>A730</f>
        <v>213003</v>
      </c>
      <c r="C730" s="502"/>
      <c r="D730" s="492">
        <v>0</v>
      </c>
      <c r="E730" s="493">
        <v>0</v>
      </c>
      <c r="F730" s="494">
        <v>0</v>
      </c>
    </row>
    <row r="731" spans="1:6" hidden="1" x14ac:dyDescent="0.2">
      <c r="A731" s="489">
        <v>213004</v>
      </c>
      <c r="B731" s="496">
        <f>A731</f>
        <v>213004</v>
      </c>
      <c r="C731" s="502"/>
      <c r="D731" s="492">
        <v>-65.135289999999998</v>
      </c>
      <c r="E731" s="493">
        <v>0</v>
      </c>
      <c r="F731" s="494">
        <v>0</v>
      </c>
    </row>
    <row r="732" spans="1:6" hidden="1" x14ac:dyDescent="0.2">
      <c r="A732" s="489">
        <v>213005</v>
      </c>
      <c r="B732" s="496">
        <f>A732</f>
        <v>213005</v>
      </c>
      <c r="C732" s="502"/>
      <c r="D732" s="492">
        <v>-6741.3574399999998</v>
      </c>
      <c r="E732" s="493">
        <v>0</v>
      </c>
      <c r="F732" s="494">
        <v>0</v>
      </c>
    </row>
    <row r="733" spans="1:6" x14ac:dyDescent="0.2">
      <c r="A733" s="489"/>
      <c r="B733" s="496">
        <v>214</v>
      </c>
      <c r="C733" s="502" t="s">
        <v>271</v>
      </c>
      <c r="D733" s="492">
        <v>0</v>
      </c>
      <c r="E733" s="493">
        <v>7.0000000000000007E-2</v>
      </c>
      <c r="F733" s="494">
        <f>+D733*E733</f>
        <v>0</v>
      </c>
    </row>
    <row r="734" spans="1:6" hidden="1" x14ac:dyDescent="0.2">
      <c r="A734" s="489">
        <v>214100</v>
      </c>
      <c r="B734" s="496">
        <f>A734</f>
        <v>214100</v>
      </c>
      <c r="C734" s="502"/>
      <c r="D734" s="492">
        <v>0</v>
      </c>
      <c r="E734" s="493">
        <v>0</v>
      </c>
      <c r="F734" s="494">
        <v>0</v>
      </c>
    </row>
    <row r="735" spans="1:6" hidden="1" x14ac:dyDescent="0.2">
      <c r="A735" s="489" t="s">
        <v>1484</v>
      </c>
      <c r="B735" s="496" t="str">
        <f>A735</f>
        <v>214201</v>
      </c>
      <c r="C735" s="502"/>
      <c r="D735" s="492">
        <v>0</v>
      </c>
      <c r="E735" s="493">
        <v>0</v>
      </c>
      <c r="F735" s="494">
        <v>0</v>
      </c>
    </row>
    <row r="736" spans="1:6" hidden="1" x14ac:dyDescent="0.2">
      <c r="A736" s="489" t="s">
        <v>1485</v>
      </c>
      <c r="B736" s="496" t="str">
        <f>A736</f>
        <v>214202</v>
      </c>
      <c r="C736" s="502"/>
      <c r="D736" s="492">
        <v>-62966.521769999999</v>
      </c>
      <c r="E736" s="493">
        <v>0</v>
      </c>
      <c r="F736" s="494">
        <v>0</v>
      </c>
    </row>
    <row r="737" spans="1:6" x14ac:dyDescent="0.2">
      <c r="A737" s="489"/>
      <c r="B737" s="496">
        <v>215</v>
      </c>
      <c r="C737" s="502" t="s">
        <v>1486</v>
      </c>
      <c r="D737" s="492">
        <v>0</v>
      </c>
      <c r="E737" s="493">
        <v>7.0000000000000007E-2</v>
      </c>
      <c r="F737" s="494">
        <f>+D737*E737</f>
        <v>0</v>
      </c>
    </row>
    <row r="738" spans="1:6" hidden="1" x14ac:dyDescent="0.2">
      <c r="A738" s="489">
        <v>215101</v>
      </c>
      <c r="B738" s="496">
        <f t="shared" ref="B738:B744" si="13">A738</f>
        <v>215101</v>
      </c>
      <c r="C738" s="502"/>
      <c r="D738" s="492"/>
      <c r="E738" s="493">
        <v>0</v>
      </c>
      <c r="F738" s="494">
        <v>0</v>
      </c>
    </row>
    <row r="739" spans="1:6" hidden="1" x14ac:dyDescent="0.2">
      <c r="A739" s="489">
        <v>215102</v>
      </c>
      <c r="B739" s="496">
        <f t="shared" si="13"/>
        <v>215102</v>
      </c>
      <c r="C739" s="502"/>
      <c r="D739" s="492"/>
      <c r="E739" s="493">
        <v>0</v>
      </c>
      <c r="F739" s="494">
        <v>0</v>
      </c>
    </row>
    <row r="740" spans="1:6" hidden="1" x14ac:dyDescent="0.2">
      <c r="A740" s="489">
        <v>215103</v>
      </c>
      <c r="B740" s="496">
        <f t="shared" si="13"/>
        <v>215103</v>
      </c>
      <c r="C740" s="502"/>
      <c r="D740" s="492">
        <v>0</v>
      </c>
      <c r="E740" s="493">
        <v>0</v>
      </c>
      <c r="F740" s="494">
        <v>0</v>
      </c>
    </row>
    <row r="741" spans="1:6" hidden="1" x14ac:dyDescent="0.2">
      <c r="A741" s="489">
        <v>215104</v>
      </c>
      <c r="B741" s="496">
        <f t="shared" si="13"/>
        <v>215104</v>
      </c>
      <c r="C741" s="502"/>
      <c r="D741" s="492"/>
      <c r="E741" s="493"/>
      <c r="F741" s="494"/>
    </row>
    <row r="742" spans="1:6" hidden="1" x14ac:dyDescent="0.2">
      <c r="A742" s="489" t="s">
        <v>1487</v>
      </c>
      <c r="B742" s="496" t="str">
        <f t="shared" si="13"/>
        <v>215105</v>
      </c>
      <c r="C742" s="502"/>
      <c r="D742" s="492"/>
      <c r="E742" s="493"/>
      <c r="F742" s="494"/>
    </row>
    <row r="743" spans="1:6" hidden="1" x14ac:dyDescent="0.2">
      <c r="A743" s="489" t="s">
        <v>1488</v>
      </c>
      <c r="B743" s="496" t="str">
        <f t="shared" si="13"/>
        <v>215106</v>
      </c>
      <c r="C743" s="502"/>
      <c r="D743" s="492"/>
      <c r="E743" s="493"/>
      <c r="F743" s="494"/>
    </row>
    <row r="744" spans="1:6" hidden="1" x14ac:dyDescent="0.2">
      <c r="A744" s="489" t="s">
        <v>1489</v>
      </c>
      <c r="B744" s="496" t="str">
        <f t="shared" si="13"/>
        <v>215107</v>
      </c>
      <c r="C744" s="502"/>
      <c r="D744" s="492">
        <v>0</v>
      </c>
      <c r="E744" s="493">
        <v>0</v>
      </c>
      <c r="F744" s="494">
        <v>0</v>
      </c>
    </row>
    <row r="745" spans="1:6" hidden="1" x14ac:dyDescent="0.2">
      <c r="A745" s="489"/>
      <c r="B745" s="490" t="s">
        <v>342</v>
      </c>
      <c r="C745" s="502" t="s">
        <v>1490</v>
      </c>
      <c r="D745" s="492">
        <f>SUM(D746:D747)</f>
        <v>0</v>
      </c>
      <c r="E745" s="493"/>
      <c r="F745" s="494"/>
    </row>
    <row r="746" spans="1:6" hidden="1" x14ac:dyDescent="0.2">
      <c r="A746" s="489" t="s">
        <v>1491</v>
      </c>
      <c r="B746" s="496" t="str">
        <f>A746</f>
        <v>216001</v>
      </c>
      <c r="C746" s="502"/>
      <c r="D746" s="492"/>
      <c r="E746" s="493"/>
      <c r="F746" s="494"/>
    </row>
    <row r="747" spans="1:6" hidden="1" x14ac:dyDescent="0.2">
      <c r="A747" s="489" t="s">
        <v>1492</v>
      </c>
      <c r="B747" s="496" t="str">
        <f>A747</f>
        <v>216002</v>
      </c>
      <c r="C747" s="502"/>
      <c r="D747" s="492"/>
      <c r="E747" s="493"/>
      <c r="F747" s="494"/>
    </row>
    <row r="748" spans="1:6" hidden="1" x14ac:dyDescent="0.2">
      <c r="A748" s="489"/>
      <c r="B748" s="496">
        <v>2210</v>
      </c>
      <c r="C748" s="502" t="s">
        <v>1448</v>
      </c>
      <c r="D748" s="492"/>
      <c r="E748" s="493">
        <v>0.06</v>
      </c>
      <c r="F748" s="494">
        <f>+D748*E748</f>
        <v>0</v>
      </c>
    </row>
    <row r="749" spans="1:6" hidden="1" x14ac:dyDescent="0.2">
      <c r="A749" s="489">
        <v>221000</v>
      </c>
      <c r="B749" s="496">
        <v>221000</v>
      </c>
      <c r="C749" s="502"/>
      <c r="D749" s="492"/>
      <c r="E749" s="493"/>
      <c r="F749" s="494"/>
    </row>
    <row r="750" spans="1:6" x14ac:dyDescent="0.2">
      <c r="A750" s="489"/>
      <c r="B750" s="496">
        <v>2220</v>
      </c>
      <c r="C750" s="502" t="s">
        <v>95</v>
      </c>
      <c r="D750" s="492" t="e">
        <f>VLOOKUP(B750,#REF!,19,0)</f>
        <v>#REF!</v>
      </c>
      <c r="E750" s="493">
        <v>7.0000000000000007E-2</v>
      </c>
      <c r="F750" s="494" t="e">
        <f>+D750*E750</f>
        <v>#REF!</v>
      </c>
    </row>
    <row r="751" spans="1:6" hidden="1" x14ac:dyDescent="0.2">
      <c r="A751" s="489">
        <v>222001</v>
      </c>
      <c r="B751" s="496">
        <f t="shared" ref="B751:B756" si="14">A751</f>
        <v>222001</v>
      </c>
      <c r="C751" s="502"/>
      <c r="D751" s="492">
        <v>-185.15191999999999</v>
      </c>
      <c r="E751" s="493">
        <v>0</v>
      </c>
      <c r="F751" s="494">
        <v>0</v>
      </c>
    </row>
    <row r="752" spans="1:6" hidden="1" x14ac:dyDescent="0.2">
      <c r="A752" s="489" t="s">
        <v>1493</v>
      </c>
      <c r="B752" s="496" t="str">
        <f t="shared" si="14"/>
        <v>222002</v>
      </c>
      <c r="C752" s="502"/>
      <c r="D752" s="492">
        <v>-1401.97308</v>
      </c>
      <c r="E752" s="493">
        <v>0</v>
      </c>
      <c r="F752" s="494">
        <v>0</v>
      </c>
    </row>
    <row r="753" spans="1:6" hidden="1" x14ac:dyDescent="0.2">
      <c r="A753" s="489">
        <v>222003</v>
      </c>
      <c r="B753" s="496">
        <f t="shared" si="14"/>
        <v>222003</v>
      </c>
      <c r="C753" s="502"/>
      <c r="D753" s="492">
        <v>-4784.7186199999996</v>
      </c>
      <c r="E753" s="493">
        <v>0</v>
      </c>
      <c r="F753" s="494">
        <v>0</v>
      </c>
    </row>
    <row r="754" spans="1:6" hidden="1" x14ac:dyDescent="0.2">
      <c r="A754" s="489">
        <v>222004</v>
      </c>
      <c r="B754" s="496">
        <f t="shared" si="14"/>
        <v>222004</v>
      </c>
      <c r="C754" s="502"/>
      <c r="D754" s="492">
        <v>0</v>
      </c>
      <c r="E754" s="493">
        <v>0</v>
      </c>
      <c r="F754" s="494">
        <v>0</v>
      </c>
    </row>
    <row r="755" spans="1:6" hidden="1" x14ac:dyDescent="0.2">
      <c r="A755" s="489">
        <v>222005</v>
      </c>
      <c r="B755" s="496">
        <f t="shared" si="14"/>
        <v>222005</v>
      </c>
      <c r="C755" s="502"/>
      <c r="D755" s="492">
        <v>-97.733019999999996</v>
      </c>
      <c r="E755" s="493">
        <v>0</v>
      </c>
      <c r="F755" s="494">
        <v>0</v>
      </c>
    </row>
    <row r="756" spans="1:6" ht="0.75" hidden="1" customHeight="1" x14ac:dyDescent="0.2">
      <c r="A756" s="489">
        <v>222099</v>
      </c>
      <c r="B756" s="496">
        <f t="shared" si="14"/>
        <v>222099</v>
      </c>
      <c r="C756" s="502"/>
      <c r="D756" s="492">
        <v>-288.07213999999999</v>
      </c>
      <c r="E756" s="493">
        <v>0</v>
      </c>
      <c r="F756" s="494">
        <v>0</v>
      </c>
    </row>
    <row r="757" spans="1:6" x14ac:dyDescent="0.2">
      <c r="A757" s="489"/>
      <c r="B757" s="496">
        <v>2230</v>
      </c>
      <c r="C757" s="502" t="s">
        <v>292</v>
      </c>
      <c r="D757" s="492" t="e">
        <f>VLOOKUP(B757,#REF!,19,0)</f>
        <v>#REF!</v>
      </c>
      <c r="E757" s="493">
        <v>7.0000000000000007E-2</v>
      </c>
      <c r="F757" s="494" t="e">
        <f>+D757*E757</f>
        <v>#REF!</v>
      </c>
    </row>
    <row r="758" spans="1:6" hidden="1" x14ac:dyDescent="0.2">
      <c r="A758" s="489" t="s">
        <v>1494</v>
      </c>
      <c r="B758" s="496" t="str">
        <f>A758</f>
        <v>223000</v>
      </c>
      <c r="C758" s="502"/>
      <c r="D758" s="492">
        <v>221.9102</v>
      </c>
      <c r="E758" s="493">
        <v>0</v>
      </c>
      <c r="F758" s="494">
        <v>0</v>
      </c>
    </row>
    <row r="759" spans="1:6" ht="14.25" customHeight="1" x14ac:dyDescent="0.2">
      <c r="A759" s="489"/>
      <c r="B759" s="496">
        <v>2240</v>
      </c>
      <c r="C759" s="502" t="s">
        <v>293</v>
      </c>
      <c r="D759" s="492" t="e">
        <f>VLOOKUP(B759,#REF!,19,0)</f>
        <v>#REF!</v>
      </c>
      <c r="E759" s="493">
        <v>7.0000000000000007E-2</v>
      </c>
      <c r="F759" s="494" t="e">
        <f>+D759*E759</f>
        <v>#REF!</v>
      </c>
    </row>
    <row r="760" spans="1:6" hidden="1" x14ac:dyDescent="0.2">
      <c r="A760" s="489" t="s">
        <v>1375</v>
      </c>
      <c r="B760" s="490" t="s">
        <v>1375</v>
      </c>
      <c r="C760" s="502" t="s">
        <v>1495</v>
      </c>
      <c r="D760" s="492">
        <f>+'[1]Balance General 2017'!S313</f>
        <v>0</v>
      </c>
      <c r="E760" s="493"/>
      <c r="F760" s="494"/>
    </row>
    <row r="761" spans="1:6" x14ac:dyDescent="0.2">
      <c r="A761" s="489"/>
      <c r="B761" s="496">
        <v>2250</v>
      </c>
      <c r="C761" s="502" t="s">
        <v>32</v>
      </c>
      <c r="D761" s="492" t="e">
        <f>VLOOKUP(B761,#REF!,19,0)</f>
        <v>#REF!</v>
      </c>
      <c r="E761" s="493">
        <v>7.0000000000000007E-2</v>
      </c>
      <c r="F761" s="494" t="e">
        <f>+D761*E761</f>
        <v>#REF!</v>
      </c>
    </row>
    <row r="762" spans="1:6" hidden="1" x14ac:dyDescent="0.2">
      <c r="A762" s="489">
        <v>225001</v>
      </c>
      <c r="B762" s="496">
        <f>A762</f>
        <v>225001</v>
      </c>
      <c r="C762" s="502"/>
      <c r="D762" s="492">
        <v>-724.20531000000005</v>
      </c>
      <c r="E762" s="493">
        <v>0</v>
      </c>
      <c r="F762" s="494">
        <v>0</v>
      </c>
    </row>
    <row r="763" spans="1:6" hidden="1" x14ac:dyDescent="0.2">
      <c r="A763" s="489">
        <v>225002</v>
      </c>
      <c r="B763" s="496">
        <f>A763</f>
        <v>225002</v>
      </c>
      <c r="C763" s="502"/>
      <c r="D763" s="492"/>
      <c r="E763" s="493"/>
      <c r="F763" s="494"/>
    </row>
    <row r="764" spans="1:6" hidden="1" x14ac:dyDescent="0.2">
      <c r="A764" s="489">
        <v>225003</v>
      </c>
      <c r="B764" s="496">
        <f>A764</f>
        <v>225003</v>
      </c>
      <c r="C764" s="502"/>
      <c r="D764" s="492"/>
      <c r="E764" s="493"/>
      <c r="F764" s="494"/>
    </row>
    <row r="765" spans="1:6" hidden="1" x14ac:dyDescent="0.2">
      <c r="A765" s="489">
        <v>225004</v>
      </c>
      <c r="B765" s="496">
        <f>A765</f>
        <v>225004</v>
      </c>
      <c r="C765" s="502"/>
      <c r="D765" s="492">
        <v>-2927.5963400000001</v>
      </c>
      <c r="E765" s="493">
        <v>0</v>
      </c>
      <c r="F765" s="494">
        <v>0</v>
      </c>
    </row>
    <row r="766" spans="1:6" hidden="1" x14ac:dyDescent="0.2">
      <c r="A766" s="489"/>
      <c r="B766" s="496">
        <v>23</v>
      </c>
      <c r="C766" s="502" t="s">
        <v>1496</v>
      </c>
      <c r="D766" s="492"/>
      <c r="E766" s="493">
        <v>0.06</v>
      </c>
      <c r="F766" s="494">
        <f>+D766*E766</f>
        <v>0</v>
      </c>
    </row>
    <row r="767" spans="1:6" hidden="1" x14ac:dyDescent="0.2">
      <c r="A767" s="489">
        <v>231100</v>
      </c>
      <c r="B767" s="496">
        <f>A767</f>
        <v>231100</v>
      </c>
      <c r="C767" s="502"/>
      <c r="D767" s="492"/>
      <c r="E767" s="493"/>
      <c r="F767" s="494"/>
    </row>
    <row r="768" spans="1:6" hidden="1" x14ac:dyDescent="0.2">
      <c r="A768" s="489">
        <v>232100</v>
      </c>
      <c r="B768" s="496">
        <f>A768</f>
        <v>232100</v>
      </c>
      <c r="C768" s="502"/>
      <c r="D768" s="492"/>
      <c r="E768" s="493"/>
      <c r="F768" s="494"/>
    </row>
    <row r="769" spans="1:11" hidden="1" x14ac:dyDescent="0.2">
      <c r="A769" s="489">
        <v>232200</v>
      </c>
      <c r="B769" s="496">
        <f>A769</f>
        <v>232200</v>
      </c>
      <c r="C769" s="502"/>
      <c r="D769" s="492"/>
      <c r="E769" s="493"/>
      <c r="F769" s="494"/>
    </row>
    <row r="770" spans="1:11" ht="15" customHeight="1" x14ac:dyDescent="0.2">
      <c r="A770" s="489"/>
      <c r="B770" s="532">
        <v>2413</v>
      </c>
      <c r="C770" s="502" t="s">
        <v>1497</v>
      </c>
      <c r="D770" s="492" t="e">
        <f>VLOOKUP(B770,#REF!,19,0)</f>
        <v>#REF!</v>
      </c>
      <c r="E770" s="493">
        <v>7.0000000000000007E-2</v>
      </c>
      <c r="F770" s="494" t="e">
        <f>+D770*E770</f>
        <v>#REF!</v>
      </c>
    </row>
    <row r="771" spans="1:11" ht="12" hidden="1" customHeight="1" x14ac:dyDescent="0.2">
      <c r="A771" s="531">
        <v>2413</v>
      </c>
      <c r="B771" s="532">
        <v>2413</v>
      </c>
      <c r="C771" s="502" t="s">
        <v>1498</v>
      </c>
      <c r="D771" s="492">
        <v>-10183.653130000001</v>
      </c>
      <c r="E771" s="493">
        <v>0</v>
      </c>
      <c r="F771" s="494">
        <v>0</v>
      </c>
    </row>
    <row r="772" spans="1:11" ht="14.25" customHeight="1" x14ac:dyDescent="0.2">
      <c r="A772" s="489"/>
      <c r="B772" s="496">
        <v>51</v>
      </c>
      <c r="C772" s="502" t="s">
        <v>1499</v>
      </c>
      <c r="D772" s="492" t="e">
        <f>VLOOKUP(B772,#REF!,19,0)</f>
        <v>#REF!</v>
      </c>
      <c r="E772" s="493">
        <v>7.0000000000000007E-2</v>
      </c>
      <c r="F772" s="494" t="e">
        <f>+D772*E772</f>
        <v>#REF!</v>
      </c>
    </row>
    <row r="773" spans="1:11" hidden="1" x14ac:dyDescent="0.2">
      <c r="A773" s="489">
        <v>511001</v>
      </c>
      <c r="B773" s="496">
        <f t="shared" ref="B773:B780" si="15">A773</f>
        <v>511001</v>
      </c>
      <c r="C773" s="502" t="s">
        <v>1499</v>
      </c>
      <c r="D773" s="492">
        <v>-44025.55257</v>
      </c>
      <c r="E773" s="493">
        <v>0</v>
      </c>
      <c r="F773" s="494">
        <v>0</v>
      </c>
    </row>
    <row r="774" spans="1:11" hidden="1" x14ac:dyDescent="0.2">
      <c r="A774" s="489">
        <v>511002</v>
      </c>
      <c r="B774" s="496">
        <f t="shared" si="15"/>
        <v>511002</v>
      </c>
      <c r="C774" s="502" t="s">
        <v>1499</v>
      </c>
      <c r="D774" s="492">
        <v>-36.686639999999997</v>
      </c>
      <c r="E774" s="493">
        <v>0</v>
      </c>
      <c r="F774" s="494">
        <v>0</v>
      </c>
    </row>
    <row r="775" spans="1:11" hidden="1" x14ac:dyDescent="0.2">
      <c r="A775" s="489" t="s">
        <v>1500</v>
      </c>
      <c r="B775" s="496" t="str">
        <f t="shared" si="15"/>
        <v>511003</v>
      </c>
      <c r="C775" s="502" t="s">
        <v>1499</v>
      </c>
      <c r="D775" s="492"/>
      <c r="E775" s="493"/>
      <c r="F775" s="494"/>
    </row>
    <row r="776" spans="1:11" hidden="1" x14ac:dyDescent="0.2">
      <c r="A776" s="489" t="s">
        <v>1501</v>
      </c>
      <c r="B776" s="496" t="str">
        <f t="shared" si="15"/>
        <v>511004</v>
      </c>
      <c r="C776" s="502" t="s">
        <v>1499</v>
      </c>
      <c r="D776" s="492"/>
      <c r="E776" s="493"/>
      <c r="F776" s="494"/>
    </row>
    <row r="777" spans="1:11" hidden="1" x14ac:dyDescent="0.2">
      <c r="A777" s="489">
        <v>512001</v>
      </c>
      <c r="B777" s="496">
        <f t="shared" si="15"/>
        <v>512001</v>
      </c>
      <c r="C777" s="502" t="s">
        <v>1499</v>
      </c>
      <c r="D777" s="492">
        <v>-318.49</v>
      </c>
      <c r="E777" s="493">
        <v>0</v>
      </c>
      <c r="F777" s="494">
        <v>0</v>
      </c>
    </row>
    <row r="778" spans="1:11" hidden="1" x14ac:dyDescent="0.2">
      <c r="A778" s="489">
        <v>512002</v>
      </c>
      <c r="B778" s="496">
        <f t="shared" si="15"/>
        <v>512002</v>
      </c>
      <c r="C778" s="502" t="s">
        <v>1499</v>
      </c>
      <c r="D778" s="492">
        <v>-60187.424249999996</v>
      </c>
      <c r="E778" s="493">
        <v>0</v>
      </c>
      <c r="F778" s="494">
        <v>0</v>
      </c>
    </row>
    <row r="779" spans="1:11" hidden="1" x14ac:dyDescent="0.2">
      <c r="A779" s="489" t="s">
        <v>1502</v>
      </c>
      <c r="B779" s="496" t="str">
        <f t="shared" si="15"/>
        <v>512003</v>
      </c>
      <c r="C779" s="502" t="s">
        <v>1499</v>
      </c>
      <c r="D779" s="492">
        <v>0</v>
      </c>
      <c r="E779" s="493"/>
      <c r="F779" s="494">
        <v>0</v>
      </c>
    </row>
    <row r="780" spans="1:11" hidden="1" x14ac:dyDescent="0.2">
      <c r="A780" s="498" t="s">
        <v>1503</v>
      </c>
      <c r="B780" s="496" t="str">
        <f t="shared" si="15"/>
        <v>512004000100</v>
      </c>
      <c r="C780" s="502" t="s">
        <v>1499</v>
      </c>
      <c r="D780" s="492">
        <v>-60776.308519999999</v>
      </c>
      <c r="E780" s="493">
        <v>0</v>
      </c>
      <c r="F780" s="494">
        <v>0</v>
      </c>
    </row>
    <row r="781" spans="1:11" ht="13.5" hidden="1" customHeight="1" x14ac:dyDescent="0.2">
      <c r="A781" s="498"/>
      <c r="B781" s="500"/>
      <c r="C781" s="502" t="s">
        <v>1499</v>
      </c>
      <c r="D781" s="492"/>
      <c r="E781" s="493">
        <v>0</v>
      </c>
      <c r="F781" s="494">
        <v>0</v>
      </c>
    </row>
    <row r="782" spans="1:11" ht="0.75" hidden="1" customHeight="1" x14ac:dyDescent="0.2">
      <c r="A782" s="498" t="s">
        <v>1504</v>
      </c>
      <c r="B782" s="500" t="s">
        <v>1504</v>
      </c>
      <c r="C782" s="502"/>
      <c r="D782" s="492">
        <v>-57031.022799999999</v>
      </c>
      <c r="E782" s="493">
        <v>0</v>
      </c>
      <c r="F782" s="494">
        <v>0</v>
      </c>
    </row>
    <row r="783" spans="1:11" ht="13.5" thickBot="1" x14ac:dyDescent="0.25">
      <c r="A783" s="489"/>
      <c r="B783" s="526" t="s">
        <v>1505</v>
      </c>
      <c r="C783" s="502" t="s">
        <v>1506</v>
      </c>
      <c r="D783" s="542" t="e">
        <f>SUM(D684+D709+D727+D733+D737+D748+D750+D757+D759+D761+D766+D772+D770+D781)</f>
        <v>#REF!</v>
      </c>
      <c r="E783" s="493"/>
      <c r="F783" s="543" t="e">
        <f>SUM(F684+F709+F727+F733+F737+F748+F750+F757+F759+F761+F766+F772+F770)</f>
        <v>#REF!</v>
      </c>
      <c r="I783" s="463">
        <v>222</v>
      </c>
      <c r="J783" s="525"/>
      <c r="K783" s="525"/>
    </row>
    <row r="784" spans="1:11" ht="13.5" thickTop="1" x14ac:dyDescent="0.2">
      <c r="A784" s="489"/>
      <c r="B784" s="496"/>
      <c r="C784" s="517"/>
      <c r="D784" s="492"/>
      <c r="E784" s="493"/>
      <c r="F784" s="494"/>
    </row>
    <row r="785" spans="1:9" ht="13.5" thickBot="1" x14ac:dyDescent="0.25">
      <c r="A785" s="489"/>
      <c r="B785" s="526" t="s">
        <v>1507</v>
      </c>
      <c r="C785" s="503" t="s">
        <v>1508</v>
      </c>
      <c r="D785" s="492"/>
      <c r="E785" s="493"/>
      <c r="F785" s="524" t="e">
        <f>(D783-D781)*0.07</f>
        <v>#REF!</v>
      </c>
      <c r="I785" s="463">
        <v>21</v>
      </c>
    </row>
    <row r="786" spans="1:9" ht="13.5" thickTop="1" x14ac:dyDescent="0.2">
      <c r="A786" s="489"/>
      <c r="B786" s="496"/>
      <c r="C786" s="517"/>
      <c r="D786" s="492"/>
      <c r="E786" s="493"/>
      <c r="F786" s="494"/>
    </row>
    <row r="787" spans="1:9" ht="13.5" thickBot="1" x14ac:dyDescent="0.25">
      <c r="A787" s="489"/>
      <c r="B787" s="544" t="s">
        <v>1509</v>
      </c>
      <c r="C787" s="517" t="s">
        <v>1510</v>
      </c>
      <c r="D787" s="492"/>
      <c r="E787" s="493"/>
      <c r="F787" s="524" t="e">
        <f>+F676-F785</f>
        <v>#REF!</v>
      </c>
      <c r="I787" s="463">
        <v>22</v>
      </c>
    </row>
    <row r="788" spans="1:9" ht="13.5" thickTop="1" x14ac:dyDescent="0.2">
      <c r="A788" s="489"/>
      <c r="B788" s="545"/>
      <c r="C788" s="491"/>
      <c r="D788" s="492"/>
      <c r="E788" s="493"/>
      <c r="F788" s="494"/>
    </row>
    <row r="789" spans="1:9" ht="13.5" thickBot="1" x14ac:dyDescent="0.25">
      <c r="A789" s="489"/>
      <c r="B789" s="544" t="s">
        <v>1511</v>
      </c>
      <c r="C789" s="510" t="s">
        <v>1512</v>
      </c>
      <c r="D789" s="492"/>
      <c r="E789" s="493"/>
      <c r="F789" s="541" t="e">
        <f>+F676/D783</f>
        <v>#REF!</v>
      </c>
    </row>
    <row r="790" spans="1:9" ht="14.25" thickTop="1" thickBot="1" x14ac:dyDescent="0.25">
      <c r="A790" s="511"/>
      <c r="B790" s="546"/>
      <c r="C790" s="513"/>
      <c r="D790" s="514"/>
      <c r="E790" s="515"/>
      <c r="F790" s="516"/>
    </row>
    <row r="791" spans="1:9" x14ac:dyDescent="0.2">
      <c r="A791" s="547"/>
      <c r="B791" s="548" t="s">
        <v>1513</v>
      </c>
      <c r="C791" s="486"/>
      <c r="D791" s="549"/>
      <c r="E791" s="487"/>
      <c r="F791" s="550"/>
    </row>
    <row r="792" spans="1:9" x14ac:dyDescent="0.2">
      <c r="A792" s="519"/>
      <c r="B792" s="545"/>
      <c r="C792" s="492"/>
      <c r="D792" s="551"/>
      <c r="E792" s="493"/>
      <c r="F792" s="552"/>
    </row>
    <row r="793" spans="1:9" x14ac:dyDescent="0.2">
      <c r="A793" s="519"/>
      <c r="B793" s="545"/>
      <c r="C793" s="492"/>
      <c r="D793" s="551"/>
      <c r="E793" s="493"/>
      <c r="F793" s="552"/>
    </row>
    <row r="794" spans="1:9" x14ac:dyDescent="0.2">
      <c r="A794" s="519"/>
      <c r="B794" s="545"/>
      <c r="C794" s="553" t="s">
        <v>333</v>
      </c>
      <c r="D794" s="553" t="s">
        <v>334</v>
      </c>
      <c r="E794" s="493"/>
      <c r="F794" s="552"/>
    </row>
    <row r="795" spans="1:9" x14ac:dyDescent="0.2">
      <c r="A795" s="519"/>
      <c r="B795" s="545"/>
      <c r="C795" s="554" t="str">
        <f>'[1]Balance General SSF'!D124</f>
        <v>Shearlene Márquez</v>
      </c>
      <c r="D795" s="555" t="str">
        <f>'[1]Balance General SSF'!E124</f>
        <v>Jesy Yanira Quijada</v>
      </c>
      <c r="E795" s="493"/>
      <c r="F795" s="552"/>
    </row>
    <row r="796" spans="1:9" x14ac:dyDescent="0.2">
      <c r="A796" s="519"/>
      <c r="B796" s="545"/>
      <c r="C796" s="554" t="s">
        <v>335</v>
      </c>
      <c r="D796" s="554" t="str">
        <f>'[1]Balance General SSF'!E125</f>
        <v xml:space="preserve"> Jefe de Contraloría</v>
      </c>
      <c r="E796" s="493"/>
      <c r="F796" s="552"/>
    </row>
    <row r="797" spans="1:9" x14ac:dyDescent="0.2">
      <c r="A797" s="519"/>
      <c r="B797" s="545"/>
      <c r="C797" s="492"/>
      <c r="F797" s="552"/>
    </row>
    <row r="798" spans="1:9" ht="12" customHeight="1" x14ac:dyDescent="0.2">
      <c r="A798" s="1200"/>
      <c r="B798" s="1201"/>
      <c r="C798" s="1201"/>
      <c r="D798" s="1201"/>
      <c r="E798" s="1201"/>
      <c r="F798" s="1202"/>
    </row>
    <row r="799" spans="1:9" x14ac:dyDescent="0.2">
      <c r="A799" s="519"/>
      <c r="B799" s="545"/>
      <c r="C799" s="492"/>
      <c r="D799" s="551"/>
      <c r="E799" s="493"/>
      <c r="F799" s="552"/>
    </row>
    <row r="800" spans="1:9" ht="16.5" thickBot="1" x14ac:dyDescent="0.3">
      <c r="A800" s="1203"/>
      <c r="B800" s="1204"/>
      <c r="C800" s="1204"/>
      <c r="D800" s="1204"/>
      <c r="E800" s="1204"/>
      <c r="F800" s="1205"/>
    </row>
    <row r="801" spans="1:8" x14ac:dyDescent="0.2">
      <c r="A801" s="490"/>
      <c r="B801" s="522"/>
      <c r="C801" s="463"/>
      <c r="D801" s="551"/>
      <c r="E801" s="493"/>
    </row>
    <row r="802" spans="1:8" x14ac:dyDescent="0.2">
      <c r="A802" s="556"/>
      <c r="B802" s="557"/>
    </row>
    <row r="803" spans="1:8" ht="20.25" hidden="1" x14ac:dyDescent="0.3">
      <c r="A803" s="556"/>
      <c r="B803" s="557"/>
      <c r="C803" s="558" t="s">
        <v>1514</v>
      </c>
      <c r="D803" s="559" t="e">
        <f>+D546</f>
        <v>#REF!</v>
      </c>
      <c r="E803" s="560" t="s">
        <v>1515</v>
      </c>
    </row>
    <row r="804" spans="1:8" ht="20.25" hidden="1" x14ac:dyDescent="0.3">
      <c r="A804" s="556"/>
      <c r="B804" s="557"/>
      <c r="C804" s="561" t="s">
        <v>1516</v>
      </c>
      <c r="D804" s="562" t="e">
        <f>+D669</f>
        <v>#REF!</v>
      </c>
      <c r="E804" s="563" t="s">
        <v>1515</v>
      </c>
    </row>
    <row r="805" spans="1:8" ht="20.25" hidden="1" x14ac:dyDescent="0.3">
      <c r="A805" s="556"/>
      <c r="B805" s="557"/>
      <c r="C805" s="561" t="s">
        <v>1517</v>
      </c>
      <c r="D805" s="562">
        <v>0</v>
      </c>
      <c r="E805" s="563" t="s">
        <v>1515</v>
      </c>
    </row>
    <row r="806" spans="1:8" ht="20.25" hidden="1" x14ac:dyDescent="0.3">
      <c r="A806" s="556"/>
      <c r="B806" s="557"/>
      <c r="C806" s="561" t="s">
        <v>1518</v>
      </c>
      <c r="D806" s="564"/>
      <c r="E806" s="563" t="s">
        <v>1515</v>
      </c>
      <c r="H806" s="565"/>
    </row>
    <row r="807" spans="1:8" ht="20.25" hidden="1" x14ac:dyDescent="0.3">
      <c r="A807" s="556"/>
      <c r="B807" s="557"/>
      <c r="C807" s="561" t="s">
        <v>1519</v>
      </c>
      <c r="D807" s="562">
        <v>0</v>
      </c>
      <c r="E807" s="563" t="s">
        <v>50</v>
      </c>
    </row>
    <row r="808" spans="1:8" ht="20.25" hidden="1" x14ac:dyDescent="0.3">
      <c r="A808" s="556"/>
      <c r="B808" s="557"/>
      <c r="C808" s="561" t="s">
        <v>306</v>
      </c>
      <c r="D808" s="562">
        <v>0</v>
      </c>
      <c r="E808" s="563" t="s">
        <v>50</v>
      </c>
    </row>
    <row r="809" spans="1:8" ht="20.25" hidden="1" x14ac:dyDescent="0.3">
      <c r="A809" s="556"/>
      <c r="B809" s="557"/>
      <c r="C809" s="561" t="s">
        <v>1411</v>
      </c>
      <c r="D809" s="562">
        <v>0</v>
      </c>
      <c r="E809" s="563" t="s">
        <v>1520</v>
      </c>
    </row>
    <row r="810" spans="1:8" ht="20.25" hidden="1" x14ac:dyDescent="0.3">
      <c r="A810" s="556"/>
      <c r="B810" s="557"/>
      <c r="C810" s="561" t="s">
        <v>1521</v>
      </c>
      <c r="D810" s="562" t="e">
        <f>SUM(D803:D809)</f>
        <v>#REF!</v>
      </c>
      <c r="E810" s="563"/>
    </row>
    <row r="811" spans="1:8" ht="20.25" hidden="1" x14ac:dyDescent="0.3">
      <c r="A811" s="556"/>
      <c r="B811" s="557"/>
      <c r="C811" s="561" t="s">
        <v>1522</v>
      </c>
      <c r="D811" s="562">
        <f>+'[1]Balance General 2017'!P212/1000</f>
        <v>5895.3124499999994</v>
      </c>
      <c r="E811" s="563"/>
    </row>
    <row r="812" spans="1:8" ht="13.5" hidden="1" thickBot="1" x14ac:dyDescent="0.25">
      <c r="A812" s="556"/>
      <c r="B812" s="557"/>
      <c r="C812" s="566" t="s">
        <v>340</v>
      </c>
      <c r="D812" s="567" t="e">
        <f>D810-D811</f>
        <v>#REF!</v>
      </c>
      <c r="E812" s="568"/>
    </row>
    <row r="813" spans="1:8" hidden="1" x14ac:dyDescent="0.2">
      <c r="A813" s="556"/>
      <c r="B813" s="557"/>
    </row>
    <row r="814" spans="1:8" hidden="1" x14ac:dyDescent="0.2">
      <c r="A814" s="556"/>
      <c r="B814" s="557"/>
    </row>
    <row r="815" spans="1:8" ht="20.25" hidden="1" x14ac:dyDescent="0.3">
      <c r="A815" s="556"/>
      <c r="B815" s="557"/>
      <c r="C815" s="569" t="s">
        <v>1523</v>
      </c>
      <c r="D815" s="559" t="e">
        <f>+D783</f>
        <v>#REF!</v>
      </c>
      <c r="E815" s="560" t="s">
        <v>1515</v>
      </c>
    </row>
    <row r="816" spans="1:8" ht="20.25" hidden="1" x14ac:dyDescent="0.3">
      <c r="A816" s="556"/>
      <c r="B816" s="557"/>
      <c r="C816" s="570" t="s">
        <v>1524</v>
      </c>
      <c r="D816" s="562">
        <f>+'[1]Balance General 2017'!R348/1000</f>
        <v>5552.1905399999996</v>
      </c>
      <c r="E816" s="563" t="s">
        <v>1515</v>
      </c>
    </row>
    <row r="817" spans="1:5" ht="20.25" hidden="1" x14ac:dyDescent="0.3">
      <c r="A817" s="556"/>
      <c r="B817" s="557"/>
      <c r="C817" s="570" t="s">
        <v>1525</v>
      </c>
      <c r="D817" s="564"/>
      <c r="E817" s="563"/>
    </row>
    <row r="818" spans="1:5" ht="20.25" hidden="1" x14ac:dyDescent="0.3">
      <c r="A818" s="556"/>
      <c r="B818" s="557"/>
      <c r="C818" s="570" t="s">
        <v>1526</v>
      </c>
      <c r="D818" s="562" t="e">
        <f>SUM(D815:D817)</f>
        <v>#REF!</v>
      </c>
      <c r="E818" s="563"/>
    </row>
    <row r="819" spans="1:5" ht="20.25" hidden="1" x14ac:dyDescent="0.3">
      <c r="A819" s="556"/>
      <c r="B819" s="557"/>
      <c r="C819" s="561" t="s">
        <v>1522</v>
      </c>
      <c r="D819" s="562">
        <f>+'[1]Balance General 2017'!R362/1000</f>
        <v>5895.3124500000004</v>
      </c>
      <c r="E819" s="563"/>
    </row>
    <row r="820" spans="1:5" ht="21" hidden="1" thickBot="1" x14ac:dyDescent="0.35">
      <c r="A820" s="556"/>
      <c r="B820" s="557"/>
      <c r="C820" s="566" t="s">
        <v>340</v>
      </c>
      <c r="D820" s="567" t="e">
        <f>D818-D819</f>
        <v>#REF!</v>
      </c>
      <c r="E820" s="571" t="s">
        <v>1520</v>
      </c>
    </row>
    <row r="821" spans="1:5" x14ac:dyDescent="0.2">
      <c r="A821" s="556"/>
      <c r="B821" s="557"/>
    </row>
    <row r="822" spans="1:5" x14ac:dyDescent="0.2">
      <c r="A822" s="556"/>
      <c r="B822" s="557"/>
    </row>
    <row r="823" spans="1:5" x14ac:dyDescent="0.2">
      <c r="A823" s="556"/>
      <c r="B823" s="557"/>
    </row>
    <row r="824" spans="1:5" x14ac:dyDescent="0.2">
      <c r="A824" s="556"/>
      <c r="B824" s="557"/>
    </row>
    <row r="825" spans="1:5" x14ac:dyDescent="0.2">
      <c r="A825" s="556"/>
      <c r="B825" s="557"/>
    </row>
    <row r="826" spans="1:5" x14ac:dyDescent="0.2">
      <c r="A826" s="556"/>
      <c r="B826" s="557"/>
    </row>
    <row r="827" spans="1:5" x14ac:dyDescent="0.2">
      <c r="A827" s="556"/>
      <c r="B827" s="557"/>
    </row>
    <row r="828" spans="1:5" x14ac:dyDescent="0.2">
      <c r="A828" s="556"/>
      <c r="B828" s="557"/>
    </row>
    <row r="829" spans="1:5" x14ac:dyDescent="0.2">
      <c r="A829" s="556"/>
      <c r="B829" s="557"/>
    </row>
    <row r="830" spans="1:5" x14ac:dyDescent="0.2">
      <c r="A830" s="556"/>
      <c r="B830" s="557"/>
    </row>
    <row r="831" spans="1:5" x14ac:dyDescent="0.2">
      <c r="A831" s="556"/>
      <c r="B831" s="557"/>
    </row>
    <row r="832" spans="1:5" x14ac:dyDescent="0.2">
      <c r="A832" s="556"/>
      <c r="B832" s="557"/>
    </row>
    <row r="833" spans="1:2" x14ac:dyDescent="0.2">
      <c r="A833" s="556"/>
      <c r="B833" s="557"/>
    </row>
    <row r="834" spans="1:2" x14ac:dyDescent="0.2">
      <c r="A834" s="556"/>
      <c r="B834" s="557"/>
    </row>
    <row r="835" spans="1:2" x14ac:dyDescent="0.2">
      <c r="A835" s="556"/>
      <c r="B835" s="557"/>
    </row>
    <row r="836" spans="1:2" x14ac:dyDescent="0.2">
      <c r="A836" s="556"/>
      <c r="B836" s="557"/>
    </row>
    <row r="837" spans="1:2" x14ac:dyDescent="0.2">
      <c r="A837" s="556"/>
      <c r="B837" s="557"/>
    </row>
    <row r="838" spans="1:2" x14ac:dyDescent="0.2">
      <c r="A838" s="556"/>
      <c r="B838" s="557"/>
    </row>
    <row r="839" spans="1:2" x14ac:dyDescent="0.2">
      <c r="A839" s="556"/>
      <c r="B839" s="557"/>
    </row>
    <row r="840" spans="1:2" x14ac:dyDescent="0.2">
      <c r="A840" s="556"/>
      <c r="B840" s="557"/>
    </row>
    <row r="841" spans="1:2" x14ac:dyDescent="0.2">
      <c r="A841" s="556"/>
      <c r="B841" s="557"/>
    </row>
    <row r="842" spans="1:2" x14ac:dyDescent="0.2">
      <c r="A842" s="556"/>
      <c r="B842" s="557"/>
    </row>
    <row r="843" spans="1:2" x14ac:dyDescent="0.2">
      <c r="A843" s="556"/>
      <c r="B843" s="557"/>
    </row>
    <row r="844" spans="1:2" x14ac:dyDescent="0.2">
      <c r="A844" s="556"/>
      <c r="B844" s="557"/>
    </row>
    <row r="845" spans="1:2" x14ac:dyDescent="0.2">
      <c r="A845" s="556"/>
      <c r="B845" s="557"/>
    </row>
    <row r="846" spans="1:2" x14ac:dyDescent="0.2">
      <c r="A846" s="556"/>
      <c r="B846" s="557"/>
    </row>
    <row r="847" spans="1:2" x14ac:dyDescent="0.2">
      <c r="A847" s="556"/>
      <c r="B847" s="557"/>
    </row>
    <row r="848" spans="1:2" x14ac:dyDescent="0.2">
      <c r="A848" s="556"/>
      <c r="B848" s="557"/>
    </row>
    <row r="849" spans="1:2" x14ac:dyDescent="0.2">
      <c r="A849" s="556"/>
      <c r="B849" s="557"/>
    </row>
    <row r="850" spans="1:2" x14ac:dyDescent="0.2">
      <c r="A850" s="556"/>
      <c r="B850" s="557"/>
    </row>
    <row r="851" spans="1:2" x14ac:dyDescent="0.2">
      <c r="A851" s="556"/>
      <c r="B851" s="557"/>
    </row>
    <row r="852" spans="1:2" x14ac:dyDescent="0.2">
      <c r="A852" s="556"/>
      <c r="B852" s="557"/>
    </row>
    <row r="853" spans="1:2" x14ac:dyDescent="0.2">
      <c r="A853" s="556"/>
      <c r="B853" s="557"/>
    </row>
    <row r="854" spans="1:2" x14ac:dyDescent="0.2">
      <c r="A854" s="556"/>
      <c r="B854" s="557"/>
    </row>
    <row r="855" spans="1:2" x14ac:dyDescent="0.2">
      <c r="A855" s="556"/>
      <c r="B855" s="557"/>
    </row>
    <row r="856" spans="1:2" x14ac:dyDescent="0.2">
      <c r="A856" s="556"/>
      <c r="B856" s="557"/>
    </row>
    <row r="857" spans="1:2" x14ac:dyDescent="0.2">
      <c r="A857" s="556"/>
      <c r="B857" s="557"/>
    </row>
    <row r="858" spans="1:2" x14ac:dyDescent="0.2">
      <c r="A858" s="556"/>
      <c r="B858" s="557"/>
    </row>
    <row r="859" spans="1:2" x14ac:dyDescent="0.2">
      <c r="A859" s="556"/>
      <c r="B859" s="557"/>
    </row>
    <row r="860" spans="1:2" x14ac:dyDescent="0.2">
      <c r="A860" s="556"/>
      <c r="B860" s="557"/>
    </row>
    <row r="861" spans="1:2" x14ac:dyDescent="0.2">
      <c r="A861" s="556"/>
      <c r="B861" s="557"/>
    </row>
    <row r="862" spans="1:2" x14ac:dyDescent="0.2">
      <c r="A862" s="556"/>
      <c r="B862" s="557"/>
    </row>
    <row r="863" spans="1:2" x14ac:dyDescent="0.2">
      <c r="A863" s="556"/>
      <c r="B863" s="557"/>
    </row>
    <row r="864" spans="1:2" x14ac:dyDescent="0.2">
      <c r="A864" s="556"/>
      <c r="B864" s="557"/>
    </row>
    <row r="865" spans="1:7" x14ac:dyDescent="0.2">
      <c r="A865" s="556"/>
      <c r="B865" s="557"/>
    </row>
    <row r="866" spans="1:7" x14ac:dyDescent="0.2">
      <c r="A866" s="556"/>
      <c r="B866" s="557"/>
    </row>
    <row r="867" spans="1:7" x14ac:dyDescent="0.2">
      <c r="A867" s="556"/>
      <c r="B867" s="557"/>
    </row>
    <row r="868" spans="1:7" x14ac:dyDescent="0.2">
      <c r="A868" s="556"/>
      <c r="B868" s="557"/>
    </row>
    <row r="869" spans="1:7" x14ac:dyDescent="0.2">
      <c r="A869" s="556"/>
      <c r="B869" s="557"/>
    </row>
    <row r="870" spans="1:7" x14ac:dyDescent="0.2">
      <c r="A870" s="556"/>
      <c r="B870" s="557"/>
    </row>
    <row r="871" spans="1:7" x14ac:dyDescent="0.2">
      <c r="A871" s="556"/>
      <c r="B871" s="557"/>
    </row>
    <row r="872" spans="1:7" hidden="1" x14ac:dyDescent="0.2">
      <c r="A872" s="556"/>
      <c r="B872" s="557"/>
      <c r="G872" s="459" t="s">
        <v>1527</v>
      </c>
    </row>
    <row r="873" spans="1:7" hidden="1" x14ac:dyDescent="0.2">
      <c r="A873" s="556"/>
      <c r="B873" s="557"/>
    </row>
    <row r="874" spans="1:7" hidden="1" x14ac:dyDescent="0.2">
      <c r="A874" s="556"/>
      <c r="B874" s="557"/>
    </row>
    <row r="875" spans="1:7" hidden="1" x14ac:dyDescent="0.2">
      <c r="A875" s="556"/>
      <c r="B875" s="557"/>
    </row>
    <row r="877" spans="1:7" hidden="1" x14ac:dyDescent="0.2"/>
    <row r="878" spans="1:7" hidden="1" x14ac:dyDescent="0.2"/>
    <row r="879" spans="1:7" hidden="1" x14ac:dyDescent="0.2"/>
    <row r="880" spans="1:7" ht="15" hidden="1" customHeight="1" x14ac:dyDescent="0.2"/>
    <row r="881" hidden="1" x14ac:dyDescent="0.2"/>
    <row r="882" hidden="1" x14ac:dyDescent="0.2"/>
    <row r="883" hidden="1" x14ac:dyDescent="0.2"/>
    <row r="884" ht="12.75" hidden="1" customHeight="1" x14ac:dyDescent="0.2"/>
    <row r="885" ht="12.75" hidden="1" customHeight="1" x14ac:dyDescent="0.2"/>
    <row r="886" ht="0.75" hidden="1" customHeight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</sheetData>
  <mergeCells count="2">
    <mergeCell ref="A798:F798"/>
    <mergeCell ref="A800:F800"/>
  </mergeCells>
  <printOptions horizontalCentered="1"/>
  <pageMargins left="0.75" right="0.75" top="1" bottom="0.9" header="0" footer="0"/>
  <pageSetup scale="5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2:K28"/>
  <sheetViews>
    <sheetView showGridLines="0" zoomScaleNormal="100" workbookViewId="0">
      <selection activeCell="E45" sqref="E45"/>
    </sheetView>
  </sheetViews>
  <sheetFormatPr baseColWidth="10" defaultColWidth="11.42578125" defaultRowHeight="12.75" x14ac:dyDescent="0.2"/>
  <cols>
    <col min="1" max="1" width="19" customWidth="1"/>
    <col min="2" max="2" width="5.7109375" customWidth="1"/>
    <col min="3" max="3" width="13.140625" customWidth="1"/>
    <col min="4" max="4" width="45.85546875" customWidth="1"/>
    <col min="5" max="5" width="13.28515625" style="80" customWidth="1"/>
    <col min="7" max="7" width="13.5703125" style="80" customWidth="1"/>
    <col min="8" max="8" width="7.5703125" customWidth="1"/>
    <col min="9" max="9" width="42.7109375" customWidth="1"/>
  </cols>
  <sheetData>
    <row r="2" spans="1:11" x14ac:dyDescent="0.2">
      <c r="A2" s="57" t="s">
        <v>265</v>
      </c>
    </row>
    <row r="3" spans="1:11" x14ac:dyDescent="0.2">
      <c r="A3" s="57" t="s">
        <v>1725</v>
      </c>
    </row>
    <row r="4" spans="1:11" x14ac:dyDescent="0.2">
      <c r="A4" s="57"/>
    </row>
    <row r="5" spans="1:11" s="7" customFormat="1" ht="10.5" x14ac:dyDescent="0.15">
      <c r="A5" s="5" t="s">
        <v>185</v>
      </c>
      <c r="B5" s="5" t="s">
        <v>186</v>
      </c>
      <c r="C5" s="5" t="s">
        <v>294</v>
      </c>
      <c r="D5" s="10" t="s">
        <v>72</v>
      </c>
      <c r="E5" s="81" t="s">
        <v>295</v>
      </c>
      <c r="F5" s="5" t="s">
        <v>296</v>
      </c>
      <c r="G5" s="81" t="s">
        <v>297</v>
      </c>
      <c r="H5" s="6" t="s">
        <v>298</v>
      </c>
      <c r="I5" s="5" t="s">
        <v>299</v>
      </c>
    </row>
    <row r="6" spans="1:11" s="9" customFormat="1" ht="10.5" customHeight="1" x14ac:dyDescent="0.2">
      <c r="A6" s="937" t="s">
        <v>111</v>
      </c>
      <c r="B6" s="937" t="s">
        <v>302</v>
      </c>
      <c r="C6" s="938">
        <v>11100000400</v>
      </c>
      <c r="D6" s="795" t="e">
        <f>VLOOKUP(C6,#REF!,2,FALSE)</f>
        <v>#REF!</v>
      </c>
      <c r="E6" s="939" t="e">
        <f>-VLOOKUP(C6,#REF!,3,FALSE)</f>
        <v>#REF!</v>
      </c>
      <c r="F6" s="937">
        <v>1</v>
      </c>
      <c r="G6" s="940" t="e">
        <f t="shared" ref="G6:G11" si="0">+E6</f>
        <v>#REF!</v>
      </c>
      <c r="H6" s="385">
        <v>0</v>
      </c>
      <c r="I6" s="386" t="s">
        <v>460</v>
      </c>
    </row>
    <row r="7" spans="1:11" s="9" customFormat="1" ht="11.25" x14ac:dyDescent="0.2">
      <c r="A7" s="937" t="s">
        <v>111</v>
      </c>
      <c r="B7" s="937" t="s">
        <v>302</v>
      </c>
      <c r="C7" s="941">
        <v>11100000401</v>
      </c>
      <c r="D7" s="795" t="e">
        <f>VLOOKUP(C7,#REF!,2,FALSE)</f>
        <v>#REF!</v>
      </c>
      <c r="E7" s="939" t="e">
        <f>-VLOOKUP(C7,#REF!,3,FALSE)</f>
        <v>#REF!</v>
      </c>
      <c r="F7" s="937">
        <v>1</v>
      </c>
      <c r="G7" s="940" t="e">
        <f t="shared" si="0"/>
        <v>#REF!</v>
      </c>
      <c r="H7" s="385">
        <v>0</v>
      </c>
      <c r="I7" s="386" t="s">
        <v>460</v>
      </c>
    </row>
    <row r="8" spans="1:11" s="9" customFormat="1" ht="11.25" x14ac:dyDescent="0.2">
      <c r="A8" s="937" t="s">
        <v>111</v>
      </c>
      <c r="B8" s="937" t="s">
        <v>302</v>
      </c>
      <c r="C8" s="941">
        <v>11100000402</v>
      </c>
      <c r="D8" s="795" t="e">
        <f>VLOOKUP(C8,#REF!,2,FALSE)</f>
        <v>#REF!</v>
      </c>
      <c r="E8" s="939" t="e">
        <f>-VLOOKUP(C8,#REF!,3,FALSE)</f>
        <v>#REF!</v>
      </c>
      <c r="F8" s="937">
        <v>1</v>
      </c>
      <c r="G8" s="940" t="e">
        <f t="shared" si="0"/>
        <v>#REF!</v>
      </c>
      <c r="H8" s="385">
        <v>0</v>
      </c>
      <c r="I8" s="386" t="s">
        <v>460</v>
      </c>
    </row>
    <row r="9" spans="1:11" s="9" customFormat="1" ht="11.25" x14ac:dyDescent="0.2">
      <c r="A9" s="937" t="s">
        <v>111</v>
      </c>
      <c r="B9" s="937" t="s">
        <v>302</v>
      </c>
      <c r="C9" s="941">
        <v>11100000403</v>
      </c>
      <c r="D9" s="795" t="e">
        <f>VLOOKUP(C9,#REF!,2,FALSE)</f>
        <v>#REF!</v>
      </c>
      <c r="E9" s="939" t="e">
        <f>-VLOOKUP(C9,#REF!,3,FALSE)</f>
        <v>#REF!</v>
      </c>
      <c r="F9" s="937">
        <v>1</v>
      </c>
      <c r="G9" s="940" t="e">
        <f t="shared" si="0"/>
        <v>#REF!</v>
      </c>
      <c r="H9" s="385">
        <v>0</v>
      </c>
      <c r="I9" s="386" t="s">
        <v>460</v>
      </c>
    </row>
    <row r="10" spans="1:11" s="9" customFormat="1" ht="11.25" x14ac:dyDescent="0.2">
      <c r="A10" s="937" t="s">
        <v>111</v>
      </c>
      <c r="B10" s="937" t="s">
        <v>302</v>
      </c>
      <c r="C10" s="941">
        <v>11100100401</v>
      </c>
      <c r="D10" s="795" t="e">
        <f>VLOOKUP(C10,#REF!,2,FALSE)</f>
        <v>#REF!</v>
      </c>
      <c r="E10" s="939" t="e">
        <f>-VLOOKUP(C10,#REF!,3,FALSE)</f>
        <v>#REF!</v>
      </c>
      <c r="F10" s="937">
        <v>1</v>
      </c>
      <c r="G10" s="940" t="e">
        <f t="shared" si="0"/>
        <v>#REF!</v>
      </c>
      <c r="H10" s="385">
        <v>0</v>
      </c>
      <c r="I10" s="386" t="s">
        <v>460</v>
      </c>
      <c r="K10" s="82"/>
    </row>
    <row r="11" spans="1:11" s="9" customFormat="1" ht="11.25" x14ac:dyDescent="0.2">
      <c r="A11" s="937" t="s">
        <v>111</v>
      </c>
      <c r="B11" s="937" t="s">
        <v>302</v>
      </c>
      <c r="C11" s="941">
        <v>11100100402</v>
      </c>
      <c r="D11" s="795" t="e">
        <f>VLOOKUP(C11,#REF!,2,FALSE)</f>
        <v>#REF!</v>
      </c>
      <c r="E11" s="939" t="e">
        <f>-VLOOKUP(C11,#REF!,3,FALSE)</f>
        <v>#REF!</v>
      </c>
      <c r="F11" s="937">
        <v>1</v>
      </c>
      <c r="G11" s="940" t="e">
        <f t="shared" si="0"/>
        <v>#REF!</v>
      </c>
      <c r="H11" s="385">
        <v>0</v>
      </c>
      <c r="I11" s="386" t="s">
        <v>460</v>
      </c>
    </row>
    <row r="12" spans="1:11" s="9" customFormat="1" ht="10.5" customHeight="1" x14ac:dyDescent="0.2">
      <c r="A12" s="937" t="s">
        <v>111</v>
      </c>
      <c r="B12" s="937" t="s">
        <v>302</v>
      </c>
      <c r="C12" s="941">
        <v>11520200001</v>
      </c>
      <c r="D12" s="795" t="e">
        <f>VLOOKUP(C12,#REF!,2,FALSE)</f>
        <v>#REF!</v>
      </c>
      <c r="E12" s="939" t="e">
        <f>-VLOOKUP(C12,#REF!,3,FALSE)</f>
        <v>#REF!</v>
      </c>
      <c r="F12" s="937">
        <v>1</v>
      </c>
      <c r="G12" s="940" t="e">
        <f t="shared" ref="G12:G18" si="1">+E12</f>
        <v>#REF!</v>
      </c>
      <c r="H12" s="385">
        <v>0</v>
      </c>
      <c r="I12" s="385" t="s">
        <v>234</v>
      </c>
    </row>
    <row r="13" spans="1:11" s="9" customFormat="1" ht="10.5" customHeight="1" x14ac:dyDescent="0.2">
      <c r="A13" s="937" t="s">
        <v>111</v>
      </c>
      <c r="B13" s="937" t="s">
        <v>302</v>
      </c>
      <c r="C13" s="941">
        <v>11520200004</v>
      </c>
      <c r="D13" s="795" t="e">
        <f>VLOOKUP(C13,#REF!,2,FALSE)</f>
        <v>#REF!</v>
      </c>
      <c r="E13" s="939" t="e">
        <f>-VLOOKUP(C13,#REF!,3,FALSE)</f>
        <v>#REF!</v>
      </c>
      <c r="F13" s="937">
        <v>1</v>
      </c>
      <c r="G13" s="940" t="e">
        <f t="shared" si="1"/>
        <v>#REF!</v>
      </c>
      <c r="H13" s="385">
        <v>0</v>
      </c>
      <c r="I13" s="385" t="s">
        <v>194</v>
      </c>
    </row>
    <row r="14" spans="1:11" s="9" customFormat="1" ht="10.5" customHeight="1" x14ac:dyDescent="0.2">
      <c r="A14" s="937" t="s">
        <v>111</v>
      </c>
      <c r="B14" s="937" t="s">
        <v>302</v>
      </c>
      <c r="C14" s="941">
        <v>11520200101</v>
      </c>
      <c r="D14" s="795" t="e">
        <f>VLOOKUP(C14,#REF!,2,FALSE)</f>
        <v>#REF!</v>
      </c>
      <c r="E14" s="939" t="e">
        <f>-VLOOKUP(C14,#REF!,3,FALSE)</f>
        <v>#REF!</v>
      </c>
      <c r="F14" s="937">
        <v>1</v>
      </c>
      <c r="G14" s="940" t="e">
        <f t="shared" si="1"/>
        <v>#REF!</v>
      </c>
      <c r="H14" s="385">
        <v>0</v>
      </c>
      <c r="I14" s="386" t="s">
        <v>460</v>
      </c>
    </row>
    <row r="15" spans="1:11" s="9" customFormat="1" ht="10.5" customHeight="1" x14ac:dyDescent="0.2">
      <c r="A15" s="937" t="s">
        <v>111</v>
      </c>
      <c r="B15" s="937" t="s">
        <v>302</v>
      </c>
      <c r="C15" s="941">
        <v>11520200201</v>
      </c>
      <c r="D15" s="795" t="e">
        <f>VLOOKUP(C15,#REF!,2,FALSE)</f>
        <v>#REF!</v>
      </c>
      <c r="E15" s="939" t="e">
        <f>-VLOOKUP(C15,#REF!,3,FALSE)</f>
        <v>#REF!</v>
      </c>
      <c r="F15" s="937">
        <v>1</v>
      </c>
      <c r="G15" s="940" t="e">
        <f t="shared" si="1"/>
        <v>#REF!</v>
      </c>
      <c r="H15" s="385">
        <v>0</v>
      </c>
      <c r="I15" s="386" t="s">
        <v>460</v>
      </c>
    </row>
    <row r="16" spans="1:11" s="9" customFormat="1" ht="11.25" x14ac:dyDescent="0.2">
      <c r="A16" s="937" t="s">
        <v>111</v>
      </c>
      <c r="B16" s="937" t="s">
        <v>302</v>
      </c>
      <c r="C16" s="941">
        <v>11520200301</v>
      </c>
      <c r="D16" s="795" t="e">
        <f>VLOOKUP(C16,#REF!,2,FALSE)</f>
        <v>#REF!</v>
      </c>
      <c r="E16" s="939" t="e">
        <f>-VLOOKUP(C16,#REF!,3,FALSE)</f>
        <v>#REF!</v>
      </c>
      <c r="F16" s="937">
        <v>1</v>
      </c>
      <c r="G16" s="940" t="e">
        <f t="shared" si="1"/>
        <v>#REF!</v>
      </c>
      <c r="H16" s="385">
        <v>0</v>
      </c>
      <c r="I16" s="386" t="s">
        <v>481</v>
      </c>
    </row>
    <row r="17" spans="1:9" s="9" customFormat="1" ht="11.25" x14ac:dyDescent="0.2">
      <c r="A17" s="937" t="s">
        <v>111</v>
      </c>
      <c r="B17" s="937" t="s">
        <v>302</v>
      </c>
      <c r="C17" s="941">
        <v>11420100001</v>
      </c>
      <c r="D17" s="795" t="s">
        <v>442</v>
      </c>
      <c r="E17" s="939" t="e">
        <f>-VLOOKUP(C17,#REF!,3,FALSE)</f>
        <v>#REF!</v>
      </c>
      <c r="F17" s="937">
        <v>1</v>
      </c>
      <c r="G17" s="940" t="e">
        <f>+E17</f>
        <v>#REF!</v>
      </c>
      <c r="H17" s="385">
        <v>0</v>
      </c>
      <c r="I17" s="386" t="s">
        <v>460</v>
      </c>
    </row>
    <row r="18" spans="1:9" s="9" customFormat="1" ht="11.25" x14ac:dyDescent="0.2">
      <c r="A18" s="937" t="s">
        <v>111</v>
      </c>
      <c r="B18" s="937" t="s">
        <v>302</v>
      </c>
      <c r="C18" s="941">
        <v>11450100014</v>
      </c>
      <c r="D18" s="795" t="s">
        <v>450</v>
      </c>
      <c r="E18" s="939" t="e">
        <f>-VLOOKUP(C18,#REF!,3,FALSE)</f>
        <v>#REF!</v>
      </c>
      <c r="F18" s="937">
        <v>1</v>
      </c>
      <c r="G18" s="940" t="e">
        <f t="shared" si="1"/>
        <v>#REF!</v>
      </c>
      <c r="H18" s="385">
        <v>0</v>
      </c>
      <c r="I18" s="386" t="s">
        <v>481</v>
      </c>
    </row>
    <row r="19" spans="1:9" s="9" customFormat="1" ht="11.25" x14ac:dyDescent="0.2">
      <c r="A19" s="937" t="s">
        <v>111</v>
      </c>
      <c r="B19" s="937" t="s">
        <v>302</v>
      </c>
      <c r="C19" s="942">
        <v>21420100000</v>
      </c>
      <c r="D19" s="943" t="s">
        <v>445</v>
      </c>
      <c r="E19" s="939" t="e">
        <f>-VLOOKUP(C19,#REF!,3,FALSE)</f>
        <v>#REF!</v>
      </c>
      <c r="F19" s="937">
        <v>1</v>
      </c>
      <c r="G19" s="940" t="e">
        <f>+E19</f>
        <v>#REF!</v>
      </c>
      <c r="H19" s="385">
        <v>0</v>
      </c>
      <c r="I19" s="386" t="s">
        <v>481</v>
      </c>
    </row>
    <row r="20" spans="1:9" s="9" customFormat="1" ht="10.5" x14ac:dyDescent="0.15">
      <c r="E20" s="82"/>
      <c r="G20" s="82"/>
      <c r="H20" s="385"/>
      <c r="I20" s="385"/>
    </row>
    <row r="21" spans="1:9" s="7" customFormat="1" ht="10.5" x14ac:dyDescent="0.15">
      <c r="E21" s="83"/>
      <c r="G21" s="83"/>
    </row>
    <row r="23" spans="1:9" x14ac:dyDescent="0.2">
      <c r="H23" s="327"/>
    </row>
    <row r="27" spans="1:9" x14ac:dyDescent="0.2">
      <c r="H27" s="352"/>
    </row>
    <row r="28" spans="1:9" x14ac:dyDescent="0.2">
      <c r="H28" s="352"/>
    </row>
  </sheetData>
  <autoFilter ref="A5:I19"/>
  <phoneticPr fontId="195" type="noConversion"/>
  <pageMargins left="0.75" right="0.75" top="1" bottom="1" header="0" footer="0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Balance de Comprobación</vt:lpstr>
      <vt:lpstr>Hoja1</vt:lpstr>
      <vt:lpstr>Balance General BVES</vt:lpstr>
      <vt:lpstr>Estado Resultados BVES</vt:lpstr>
      <vt:lpstr>Operaciones Bursatiles BVES</vt:lpstr>
      <vt:lpstr>Operaciones admon cartera BVES</vt:lpstr>
      <vt:lpstr>Fondo Valores</vt:lpstr>
      <vt:lpstr>Anexos valores</vt:lpstr>
      <vt:lpstr>Intercompany Balance</vt:lpstr>
      <vt:lpstr>Intercompany Resultados</vt:lpstr>
      <vt:lpstr>Ventas CCF</vt:lpstr>
      <vt:lpstr>CONSUMIDOR FINAL</vt:lpstr>
      <vt:lpstr>'Anexos valores'!Área_de_impresión</vt:lpstr>
      <vt:lpstr>'Balance General BVES'!Área_de_impresión</vt:lpstr>
      <vt:lpstr>'Estado Resultados BVES'!Área_de_impresión</vt:lpstr>
      <vt:lpstr>'Fondo Valores'!Área_de_impresión</vt:lpstr>
      <vt:lpstr>'Operaciones admon cartera BVES'!Área_de_impresión</vt:lpstr>
      <vt:lpstr>'Operaciones Bursatiles BVES'!Área_de_impresión</vt:lpstr>
      <vt:lpstr>'Anexos valores'!Títulos_a_imprimir</vt:lpstr>
      <vt:lpstr>'Balance General BVES'!Títulos_a_imprimir</vt:lpstr>
      <vt:lpstr>'Ventas CCF'!Títulos_a_imprimir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2021-06-03T17:08:53Z</cp:lastPrinted>
  <dcterms:created xsi:type="dcterms:W3CDTF">1999-07-22T05:06:38Z</dcterms:created>
  <dcterms:modified xsi:type="dcterms:W3CDTF">2021-06-03T17:08:54Z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