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Shared drives\CASADEORO\ORG TEST\IMES\IME SV\CONTABILIDAD\EEFF\Bancos - EBITDA\2021\"/>
    </mc:Choice>
  </mc:AlternateContent>
  <bookViews>
    <workbookView xWindow="0" yWindow="0" windowWidth="19200" windowHeight="7020" tabRatio="658" activeTab="1"/>
  </bookViews>
  <sheets>
    <sheet name="RESULTADO" sheetId="9" r:id="rId1"/>
    <sheet name="BALANCE" sheetId="2" r:id="rId2"/>
    <sheet name="ANEXO" sheetId="3" r:id="rId3"/>
    <sheet name="Lista de Saldos IM" sheetId="10" r:id="rId4"/>
  </sheets>
  <externalReferences>
    <externalReference r:id="rId5"/>
    <externalReference r:id="rId6"/>
  </externalReferences>
  <definedNames>
    <definedName name="_xlnm.Print_Area" localSheetId="1">BALANCE!$A$4:$I$71</definedName>
    <definedName name="_xlnm.Print_Area" localSheetId="0">RESULTADO!$A$1:$J$60</definedName>
    <definedName name="listaU">[1]UNIDADES!$B$5:$C$104</definedName>
    <definedName name="_xlnm.Print_Titles" localSheetId="2">ANEXO!$1:$4</definedName>
  </definedNames>
  <calcPr calcId="191029"/>
</workbook>
</file>

<file path=xl/calcChain.xml><?xml version="1.0" encoding="utf-8"?>
<calcChain xmlns="http://schemas.openxmlformats.org/spreadsheetml/2006/main">
  <c r="G35" i="2" l="1"/>
  <c r="G22" i="2"/>
  <c r="G15" i="2"/>
  <c r="G16" i="2"/>
  <c r="G14" i="2"/>
  <c r="G13" i="2"/>
  <c r="H41" i="9" l="1"/>
  <c r="H48" i="9"/>
  <c r="H37" i="9"/>
  <c r="H36" i="9"/>
  <c r="H19" i="9"/>
  <c r="H15" i="9"/>
  <c r="M181" i="10"/>
  <c r="K181" i="10"/>
  <c r="G181" i="10"/>
  <c r="F181" i="10"/>
  <c r="E181" i="10"/>
  <c r="L177" i="10"/>
  <c r="L176" i="10"/>
  <c r="L175" i="10"/>
  <c r="L172" i="10"/>
  <c r="L169" i="10"/>
  <c r="L168" i="10"/>
  <c r="L167" i="10"/>
  <c r="L166" i="10"/>
  <c r="L164" i="10"/>
  <c r="L163" i="10"/>
  <c r="L162" i="10"/>
  <c r="L161" i="10"/>
  <c r="L159" i="10"/>
  <c r="L181" i="10" s="1"/>
  <c r="L152" i="10"/>
  <c r="L150" i="10"/>
  <c r="L147" i="10"/>
  <c r="L146" i="10"/>
  <c r="L145" i="10"/>
  <c r="L140" i="10"/>
  <c r="L139" i="10"/>
  <c r="L138" i="10"/>
  <c r="L137" i="10"/>
  <c r="L136" i="10"/>
  <c r="L134" i="10"/>
  <c r="L132" i="10"/>
  <c r="L131" i="10"/>
  <c r="L128" i="10"/>
  <c r="L127" i="10"/>
  <c r="L125" i="10"/>
  <c r="L124" i="10"/>
  <c r="L123" i="10"/>
  <c r="L122" i="10"/>
  <c r="L119" i="10"/>
  <c r="L118" i="10"/>
  <c r="L117" i="10"/>
  <c r="M116" i="10"/>
  <c r="L116" i="10"/>
  <c r="K116" i="10"/>
  <c r="G116" i="10"/>
  <c r="F116" i="10"/>
  <c r="E116" i="10"/>
  <c r="L115" i="10"/>
  <c r="L113" i="10"/>
  <c r="L112" i="10"/>
  <c r="L108" i="10"/>
  <c r="L107" i="10"/>
  <c r="L106" i="10"/>
  <c r="L105" i="10"/>
  <c r="L104" i="10"/>
  <c r="M103" i="10"/>
  <c r="L103" i="10"/>
  <c r="K103" i="10"/>
  <c r="G103" i="10"/>
  <c r="F103" i="10"/>
  <c r="E103" i="10"/>
  <c r="L102" i="10"/>
  <c r="M101" i="10"/>
  <c r="G101" i="10"/>
  <c r="F101" i="10"/>
  <c r="E101" i="10"/>
  <c r="L100" i="10"/>
  <c r="L99" i="10"/>
  <c r="L98" i="10"/>
  <c r="L97" i="10"/>
  <c r="L94" i="10"/>
  <c r="L93" i="10"/>
  <c r="L91" i="10"/>
  <c r="L101" i="10" s="1"/>
  <c r="K91" i="10"/>
  <c r="K101" i="10" s="1"/>
  <c r="F91" i="10"/>
  <c r="E91" i="10"/>
  <c r="L89" i="10"/>
  <c r="L88" i="10"/>
  <c r="L87" i="10"/>
  <c r="L86" i="10"/>
  <c r="L85" i="10"/>
  <c r="L84" i="10"/>
  <c r="L83" i="10"/>
  <c r="L82" i="10"/>
  <c r="L81" i="10"/>
  <c r="M80" i="10"/>
  <c r="K80" i="10"/>
  <c r="G80" i="10"/>
  <c r="F80" i="10"/>
  <c r="E80" i="10"/>
  <c r="L79" i="10"/>
  <c r="L78" i="10"/>
  <c r="L77" i="10"/>
  <c r="L76" i="10"/>
  <c r="L72" i="10"/>
  <c r="L80" i="10" s="1"/>
  <c r="L71" i="10"/>
  <c r="L70" i="10"/>
  <c r="L69" i="10"/>
  <c r="L68" i="10"/>
  <c r="L67" i="10"/>
  <c r="L66" i="10"/>
  <c r="L65" i="10"/>
  <c r="M64" i="10"/>
  <c r="L64" i="10"/>
  <c r="K64" i="10"/>
  <c r="G64" i="10"/>
  <c r="F64" i="10"/>
  <c r="E64" i="10"/>
  <c r="L63" i="10"/>
  <c r="L62" i="10"/>
  <c r="L61" i="10"/>
  <c r="M60" i="10"/>
  <c r="L60" i="10"/>
  <c r="K60" i="10"/>
  <c r="G60" i="10"/>
  <c r="F60" i="10"/>
  <c r="E60" i="10"/>
  <c r="L59" i="10"/>
  <c r="L58" i="10"/>
  <c r="L57" i="10"/>
  <c r="L56" i="10"/>
  <c r="L55" i="10"/>
  <c r="L54" i="10"/>
  <c r="M53" i="10"/>
  <c r="K53" i="10"/>
  <c r="G53" i="10"/>
  <c r="F53" i="10"/>
  <c r="E53" i="10"/>
  <c r="L52" i="10"/>
  <c r="L49" i="10"/>
  <c r="L48" i="10"/>
  <c r="L53" i="10" s="1"/>
  <c r="L47" i="10"/>
  <c r="L46" i="10"/>
  <c r="M45" i="10"/>
  <c r="K45" i="10"/>
  <c r="G45" i="10"/>
  <c r="F45" i="10"/>
  <c r="E45" i="10"/>
  <c r="C45" i="10"/>
  <c r="L44" i="10"/>
  <c r="L42" i="10"/>
  <c r="L41" i="10"/>
  <c r="L40" i="10"/>
  <c r="L39" i="10"/>
  <c r="L38" i="10"/>
  <c r="L37" i="10"/>
  <c r="L34" i="10"/>
  <c r="L31" i="10"/>
  <c r="L29" i="10"/>
  <c r="L27" i="10"/>
  <c r="L26" i="10"/>
  <c r="L23" i="10"/>
  <c r="L22" i="10"/>
  <c r="L21" i="10"/>
  <c r="L20" i="10"/>
  <c r="L18" i="10"/>
  <c r="L17" i="10"/>
  <c r="L15" i="10"/>
  <c r="L14" i="10"/>
  <c r="L45" i="10" s="1"/>
  <c r="L13" i="10"/>
  <c r="L12" i="10"/>
  <c r="L10" i="10"/>
  <c r="L7" i="10"/>
  <c r="E129" i="3"/>
  <c r="E28" i="3"/>
  <c r="E19" i="3"/>
  <c r="E152" i="3" l="1"/>
  <c r="E146" i="3"/>
  <c r="E123" i="3"/>
  <c r="E119" i="3"/>
  <c r="E121" i="3"/>
  <c r="E85" i="3"/>
  <c r="E46" i="3"/>
  <c r="E24" i="3"/>
  <c r="E50" i="3" l="1"/>
  <c r="E15" i="3"/>
  <c r="E13" i="3" l="1"/>
  <c r="H50" i="3" l="1"/>
  <c r="H70" i="3"/>
  <c r="H90" i="3"/>
  <c r="H125" i="3"/>
  <c r="H129" i="3"/>
  <c r="H131" i="3" s="1"/>
  <c r="H137" i="3"/>
  <c r="H141" i="3" s="1"/>
  <c r="H154" i="3"/>
  <c r="H162" i="3"/>
  <c r="H164" i="3" s="1"/>
  <c r="H170" i="3"/>
  <c r="G59" i="2" l="1"/>
  <c r="G60" i="2"/>
  <c r="G49" i="2"/>
  <c r="G41" i="2"/>
  <c r="G48" i="2"/>
  <c r="G40" i="2"/>
  <c r="G36" i="2"/>
  <c r="G20" i="2"/>
  <c r="J32" i="9" l="1"/>
  <c r="J44" i="9" s="1"/>
  <c r="J52" i="9" s="1"/>
  <c r="J30" i="9"/>
  <c r="J21" i="9"/>
  <c r="J17" i="9"/>
  <c r="J16" i="9"/>
  <c r="H30" i="9" l="1"/>
  <c r="H16" i="9"/>
  <c r="H17" i="9"/>
  <c r="H21" i="9" s="1"/>
  <c r="H32" i="9" l="1"/>
  <c r="H44" i="9" s="1"/>
  <c r="H52" i="9" s="1"/>
  <c r="I51" i="2" l="1"/>
  <c r="G24" i="2" l="1"/>
  <c r="G17" i="2"/>
  <c r="G51" i="2"/>
  <c r="G27" i="2" l="1"/>
  <c r="I61" i="2" l="1"/>
  <c r="I42" i="2"/>
  <c r="I38" i="2"/>
  <c r="I24" i="2"/>
  <c r="I17" i="2"/>
  <c r="I44" i="2" l="1"/>
  <c r="I53" i="2" s="1"/>
  <c r="I63" i="2" s="1"/>
  <c r="I27" i="2"/>
  <c r="E162" i="3" l="1"/>
  <c r="E137" i="3" l="1"/>
  <c r="E131" i="3"/>
  <c r="E170" i="3" l="1"/>
  <c r="E90" i="3" l="1"/>
  <c r="E164" i="3" l="1"/>
  <c r="E125" i="3" l="1"/>
  <c r="E141" i="3"/>
  <c r="E70" i="3"/>
  <c r="G38" i="2"/>
  <c r="E154" i="3" l="1"/>
  <c r="G42" i="2" l="1"/>
  <c r="G44" i="2" s="1"/>
  <c r="G53" i="2" s="1"/>
  <c r="G61" i="2" l="1"/>
  <c r="G63" i="2" s="1"/>
  <c r="J64" i="2" s="1"/>
</calcChain>
</file>

<file path=xl/comments1.xml><?xml version="1.0" encoding="utf-8"?>
<comments xmlns="http://schemas.openxmlformats.org/spreadsheetml/2006/main">
  <authors>
    <author>Gabriel Valladares</author>
  </authors>
  <commentList>
    <comment ref="H12" authorId="0" shapeId="0">
      <text>
        <r>
          <rPr>
            <b/>
            <sz val="9"/>
            <color indexed="81"/>
            <rFont val="Tahoma"/>
            <family val="2"/>
          </rPr>
          <t>Mes año actual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</rPr>
          <t>Mes año actual</t>
        </r>
      </text>
    </comment>
  </commentList>
</comments>
</file>

<file path=xl/comments2.xml><?xml version="1.0" encoding="utf-8"?>
<comments xmlns="http://schemas.openxmlformats.org/spreadsheetml/2006/main">
  <authors>
    <author>Gabriel Valladares</author>
  </authors>
  <commentList>
    <comment ref="G11" authorId="0" shapeId="0">
      <text>
        <r>
          <rPr>
            <b/>
            <sz val="9"/>
            <color indexed="81"/>
            <rFont val="Tahoma"/>
            <family val="2"/>
          </rPr>
          <t>Mes a informar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Dic. Año anterior</t>
        </r>
      </text>
    </comment>
    <comment ref="I23" authorId="0" shapeId="0">
      <text>
        <r>
          <rPr>
            <b/>
            <sz val="9"/>
            <color indexed="81"/>
            <rFont val="Tahoma"/>
            <family val="2"/>
          </rPr>
          <t>Se netea con el pasivo diferido</t>
        </r>
      </text>
    </comment>
  </commentList>
</comments>
</file>

<file path=xl/sharedStrings.xml><?xml version="1.0" encoding="utf-8"?>
<sst xmlns="http://schemas.openxmlformats.org/spreadsheetml/2006/main" count="600" uniqueCount="313">
  <si>
    <t xml:space="preserve">(EN MILES DE DOLARES) </t>
  </si>
  <si>
    <t>OTROS INGRESOS DE OPERACION</t>
  </si>
  <si>
    <t>UTILIDAD BRUTA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</si>
  <si>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</si>
  <si>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</si>
  <si>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</si>
  <si>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</si>
  <si>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</si>
  <si>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</si>
  <si>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</si>
  <si>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</si>
  <si>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GASTOS FINANCIEROS</t>
  </si>
  <si>
    <t>DIFERENCIA DE CAMBIO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</si>
  <si>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</si>
  <si>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</si>
  <si>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</si>
  <si>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</si>
  <si>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</si>
  <si>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</si>
  <si>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</si>
  <si>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</si>
  <si>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</si>
  <si>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</si>
  <si>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</si>
  <si>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</si>
  <si>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</si>
  <si>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</si>
  <si>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</si>
  <si>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</si>
  <si>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</si>
  <si>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</si>
  <si>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</si>
  <si>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</si>
  <si>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</si>
  <si>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</si>
  <si>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</si>
  <si>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</si>
  <si>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</si>
  <si>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</si>
  <si>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</si>
  <si>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</si>
  <si>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ESTIMACIONES PARA CUENTAS INCOBRABLES</t>
  </si>
  <si>
    <t>CUENTAS EMPLEADOS</t>
  </si>
  <si>
    <t>RECLAMACIONES</t>
  </si>
  <si>
    <t>REMANENTE RENTA</t>
  </si>
  <si>
    <t>REMANENTE DE IVA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</si>
  <si>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</si>
  <si>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</si>
  <si>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</si>
  <si>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</si>
  <si>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</si>
  <si>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</si>
  <si>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</si>
  <si>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</si>
  <si>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</si>
  <si>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</si>
  <si>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</si>
  <si>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</si>
  <si>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</si>
  <si>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</si>
  <si>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</si>
  <si>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</si>
  <si>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</si>
  <si>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</si>
  <si>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</si>
  <si>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</si>
  <si>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</si>
  <si>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</si>
  <si>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PROVEEDORES EXTRANJEROS</t>
  </si>
  <si>
    <t>FLETES POR PAGAR</t>
  </si>
  <si>
    <t>CUENTAS POR PAGAR AFILIADAS</t>
  </si>
  <si>
    <t>PASIVO A LARGO PLAZO</t>
  </si>
  <si>
    <t>BANCOS ( PRENDARIOS E HIPOTECARIOS )</t>
  </si>
  <si>
    <t>CUENTAS POR PAGAR A LARGO PLAZO</t>
  </si>
  <si>
    <t>GASTOS DE VIAJES</t>
  </si>
  <si>
    <t>CUENTAS POR COBRAR A LARGO PLAZO</t>
  </si>
  <si>
    <t>PROYECTO MEGA SIGMA</t>
  </si>
  <si>
    <t>OBIGACION LABORAL</t>
  </si>
  <si>
    <t>I.S.R. PAGO A CUENTA</t>
  </si>
  <si>
    <t>UTILIDAD ANTES DE IMPUESTO</t>
  </si>
  <si>
    <t>UTILIDAD NETA</t>
  </si>
  <si>
    <t>DEPOSITOS EN TRANSITO DOCTOS.DESCONTADOS</t>
  </si>
  <si>
    <t>INTERESES PAGADOS</t>
  </si>
  <si>
    <t>DEPOSITOS COMERCIALES</t>
  </si>
  <si>
    <t>OTROS</t>
  </si>
  <si>
    <t>INMOBILIARIA MESOAMERICANA, S.A. DE C.V.</t>
  </si>
  <si>
    <t>Cartonera Centroamericana, S.A. de C.V.</t>
  </si>
  <si>
    <t>INGRESOS NETOS</t>
  </si>
  <si>
    <t>COSTO</t>
  </si>
  <si>
    <t>OTROS INGRESOS/(EGRESOS)</t>
  </si>
  <si>
    <t>Apoderado Legal</t>
  </si>
  <si>
    <t>INSTRUMENTO FINANCIERO DE PATRIMONIO</t>
  </si>
  <si>
    <t>CUENTAS POR COBRAR RESTRINGIDA</t>
  </si>
  <si>
    <t>ISR DIFERIDO</t>
  </si>
  <si>
    <t>PORCION CORRIENTE CUENTA POR COBRAR LARGO PLAZO</t>
  </si>
  <si>
    <t>GASTOS AMORTIZABLES TITULARIZACION</t>
  </si>
  <si>
    <t>Contador General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</si>
  <si>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</si>
  <si>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</si>
  <si>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</si>
  <si>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</si>
  <si>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</si>
  <si>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</si>
  <si>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</si>
  <si>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</si>
  <si>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</si>
  <si>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</si>
  <si>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</si>
  <si>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</si>
  <si>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</si>
  <si>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</si>
  <si>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</si>
  <si>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 xml:space="preserve">     _________________________</t>
  </si>
  <si>
    <t>31.01.2020</t>
  </si>
  <si>
    <t>ENERO</t>
  </si>
  <si>
    <t>31.01.2021</t>
  </si>
  <si>
    <t>ESTADO DE RESULTADOS DEL 1o.DE ENERO AL 31 DE ENERO 2021</t>
  </si>
  <si>
    <t>31.12.2020</t>
  </si>
  <si>
    <t>INVERSIONES Y VALORES A CORTO PLAZO</t>
  </si>
  <si>
    <t>CUENTAS POR COBRAR PARTES RELACIONADAS</t>
  </si>
  <si>
    <t>CUENTAS RESTRINGIDA</t>
  </si>
  <si>
    <t>Rubro</t>
  </si>
  <si>
    <t>soc.</t>
  </si>
  <si>
    <t>ACTIVO</t>
  </si>
  <si>
    <t>EXPLICACION</t>
  </si>
  <si>
    <t>Acumulado</t>
  </si>
  <si>
    <t>Mes Anterior</t>
  </si>
  <si>
    <t>Resultado MES</t>
  </si>
  <si>
    <t>Textos............................................</t>
  </si>
  <si>
    <t>Textos</t>
  </si>
  <si>
    <t>..Interv.informe.</t>
  </si>
  <si>
    <t>..Comp. periodos</t>
  </si>
  <si>
    <t>.......absolutos</t>
  </si>
  <si>
    <t>Caja y Bancos</t>
  </si>
  <si>
    <t>SALDO BAC CTA. CTE. $ 200897221</t>
  </si>
  <si>
    <t>INGRESO P/DEPOS. BAC CTA. CTE. $ 200897</t>
  </si>
  <si>
    <t>INGRESO P/TRANSF. BAC CTA. CTE. $ 20089</t>
  </si>
  <si>
    <t>CHEQUES EMITIDOS BAC CTA. CTE. $ 200897</t>
  </si>
  <si>
    <t>EGRESO P/TRANSF. BAC CTA. CTE. $ 200897</t>
  </si>
  <si>
    <t>SALDO LAFISE PANAMA CTA.CTE $ 113000086</t>
  </si>
  <si>
    <t>ING.P/TRANSF.LAFISE PA CTA.CTE $ 113000</t>
  </si>
  <si>
    <t>EGRESO P/TRANSF.LAFISE PA CTA CTE $ 113</t>
  </si>
  <si>
    <t>SALDO BAC CTA. CTE. $ 200925832</t>
  </si>
  <si>
    <t>INGRESO P/DEPOS. BAC CTA. CTE. $ 200925</t>
  </si>
  <si>
    <t>INGRESO P/TRANSF. BAC CTA. CTE. $ 20092</t>
  </si>
  <si>
    <t>CHEQUES EMITIDOS BAC CTA. CTE. $ 200925</t>
  </si>
  <si>
    <t>EGRESO P/TRANSF. BAC CTA. CTE. $ 200925</t>
  </si>
  <si>
    <t>SALDO DAVIVIENDA CTA. CTE. $ 002 51 011</t>
  </si>
  <si>
    <t>INGRESO P/TRANSF. DAVI CTA. CTE. $ 002</t>
  </si>
  <si>
    <t>EGRESO P/TRANSF. DAVIVI CTA. CTE. $ 002</t>
  </si>
  <si>
    <t>INGRESO P/TRANSF. DAV CTA. CTE. $ 002 5</t>
  </si>
  <si>
    <t>CHEQUES EMITIDOS DAV CTA. CTE. $ 002 51</t>
  </si>
  <si>
    <t>EGRESO P/TRANSF. DAVIV CTA. CTE. $ 002</t>
  </si>
  <si>
    <t>OTRA FORMA EGRESO DAVI CTA. CTE. $ 002</t>
  </si>
  <si>
    <t>SALDO CUSC. CTA. CTE. $38230107178</t>
  </si>
  <si>
    <t>INGRESO P/TRANSF. CUSCA CTA. CTE. $ 382</t>
  </si>
  <si>
    <t>EGRESO P/TRANSF. CUSCA CTA. CTE. $38230</t>
  </si>
  <si>
    <t>SALDO G&amp;T CTA. CTE. $ 9-100-2505635</t>
  </si>
  <si>
    <t>INGRESO P/TRANSF. G&amp;T CTA. CTE. $ 9-100</t>
  </si>
  <si>
    <t>EGRESO P/TRANSF. G&amp;T CTA. CTE. $ 9-100-</t>
  </si>
  <si>
    <t>INGRESO P/TRANSF.PROMERICA CTA.CTE.$100</t>
  </si>
  <si>
    <t>TRANSF.POR PAGO PROMERICA CTA.CTE.$ 100</t>
  </si>
  <si>
    <t>Doc. Ctas. por Cobrar Clientes</t>
  </si>
  <si>
    <t>Doc. Ctas. por Cobrar 9</t>
  </si>
  <si>
    <t>CUENTAS POR COBRAR COMPAÑIAS RELACIONAD</t>
  </si>
  <si>
    <t>Otros</t>
  </si>
  <si>
    <t>DEUDORES DIVERSOS</t>
  </si>
  <si>
    <t>IMPUESTO SOBRE LA RENTA POR COBRAR</t>
  </si>
  <si>
    <t>ISR PAGO A CUENTA</t>
  </si>
  <si>
    <t>CREDITO FISCAL IVA</t>
  </si>
  <si>
    <t>CREDITO FISCAL IVA RETENCION TERCEROS</t>
  </si>
  <si>
    <t>Inversiones y Valores a Corto Plazo</t>
  </si>
  <si>
    <t>FONDO DE INVERSIÓN A CORTO PLAZO</t>
  </si>
  <si>
    <t>Gtos. Pagados por Anticipado</t>
  </si>
  <si>
    <t>GASTOS ANTICIPADOS Y AMORTIZABLES</t>
  </si>
  <si>
    <t xml:space="preserve">Cuentas por Cobrar Largo Plazo </t>
  </si>
  <si>
    <t>CUENTAS POR COBRAR LARGO PLAZO</t>
  </si>
  <si>
    <t>Terrenos</t>
  </si>
  <si>
    <t>VALOR ORIGINAL  DE TERRENOS</t>
  </si>
  <si>
    <t>REVALUACION DE TERRENOS</t>
  </si>
  <si>
    <t>Edificios e Instalaciones</t>
  </si>
  <si>
    <t>VALOR ORIGINAL DE EDIFICIOS</t>
  </si>
  <si>
    <t>REVALUACION DE EDIFICIOS</t>
  </si>
  <si>
    <t>VALOR ORIGINAL INSTALACIONES</t>
  </si>
  <si>
    <t>Maquinaria y Equipo</t>
  </si>
  <si>
    <t>VALOR ORIGINAL MAQUINARIA Y EQUIPO INDU</t>
  </si>
  <si>
    <t>REVALUACION MAQUINARIA Y EQUIPO INDUSTR</t>
  </si>
  <si>
    <t>LF VALOR ORIGINAL MAQUINARIA Y EQUIPO I</t>
  </si>
  <si>
    <t>LF DEPRECIACION VALOR ORIGINAL MAQ Y EQ</t>
  </si>
  <si>
    <t>Vehiculos</t>
  </si>
  <si>
    <t>VALOR ORIGINAL  VEHICULOS</t>
  </si>
  <si>
    <t>HARDWARE VALOR ORIGINAL</t>
  </si>
  <si>
    <t>SOFTWARE VALOR ORIGINAL</t>
  </si>
  <si>
    <t>Depreciación (-)</t>
  </si>
  <si>
    <t>DEPRECIACION ACUMULADA VALOR ORIGINAL S</t>
  </si>
  <si>
    <t>DEPRECIACION VALOR ORIGINAL EDIFICIOS</t>
  </si>
  <si>
    <t>DEPRECIACION REVALUACION EDIFICIOS</t>
  </si>
  <si>
    <t>DEPRECIACION ACUMULADA VALOR ORIGINAL I</t>
  </si>
  <si>
    <t>DEPRECIACION VALOR ORIGINAL MAQUINARIA</t>
  </si>
  <si>
    <t>DEPREC. ACUM REVALUACION MAQUINARIA Y E</t>
  </si>
  <si>
    <t>DEPRECIACION VALOR ORIGINAL HARDWARE</t>
  </si>
  <si>
    <t>DEPRECIACION ACUMULADA DE VALOR ORIGINA</t>
  </si>
  <si>
    <t>Construcciones en Progreso</t>
  </si>
  <si>
    <t>Activo Intangible</t>
  </si>
  <si>
    <t>OTROS ACTIVOS</t>
  </si>
  <si>
    <t>Prestamos Bancarios</t>
  </si>
  <si>
    <t>PRESTAMOS A CORTO PLAZO</t>
  </si>
  <si>
    <t>Porcion Cte., Prestamos L.P.</t>
  </si>
  <si>
    <t>PORCION CORRIENTE DE PRESTAMOS A LARGO</t>
  </si>
  <si>
    <t>OTROS PRESTAMOS</t>
  </si>
  <si>
    <t>Cuentas por Pagar a L.P.</t>
  </si>
  <si>
    <t>CUENTAS POR PAGAR COMERCIALES A LARGO P</t>
  </si>
  <si>
    <t>Cuentas por Pagar Comerciales</t>
  </si>
  <si>
    <t>Cuentas 9 por Pagar Corriente</t>
  </si>
  <si>
    <t>CUENTAS POR PAGAR EMPRESAS RELACIONADAS</t>
  </si>
  <si>
    <t>Otros, Provisiones y Retenc.</t>
  </si>
  <si>
    <t>RETENCIONES DEL IMPUESTO SOBRE LA RENTA</t>
  </si>
  <si>
    <t>OTRAS RETENCIONES POR PAGAR</t>
  </si>
  <si>
    <t>INTERESES POR PAGAR</t>
  </si>
  <si>
    <t>DEBITO FISCAL IVA</t>
  </si>
  <si>
    <t>DEPOSITOS Y ANTICIPOS</t>
  </si>
  <si>
    <t>OTRAS PROVISIONES</t>
  </si>
  <si>
    <t>ACREEDORES OTROS, PROVISIONES Y RETENCI</t>
  </si>
  <si>
    <t>PROVISION AGUINALDOS</t>
  </si>
  <si>
    <t>PROVISION  FESTEJOS NAVIDEÑOS</t>
  </si>
  <si>
    <t>ATENCIONES AL PERSONAL</t>
  </si>
  <si>
    <t>Obligacion Laboral</t>
  </si>
  <si>
    <t>OBLIGACION LABORAL</t>
  </si>
  <si>
    <t>Impuestos por Pagar</t>
  </si>
  <si>
    <t>IMPUESTO SOBRE LA RENTA</t>
  </si>
  <si>
    <t>Ingresos Diferidos</t>
  </si>
  <si>
    <t>CREDITOS DIFERIDOS</t>
  </si>
  <si>
    <t>Prestamos Bancarios a L.P.</t>
  </si>
  <si>
    <t>PRESTAMOS A LARGO PLAZO</t>
  </si>
  <si>
    <t>Capital Social</t>
  </si>
  <si>
    <t>INSTRUMENTOS FINANCIEROS DE PATRIMONIO</t>
  </si>
  <si>
    <t>Revaluaciones</t>
  </si>
  <si>
    <t>SUPERAVIT POR REVALUACION DE TERRRENOS</t>
  </si>
  <si>
    <t>SUPERAVIT POR REVALUACION DE EDIFICIOS</t>
  </si>
  <si>
    <t>ISR DIFERIDO REVALUACION</t>
  </si>
  <si>
    <t>SUPERAVIT POR REVALUACION DE MAQUINARIA</t>
  </si>
  <si>
    <t>SUPERAVIT REVALUACION REALIZADO EDIF.E</t>
  </si>
  <si>
    <t>Utilidades Retenidas</t>
  </si>
  <si>
    <t>SUPERAVIT REVALUACION REALIZADO MAQ.YEQ</t>
  </si>
  <si>
    <t>RESULTADO  DEL  EJERCICIO  ACTUAL</t>
  </si>
  <si>
    <t>Reserva Legal</t>
  </si>
  <si>
    <t>RESERVA LEGAL EJERCICIO ACTUAL</t>
  </si>
  <si>
    <t>UTILIDADES RETENIDAS</t>
  </si>
  <si>
    <t>RESULTADO</t>
  </si>
  <si>
    <t>Intereses Recibidos</t>
  </si>
  <si>
    <t>INTERESES RECIBIDOS</t>
  </si>
  <si>
    <t>INTERESES RECIBIDOS TERCEROS</t>
  </si>
  <si>
    <t>Ingresos por Arrendamientos Operativos</t>
  </si>
  <si>
    <t>INGRESOS POR LEASING</t>
  </si>
  <si>
    <t>COMISIONES RECIBIDAS</t>
  </si>
  <si>
    <t>Otros ingresos</t>
  </si>
  <si>
    <t>Intereses Pagados</t>
  </si>
  <si>
    <t>Intereses Pagados TERC</t>
  </si>
  <si>
    <t>INTERESES PAGADOS TERCEROS</t>
  </si>
  <si>
    <t>Depreciaciones</t>
  </si>
  <si>
    <t>DEPRECIACION DE EDIFICIOS</t>
  </si>
  <si>
    <t>DEPRECIACION DE  INSTALACIONES</t>
  </si>
  <si>
    <t>DEPRECIACION DE  MAQUINARIA  Y EQUIPO</t>
  </si>
  <si>
    <t>DEPRECIACION DE  VEHICULOS</t>
  </si>
  <si>
    <t>DEPRECIACION REVALUACION DE EDIFICIOS</t>
  </si>
  <si>
    <t>DEPRECIACION REVALUACIONES DE  MAQUINAR</t>
  </si>
  <si>
    <t>COSTO POR DEPRECIACIONES</t>
  </si>
  <si>
    <t>DEPRECIACION DE  HARDWARE</t>
  </si>
  <si>
    <t>DEPRECIACION DE SOFTWAREE</t>
  </si>
  <si>
    <t>Comisiones Pagadas</t>
  </si>
  <si>
    <t>OTROS COSTOS</t>
  </si>
  <si>
    <t>GASTOS Y COMISIONES</t>
  </si>
  <si>
    <t>HONORARIOS POR SERVICIOS</t>
  </si>
  <si>
    <t>GASTOS Y COMISIONES TERCEROS</t>
  </si>
  <si>
    <t>HONORARIOS POR SERV TERCEROS</t>
  </si>
  <si>
    <t>Otros Gastos e Ingresos Financieros</t>
  </si>
  <si>
    <t>GASTOS FORMALIZACION DE CREDITOS</t>
  </si>
  <si>
    <t>GTOS.Y COMISIONES</t>
  </si>
  <si>
    <t>FINANCIAMIENTO MONTACARGAS</t>
  </si>
  <si>
    <t>MANTEMIENTO MONTACARGAS</t>
  </si>
  <si>
    <t>COSTOS ARRENDAMIENTOS OPERATIVOS</t>
  </si>
  <si>
    <t>RESULTADO EN VENTAS DE ACTIVOS FIJOS</t>
  </si>
  <si>
    <t>Otros Ingresos-Egresos</t>
  </si>
  <si>
    <t>VARIOS</t>
  </si>
  <si>
    <t>GASTOS NO DEDUCIBLES</t>
  </si>
  <si>
    <t>ISR</t>
  </si>
  <si>
    <t xml:space="preserve"> RESERVA LEGAL EJERCICIO ACTUAL</t>
  </si>
  <si>
    <t xml:space="preserve"> ISR DIFERIDO GASTO</t>
  </si>
  <si>
    <t>Gastos de Operación</t>
  </si>
  <si>
    <t>PAPELERIA Y UTILES</t>
  </si>
  <si>
    <t>CAPACITACION TECNICA</t>
  </si>
  <si>
    <t>SUSCRIPCIONES Y PUBLICACIONES</t>
  </si>
  <si>
    <t>HONORARIOS</t>
  </si>
  <si>
    <t>DIETAS</t>
  </si>
  <si>
    <t>SUELDOS Y SALARIOS</t>
  </si>
  <si>
    <t>AGUINALDOS</t>
  </si>
  <si>
    <t>VACACIONES</t>
  </si>
  <si>
    <t>INDEMNIZACIONES</t>
  </si>
  <si>
    <t>BONIFICACIONES</t>
  </si>
  <si>
    <t>SEGURO SOCIAL-CUOTA PATRONAL</t>
  </si>
  <si>
    <t>SEGURO DE VIDA</t>
  </si>
  <si>
    <t>FESTEJOS</t>
  </si>
  <si>
    <t>SEGURO GASTOS MEDICOS</t>
  </si>
  <si>
    <t>VIAJES Y VIATICOS</t>
  </si>
  <si>
    <t>REPRESENTACIONES</t>
  </si>
  <si>
    <t>COMBUSTIBLES Y LUBRICANTES</t>
  </si>
  <si>
    <t>COMUNICACIONES Y CORREO</t>
  </si>
  <si>
    <t>MANTENIMIENTO PROPIO INSTALACIONES</t>
  </si>
  <si>
    <t>APORTE PATRONAL PENSIONES (AFP)</t>
  </si>
  <si>
    <t>IMPUESTOS MUNICIPALES</t>
  </si>
  <si>
    <t>COMISIONES A VENDEDORES</t>
  </si>
  <si>
    <t>ALQUILERES</t>
  </si>
  <si>
    <t>TOTAL GASTOS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</si>
</sst>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_);_(* \(#,##0.0\);_(* &quot;-&quot;??_);_(@_)"/>
    <numFmt numFmtId="167" formatCode="#,##0.0_);[Red]\(#,##0.0\)"/>
    <numFmt numFmtId="168" formatCode="#,##0.0;[Red]\-#,##0.0"/>
    <numFmt numFmtId="169" formatCode="#,##0.0_);\(#,##0.0\)"/>
    <numFmt numFmtId="170" formatCode="0.0"/>
    <numFmt numFmtId="171" formatCode="_(* #,##0.0_);_(* \(#,##0.0\);_(* &quot;-&quot;?_);_(@_)"/>
    <numFmt numFmtId="172" formatCode="#,##0.0;[Red]#,##0.0"/>
    <numFmt numFmtId="173" formatCode="_(&quot;$&quot;* #,##0.00_);_(&quot;$&quot;* \(#,##0.00\);_(&quot;$&quot;* &quot;-&quot;??_);_(@_)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8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7" applyNumberFormat="0" applyAlignment="0" applyProtection="0"/>
    <xf numFmtId="0" fontId="23" fillId="6" borderId="8" applyNumberFormat="0" applyAlignment="0" applyProtection="0"/>
    <xf numFmtId="0" fontId="24" fillId="6" borderId="7" applyNumberFormat="0" applyAlignment="0" applyProtection="0"/>
    <xf numFmtId="0" fontId="25" fillId="0" borderId="9" applyNumberFormat="0" applyFill="0" applyAlignment="0" applyProtection="0"/>
    <xf numFmtId="0" fontId="26" fillId="7" borderId="10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3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0" fillId="32" borderId="0" applyNumberFormat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4" fillId="8" borderId="11" applyNumberFormat="0" applyFont="0" applyAlignment="0" applyProtection="0"/>
    <xf numFmtId="165" fontId="3" fillId="0" borderId="0" applyFont="0" applyFill="0" applyBorder="0" applyAlignment="0" applyProtection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8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165" fontId="5" fillId="0" borderId="0" xfId="1"/>
    <xf numFmtId="0" fontId="7" fillId="0" borderId="0" xfId="0" applyFont="1" applyAlignment="1">
      <alignment horizontal="center"/>
    </xf>
    <xf numFmtId="167" fontId="7" fillId="0" borderId="0" xfId="1" applyNumberFormat="1" applyFont="1" applyAlignment="1">
      <alignment horizontal="centerContinuous"/>
    </xf>
    <xf numFmtId="167" fontId="6" fillId="0" borderId="0" xfId="1" applyNumberFormat="1" applyFont="1" applyAlignment="1">
      <alignment horizontal="centerContinuous"/>
    </xf>
    <xf numFmtId="167" fontId="6" fillId="0" borderId="0" xfId="1" applyNumberFormat="1" applyFont="1"/>
    <xf numFmtId="0" fontId="6" fillId="0" borderId="0" xfId="0" applyFont="1" applyAlignment="1">
      <alignment horizontal="centerContinuous"/>
    </xf>
    <xf numFmtId="40" fontId="6" fillId="0" borderId="0" xfId="0" applyNumberFormat="1" applyFont="1"/>
    <xf numFmtId="0" fontId="7" fillId="0" borderId="0" xfId="0" applyFont="1" applyAlignment="1">
      <alignment horizontal="centerContinuous"/>
    </xf>
    <xf numFmtId="167" fontId="6" fillId="0" borderId="0" xfId="1" applyNumberFormat="1" applyFont="1" applyAlignment="1">
      <alignment horizontal="left"/>
    </xf>
    <xf numFmtId="167" fontId="7" fillId="0" borderId="0" xfId="1" applyNumberFormat="1" applyFont="1"/>
    <xf numFmtId="49" fontId="6" fillId="0" borderId="0" xfId="1" applyNumberFormat="1" applyFont="1"/>
    <xf numFmtId="167" fontId="6" fillId="0" borderId="0" xfId="1" quotePrefix="1" applyNumberFormat="1" applyFont="1"/>
    <xf numFmtId="40" fontId="6" fillId="0" borderId="0" xfId="1" applyNumberFormat="1" applyFont="1"/>
    <xf numFmtId="168" fontId="6" fillId="0" borderId="0" xfId="1" applyNumberFormat="1" applyFont="1"/>
    <xf numFmtId="167" fontId="7" fillId="0" borderId="0" xfId="1" applyNumberFormat="1" applyFont="1" applyAlignment="1">
      <alignment horizontal="left"/>
    </xf>
    <xf numFmtId="167" fontId="7" fillId="0" borderId="0" xfId="0" applyNumberFormat="1" applyFont="1"/>
    <xf numFmtId="169" fontId="6" fillId="0" borderId="0" xfId="1" applyNumberFormat="1" applyFont="1"/>
    <xf numFmtId="167" fontId="6" fillId="0" borderId="0" xfId="2" applyNumberFormat="1" applyFont="1"/>
    <xf numFmtId="167" fontId="7" fillId="0" borderId="2" xfId="1" applyNumberFormat="1" applyFont="1" applyBorder="1"/>
    <xf numFmtId="167" fontId="5" fillId="0" borderId="0" xfId="0" applyNumberFormat="1" applyFont="1"/>
    <xf numFmtId="0" fontId="6" fillId="0" borderId="0" xfId="0" applyFont="1" applyAlignment="1">
      <alignment horizontal="center"/>
    </xf>
    <xf numFmtId="167" fontId="5" fillId="0" borderId="0" xfId="1" applyNumberFormat="1"/>
    <xf numFmtId="167" fontId="5" fillId="0" borderId="1" xfId="1" applyNumberFormat="1" applyBorder="1"/>
    <xf numFmtId="167" fontId="5" fillId="0" borderId="0" xfId="1" applyNumberFormat="1" applyAlignment="1">
      <alignment horizontal="left"/>
    </xf>
    <xf numFmtId="0" fontId="8" fillId="0" borderId="0" xfId="0" applyFont="1"/>
    <xf numFmtId="0" fontId="9" fillId="0" borderId="0" xfId="0" applyFont="1"/>
    <xf numFmtId="167" fontId="8" fillId="0" borderId="0" xfId="1" applyNumberFormat="1" applyFont="1" applyAlignment="1">
      <alignment horizontal="centerContinuous"/>
    </xf>
    <xf numFmtId="167" fontId="5" fillId="0" borderId="0" xfId="1" applyNumberFormat="1" applyAlignment="1">
      <alignment horizontal="centerContinuous"/>
    </xf>
    <xf numFmtId="167" fontId="5" fillId="0" borderId="0" xfId="1" applyNumberFormat="1" applyAlignment="1">
      <alignment horizontal="center"/>
    </xf>
    <xf numFmtId="167" fontId="10" fillId="0" borderId="0" xfId="1" applyNumberFormat="1" applyFont="1"/>
    <xf numFmtId="0" fontId="8" fillId="0" borderId="0" xfId="0" applyFont="1" applyAlignment="1">
      <alignment horizontal="centerContinuous"/>
    </xf>
    <xf numFmtId="0" fontId="8" fillId="0" borderId="0" xfId="0" applyFont="1" applyAlignment="1">
      <alignment horizontal="center"/>
    </xf>
    <xf numFmtId="167" fontId="8" fillId="0" borderId="0" xfId="1" applyNumberFormat="1" applyFont="1"/>
    <xf numFmtId="167" fontId="8" fillId="0" borderId="1" xfId="1" applyNumberFormat="1" applyFont="1" applyBorder="1"/>
    <xf numFmtId="167" fontId="8" fillId="0" borderId="2" xfId="1" applyNumberFormat="1" applyFont="1" applyBorder="1"/>
    <xf numFmtId="167" fontId="5" fillId="0" borderId="0" xfId="1" quotePrefix="1" applyNumberFormat="1" applyAlignment="1">
      <alignment horizontal="left"/>
    </xf>
    <xf numFmtId="166" fontId="0" fillId="0" borderId="0" xfId="1" applyNumberFormat="1" applyFont="1"/>
    <xf numFmtId="166" fontId="8" fillId="0" borderId="0" xfId="1" applyNumberFormat="1" applyFont="1"/>
    <xf numFmtId="170" fontId="0" fillId="0" borderId="0" xfId="0" applyNumberFormat="1"/>
    <xf numFmtId="166" fontId="5" fillId="0" borderId="1" xfId="1" applyNumberFormat="1" applyBorder="1"/>
    <xf numFmtId="165" fontId="11" fillId="0" borderId="0" xfId="1" applyFont="1"/>
    <xf numFmtId="167" fontId="5" fillId="0" borderId="1" xfId="1" applyNumberFormat="1" applyBorder="1" applyAlignment="1">
      <alignment horizontal="centerContinuous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167" fontId="8" fillId="0" borderId="2" xfId="0" applyNumberFormat="1" applyFont="1" applyBorder="1"/>
    <xf numFmtId="167" fontId="8" fillId="0" borderId="0" xfId="0" applyNumberFormat="1" applyFont="1"/>
    <xf numFmtId="167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quotePrefix="1" applyFont="1" applyAlignment="1">
      <alignment horizontal="left"/>
    </xf>
    <xf numFmtId="166" fontId="5" fillId="0" borderId="0" xfId="1" applyNumberFormat="1"/>
    <xf numFmtId="0" fontId="10" fillId="0" borderId="0" xfId="0" applyFont="1" applyAlignment="1">
      <alignment horizontal="centerContinuous"/>
    </xf>
    <xf numFmtId="169" fontId="5" fillId="0" borderId="0" xfId="1" applyNumberFormat="1"/>
    <xf numFmtId="171" fontId="5" fillId="0" borderId="0" xfId="1" applyNumberFormat="1"/>
    <xf numFmtId="167" fontId="5" fillId="0" borderId="1" xfId="0" applyNumberFormat="1" applyFont="1" applyBorder="1"/>
    <xf numFmtId="167" fontId="7" fillId="0" borderId="2" xfId="0" applyNumberFormat="1" applyFont="1" applyBorder="1"/>
    <xf numFmtId="166" fontId="7" fillId="0" borderId="2" xfId="1" applyNumberFormat="1" applyFont="1" applyBorder="1"/>
    <xf numFmtId="0" fontId="10" fillId="0" borderId="0" xfId="0" applyFont="1" applyAlignment="1">
      <alignment horizontal="center"/>
    </xf>
    <xf numFmtId="167" fontId="7" fillId="0" borderId="1" xfId="1" applyNumberFormat="1" applyFont="1" applyBorder="1"/>
    <xf numFmtId="17" fontId="5" fillId="0" borderId="0" xfId="0" applyNumberFormat="1" applyFont="1" applyAlignment="1">
      <alignment horizontal="center"/>
    </xf>
    <xf numFmtId="166" fontId="6" fillId="0" borderId="0" xfId="1" applyNumberFormat="1" applyFont="1"/>
    <xf numFmtId="166" fontId="7" fillId="0" borderId="0" xfId="1" applyNumberFormat="1" applyFont="1"/>
    <xf numFmtId="167" fontId="5" fillId="0" borderId="0" xfId="1" applyNumberFormat="1" applyAlignment="1">
      <alignment horizontal="right"/>
    </xf>
    <xf numFmtId="0" fontId="13" fillId="0" borderId="0" xfId="0" applyFont="1" applyAlignment="1">
      <alignment horizontal="left"/>
    </xf>
    <xf numFmtId="0" fontId="14" fillId="0" borderId="0" xfId="0" applyFont="1"/>
    <xf numFmtId="0" fontId="13" fillId="0" borderId="0" xfId="0" applyFont="1"/>
    <xf numFmtId="166" fontId="5" fillId="0" borderId="1" xfId="1" applyNumberFormat="1" applyBorder="1" applyAlignment="1">
      <alignment horizontal="left"/>
    </xf>
    <xf numFmtId="166" fontId="6" fillId="0" borderId="0" xfId="1" applyNumberFormat="1" applyFont="1" applyAlignment="1">
      <alignment horizontal="right"/>
    </xf>
    <xf numFmtId="166" fontId="6" fillId="0" borderId="0" xfId="1" quotePrefix="1" applyNumberFormat="1" applyFont="1"/>
    <xf numFmtId="166" fontId="6" fillId="0" borderId="1" xfId="1" applyNumberFormat="1" applyFont="1" applyBorder="1"/>
    <xf numFmtId="167" fontId="7" fillId="0" borderId="13" xfId="1" applyNumberFormat="1" applyFont="1" applyBorder="1"/>
    <xf numFmtId="166" fontId="5" fillId="0" borderId="0" xfId="0" applyNumberFormat="1" applyFont="1"/>
    <xf numFmtId="167" fontId="5" fillId="0" borderId="1" xfId="1" applyNumberFormat="1" applyBorder="1" applyAlignment="1">
      <alignment horizontal="left"/>
    </xf>
    <xf numFmtId="172" fontId="5" fillId="0" borderId="0" xfId="0" applyNumberFormat="1" applyFont="1"/>
    <xf numFmtId="167" fontId="7" fillId="0" borderId="0" xfId="1" applyNumberFormat="1" applyFont="1" applyAlignment="1">
      <alignment horizontal="center"/>
    </xf>
    <xf numFmtId="0" fontId="7" fillId="0" borderId="0" xfId="0" applyFont="1" applyAlignment="1">
      <alignment horizontal="center"/>
    </xf>
    <xf numFmtId="166" fontId="5" fillId="0" borderId="1" xfId="1" applyNumberFormat="1" applyFont="1" applyBorder="1"/>
    <xf numFmtId="167" fontId="7" fillId="0" borderId="0" xfId="1" applyNumberFormat="1" applyFont="1" applyAlignment="1">
      <alignment horizontal="center"/>
    </xf>
    <xf numFmtId="167" fontId="5" fillId="0" borderId="0" xfId="1" applyNumberFormat="1" applyBorder="1"/>
    <xf numFmtId="0" fontId="29" fillId="0" borderId="0" xfId="55" applyFont="1"/>
    <xf numFmtId="0" fontId="29" fillId="0" borderId="0" xfId="55" applyFont="1" applyAlignment="1">
      <alignment horizontal="center"/>
    </xf>
    <xf numFmtId="165" fontId="29" fillId="0" borderId="0" xfId="56" applyFont="1"/>
    <xf numFmtId="0" fontId="1" fillId="0" borderId="0" xfId="55"/>
    <xf numFmtId="0" fontId="1" fillId="0" borderId="0" xfId="55" applyAlignment="1">
      <alignment horizontal="center"/>
    </xf>
    <xf numFmtId="165" fontId="0" fillId="0" borderId="0" xfId="56" applyFont="1"/>
    <xf numFmtId="165" fontId="1" fillId="0" borderId="0" xfId="56"/>
    <xf numFmtId="165" fontId="0" fillId="33" borderId="0" xfId="56" applyFont="1" applyFill="1"/>
    <xf numFmtId="43" fontId="0" fillId="0" borderId="0" xfId="57" applyFont="1"/>
    <xf numFmtId="43" fontId="1" fillId="0" borderId="0" xfId="55" applyNumberFormat="1" applyAlignment="1">
      <alignment horizontal="center"/>
    </xf>
    <xf numFmtId="165" fontId="29" fillId="34" borderId="0" xfId="56" applyFont="1" applyFill="1"/>
    <xf numFmtId="0" fontId="1" fillId="35" borderId="0" xfId="55" applyFill="1" applyAlignment="1">
      <alignment horizontal="center"/>
    </xf>
    <xf numFmtId="165" fontId="29" fillId="36" borderId="0" xfId="56" applyFont="1" applyFill="1"/>
    <xf numFmtId="165" fontId="29" fillId="33" borderId="0" xfId="56" applyFont="1" applyFill="1"/>
    <xf numFmtId="0" fontId="1" fillId="37" borderId="0" xfId="55" applyFill="1"/>
    <xf numFmtId="165" fontId="29" fillId="38" borderId="0" xfId="56" applyFont="1" applyFill="1"/>
    <xf numFmtId="165" fontId="29" fillId="39" borderId="0" xfId="56" applyFont="1" applyFill="1"/>
    <xf numFmtId="0" fontId="1" fillId="35" borderId="0" xfId="55" applyFill="1"/>
    <xf numFmtId="0" fontId="32" fillId="0" borderId="0" xfId="55" applyFont="1"/>
    <xf numFmtId="0" fontId="1" fillId="33" borderId="0" xfId="55" applyFill="1"/>
    <xf numFmtId="43" fontId="1" fillId="0" borderId="0" xfId="55" applyNumberFormat="1"/>
    <xf numFmtId="0" fontId="1" fillId="33" borderId="0" xfId="55" applyFill="1" applyAlignment="1">
      <alignment horizontal="center"/>
    </xf>
    <xf numFmtId="0" fontId="1" fillId="0" borderId="0" xfId="55" applyAlignment="1">
      <alignment horizontal="left"/>
    </xf>
    <xf numFmtId="167" fontId="5" fillId="33" borderId="0" xfId="1" applyNumberFormat="1" applyFill="1"/>
    <xf numFmtId="0" fontId="7" fillId="0" borderId="0" xfId="0" applyFont="1" applyAlignment="1">
      <alignment horizontal="center"/>
    </xf>
    <xf numFmtId="166" fontId="7" fillId="0" borderId="0" xfId="1" applyNumberFormat="1" applyFont="1" applyAlignment="1">
      <alignment horizontal="center"/>
    </xf>
    <xf numFmtId="167" fontId="7" fillId="0" borderId="0" xfId="1" applyNumberFormat="1" applyFont="1" applyAlignment="1">
      <alignment horizontal="center"/>
    </xf>
    <xf numFmtId="166" fontId="5" fillId="0" borderId="3" xfId="1" applyNumberFormat="1" applyBorder="1" applyAlignment="1">
      <alignment horizontal="center"/>
    </xf>
    <xf numFmtId="0" fontId="12" fillId="0" borderId="0" xfId="0" applyFont="1" applyAlignment="1">
      <alignment horizontal="left"/>
    </xf>
    <xf numFmtId="167" fontId="5" fillId="0" borderId="0" xfId="1" applyNumberFormat="1" applyAlignment="1">
      <alignment horizontal="center"/>
    </xf>
    <xf numFmtId="0" fontId="0" fillId="0" borderId="0" xfId="0" applyAlignment="1">
      <alignment horizontal="center"/>
    </xf>
    <xf numFmtId="167" fontId="12" fillId="0" borderId="0" xfId="1" applyNumberFormat="1" applyFont="1" applyAlignment="1">
      <alignment horizontal="left"/>
    </xf>
    <xf numFmtId="167" fontId="8" fillId="0" borderId="0" xfId="1" applyNumberFormat="1" applyFont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3" fillId="0" borderId="0" xfId="0" applyFont="1" applyAlignment="1">
      <alignment horizontal="left"/>
    </xf>
  </cellXfs>
  <cellStyles count="58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/>
    <cellStyle name="Millares 2 2" xfId="54"/>
    <cellStyle name="Millares 2 3" xfId="57"/>
    <cellStyle name="Millares 3" xfId="49"/>
    <cellStyle name="Millares 4" xfId="52"/>
    <cellStyle name="Millares 5" xfId="56"/>
    <cellStyle name="Moneda 2" xfId="53"/>
    <cellStyle name="Neutral" xfId="10" builtinId="28" customBuiltin="1"/>
    <cellStyle name="Normal" xfId="0" builtinId="0"/>
    <cellStyle name="Normal 2" xfId="45"/>
    <cellStyle name="Normal 3" xfId="46"/>
    <cellStyle name="Normal 4" xfId="47"/>
    <cellStyle name="Normal 4 2" xfId="50"/>
    <cellStyle name="Normal 5" xfId="43"/>
    <cellStyle name="Normal 6" xfId="51"/>
    <cellStyle name="Normal 7" xfId="55"/>
    <cellStyle name="Notas 2" xfId="48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660BE2FE-A4BC-46F0-8119-9E9A25F8B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733" y="63500"/>
          <a:ext cx="1040342" cy="10241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82B4D89C-B0CB-4E12-9F8A-0BAC2C394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-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espinoza\Desktop\Edith\LISTA%20DE%20SALDOS%20IM%20SV%20ENER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"/>
      <sheetName val="BALANCE"/>
      <sheetName val="ESTADO"/>
      <sheetName val="CUENTAS 9"/>
      <sheetName val="INT.COM.O.OP."/>
      <sheetName val="VENTAS 9"/>
      <sheetName val="VENTAS COM."/>
      <sheetName val="BALANCE MON."/>
      <sheetName val="INV.COMP.AFI."/>
      <sheetName val="COMP.PROV.IMP."/>
      <sheetName val="INV.PROV.IMP."/>
      <sheetName val="DEP.ACT.FIJ."/>
      <sheetName val="ANTIGUEDAD"/>
      <sheetName val="CONVALIDACION"/>
      <sheetName val="UNIDADES"/>
      <sheetName val="batxt"/>
      <sheetName val="estxt"/>
      <sheetName val="c9txt"/>
      <sheetName val="icotxt"/>
      <sheetName val="v9txt"/>
      <sheetName val="vctxt"/>
      <sheetName val="intxt"/>
      <sheetName val="comtxt"/>
      <sheetName val="invimptxt"/>
      <sheetName val="daftxt"/>
      <sheetName val="calculo"/>
      <sheetName val="Macro2"/>
    </sheetNames>
    <sheetDataSet>
      <sheetData sheetId="0">
        <row r="8">
          <cell r="D8" t="str">
            <v>940145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930121</v>
          </cell>
          <cell r="C5" t="str">
            <v>KONTEIN</v>
          </cell>
        </row>
        <row r="6">
          <cell r="B6" t="str">
            <v>930122</v>
          </cell>
          <cell r="C6" t="str">
            <v>SUN CHEMICAL</v>
          </cell>
        </row>
        <row r="7">
          <cell r="B7" t="str">
            <v>930125</v>
          </cell>
          <cell r="C7" t="str">
            <v>SPECIALTY</v>
          </cell>
        </row>
        <row r="8">
          <cell r="B8" t="str">
            <v>930126</v>
          </cell>
          <cell r="C8" t="str">
            <v>IND.TRANSF.DE PAPEL</v>
          </cell>
        </row>
        <row r="9">
          <cell r="B9" t="str">
            <v>930127</v>
          </cell>
          <cell r="C9" t="str">
            <v>CORPAK</v>
          </cell>
        </row>
        <row r="10">
          <cell r="B10" t="str">
            <v>930129</v>
          </cell>
          <cell r="C10" t="str">
            <v>CARTONERA</v>
          </cell>
        </row>
        <row r="11">
          <cell r="B11" t="str">
            <v>930130</v>
          </cell>
          <cell r="C11" t="str">
            <v>CELOPRINT</v>
          </cell>
        </row>
        <row r="12">
          <cell r="B12" t="str">
            <v>930131</v>
          </cell>
          <cell r="C12" t="str">
            <v>REPROCENTRO</v>
          </cell>
        </row>
        <row r="13">
          <cell r="B13" t="str">
            <v>930134</v>
          </cell>
          <cell r="C13" t="str">
            <v>IGSAL</v>
          </cell>
        </row>
        <row r="14">
          <cell r="B14" t="str">
            <v>930135</v>
          </cell>
          <cell r="C14" t="str">
            <v>ROTOFLEX</v>
          </cell>
        </row>
        <row r="15">
          <cell r="B15" t="str">
            <v>930138</v>
          </cell>
          <cell r="C15" t="str">
            <v>IMPREX</v>
          </cell>
        </row>
        <row r="16">
          <cell r="B16" t="str">
            <v>940140</v>
          </cell>
          <cell r="C16" t="str">
            <v>EMPAQUES FINOS</v>
          </cell>
        </row>
        <row r="17">
          <cell r="B17" t="str">
            <v>940141</v>
          </cell>
          <cell r="C17" t="str">
            <v>LITO ZADIK</v>
          </cell>
        </row>
        <row r="18">
          <cell r="B18" t="str">
            <v>940142</v>
          </cell>
          <cell r="C18" t="str">
            <v>CEGSA</v>
          </cell>
        </row>
        <row r="19">
          <cell r="B19" t="str">
            <v>940143</v>
          </cell>
          <cell r="C19" t="str">
            <v>IPCA</v>
          </cell>
        </row>
        <row r="20">
          <cell r="B20" t="str">
            <v>940144</v>
          </cell>
          <cell r="C20" t="str">
            <v>BOLSAS DE PAPEL</v>
          </cell>
        </row>
        <row r="21">
          <cell r="B21" t="str">
            <v>940145</v>
          </cell>
          <cell r="C21" t="str">
            <v>HISPANIA</v>
          </cell>
        </row>
        <row r="22">
          <cell r="B22" t="str">
            <v>940146</v>
          </cell>
          <cell r="C22" t="str">
            <v>LITOGUAT</v>
          </cell>
        </row>
        <row r="23">
          <cell r="B23" t="str">
            <v>940148</v>
          </cell>
          <cell r="C23" t="str">
            <v>COPACASA</v>
          </cell>
        </row>
        <row r="24">
          <cell r="B24" t="str">
            <v>940149</v>
          </cell>
          <cell r="C24" t="str">
            <v>PLEK</v>
          </cell>
        </row>
        <row r="25">
          <cell r="B25" t="str">
            <v>940152</v>
          </cell>
          <cell r="C25" t="str">
            <v>INV.SIGMA,S.A,</v>
          </cell>
        </row>
        <row r="26">
          <cell r="B26" t="str">
            <v>940153</v>
          </cell>
          <cell r="C26" t="str">
            <v>SUN CHEM.DE GUAT.</v>
          </cell>
        </row>
        <row r="27">
          <cell r="B27" t="str">
            <v>970171</v>
          </cell>
          <cell r="C27" t="str">
            <v>MAGMA</v>
          </cell>
        </row>
        <row r="28">
          <cell r="B28" t="str">
            <v>980182</v>
          </cell>
          <cell r="C28" t="str">
            <v>BADGER</v>
          </cell>
        </row>
        <row r="29">
          <cell r="B29" t="str">
            <v>980183</v>
          </cell>
          <cell r="C29" t="str">
            <v>SIERRA</v>
          </cell>
        </row>
        <row r="30">
          <cell r="B30" t="str">
            <v>980184</v>
          </cell>
          <cell r="C30" t="str">
            <v>ELPAC INC.</v>
          </cell>
        </row>
        <row r="31">
          <cell r="B31" t="str">
            <v>930234</v>
          </cell>
          <cell r="C31" t="str">
            <v>EDP/SIGMA</v>
          </cell>
        </row>
        <row r="32">
          <cell r="B32" t="str">
            <v>940246</v>
          </cell>
          <cell r="C32" t="str">
            <v>SIGMA DE GUATEMALA</v>
          </cell>
        </row>
        <row r="33">
          <cell r="B33" t="str">
            <v>940250</v>
          </cell>
          <cell r="C33" t="str">
            <v>INDURSA</v>
          </cell>
        </row>
        <row r="34">
          <cell r="B34" t="str">
            <v>950256</v>
          </cell>
          <cell r="C34" t="str">
            <v>SIGMA DE HONDURAS</v>
          </cell>
        </row>
        <row r="35">
          <cell r="B35" t="str">
            <v>950257</v>
          </cell>
          <cell r="C35" t="str">
            <v>CANASA</v>
          </cell>
        </row>
        <row r="36">
          <cell r="B36" t="str">
            <v>960266</v>
          </cell>
          <cell r="C36" t="str">
            <v>SIGMA DE NICARAGUA</v>
          </cell>
        </row>
        <row r="37">
          <cell r="B37" t="str">
            <v>970276</v>
          </cell>
          <cell r="C37" t="str">
            <v>SIGMA DE COSTA RICA</v>
          </cell>
        </row>
        <row r="38">
          <cell r="B38" t="str">
            <v>970277</v>
          </cell>
          <cell r="C38" t="str">
            <v>QUIMICAS SOL</v>
          </cell>
        </row>
        <row r="39">
          <cell r="B39" t="str">
            <v>980281</v>
          </cell>
          <cell r="C39" t="str">
            <v>SIGMA COVIS</v>
          </cell>
        </row>
        <row r="40">
          <cell r="B40" t="str">
            <v>980282</v>
          </cell>
          <cell r="C40" t="str">
            <v>CARIBBEAN</v>
          </cell>
        </row>
        <row r="41">
          <cell r="B41" t="str">
            <v>930331</v>
          </cell>
          <cell r="C41" t="str">
            <v>SIGMA CENTRAL</v>
          </cell>
        </row>
        <row r="42">
          <cell r="B42" t="str">
            <v>930402</v>
          </cell>
          <cell r="C42" t="str">
            <v>GAMMA,S.A.</v>
          </cell>
        </row>
        <row r="43">
          <cell r="B43" t="str">
            <v>980595</v>
          </cell>
          <cell r="C43" t="str">
            <v>NORTHERN FOREST</v>
          </cell>
        </row>
        <row r="44">
          <cell r="B44" t="str">
            <v>980596</v>
          </cell>
          <cell r="C44" t="str">
            <v>LAKI</v>
          </cell>
        </row>
        <row r="45">
          <cell r="B45" t="str">
            <v>980597</v>
          </cell>
          <cell r="C45" t="str">
            <v>KRAFT</v>
          </cell>
        </row>
        <row r="46">
          <cell r="B46" t="str">
            <v>980981</v>
          </cell>
          <cell r="C46" t="str">
            <v>PERTIMEX,S.A.</v>
          </cell>
        </row>
        <row r="47">
          <cell r="B47" t="str">
            <v>980983</v>
          </cell>
          <cell r="C47" t="str">
            <v>Q.CORP</v>
          </cell>
        </row>
        <row r="48">
          <cell r="B48" t="str">
            <v>980984</v>
          </cell>
          <cell r="C48" t="str">
            <v>NORCREST</v>
          </cell>
        </row>
        <row r="49">
          <cell r="B49" t="str">
            <v>980985</v>
          </cell>
          <cell r="C49" t="str">
            <v>WORLD IND.RESOURCES</v>
          </cell>
        </row>
        <row r="50">
          <cell r="B50" t="str">
            <v>980986</v>
          </cell>
          <cell r="C50" t="str">
            <v>BUFKOR</v>
          </cell>
        </row>
        <row r="51">
          <cell r="B51" t="str">
            <v>980987</v>
          </cell>
          <cell r="C51" t="str">
            <v>SARMAN</v>
          </cell>
        </row>
        <row r="52">
          <cell r="B52" t="str">
            <v>980988</v>
          </cell>
          <cell r="C52" t="str">
            <v>ELPAC LTDA.</v>
          </cell>
        </row>
        <row r="53">
          <cell r="B53" t="str">
            <v>980989</v>
          </cell>
          <cell r="C53" t="str">
            <v>UNIPAK</v>
          </cell>
        </row>
        <row r="54">
          <cell r="B54">
            <v>930332</v>
          </cell>
          <cell r="C54" t="str">
            <v>CONSOL. SIGMA S.A.</v>
          </cell>
        </row>
        <row r="55">
          <cell r="B55" t="str">
            <v>960267</v>
          </cell>
          <cell r="C55" t="str">
            <v>SOLUCIONES DE EMPAQUES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SALDOS IM SV ENERO 202"/>
    </sheetNames>
    <sheetDataSet>
      <sheetData sheetId="0">
        <row r="2">
          <cell r="B2">
            <v>1111200000</v>
          </cell>
          <cell r="C2" t="str">
            <v>CAJA CHICA</v>
          </cell>
          <cell r="D2">
            <v>160</v>
          </cell>
          <cell r="E2">
            <v>160</v>
          </cell>
        </row>
        <row r="3">
          <cell r="B3">
            <v>1112100191</v>
          </cell>
          <cell r="C3" t="str">
            <v>SALDO BAC CTA. CTE. $ 200897221</v>
          </cell>
          <cell r="D3">
            <v>9650.31</v>
          </cell>
          <cell r="E3">
            <v>9650.31</v>
          </cell>
        </row>
        <row r="4">
          <cell r="B4">
            <v>1112100193</v>
          </cell>
          <cell r="C4" t="str">
            <v>INGRESO P/TRANSF. BAC CTA. CTE. $ 20089</v>
          </cell>
          <cell r="D4">
            <v>111997.91</v>
          </cell>
          <cell r="E4">
            <v>111997.91</v>
          </cell>
        </row>
        <row r="5">
          <cell r="B5">
            <v>1112100196</v>
          </cell>
          <cell r="C5" t="str">
            <v>CHEQUES EMITIDOS BAC CTA. CTE. $ 200897</v>
          </cell>
          <cell r="D5">
            <v>-17551.91</v>
          </cell>
          <cell r="E5">
            <v>-17551.91</v>
          </cell>
        </row>
        <row r="6">
          <cell r="B6">
            <v>1112100197</v>
          </cell>
          <cell r="C6" t="str">
            <v>EGRESO P/TRANSF. BAC CTA. CTE. $ 200897</v>
          </cell>
          <cell r="D6">
            <v>-48035.72</v>
          </cell>
          <cell r="E6">
            <v>-48035.72</v>
          </cell>
        </row>
        <row r="7">
          <cell r="B7">
            <v>1112100201</v>
          </cell>
          <cell r="C7" t="str">
            <v>SALDO LAFISE PANAMA CTA.CTE $ 113000086</v>
          </cell>
          <cell r="D7">
            <v>8231.16</v>
          </cell>
          <cell r="E7">
            <v>8231.16</v>
          </cell>
        </row>
        <row r="8">
          <cell r="B8">
            <v>1112100207</v>
          </cell>
          <cell r="C8" t="str">
            <v>EGRESO P/TRANSF.LAFISE PA CTA CTE $ 113</v>
          </cell>
          <cell r="D8">
            <v>-8182.4</v>
          </cell>
          <cell r="E8">
            <v>-8182.4</v>
          </cell>
        </row>
        <row r="9">
          <cell r="B9">
            <v>1112100221</v>
          </cell>
          <cell r="C9" t="str">
            <v>SALDO BAC CTA. CTE. $ 200925832</v>
          </cell>
          <cell r="D9">
            <v>49239.69</v>
          </cell>
          <cell r="E9">
            <v>49239.69</v>
          </cell>
        </row>
        <row r="10">
          <cell r="B10">
            <v>1112100223</v>
          </cell>
          <cell r="C10" t="str">
            <v>INGRESO P/TRANSF. BAC CTA. CTE. $ 20092</v>
          </cell>
          <cell r="D10">
            <v>333066.57</v>
          </cell>
          <cell r="E10">
            <v>333066.57</v>
          </cell>
        </row>
        <row r="11">
          <cell r="B11">
            <v>1112100226</v>
          </cell>
          <cell r="C11" t="str">
            <v>CHEQUES EMITIDOS BAC CTA. CTE. $ 200925</v>
          </cell>
          <cell r="D11">
            <v>-2950.59</v>
          </cell>
          <cell r="E11">
            <v>-2950.59</v>
          </cell>
        </row>
        <row r="12">
          <cell r="B12">
            <v>1112100227</v>
          </cell>
          <cell r="C12" t="str">
            <v>EGRESO P/TRANSF. BAC CTA. CTE. $ 200925</v>
          </cell>
          <cell r="D12">
            <v>-343152.99</v>
          </cell>
          <cell r="E12">
            <v>-343152.99</v>
          </cell>
        </row>
        <row r="13">
          <cell r="B13">
            <v>1112100331</v>
          </cell>
          <cell r="C13" t="str">
            <v>SALDO DAVIVIENDA CTA. CTE. $ 002 51 011</v>
          </cell>
          <cell r="D13">
            <v>92.09</v>
          </cell>
          <cell r="E13">
            <v>92.09</v>
          </cell>
        </row>
        <row r="14">
          <cell r="B14">
            <v>1112100341</v>
          </cell>
          <cell r="C14" t="str">
            <v>SALDO DAVIVIENDA CTA. CTE. $ 002 51 011</v>
          </cell>
          <cell r="D14">
            <v>808.76</v>
          </cell>
          <cell r="E14">
            <v>808.76</v>
          </cell>
        </row>
        <row r="15">
          <cell r="B15">
            <v>1112100343</v>
          </cell>
          <cell r="C15" t="str">
            <v>INGRESO P/TRANSF. DAV CTA. CTE. $ 002 5</v>
          </cell>
          <cell r="D15">
            <v>154222.32</v>
          </cell>
          <cell r="E15">
            <v>154222.32</v>
          </cell>
        </row>
        <row r="16">
          <cell r="B16">
            <v>1112100343</v>
          </cell>
          <cell r="C16" t="str">
            <v>INGRESO P/TRANSF. DAV CTA. CTE. $ 002 5</v>
          </cell>
          <cell r="D16">
            <v>38120</v>
          </cell>
          <cell r="E16">
            <v>38120</v>
          </cell>
        </row>
        <row r="17">
          <cell r="B17">
            <v>1112100346</v>
          </cell>
          <cell r="C17" t="str">
            <v>CHEQUES EMITIDOS DAV CTA. CTE. $ 002 51</v>
          </cell>
          <cell r="D17">
            <v>-12202.09</v>
          </cell>
          <cell r="E17">
            <v>-12202.09</v>
          </cell>
        </row>
        <row r="18">
          <cell r="B18">
            <v>1112100346</v>
          </cell>
          <cell r="C18" t="str">
            <v>CHEQUES EMITIDOS DAV CTA. CTE. $ 002 51</v>
          </cell>
          <cell r="D18">
            <v>-457.95</v>
          </cell>
          <cell r="E18">
            <v>-457.95</v>
          </cell>
        </row>
        <row r="19">
          <cell r="B19">
            <v>1112100347</v>
          </cell>
          <cell r="C19" t="str">
            <v>EGRESO P/TRANSF. DAVIV CTA. CTE. $ 002</v>
          </cell>
          <cell r="D19">
            <v>-134715.72</v>
          </cell>
          <cell r="E19">
            <v>-134715.72</v>
          </cell>
        </row>
        <row r="20">
          <cell r="B20">
            <v>1112100347</v>
          </cell>
          <cell r="C20" t="str">
            <v>EGRESO P/TRANSF. DAVIV CTA. CTE. $ 002</v>
          </cell>
          <cell r="D20">
            <v>-584.99</v>
          </cell>
          <cell r="E20">
            <v>-584.99</v>
          </cell>
        </row>
        <row r="21">
          <cell r="B21">
            <v>1112100421</v>
          </cell>
          <cell r="C21" t="str">
            <v>SALDO PROMERICA CTA.CTE. $ 100000860001</v>
          </cell>
          <cell r="D21">
            <v>3224.99</v>
          </cell>
          <cell r="E21">
            <v>3224.99</v>
          </cell>
        </row>
        <row r="22">
          <cell r="B22">
            <v>1112100423</v>
          </cell>
          <cell r="C22" t="str">
            <v>INGRESO P/TRANSF.PROMERICA CTA.CTE.$100</v>
          </cell>
          <cell r="D22">
            <v>56900</v>
          </cell>
          <cell r="E22">
            <v>56900</v>
          </cell>
        </row>
        <row r="23">
          <cell r="B23">
            <v>1112100427</v>
          </cell>
          <cell r="C23" t="str">
            <v>TRANSF.POR PAGO PROMERICA CTA.CTE.$ 100</v>
          </cell>
          <cell r="D23">
            <v>-3545.36</v>
          </cell>
          <cell r="E23">
            <v>-3545.36</v>
          </cell>
        </row>
        <row r="24">
          <cell r="B24">
            <v>1112100427</v>
          </cell>
          <cell r="C24" t="str">
            <v>TRANSF.POR PAGO PROMERICA CTA.CTE.$ 100</v>
          </cell>
          <cell r="D24">
            <v>-38000</v>
          </cell>
          <cell r="E24">
            <v>-38000</v>
          </cell>
        </row>
        <row r="25">
          <cell r="B25">
            <v>1112104181</v>
          </cell>
          <cell r="C25" t="str">
            <v>SALDO CUSC. CTA. CTE. $38230107178</v>
          </cell>
          <cell r="D25">
            <v>1997.74</v>
          </cell>
          <cell r="E25">
            <v>1997.74</v>
          </cell>
        </row>
        <row r="26">
          <cell r="B26">
            <v>1112104191</v>
          </cell>
          <cell r="C26" t="str">
            <v>SALDO G&amp;T CTA. CTE. $ 9-100-2505635</v>
          </cell>
          <cell r="D26">
            <v>3805.8</v>
          </cell>
          <cell r="E26">
            <v>3805.8</v>
          </cell>
        </row>
        <row r="27">
          <cell r="B27">
            <v>1112104193</v>
          </cell>
          <cell r="C27" t="str">
            <v>INGRESO P/TRANSF. G&amp;T CTA. CTE. $ 9-100</v>
          </cell>
          <cell r="D27">
            <v>124646.88</v>
          </cell>
          <cell r="E27">
            <v>124646.88</v>
          </cell>
        </row>
        <row r="28">
          <cell r="B28">
            <v>1112104197</v>
          </cell>
          <cell r="C28" t="str">
            <v>EGRESO P/TRANSF. G&amp;T CTA. CTE. $ 9-100-</v>
          </cell>
          <cell r="D28">
            <v>-126738.19</v>
          </cell>
          <cell r="E28">
            <v>-126738.19</v>
          </cell>
        </row>
        <row r="29">
          <cell r="B29">
            <v>1113000000</v>
          </cell>
          <cell r="C29" t="str">
            <v>DEPOSITOS EN TRANSITO</v>
          </cell>
          <cell r="D29">
            <v>-21036.25</v>
          </cell>
          <cell r="E29">
            <v>-21036.25</v>
          </cell>
        </row>
        <row r="30">
          <cell r="B30">
            <v>1131100000</v>
          </cell>
          <cell r="C30" t="str">
            <v>CUENTAS POR COBRAR COMERCIO</v>
          </cell>
          <cell r="D30">
            <v>3078132.25</v>
          </cell>
          <cell r="E30">
            <v>3078132.25</v>
          </cell>
        </row>
        <row r="31">
          <cell r="B31">
            <v>1131300000</v>
          </cell>
          <cell r="C31" t="str">
            <v>CUENTAS POR COBRAR COMPAÑIAS RELACIONAD</v>
          </cell>
          <cell r="D31">
            <v>2368194.67</v>
          </cell>
          <cell r="E31">
            <v>2368194.67</v>
          </cell>
        </row>
        <row r="32">
          <cell r="B32">
            <v>1132500000</v>
          </cell>
          <cell r="C32" t="str">
            <v>DEUDORES DIVERSOS</v>
          </cell>
          <cell r="D32">
            <v>288517.05</v>
          </cell>
          <cell r="E32">
            <v>288517.05</v>
          </cell>
        </row>
        <row r="33">
          <cell r="B33">
            <v>1133200000</v>
          </cell>
          <cell r="C33" t="str">
            <v>IMPUESTO SOBRE LA RENTA POR COBRAR</v>
          </cell>
          <cell r="D33">
            <v>2035.04</v>
          </cell>
          <cell r="E33">
            <v>2035.04</v>
          </cell>
        </row>
        <row r="34">
          <cell r="B34">
            <v>1141000000</v>
          </cell>
          <cell r="C34" t="str">
            <v>CREDITO FISCAL IVA RETENCION TERCEROS</v>
          </cell>
          <cell r="D34">
            <v>2937.16</v>
          </cell>
          <cell r="E34">
            <v>2937.16</v>
          </cell>
        </row>
        <row r="35">
          <cell r="B35">
            <v>1125000000</v>
          </cell>
          <cell r="C35" t="str">
            <v>Fondo de Inversión a Corto Plazo</v>
          </cell>
          <cell r="D35">
            <v>2490.63</v>
          </cell>
          <cell r="E35">
            <v>2490.63</v>
          </cell>
        </row>
        <row r="36">
          <cell r="B36">
            <v>1151000000</v>
          </cell>
          <cell r="C36" t="str">
            <v>GASTOS ANTICIPADOS Y AMORTIZABLES</v>
          </cell>
          <cell r="D36">
            <v>11791.99</v>
          </cell>
          <cell r="E36">
            <v>11791.99</v>
          </cell>
        </row>
        <row r="37">
          <cell r="B37">
            <v>1164000000</v>
          </cell>
          <cell r="C37" t="str">
            <v>GASTOS PAGADOS POR ANTICIPADO</v>
          </cell>
          <cell r="D37">
            <v>180772.94</v>
          </cell>
          <cell r="E37">
            <v>180772.94</v>
          </cell>
        </row>
        <row r="38">
          <cell r="B38">
            <v>1202000000</v>
          </cell>
          <cell r="C38" t="str">
            <v>CUENTAS POR COBRAR LARGO PLAZO</v>
          </cell>
          <cell r="D38">
            <v>3500000</v>
          </cell>
          <cell r="E38">
            <v>3500000</v>
          </cell>
        </row>
        <row r="39">
          <cell r="B39">
            <v>1301100000</v>
          </cell>
          <cell r="C39" t="str">
            <v>VALOR ORIGINAL  DE TERRENOS</v>
          </cell>
          <cell r="D39">
            <v>3320394.53</v>
          </cell>
          <cell r="E39">
            <v>3320394.53</v>
          </cell>
        </row>
        <row r="40">
          <cell r="B40">
            <v>1301200000</v>
          </cell>
          <cell r="C40" t="str">
            <v>REVALUACION DE TERRENOS</v>
          </cell>
          <cell r="D40">
            <v>339921.29</v>
          </cell>
          <cell r="E40">
            <v>339921.29</v>
          </cell>
        </row>
        <row r="41">
          <cell r="B41">
            <v>1302100000</v>
          </cell>
          <cell r="C41" t="str">
            <v>VALOR ORIGINAL DE EDIFICIOS</v>
          </cell>
          <cell r="D41">
            <v>3075886.52</v>
          </cell>
          <cell r="E41">
            <v>3075886.52</v>
          </cell>
        </row>
        <row r="42">
          <cell r="B42">
            <v>1302200000</v>
          </cell>
          <cell r="C42" t="str">
            <v>REVALUACION DE EDIFICIOS</v>
          </cell>
          <cell r="D42">
            <v>747027.76</v>
          </cell>
          <cell r="E42">
            <v>747027.76</v>
          </cell>
        </row>
        <row r="43">
          <cell r="B43">
            <v>1303100000</v>
          </cell>
          <cell r="C43" t="str">
            <v>VALOR ORIGINAL INSTALACIONES</v>
          </cell>
          <cell r="D43">
            <v>325427</v>
          </cell>
          <cell r="E43">
            <v>325427</v>
          </cell>
        </row>
        <row r="44">
          <cell r="B44">
            <v>1304100000</v>
          </cell>
          <cell r="C44" t="str">
            <v>VALOR ORIGINAL MAQUINARIA Y EQUIPO INDU</v>
          </cell>
          <cell r="D44">
            <v>8201438.8200000003</v>
          </cell>
          <cell r="E44">
            <v>8201438.8200000003</v>
          </cell>
        </row>
        <row r="45">
          <cell r="B45">
            <v>1304200000</v>
          </cell>
          <cell r="C45" t="str">
            <v>REVALUACION MAQUINARIA Y EQUIPO INDUSTR</v>
          </cell>
          <cell r="D45">
            <v>721179</v>
          </cell>
          <cell r="E45">
            <v>721179</v>
          </cell>
        </row>
        <row r="46">
          <cell r="B46">
            <v>1304310000</v>
          </cell>
          <cell r="C46" t="str">
            <v>DEPRECIACION VALOR ORIGINAL MAQUINARIA</v>
          </cell>
          <cell r="D46">
            <v>-3532727.82</v>
          </cell>
          <cell r="E46">
            <v>-3532727.82</v>
          </cell>
        </row>
        <row r="47">
          <cell r="B47">
            <v>1304320000</v>
          </cell>
          <cell r="C47" t="str">
            <v>DEPREC. ACUM REVALUACION MAQUINARIA Y E</v>
          </cell>
          <cell r="D47">
            <v>104603</v>
          </cell>
          <cell r="E47">
            <v>104603</v>
          </cell>
        </row>
        <row r="48">
          <cell r="B48">
            <v>1308100000</v>
          </cell>
          <cell r="C48" t="str">
            <v>VALOR ORIGINAL  VEHICULOS</v>
          </cell>
          <cell r="D48">
            <v>211791.83</v>
          </cell>
          <cell r="E48">
            <v>211791.83</v>
          </cell>
        </row>
        <row r="49">
          <cell r="B49">
            <v>1308310000</v>
          </cell>
          <cell r="C49" t="str">
            <v>DEPRECIACION ACUMULADA DE VALOR ORIGINA</v>
          </cell>
          <cell r="D49">
            <v>-107497.83</v>
          </cell>
          <cell r="E49">
            <v>-107497.83</v>
          </cell>
        </row>
        <row r="50">
          <cell r="B50">
            <v>1309100000</v>
          </cell>
          <cell r="C50" t="str">
            <v>HARDWARE VALOR ORIGINAL</v>
          </cell>
          <cell r="D50">
            <v>122614.02</v>
          </cell>
          <cell r="E50">
            <v>122614.02</v>
          </cell>
        </row>
        <row r="51">
          <cell r="B51">
            <v>1309200000</v>
          </cell>
          <cell r="C51" t="str">
            <v>SOFTWARE VALOR ORIGINAL</v>
          </cell>
          <cell r="D51">
            <v>425</v>
          </cell>
          <cell r="E51">
            <v>425</v>
          </cell>
        </row>
        <row r="52">
          <cell r="B52">
            <v>1309310000</v>
          </cell>
          <cell r="C52" t="str">
            <v>DEPRECIACION VALOR ORIGINAL HARDWARE</v>
          </cell>
          <cell r="D52">
            <v>-105579.02</v>
          </cell>
          <cell r="E52">
            <v>-105579.02</v>
          </cell>
        </row>
        <row r="53">
          <cell r="B53">
            <v>1309340000</v>
          </cell>
          <cell r="C53" t="str">
            <v>DEPRECIACION ACUMULADA VALOR ORIGINAL S</v>
          </cell>
          <cell r="D53">
            <v>-211</v>
          </cell>
          <cell r="E53">
            <v>-211</v>
          </cell>
        </row>
        <row r="54">
          <cell r="B54">
            <v>1319999999</v>
          </cell>
          <cell r="C54" t="str">
            <v>CONSTRUCCIONES EN PROGRESO</v>
          </cell>
          <cell r="D54">
            <v>89342.87</v>
          </cell>
          <cell r="E54">
            <v>89342.87</v>
          </cell>
        </row>
        <row r="55">
          <cell r="B55">
            <v>1501000000</v>
          </cell>
          <cell r="C55" t="str">
            <v>OTROS ACTIVOS</v>
          </cell>
          <cell r="D55">
            <v>1668030.51</v>
          </cell>
          <cell r="E55">
            <v>1668030.51</v>
          </cell>
        </row>
        <row r="56">
          <cell r="B56">
            <v>1531000000</v>
          </cell>
          <cell r="C56" t="str">
            <v>ACTIVO POR IMPUESTO DIFERIDO</v>
          </cell>
          <cell r="D56">
            <v>60193.69</v>
          </cell>
          <cell r="E56">
            <v>60193.69</v>
          </cell>
        </row>
        <row r="57">
          <cell r="B57">
            <v>2111000000</v>
          </cell>
          <cell r="C57" t="str">
            <v>PRESTAMOS A CORTO PLAZO</v>
          </cell>
          <cell r="D57">
            <v>-7240000</v>
          </cell>
          <cell r="E57">
            <v>-7240000</v>
          </cell>
        </row>
        <row r="58">
          <cell r="B58">
            <v>2112000000</v>
          </cell>
          <cell r="C58" t="str">
            <v>PORCION CORRIENTE DE PRESTAMOS A LARGO</v>
          </cell>
          <cell r="D58">
            <v>-827536.08</v>
          </cell>
          <cell r="E58">
            <v>-827536.08</v>
          </cell>
        </row>
        <row r="59">
          <cell r="B59">
            <v>2114000000</v>
          </cell>
          <cell r="C59" t="str">
            <v>OTROS PRESTAMOS</v>
          </cell>
          <cell r="D59">
            <v>-104027.28</v>
          </cell>
          <cell r="E59">
            <v>-104027.28</v>
          </cell>
        </row>
        <row r="60">
          <cell r="B60">
            <v>2121000000</v>
          </cell>
          <cell r="C60" t="str">
            <v>CUENTAS POR PAGAR PROVEEDORES</v>
          </cell>
          <cell r="D60">
            <v>-28315.21</v>
          </cell>
          <cell r="E60">
            <v>-28315.21</v>
          </cell>
        </row>
        <row r="61">
          <cell r="B61">
            <v>2122000000</v>
          </cell>
          <cell r="C61" t="str">
            <v>CUENTAS POR PAGAR EMPRESAS RELACIONADAS</v>
          </cell>
          <cell r="D61">
            <v>-453137.29</v>
          </cell>
          <cell r="E61">
            <v>-453137.29</v>
          </cell>
        </row>
        <row r="62">
          <cell r="B62">
            <v>2133200000</v>
          </cell>
          <cell r="C62" t="str">
            <v>RETENCIONES DEL IMPUESTO SOBRE LA RENTA</v>
          </cell>
          <cell r="D62">
            <v>-2567.54</v>
          </cell>
          <cell r="E62">
            <v>-2567.54</v>
          </cell>
        </row>
        <row r="63">
          <cell r="B63">
            <v>2133200000</v>
          </cell>
          <cell r="C63" t="str">
            <v>RETENCIONES DEL IMPUESTO SOBRE LA RENTA</v>
          </cell>
          <cell r="D63">
            <v>-101.94</v>
          </cell>
          <cell r="E63">
            <v>-101.94</v>
          </cell>
        </row>
        <row r="64">
          <cell r="B64">
            <v>2133700000</v>
          </cell>
          <cell r="C64" t="str">
            <v>OTRAS RETENCIONES POR PAGAR</v>
          </cell>
          <cell r="D64">
            <v>11165.91</v>
          </cell>
          <cell r="E64">
            <v>11165.91</v>
          </cell>
        </row>
        <row r="65">
          <cell r="B65">
            <v>2134020000</v>
          </cell>
          <cell r="C65" t="str">
            <v>PROVISION AGUINALDOS</v>
          </cell>
          <cell r="D65">
            <v>-1016.94</v>
          </cell>
          <cell r="E65">
            <v>-1016.94</v>
          </cell>
        </row>
        <row r="66">
          <cell r="B66">
            <v>2134080000</v>
          </cell>
          <cell r="C66" t="str">
            <v>PROVISION  FESTEJOS NAVIDEÑOS</v>
          </cell>
          <cell r="D66">
            <v>-40</v>
          </cell>
          <cell r="E66">
            <v>-40</v>
          </cell>
        </row>
        <row r="67">
          <cell r="B67">
            <v>2134160000</v>
          </cell>
          <cell r="C67" t="str">
            <v>ATENCIONES AL PERSONAL</v>
          </cell>
          <cell r="D67">
            <v>-62.28</v>
          </cell>
          <cell r="E67">
            <v>-62.28</v>
          </cell>
        </row>
        <row r="68">
          <cell r="B68">
            <v>2137000000</v>
          </cell>
          <cell r="C68" t="str">
            <v>INTERESES POR PAGAR</v>
          </cell>
          <cell r="D68">
            <v>-34665.89</v>
          </cell>
          <cell r="E68">
            <v>-34665.89</v>
          </cell>
        </row>
        <row r="69">
          <cell r="B69">
            <v>2140000000</v>
          </cell>
          <cell r="C69" t="str">
            <v>DEBITO FISCAL IVA</v>
          </cell>
          <cell r="D69">
            <v>-35529.300000000003</v>
          </cell>
          <cell r="E69">
            <v>-35529.300000000003</v>
          </cell>
        </row>
        <row r="70">
          <cell r="B70">
            <v>2180200000</v>
          </cell>
          <cell r="C70" t="str">
            <v>ACREEDORES OTROS, PROVISIONES Y RETENCI</v>
          </cell>
          <cell r="D70">
            <v>-4634.6400000000003</v>
          </cell>
          <cell r="E70">
            <v>-4634.6400000000003</v>
          </cell>
        </row>
        <row r="71">
          <cell r="B71">
            <v>2151000000</v>
          </cell>
          <cell r="C71" t="str">
            <v>IMPUESTO SOBRE LA RENTA</v>
          </cell>
          <cell r="D71">
            <v>-193066.04</v>
          </cell>
          <cell r="E71">
            <v>-193066.04</v>
          </cell>
        </row>
        <row r="72">
          <cell r="B72">
            <v>2190000000</v>
          </cell>
          <cell r="C72" t="str">
            <v>CREDITOS DIFERIDOS</v>
          </cell>
          <cell r="D72">
            <v>-1668030.51</v>
          </cell>
          <cell r="E72">
            <v>-1668030.51</v>
          </cell>
        </row>
        <row r="73">
          <cell r="B73">
            <v>2134060000</v>
          </cell>
          <cell r="C73" t="str">
            <v>OBLIGACION LABORAL</v>
          </cell>
          <cell r="D73">
            <v>-1016.94</v>
          </cell>
          <cell r="E73">
            <v>-1016.94</v>
          </cell>
        </row>
        <row r="74">
          <cell r="B74">
            <v>2201000000</v>
          </cell>
          <cell r="C74" t="str">
            <v>PRESTAMOS A LARGO PLAZO</v>
          </cell>
          <cell r="D74">
            <v>-4576905.04</v>
          </cell>
          <cell r="E74">
            <v>-4576905.04</v>
          </cell>
        </row>
        <row r="75">
          <cell r="B75">
            <v>2203000000</v>
          </cell>
          <cell r="C75" t="str">
            <v>CUENTAS POR PAGAR COMERCIALES A LARGO P</v>
          </cell>
          <cell r="D75">
            <v>-105907.44</v>
          </cell>
          <cell r="E75">
            <v>-105907.44</v>
          </cell>
        </row>
        <row r="76">
          <cell r="B76">
            <v>2205100000</v>
          </cell>
          <cell r="C76" t="str">
            <v>IMPUESTO SOBRE LA RENTA DIFERIDO</v>
          </cell>
          <cell r="D76">
            <v>-1099911.08</v>
          </cell>
          <cell r="E76">
            <v>-1099911.08</v>
          </cell>
        </row>
        <row r="77">
          <cell r="B77">
            <v>2301000000</v>
          </cell>
          <cell r="C77" t="str">
            <v>CAPITAL SOCIAL</v>
          </cell>
          <cell r="D77">
            <v>-2301697</v>
          </cell>
          <cell r="E77">
            <v>-2301697</v>
          </cell>
        </row>
        <row r="78">
          <cell r="B78">
            <v>2303250000</v>
          </cell>
          <cell r="C78" t="str">
            <v>ISR DIFERIDO REVALUACION</v>
          </cell>
          <cell r="D78">
            <v>186169.17</v>
          </cell>
          <cell r="E78">
            <v>186169.17</v>
          </cell>
        </row>
        <row r="79">
          <cell r="B79">
            <v>2303400000</v>
          </cell>
          <cell r="C79" t="str">
            <v>SUPERAVIT POR REVALUACION DE MAQUINARIA</v>
          </cell>
          <cell r="D79">
            <v>-649061.1</v>
          </cell>
          <cell r="E79">
            <v>-649061.1</v>
          </cell>
        </row>
        <row r="80">
          <cell r="B80">
            <v>2304001000</v>
          </cell>
          <cell r="C80" t="str">
            <v>RESERVA LEGAL EJERCICIO ACTUAL</v>
          </cell>
          <cell r="D80">
            <v>-394606.33</v>
          </cell>
          <cell r="E80">
            <v>-394606.33</v>
          </cell>
        </row>
        <row r="81">
          <cell r="B81">
            <v>2307100000</v>
          </cell>
          <cell r="C81" t="str">
            <v>UTILIDADES RETENIDAS</v>
          </cell>
          <cell r="D81">
            <v>-1260382.2</v>
          </cell>
          <cell r="E81">
            <v>-1260382.2</v>
          </cell>
        </row>
        <row r="82">
          <cell r="B82">
            <v>2307300000</v>
          </cell>
          <cell r="C82" t="str">
            <v>RESULTADO  DEL  EJERCICIO  ACTUAL</v>
          </cell>
          <cell r="D82">
            <v>-3831332.29</v>
          </cell>
          <cell r="E82">
            <v>-3831332.29</v>
          </cell>
        </row>
        <row r="83">
          <cell r="B83">
            <v>2307460000</v>
          </cell>
          <cell r="C83" t="str">
            <v>SUPERAVIT REVALUACION REALIZADO MAQ.YEQ</v>
          </cell>
          <cell r="D83">
            <v>-72117.899999999994</v>
          </cell>
          <cell r="E83">
            <v>-72117.899999999994</v>
          </cell>
        </row>
        <row r="84">
          <cell r="B84">
            <v>3101000000</v>
          </cell>
          <cell r="C84" t="str">
            <v>INTERESES RECIBIDOS</v>
          </cell>
          <cell r="D84">
            <v>-59203.89</v>
          </cell>
          <cell r="E84">
            <v>-59203.89</v>
          </cell>
        </row>
        <row r="85">
          <cell r="B85">
            <v>3101010000</v>
          </cell>
          <cell r="C85" t="str">
            <v>INTERESES RECIBIDOS TERCEROS</v>
          </cell>
          <cell r="D85">
            <v>-20902.400000000001</v>
          </cell>
          <cell r="E85">
            <v>-20902.400000000001</v>
          </cell>
        </row>
        <row r="86">
          <cell r="B86">
            <v>3102000000</v>
          </cell>
          <cell r="C86" t="str">
            <v>INGRESOS POR LEASING</v>
          </cell>
          <cell r="D86">
            <v>-251234.16</v>
          </cell>
          <cell r="E86">
            <v>-251234.16</v>
          </cell>
        </row>
        <row r="87">
          <cell r="B87">
            <v>3103000000</v>
          </cell>
          <cell r="C87" t="str">
            <v>COMISIONES RECIBIDAS</v>
          </cell>
          <cell r="D87">
            <v>-189.93</v>
          </cell>
          <cell r="E87">
            <v>-189.93</v>
          </cell>
        </row>
        <row r="88">
          <cell r="B88">
            <v>4001000000</v>
          </cell>
          <cell r="C88" t="str">
            <v>INTERESES PAGADOS</v>
          </cell>
          <cell r="D88">
            <v>62975.81</v>
          </cell>
          <cell r="E88">
            <v>62975.81</v>
          </cell>
        </row>
        <row r="89">
          <cell r="B89">
            <v>4001010000</v>
          </cell>
          <cell r="C89" t="str">
            <v>INTERESES PAGADOS TERCEROS</v>
          </cell>
          <cell r="D89">
            <v>4948.1499999999996</v>
          </cell>
          <cell r="E89">
            <v>4948.1499999999996</v>
          </cell>
        </row>
        <row r="90">
          <cell r="B90">
            <v>4002000005</v>
          </cell>
          <cell r="C90" t="str">
            <v>DEPRECIACION DE  MAQUINARIA  Y EQUIPO</v>
          </cell>
          <cell r="D90">
            <v>58889</v>
          </cell>
          <cell r="E90">
            <v>58889</v>
          </cell>
        </row>
        <row r="91">
          <cell r="B91">
            <v>4002000008</v>
          </cell>
          <cell r="C91" t="str">
            <v>DEPRECIACION DE  VEHICULOS</v>
          </cell>
          <cell r="D91">
            <v>2941</v>
          </cell>
          <cell r="E91">
            <v>2941</v>
          </cell>
        </row>
        <row r="92">
          <cell r="B92">
            <v>4002000010</v>
          </cell>
          <cell r="C92" t="str">
            <v>DEPRECIACION DE  HARDWARE</v>
          </cell>
          <cell r="D92">
            <v>2084</v>
          </cell>
          <cell r="E92">
            <v>2084</v>
          </cell>
        </row>
        <row r="93">
          <cell r="B93">
            <v>4002000013</v>
          </cell>
          <cell r="C93" t="str">
            <v>DEPRECIACION REVALUACIONES DE  MAQUINAR</v>
          </cell>
          <cell r="D93">
            <v>-4186</v>
          </cell>
          <cell r="E93">
            <v>-4186</v>
          </cell>
        </row>
        <row r="94">
          <cell r="B94">
            <v>4002000019</v>
          </cell>
          <cell r="C94" t="str">
            <v>DEPRECIACION DE SOFTWAREE</v>
          </cell>
          <cell r="D94">
            <v>10</v>
          </cell>
          <cell r="E94">
            <v>10</v>
          </cell>
        </row>
        <row r="95">
          <cell r="B95">
            <v>4007000000</v>
          </cell>
          <cell r="C95" t="str">
            <v>OTROS COSTOS</v>
          </cell>
          <cell r="D95">
            <v>7236.92</v>
          </cell>
          <cell r="E95">
            <v>7236.92</v>
          </cell>
        </row>
        <row r="96">
          <cell r="B96">
            <v>4007000002</v>
          </cell>
          <cell r="C96" t="str">
            <v>GASTOS Y COMISIONES</v>
          </cell>
          <cell r="D96">
            <v>979.96</v>
          </cell>
          <cell r="E96">
            <v>979.96</v>
          </cell>
        </row>
        <row r="97">
          <cell r="B97">
            <v>4007000006</v>
          </cell>
          <cell r="C97" t="str">
            <v>HONORARIOS POR SERVICIOS</v>
          </cell>
          <cell r="D97">
            <v>1800</v>
          </cell>
          <cell r="E97">
            <v>1800</v>
          </cell>
        </row>
        <row r="98">
          <cell r="B98">
            <v>4007000007</v>
          </cell>
          <cell r="C98" t="str">
            <v>COSTOS ARRENDAMIENTOS OPERATIVOS</v>
          </cell>
          <cell r="D98">
            <v>9232.66</v>
          </cell>
          <cell r="E98">
            <v>9232.66</v>
          </cell>
        </row>
        <row r="99">
          <cell r="B99">
            <v>4007000011</v>
          </cell>
          <cell r="C99" t="str">
            <v>FINANCIAMIENTO MONTACARGAS</v>
          </cell>
          <cell r="D99">
            <v>703.07</v>
          </cell>
          <cell r="E99">
            <v>703.07</v>
          </cell>
        </row>
        <row r="100">
          <cell r="B100">
            <v>4007000012</v>
          </cell>
          <cell r="C100" t="str">
            <v>MANTEMIENTO MONTACARGAS</v>
          </cell>
          <cell r="D100">
            <v>10666.16</v>
          </cell>
          <cell r="E100">
            <v>10666.16</v>
          </cell>
        </row>
        <row r="101">
          <cell r="B101">
            <v>5000000040</v>
          </cell>
          <cell r="C101" t="str">
            <v>HONORARIOS</v>
          </cell>
          <cell r="D101">
            <v>2140</v>
          </cell>
          <cell r="E101">
            <v>2140</v>
          </cell>
        </row>
        <row r="102">
          <cell r="B102">
            <v>5000000050</v>
          </cell>
          <cell r="C102" t="str">
            <v>SUELDOS Y SALARIOS</v>
          </cell>
          <cell r="D102">
            <v>11844</v>
          </cell>
          <cell r="E102">
            <v>11844</v>
          </cell>
        </row>
        <row r="103">
          <cell r="B103">
            <v>5000000100</v>
          </cell>
          <cell r="C103" t="str">
            <v>AGUINALDOS</v>
          </cell>
          <cell r="D103">
            <v>1016.94</v>
          </cell>
          <cell r="E103">
            <v>1016.94</v>
          </cell>
        </row>
        <row r="104">
          <cell r="B104">
            <v>5000000110</v>
          </cell>
          <cell r="C104" t="str">
            <v>VACACIONES</v>
          </cell>
          <cell r="D104">
            <v>1372.5</v>
          </cell>
          <cell r="E104">
            <v>1372.5</v>
          </cell>
        </row>
        <row r="105">
          <cell r="B105">
            <v>5000000120</v>
          </cell>
          <cell r="C105" t="str">
            <v>INDEMNIZACIONES</v>
          </cell>
          <cell r="D105">
            <v>1016.94</v>
          </cell>
          <cell r="E105">
            <v>1016.94</v>
          </cell>
        </row>
        <row r="106">
          <cell r="B106">
            <v>5000000150</v>
          </cell>
          <cell r="C106" t="str">
            <v>SEGURO SOCIAL-CUOTA PATRONAL</v>
          </cell>
          <cell r="D106">
            <v>337.5</v>
          </cell>
          <cell r="E106">
            <v>337.5</v>
          </cell>
        </row>
        <row r="107">
          <cell r="B107">
            <v>5000000160</v>
          </cell>
          <cell r="C107" t="str">
            <v>SEGURO DE VIDA</v>
          </cell>
          <cell r="D107">
            <v>167.31</v>
          </cell>
          <cell r="E107">
            <v>167.31</v>
          </cell>
        </row>
        <row r="108">
          <cell r="B108">
            <v>5000000240</v>
          </cell>
          <cell r="C108" t="str">
            <v>ATENCIONES AL PERSONAL</v>
          </cell>
          <cell r="D108">
            <v>200</v>
          </cell>
          <cell r="E108">
            <v>200</v>
          </cell>
        </row>
        <row r="109">
          <cell r="B109">
            <v>5000000260</v>
          </cell>
          <cell r="C109" t="str">
            <v>FESTEJOS</v>
          </cell>
          <cell r="D109">
            <v>40</v>
          </cell>
          <cell r="E109">
            <v>40</v>
          </cell>
        </row>
        <row r="110">
          <cell r="B110">
            <v>5000000270</v>
          </cell>
          <cell r="C110" t="str">
            <v>VIAJES Y VIATICOS</v>
          </cell>
          <cell r="D110">
            <v>1125</v>
          </cell>
          <cell r="E110">
            <v>1125</v>
          </cell>
        </row>
        <row r="111">
          <cell r="B111">
            <v>5000000360</v>
          </cell>
          <cell r="C111" t="str">
            <v>COMUNICACIONES Y CORREO</v>
          </cell>
          <cell r="D111">
            <v>76.459999999999994</v>
          </cell>
          <cell r="E111">
            <v>76.459999999999994</v>
          </cell>
        </row>
        <row r="112">
          <cell r="B112">
            <v>5000000440</v>
          </cell>
          <cell r="C112" t="str">
            <v>MANTENIMIENTO PROPIO INSTALACIONES</v>
          </cell>
          <cell r="D112">
            <v>940</v>
          </cell>
          <cell r="E112">
            <v>940</v>
          </cell>
        </row>
        <row r="113">
          <cell r="B113">
            <v>5000000600</v>
          </cell>
          <cell r="C113" t="str">
            <v>APORTE PATRONAL PENSIONES (AFP)</v>
          </cell>
          <cell r="D113">
            <v>681.38</v>
          </cell>
          <cell r="E113">
            <v>681.38</v>
          </cell>
        </row>
        <row r="114">
          <cell r="B114">
            <v>8000000060</v>
          </cell>
          <cell r="C114" t="str">
            <v>VARIOS</v>
          </cell>
          <cell r="D114">
            <v>392.42</v>
          </cell>
          <cell r="E114">
            <v>392.42</v>
          </cell>
        </row>
        <row r="115">
          <cell r="B115">
            <v>8000000080</v>
          </cell>
          <cell r="C115" t="str">
            <v>IMPUESTO SOBRE LA RENTA</v>
          </cell>
          <cell r="D115">
            <v>31408.240000000002</v>
          </cell>
          <cell r="E115">
            <v>31408.240000000002</v>
          </cell>
        </row>
        <row r="116">
          <cell r="B116">
            <v>1304500000</v>
          </cell>
          <cell r="C116" t="str">
            <v>LF VALOR ORIGINAL MAQUINARIA Y EQUIPO I</v>
          </cell>
          <cell r="D116">
            <v>10148.76</v>
          </cell>
          <cell r="E116">
            <v>10148.76</v>
          </cell>
        </row>
        <row r="117">
          <cell r="B117">
            <v>1304510000</v>
          </cell>
          <cell r="C117" t="str">
            <v>LF DEPRECIACION VALOR ORIGINAL MAQ Y EQ</v>
          </cell>
          <cell r="D117">
            <v>-17466.580000000002</v>
          </cell>
          <cell r="E117">
            <v>-17466.580000000002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M77"/>
  <sheetViews>
    <sheetView showGridLines="0" view="pageBreakPreview" topLeftCell="A11" zoomScale="80" zoomScaleNormal="80" zoomScaleSheetLayoutView="80" workbookViewId="0">
      <selection activeCell="H52" sqref="H52"/>
    </sheetView>
  </sheetViews>
  <sheetFormatPr baseColWidth="10" defaultColWidth="9.1796875" defaultRowHeight="12.5" x14ac:dyDescent="0.25"/>
  <cols>
    <col min="1" max="1" width="3.7265625" style="1" customWidth="1"/>
    <col min="2" max="2" width="3.81640625" style="2" customWidth="1"/>
    <col min="3" max="3" width="8.54296875" style="2" customWidth="1"/>
    <col min="4" max="4" width="24.1796875" style="2" customWidth="1"/>
    <col min="5" max="5" width="12.1796875" style="2" customWidth="1"/>
    <col min="6" max="6" width="7.453125" style="2" customWidth="1"/>
    <col min="7" max="7" width="6.1796875" style="2" customWidth="1"/>
    <col min="8" max="8" width="13.453125" style="2" customWidth="1"/>
    <col min="9" max="9" width="7.1796875" style="2" customWidth="1"/>
    <col min="10" max="10" width="13.453125" style="2" customWidth="1"/>
    <col min="11" max="11" width="9.81640625" style="1" bestFit="1" customWidth="1"/>
    <col min="12" max="13" width="10.26953125" style="1" bestFit="1" customWidth="1"/>
    <col min="14" max="16384" width="9.1796875" style="1"/>
  </cols>
  <sheetData>
    <row r="2" spans="2:13" ht="13" x14ac:dyDescent="0.3">
      <c r="H2" s="3"/>
      <c r="I2" s="3"/>
      <c r="J2" s="3"/>
    </row>
    <row r="3" spans="2:13" ht="13" x14ac:dyDescent="0.3">
      <c r="D3" s="3"/>
    </row>
    <row r="4" spans="2:13" ht="13" x14ac:dyDescent="0.3">
      <c r="D4" s="3"/>
      <c r="H4" s="3"/>
      <c r="J4" s="3"/>
    </row>
    <row r="5" spans="2:13" ht="13" x14ac:dyDescent="0.3">
      <c r="B5" s="3"/>
      <c r="C5" s="3"/>
      <c r="D5" s="3"/>
    </row>
    <row r="6" spans="2:13" ht="13" x14ac:dyDescent="0.3">
      <c r="B6" s="106" t="s">
        <v>85</v>
      </c>
      <c r="C6" s="106"/>
      <c r="D6" s="106"/>
      <c r="E6" s="106"/>
      <c r="F6" s="106"/>
      <c r="G6" s="106"/>
      <c r="H6" s="106"/>
      <c r="I6" s="106"/>
      <c r="J6" s="106"/>
    </row>
    <row r="7" spans="2:13" ht="13" x14ac:dyDescent="0.3">
      <c r="B7" s="107" t="s">
        <v>116</v>
      </c>
      <c r="C7" s="107"/>
      <c r="D7" s="107"/>
      <c r="E7" s="107"/>
      <c r="F7" s="107"/>
      <c r="G7" s="107"/>
      <c r="H7" s="107"/>
      <c r="I7" s="107"/>
      <c r="J7" s="107"/>
    </row>
    <row r="8" spans="2:13" ht="13" x14ac:dyDescent="0.3">
      <c r="B8" s="107" t="s">
        <v>0</v>
      </c>
      <c r="C8" s="107"/>
      <c r="D8" s="107"/>
      <c r="E8" s="107"/>
      <c r="F8" s="107"/>
      <c r="G8" s="107"/>
      <c r="H8" s="107"/>
      <c r="I8" s="107"/>
      <c r="J8" s="107"/>
    </row>
    <row r="9" spans="2:13" ht="13" x14ac:dyDescent="0.3">
      <c r="B9" s="6"/>
      <c r="C9" s="6"/>
      <c r="D9" s="7"/>
      <c r="E9" s="7"/>
      <c r="F9" s="7"/>
      <c r="G9" s="7"/>
      <c r="H9" s="7"/>
      <c r="J9" s="7"/>
    </row>
    <row r="10" spans="2:13" x14ac:dyDescent="0.25">
      <c r="B10" s="8"/>
      <c r="C10" s="8"/>
      <c r="D10" s="8"/>
      <c r="E10" s="8"/>
      <c r="F10" s="8"/>
      <c r="G10" s="8"/>
      <c r="H10" s="9"/>
      <c r="I10" s="10"/>
      <c r="J10" s="9"/>
    </row>
    <row r="11" spans="2:13" ht="13" x14ac:dyDescent="0.3">
      <c r="B11" s="8"/>
      <c r="C11" s="8"/>
      <c r="D11" s="8"/>
      <c r="E11" s="8"/>
      <c r="F11" s="8"/>
      <c r="G11" s="8"/>
      <c r="H11" s="77"/>
      <c r="I11" s="10"/>
      <c r="J11" s="80"/>
    </row>
    <row r="12" spans="2:13" ht="13" x14ac:dyDescent="0.3">
      <c r="B12" s="8"/>
      <c r="C12" s="8"/>
      <c r="D12" s="8"/>
      <c r="E12" s="8"/>
      <c r="F12" s="8"/>
      <c r="G12" s="8"/>
      <c r="H12" s="11" t="s">
        <v>115</v>
      </c>
      <c r="I12" s="10"/>
      <c r="J12" s="11" t="s">
        <v>113</v>
      </c>
      <c r="K12" s="62"/>
      <c r="L12" s="51"/>
      <c r="M12" s="46"/>
    </row>
    <row r="13" spans="2:13" x14ac:dyDescent="0.25">
      <c r="I13" s="10"/>
    </row>
    <row r="14" spans="2:13" x14ac:dyDescent="0.25">
      <c r="I14" s="10"/>
    </row>
    <row r="15" spans="2:13" x14ac:dyDescent="0.25">
      <c r="B15" s="12"/>
      <c r="C15" s="27" t="s">
        <v>87</v>
      </c>
      <c r="D15" s="8"/>
      <c r="E15" s="8"/>
      <c r="F15" s="8"/>
      <c r="G15" s="8"/>
      <c r="H15" s="72">
        <f>-'Lista de Saldos IM'!E124/1000</f>
        <v>251.23416</v>
      </c>
      <c r="I15" s="63"/>
      <c r="J15" s="72">
        <v>277.60000000000002</v>
      </c>
      <c r="K15" s="53"/>
      <c r="L15" s="53"/>
      <c r="M15" s="53"/>
    </row>
    <row r="16" spans="2:13" hidden="1" x14ac:dyDescent="0.25">
      <c r="B16" s="8"/>
      <c r="C16" s="8" t="s">
        <v>1</v>
      </c>
      <c r="D16" s="8"/>
      <c r="E16" s="8"/>
      <c r="F16" s="8"/>
      <c r="G16" s="8"/>
      <c r="H16" s="72" t="e">
        <f>ROUND(#REF!/1000,1)*-1</f>
        <v>#REF!</v>
      </c>
      <c r="I16" s="63"/>
      <c r="J16" s="72" t="e">
        <f>ROUND(#REF!/1000,1)*-1</f>
        <v>#REF!</v>
      </c>
      <c r="K16" s="63"/>
      <c r="L16" s="53"/>
      <c r="M16" s="53"/>
    </row>
    <row r="17" spans="2:13" ht="13" x14ac:dyDescent="0.3">
      <c r="B17" s="8"/>
      <c r="C17" s="8"/>
      <c r="D17" s="6"/>
      <c r="E17" s="6"/>
      <c r="F17" s="8"/>
      <c r="G17" s="8"/>
      <c r="H17" s="64">
        <f>+H15</f>
        <v>251.23416</v>
      </c>
      <c r="I17" s="63"/>
      <c r="J17" s="64">
        <f>+J15</f>
        <v>277.60000000000002</v>
      </c>
      <c r="K17" s="64"/>
      <c r="L17" s="53"/>
      <c r="M17" s="53"/>
    </row>
    <row r="18" spans="2:13" ht="15" customHeight="1" x14ac:dyDescent="0.25">
      <c r="B18" s="8"/>
      <c r="C18" s="8"/>
      <c r="D18" s="8"/>
      <c r="E18" s="8"/>
      <c r="F18" s="8"/>
      <c r="G18" s="8"/>
      <c r="H18" s="63"/>
      <c r="I18" s="63"/>
      <c r="J18" s="63"/>
      <c r="K18" s="8"/>
    </row>
    <row r="19" spans="2:13" x14ac:dyDescent="0.25">
      <c r="B19" s="14"/>
      <c r="C19" s="25" t="s">
        <v>88</v>
      </c>
      <c r="D19" s="8"/>
      <c r="E19" s="8"/>
      <c r="F19" s="8"/>
      <c r="G19" s="8"/>
      <c r="H19" s="79">
        <f>('Lista de Saldos IM'!E131+'Lista de Saldos IM'!E132+'Lista de Saldos IM'!E134+'Lista de Saldos IM'!E136+'Lista de Saldos IM'!E137+'Lista de Saldos IM'!E138+'Lista de Saldos IM'!E139+'Lista de Saldos IM'!E140+'Lista de Saldos IM'!E145+'Lista de Saldos IM'!E146+'Lista de Saldos IM'!E147)/1000</f>
        <v>90.356770000000012</v>
      </c>
      <c r="I19" s="63"/>
      <c r="J19" s="79">
        <v>169.8</v>
      </c>
      <c r="K19" s="63"/>
      <c r="M19" s="74"/>
    </row>
    <row r="20" spans="2:13" x14ac:dyDescent="0.25">
      <c r="B20" s="8"/>
      <c r="C20" s="8"/>
      <c r="D20" s="8"/>
      <c r="E20" s="8"/>
      <c r="F20" s="8"/>
      <c r="G20" s="8"/>
      <c r="H20" s="63"/>
      <c r="I20" s="63"/>
      <c r="J20" s="63"/>
      <c r="K20" s="8"/>
    </row>
    <row r="21" spans="2:13" ht="13" x14ac:dyDescent="0.3">
      <c r="B21" s="8"/>
      <c r="C21" s="8"/>
      <c r="D21" s="6" t="s">
        <v>2</v>
      </c>
      <c r="E21" s="6"/>
      <c r="F21" s="16"/>
      <c r="G21" s="16"/>
      <c r="H21" s="64">
        <f>+H17-H19</f>
        <v>160.87738999999999</v>
      </c>
      <c r="I21" s="63"/>
      <c r="J21" s="64">
        <f>+J17-J19</f>
        <v>107.80000000000001</v>
      </c>
      <c r="K21" s="64"/>
    </row>
    <row r="22" spans="2:13" x14ac:dyDescent="0.25">
      <c r="H22" s="63"/>
      <c r="I22" s="63"/>
      <c r="J22" s="63"/>
      <c r="K22" s="2"/>
    </row>
    <row r="23" spans="2:13" x14ac:dyDescent="0.25">
      <c r="B23" s="8"/>
      <c r="C23" s="8"/>
      <c r="D23" s="8"/>
      <c r="E23" s="8"/>
      <c r="F23" s="8"/>
      <c r="G23" s="8"/>
      <c r="H23" s="63"/>
      <c r="I23" s="63"/>
      <c r="J23" s="63"/>
      <c r="K23" s="8"/>
    </row>
    <row r="24" spans="2:13" hidden="1" x14ac:dyDescent="0.25">
      <c r="B24" s="8"/>
      <c r="C24" s="8" t="s">
        <v>3</v>
      </c>
      <c r="D24" s="8"/>
      <c r="E24" s="8"/>
      <c r="F24" s="8"/>
      <c r="G24" s="8"/>
      <c r="H24" s="63"/>
      <c r="I24" s="63"/>
      <c r="J24" s="63"/>
      <c r="K24" s="8"/>
    </row>
    <row r="25" spans="2:13" hidden="1" x14ac:dyDescent="0.25">
      <c r="B25" s="8"/>
      <c r="C25" s="8"/>
      <c r="D25" s="8"/>
      <c r="E25" s="8"/>
      <c r="F25" s="8"/>
      <c r="G25" s="8"/>
      <c r="H25" s="63"/>
      <c r="I25" s="63"/>
      <c r="J25" s="63"/>
      <c r="K25" s="8"/>
    </row>
    <row r="26" spans="2:13" hidden="1" x14ac:dyDescent="0.25">
      <c r="B26" s="8"/>
      <c r="C26" s="8"/>
      <c r="D26" s="8"/>
      <c r="E26" s="8"/>
      <c r="F26" s="8"/>
      <c r="G26" s="8"/>
      <c r="H26" s="71"/>
      <c r="I26" s="63"/>
      <c r="J26" s="71"/>
      <c r="K26" s="15"/>
    </row>
    <row r="27" spans="2:13" hidden="1" x14ac:dyDescent="0.25">
      <c r="B27" s="14"/>
      <c r="C27" s="8"/>
      <c r="D27" s="8" t="s">
        <v>4</v>
      </c>
      <c r="E27" s="8"/>
      <c r="F27" s="8"/>
      <c r="G27" s="8"/>
      <c r="H27" s="63">
        <v>0</v>
      </c>
      <c r="I27" s="63"/>
      <c r="J27" s="63">
        <v>0</v>
      </c>
      <c r="K27" s="8"/>
    </row>
    <row r="28" spans="2:13" hidden="1" x14ac:dyDescent="0.25">
      <c r="B28" s="8"/>
      <c r="C28" s="8"/>
      <c r="D28" s="8" t="s">
        <v>5</v>
      </c>
      <c r="E28" s="8"/>
      <c r="F28" s="8"/>
      <c r="G28" s="8"/>
      <c r="H28" s="72">
        <v>0</v>
      </c>
      <c r="I28" s="63"/>
      <c r="J28" s="72">
        <v>0</v>
      </c>
      <c r="K28" s="15"/>
    </row>
    <row r="29" spans="2:13" hidden="1" x14ac:dyDescent="0.25">
      <c r="B29" s="8"/>
      <c r="C29" s="8"/>
      <c r="D29" s="8"/>
      <c r="E29" s="8"/>
      <c r="F29" s="8"/>
      <c r="G29" s="8"/>
      <c r="H29" s="63"/>
      <c r="I29" s="63"/>
      <c r="J29" s="63"/>
      <c r="K29" s="8"/>
    </row>
    <row r="30" spans="2:13" hidden="1" x14ac:dyDescent="0.25">
      <c r="D30" s="2" t="s">
        <v>6</v>
      </c>
      <c r="H30" s="72">
        <f>+H27+H28</f>
        <v>0</v>
      </c>
      <c r="I30" s="63"/>
      <c r="J30" s="72">
        <f>+J27+J28</f>
        <v>0</v>
      </c>
      <c r="K30" s="17"/>
    </row>
    <row r="31" spans="2:13" hidden="1" x14ac:dyDescent="0.25">
      <c r="H31" s="63"/>
      <c r="I31" s="63"/>
      <c r="J31" s="63"/>
      <c r="K31" s="2"/>
    </row>
    <row r="32" spans="2:13" ht="13" hidden="1" x14ac:dyDescent="0.3">
      <c r="B32" s="8"/>
      <c r="C32" s="18" t="s">
        <v>7</v>
      </c>
      <c r="D32" s="18"/>
      <c r="E32" s="6"/>
      <c r="F32" s="16"/>
      <c r="G32" s="16"/>
      <c r="H32" s="64">
        <f>+H21-H30</f>
        <v>160.87738999999999</v>
      </c>
      <c r="I32" s="63"/>
      <c r="J32" s="64">
        <f>+J21-J30</f>
        <v>107.80000000000001</v>
      </c>
      <c r="K32" s="64"/>
    </row>
    <row r="33" spans="2:11" ht="13" hidden="1" x14ac:dyDescent="0.3">
      <c r="D33" s="78" t="s">
        <v>8</v>
      </c>
      <c r="H33" s="63"/>
      <c r="I33" s="63"/>
      <c r="J33" s="63"/>
      <c r="K33" s="2"/>
    </row>
    <row r="34" spans="2:11" x14ac:dyDescent="0.25">
      <c r="C34" s="2" t="s">
        <v>9</v>
      </c>
      <c r="H34" s="63"/>
      <c r="I34" s="63"/>
      <c r="J34" s="63"/>
      <c r="K34" s="2"/>
    </row>
    <row r="35" spans="2:11" hidden="1" x14ac:dyDescent="0.25">
      <c r="D35" s="2" t="s">
        <v>10</v>
      </c>
      <c r="E35" s="8"/>
      <c r="H35" s="63">
        <v>0</v>
      </c>
      <c r="I35" s="63"/>
      <c r="J35" s="63">
        <v>0</v>
      </c>
      <c r="K35" s="8"/>
    </row>
    <row r="36" spans="2:11" x14ac:dyDescent="0.25">
      <c r="D36" s="25" t="s">
        <v>5</v>
      </c>
      <c r="E36" s="8"/>
      <c r="F36" s="8"/>
      <c r="G36" s="8"/>
      <c r="H36" s="63">
        <f>'Lista de Saldos IM'!E181/1000</f>
        <v>20.958030000000001</v>
      </c>
      <c r="I36" s="63"/>
      <c r="J36" s="63">
        <v>25.3</v>
      </c>
      <c r="K36" s="8"/>
    </row>
    <row r="37" spans="2:11" x14ac:dyDescent="0.25">
      <c r="D37" s="8" t="s">
        <v>11</v>
      </c>
      <c r="E37" s="8"/>
      <c r="F37" s="8"/>
      <c r="G37" s="8"/>
      <c r="H37" s="53">
        <f>('Lista de Saldos IM'!E127+'Lista de Saldos IM'!E128+'Lista de Saldos IM'!E122+'Lista de Saldos IM'!E123)/1000</f>
        <v>-12.182330000000009</v>
      </c>
      <c r="I37" s="63"/>
      <c r="J37" s="53">
        <v>0</v>
      </c>
      <c r="K37" s="63"/>
    </row>
    <row r="38" spans="2:11" x14ac:dyDescent="0.25">
      <c r="D38" s="8" t="s">
        <v>12</v>
      </c>
      <c r="E38" s="8"/>
      <c r="F38" s="8"/>
      <c r="G38" s="8"/>
      <c r="H38" s="63">
        <v>0</v>
      </c>
      <c r="I38" s="63"/>
      <c r="J38" s="63">
        <v>0</v>
      </c>
      <c r="K38" s="8"/>
    </row>
    <row r="39" spans="2:11" x14ac:dyDescent="0.25">
      <c r="H39" s="63"/>
      <c r="I39" s="63"/>
      <c r="J39" s="63"/>
      <c r="K39" s="2"/>
    </row>
    <row r="40" spans="2:11" x14ac:dyDescent="0.25">
      <c r="B40" s="8"/>
      <c r="C40" s="8" t="s">
        <v>13</v>
      </c>
      <c r="D40" s="8"/>
      <c r="E40" s="8"/>
      <c r="F40" s="8"/>
      <c r="G40" s="8"/>
      <c r="H40" s="63"/>
      <c r="I40" s="63"/>
      <c r="J40" s="63"/>
      <c r="K40" s="8"/>
    </row>
    <row r="41" spans="2:11" x14ac:dyDescent="0.25">
      <c r="B41" s="8"/>
      <c r="C41" s="25" t="s">
        <v>89</v>
      </c>
      <c r="D41" s="8"/>
      <c r="E41" s="8"/>
      <c r="F41" s="8"/>
      <c r="G41" s="8"/>
      <c r="H41" s="72">
        <f>(-'Lista de Saldos IM'!E150-'Lista de Saldos IM'!E125)/1000</f>
        <v>-0.20249</v>
      </c>
      <c r="I41" s="63"/>
      <c r="J41" s="72">
        <v>2.2000000000000002</v>
      </c>
      <c r="K41" s="63"/>
    </row>
    <row r="42" spans="2:11" x14ac:dyDescent="0.25">
      <c r="B42" s="8"/>
      <c r="C42" s="8"/>
      <c r="D42" s="8"/>
      <c r="E42" s="8"/>
      <c r="F42" s="8"/>
      <c r="G42" s="8"/>
      <c r="H42" s="63"/>
      <c r="I42" s="63"/>
      <c r="J42" s="63"/>
      <c r="K42" s="8"/>
    </row>
    <row r="43" spans="2:11" x14ac:dyDescent="0.25">
      <c r="H43" s="63"/>
      <c r="I43" s="63"/>
      <c r="J43" s="63"/>
      <c r="K43" s="2"/>
    </row>
    <row r="44" spans="2:11" ht="13" x14ac:dyDescent="0.3">
      <c r="B44" s="12"/>
      <c r="C44" s="108" t="s">
        <v>79</v>
      </c>
      <c r="D44" s="108"/>
      <c r="E44" s="108"/>
      <c r="F44" s="108"/>
      <c r="G44" s="77"/>
      <c r="H44" s="64">
        <f>H32-H35-H36-H37-H38+H41+H42</f>
        <v>151.89919999999998</v>
      </c>
      <c r="I44" s="64"/>
      <c r="J44" s="64">
        <f>J32-J35-J36-J37-J38+J41+J42</f>
        <v>84.700000000000017</v>
      </c>
      <c r="K44" s="64"/>
    </row>
    <row r="45" spans="2:11" x14ac:dyDescent="0.25">
      <c r="B45" s="12"/>
      <c r="H45" s="63"/>
      <c r="I45" s="63"/>
      <c r="J45" s="63"/>
      <c r="K45" s="2"/>
    </row>
    <row r="46" spans="2:11" x14ac:dyDescent="0.25">
      <c r="C46" s="12" t="s">
        <v>14</v>
      </c>
      <c r="D46" s="8"/>
      <c r="E46" s="8"/>
      <c r="F46" s="8"/>
      <c r="G46" s="8"/>
      <c r="H46" s="63"/>
      <c r="I46" s="63"/>
      <c r="J46" s="63"/>
      <c r="K46" s="8"/>
    </row>
    <row r="47" spans="2:11" x14ac:dyDescent="0.25">
      <c r="H47" s="63"/>
      <c r="I47" s="63"/>
      <c r="J47" s="63"/>
      <c r="K47" s="20"/>
    </row>
    <row r="48" spans="2:11" x14ac:dyDescent="0.25">
      <c r="C48" s="12" t="s">
        <v>15</v>
      </c>
      <c r="H48" s="63">
        <f>'Lista de Saldos IM'!E152/1000</f>
        <v>31.408240000000003</v>
      </c>
      <c r="I48" s="63"/>
      <c r="J48" s="63">
        <v>15.2</v>
      </c>
      <c r="K48" s="63"/>
    </row>
    <row r="49" spans="2:11" x14ac:dyDescent="0.25">
      <c r="B49" s="8"/>
      <c r="C49" s="27" t="s">
        <v>93</v>
      </c>
      <c r="H49" s="63">
        <v>0</v>
      </c>
      <c r="I49" s="63"/>
      <c r="J49" s="63">
        <v>0</v>
      </c>
      <c r="K49" s="63"/>
    </row>
    <row r="50" spans="2:11" x14ac:dyDescent="0.25">
      <c r="H50" s="72"/>
      <c r="I50" s="63"/>
      <c r="J50" s="72"/>
      <c r="K50" s="21"/>
    </row>
    <row r="51" spans="2:11" x14ac:dyDescent="0.25">
      <c r="H51" s="63"/>
      <c r="I51" s="63"/>
      <c r="J51" s="63"/>
      <c r="K51" s="21"/>
    </row>
    <row r="52" spans="2:11" ht="13.5" thickBot="1" x14ac:dyDescent="0.35">
      <c r="C52" s="6" t="s">
        <v>80</v>
      </c>
      <c r="D52" s="6"/>
      <c r="E52" s="6"/>
      <c r="F52" s="8"/>
      <c r="G52" s="8"/>
      <c r="H52" s="59">
        <f>H44-H48-H49</f>
        <v>120.49095999999997</v>
      </c>
      <c r="I52" s="63"/>
      <c r="J52" s="59">
        <f>J44-J48-J49</f>
        <v>69.500000000000014</v>
      </c>
      <c r="K52" s="21"/>
    </row>
    <row r="53" spans="2:11" ht="13" thickTop="1" x14ac:dyDescent="0.25">
      <c r="H53" s="63"/>
      <c r="I53" s="63"/>
      <c r="J53" s="63"/>
      <c r="K53" s="8"/>
    </row>
    <row r="54" spans="2:11" x14ac:dyDescent="0.25">
      <c r="H54" s="63"/>
      <c r="I54" s="63"/>
      <c r="J54" s="63"/>
      <c r="K54" s="8"/>
    </row>
    <row r="55" spans="2:11" x14ac:dyDescent="0.25">
      <c r="H55" s="63"/>
      <c r="I55" s="63"/>
      <c r="J55" s="63"/>
      <c r="K55" s="8"/>
    </row>
    <row r="56" spans="2:11" x14ac:dyDescent="0.25">
      <c r="H56" s="63"/>
      <c r="I56" s="63"/>
      <c r="J56" s="63"/>
    </row>
    <row r="57" spans="2:11" x14ac:dyDescent="0.25">
      <c r="H57" s="70"/>
      <c r="I57" s="70"/>
      <c r="J57" s="70"/>
      <c r="K57" s="23"/>
    </row>
    <row r="58" spans="2:11" x14ac:dyDescent="0.25">
      <c r="C58" s="24"/>
      <c r="H58" s="63"/>
      <c r="I58" s="63"/>
      <c r="J58" s="63"/>
    </row>
    <row r="59" spans="2:11" x14ac:dyDescent="0.25">
      <c r="C59" s="51" t="s">
        <v>112</v>
      </c>
      <c r="E59" s="25"/>
      <c r="F59" s="27"/>
      <c r="G59" s="75"/>
      <c r="H59" s="69"/>
      <c r="I59" s="72"/>
      <c r="J59" s="69"/>
    </row>
    <row r="60" spans="2:11" x14ac:dyDescent="0.25">
      <c r="C60" s="27"/>
      <c r="D60" s="27" t="s">
        <v>90</v>
      </c>
      <c r="E60" s="25"/>
      <c r="F60" s="25"/>
      <c r="G60" s="109" t="s">
        <v>96</v>
      </c>
      <c r="H60" s="109"/>
      <c r="I60" s="109"/>
      <c r="J60" s="53"/>
    </row>
    <row r="61" spans="2:11" x14ac:dyDescent="0.25">
      <c r="H61" s="63"/>
      <c r="I61" s="63"/>
      <c r="J61" s="63"/>
    </row>
    <row r="62" spans="2:11" x14ac:dyDescent="0.25">
      <c r="H62" s="63"/>
      <c r="I62" s="63"/>
      <c r="J62" s="63"/>
    </row>
    <row r="63" spans="2:11" x14ac:dyDescent="0.25">
      <c r="H63" s="63"/>
      <c r="I63" s="63"/>
      <c r="J63" s="63"/>
    </row>
    <row r="64" spans="2:11" x14ac:dyDescent="0.25">
      <c r="H64" s="63"/>
      <c r="I64" s="63"/>
      <c r="J64" s="63"/>
    </row>
    <row r="65" spans="8:10" x14ac:dyDescent="0.25">
      <c r="H65" s="63"/>
      <c r="I65" s="63"/>
      <c r="J65" s="63"/>
    </row>
    <row r="66" spans="8:10" x14ac:dyDescent="0.25">
      <c r="H66" s="63"/>
      <c r="I66" s="63"/>
      <c r="J66" s="63"/>
    </row>
    <row r="67" spans="8:10" x14ac:dyDescent="0.25">
      <c r="H67" s="63"/>
      <c r="I67" s="63"/>
      <c r="J67" s="63"/>
    </row>
    <row r="68" spans="8:10" x14ac:dyDescent="0.25">
      <c r="H68" s="63"/>
      <c r="I68" s="63"/>
      <c r="J68" s="63"/>
    </row>
    <row r="69" spans="8:10" x14ac:dyDescent="0.25">
      <c r="H69" s="63"/>
      <c r="I69" s="63"/>
      <c r="J69" s="63"/>
    </row>
    <row r="70" spans="8:10" x14ac:dyDescent="0.25">
      <c r="H70" s="63"/>
      <c r="I70" s="63"/>
      <c r="J70" s="63"/>
    </row>
    <row r="71" spans="8:10" x14ac:dyDescent="0.25">
      <c r="H71" s="63"/>
      <c r="I71" s="63"/>
      <c r="J71" s="63"/>
    </row>
    <row r="72" spans="8:10" x14ac:dyDescent="0.25">
      <c r="H72" s="63"/>
      <c r="I72" s="63"/>
      <c r="J72" s="63"/>
    </row>
    <row r="73" spans="8:10" x14ac:dyDescent="0.25">
      <c r="H73" s="63"/>
      <c r="I73" s="63"/>
      <c r="J73" s="63"/>
    </row>
    <row r="74" spans="8:10" x14ac:dyDescent="0.25">
      <c r="H74" s="63"/>
      <c r="I74" s="63"/>
      <c r="J74" s="63"/>
    </row>
    <row r="75" spans="8:10" x14ac:dyDescent="0.25">
      <c r="H75" s="63"/>
      <c r="I75" s="63"/>
      <c r="J75" s="63"/>
    </row>
    <row r="76" spans="8:10" x14ac:dyDescent="0.25">
      <c r="H76" s="63"/>
      <c r="I76" s="63"/>
      <c r="J76" s="63"/>
    </row>
    <row r="77" spans="8:10" x14ac:dyDescent="0.25">
      <c r="H77" s="63"/>
      <c r="I77" s="63"/>
      <c r="J77" s="63"/>
    </row>
  </sheetData>
  <mergeCells count="5">
    <mergeCell ref="B6:J6"/>
    <mergeCell ref="B7:J7"/>
    <mergeCell ref="B8:J8"/>
    <mergeCell ref="C44:F44"/>
    <mergeCell ref="G60:I60"/>
  </mergeCells>
  <printOptions horizontalCentered="1"/>
  <pageMargins left="0.43307086614173229" right="0.43307086614173229" top="0.47244094488188981" bottom="0.39370078740157483" header="0.31496062992125984" footer="0.27559055118110237"/>
  <pageSetup scale="97" orientation="portrait" r:id="rId1"/>
  <headerFooter alignWithMargins="0"/>
  <customProperties>
    <customPr name="EpmWorksheetKeyString_GUID" r:id="rId2"/>
  </customPropertie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3:L76"/>
  <sheetViews>
    <sheetView showGridLines="0" tabSelected="1" view="pageBreakPreview" topLeftCell="B25" zoomScale="80" zoomScaleNormal="90" zoomScaleSheetLayoutView="80" workbookViewId="0">
      <selection activeCell="G40" sqref="G40"/>
    </sheetView>
  </sheetViews>
  <sheetFormatPr baseColWidth="10" defaultColWidth="9.1796875" defaultRowHeight="12.5" x14ac:dyDescent="0.25"/>
  <cols>
    <col min="1" max="1" width="2" style="1" customWidth="1"/>
    <col min="2" max="3" width="12.26953125" style="1" customWidth="1"/>
    <col min="4" max="4" width="20.26953125" style="1" customWidth="1"/>
    <col min="5" max="5" width="8.1796875" style="1" customWidth="1"/>
    <col min="6" max="6" width="16.1796875" style="1" customWidth="1"/>
    <col min="7" max="7" width="12.81640625" style="1" customWidth="1"/>
    <col min="8" max="8" width="3.1796875" style="1" customWidth="1"/>
    <col min="9" max="9" width="11" style="1" bestFit="1" customWidth="1"/>
    <col min="10" max="10" width="9.26953125" style="1" bestFit="1" customWidth="1"/>
    <col min="11" max="16384" width="9.1796875" style="1"/>
  </cols>
  <sheetData>
    <row r="3" spans="2:11" ht="13" x14ac:dyDescent="0.3">
      <c r="C3" s="28"/>
      <c r="G3" s="3"/>
    </row>
    <row r="4" spans="2:11" ht="13" x14ac:dyDescent="0.3">
      <c r="C4" s="28"/>
    </row>
    <row r="5" spans="2:11" ht="18" x14ac:dyDescent="0.4">
      <c r="B5" s="29"/>
      <c r="C5" s="28"/>
      <c r="G5" s="2"/>
      <c r="H5" s="2"/>
    </row>
    <row r="6" spans="2:11" ht="13" x14ac:dyDescent="0.3">
      <c r="B6" s="106" t="s">
        <v>85</v>
      </c>
      <c r="C6" s="106"/>
      <c r="D6" s="106"/>
      <c r="E6" s="106"/>
      <c r="F6" s="106"/>
      <c r="G6" s="106"/>
      <c r="H6" s="106"/>
      <c r="I6" s="106"/>
    </row>
    <row r="7" spans="2:11" ht="13" x14ac:dyDescent="0.3">
      <c r="B7" s="108" t="s">
        <v>110</v>
      </c>
      <c r="C7" s="114"/>
      <c r="D7" s="114"/>
      <c r="E7" s="114"/>
      <c r="F7" s="114"/>
      <c r="G7" s="114"/>
      <c r="H7" s="114"/>
      <c r="I7" s="114"/>
    </row>
    <row r="8" spans="2:11" ht="13" x14ac:dyDescent="0.3">
      <c r="B8" s="114" t="s">
        <v>16</v>
      </c>
      <c r="C8" s="114"/>
      <c r="D8" s="114"/>
      <c r="E8" s="114"/>
      <c r="F8" s="114"/>
      <c r="G8" s="114"/>
      <c r="H8" s="114"/>
      <c r="I8" s="114"/>
    </row>
    <row r="9" spans="2:11" ht="13" x14ac:dyDescent="0.3">
      <c r="B9" s="30"/>
      <c r="C9" s="31"/>
      <c r="D9" s="31"/>
      <c r="E9" s="31"/>
      <c r="F9" s="31"/>
      <c r="G9" s="31"/>
      <c r="H9" s="32"/>
      <c r="I9" s="31"/>
    </row>
    <row r="10" spans="2:11" ht="13" x14ac:dyDescent="0.3">
      <c r="B10" s="33" t="s">
        <v>100</v>
      </c>
      <c r="C10" s="25"/>
      <c r="D10" s="25"/>
      <c r="E10" s="25"/>
      <c r="F10" s="25"/>
      <c r="G10" s="34"/>
      <c r="H10" s="35"/>
      <c r="I10" s="32"/>
    </row>
    <row r="11" spans="2:11" ht="13" x14ac:dyDescent="0.3">
      <c r="B11" s="33"/>
      <c r="C11" s="25"/>
      <c r="D11" s="25"/>
      <c r="E11" s="25"/>
      <c r="F11" s="25"/>
      <c r="G11" s="11" t="s">
        <v>115</v>
      </c>
      <c r="H11" s="25"/>
      <c r="I11" s="11" t="s">
        <v>117</v>
      </c>
    </row>
    <row r="12" spans="2:11" ht="13" x14ac:dyDescent="0.3">
      <c r="B12" s="13" t="s">
        <v>101</v>
      </c>
      <c r="C12" s="25"/>
      <c r="D12" s="25"/>
      <c r="E12" s="25"/>
      <c r="F12" s="25"/>
      <c r="G12" s="36"/>
      <c r="H12" s="36"/>
      <c r="I12" s="13"/>
    </row>
    <row r="13" spans="2:11" x14ac:dyDescent="0.25">
      <c r="B13" s="25" t="s">
        <v>17</v>
      </c>
      <c r="C13" s="25"/>
      <c r="D13" s="25"/>
      <c r="E13" s="25"/>
      <c r="F13" s="25"/>
      <c r="G13" s="25">
        <f>('Lista de Saldos IM'!E7+'Lista de Saldos IM'!E10+'Lista de Saldos IM'!E12+'Lista de Saldos IM'!E13+'Lista de Saldos IM'!E14+'Lista de Saldos IM'!E15+'Lista de Saldos IM'!E17+'Lista de Saldos IM'!E18+'Lista de Saldos IM'!E20+'Lista de Saldos IM'!E21+'Lista de Saldos IM'!E22+'Lista de Saldos IM'!E23+'Lista de Saldos IM'!E26+'Lista de Saldos IM'!E27+'Lista de Saldos IM'!E28+'Lista de Saldos IM'!E29+'Lista de Saldos IM'!E30+'Lista de Saldos IM'!E31+'Lista de Saldos IM'!E32+'Lista de Saldos IM'!E34+'Lista de Saldos IM'!E37+'Lista de Saldos IM'!E38+'Lista de Saldos IM'!E39+'Lista de Saldos IM'!E40+'Lista de Saldos IM'!E41+'Lista de Saldos IM'!E42+'Lista de Saldos IM'!E43+'Lista de Saldos IM'!E44+'Lista de Saldos IM'!D45)/1000</f>
        <v>358.86381999999992</v>
      </c>
      <c r="H13" s="25"/>
      <c r="I13" s="25">
        <v>411.8202</v>
      </c>
      <c r="J13" s="25"/>
    </row>
    <row r="14" spans="2:11" x14ac:dyDescent="0.25">
      <c r="B14" s="25" t="s">
        <v>18</v>
      </c>
      <c r="C14" s="25"/>
      <c r="D14" s="25"/>
      <c r="E14" s="25"/>
      <c r="F14" s="25"/>
      <c r="G14" s="105">
        <f>(5519962.41+2000000)/1000</f>
        <v>7519.9624100000001</v>
      </c>
      <c r="H14" s="25"/>
      <c r="I14" s="25">
        <v>5209.7064099999998</v>
      </c>
      <c r="J14" s="25"/>
      <c r="K14" s="23"/>
    </row>
    <row r="15" spans="2:11" x14ac:dyDescent="0.25">
      <c r="B15" s="25" t="s">
        <v>118</v>
      </c>
      <c r="C15" s="25"/>
      <c r="D15" s="25"/>
      <c r="E15" s="25"/>
      <c r="F15" s="25"/>
      <c r="G15" s="25">
        <f>'Lista de Saldos IM'!E54/1000</f>
        <v>2.4906299999999999</v>
      </c>
      <c r="H15" s="25"/>
      <c r="I15" s="25">
        <v>2.4906299999999999</v>
      </c>
      <c r="J15" s="25"/>
    </row>
    <row r="16" spans="2:11" x14ac:dyDescent="0.25">
      <c r="B16" s="25" t="s">
        <v>20</v>
      </c>
      <c r="C16" s="25"/>
      <c r="D16" s="25"/>
      <c r="E16" s="25"/>
      <c r="F16" s="25"/>
      <c r="G16" s="26">
        <f>('Lista de Saldos IM'!E56+'Lista de Saldos IM'!E55)/1000</f>
        <v>192.56493</v>
      </c>
      <c r="H16" s="25"/>
      <c r="I16" s="26">
        <v>194.51172</v>
      </c>
      <c r="J16" s="25"/>
    </row>
    <row r="17" spans="1:12" ht="13" x14ac:dyDescent="0.3">
      <c r="B17"/>
      <c r="C17" s="18" t="s">
        <v>103</v>
      </c>
      <c r="D17" s="31"/>
      <c r="E17" s="25"/>
      <c r="F17" s="25"/>
      <c r="G17" s="36">
        <f>SUM(G13:G16)</f>
        <v>8073.8817899999995</v>
      </c>
      <c r="H17" s="36"/>
      <c r="I17" s="36">
        <f>SUM(I13:I16)</f>
        <v>5818.5289600000006</v>
      </c>
      <c r="J17" s="36"/>
    </row>
    <row r="18" spans="1:12" ht="15" customHeight="1" x14ac:dyDescent="0.25">
      <c r="F18" s="25"/>
    </row>
    <row r="19" spans="1:12" ht="13" x14ac:dyDescent="0.3">
      <c r="A19"/>
      <c r="B19" s="13" t="s">
        <v>102</v>
      </c>
      <c r="C19" s="25"/>
      <c r="D19" s="25"/>
      <c r="E19" s="25"/>
      <c r="F19" s="25"/>
      <c r="G19" s="36"/>
      <c r="H19" s="36"/>
      <c r="I19" s="36"/>
      <c r="J19" s="36"/>
    </row>
    <row r="20" spans="1:12" x14ac:dyDescent="0.25">
      <c r="B20" s="25" t="s">
        <v>21</v>
      </c>
      <c r="C20" s="25"/>
      <c r="D20" s="25"/>
      <c r="E20" s="25"/>
      <c r="F20" s="25"/>
      <c r="G20" s="105">
        <f>13506718.15/1000</f>
        <v>13506.718150000001</v>
      </c>
      <c r="H20" s="25"/>
      <c r="I20" s="25">
        <v>13565.580239999999</v>
      </c>
      <c r="J20" s="25"/>
    </row>
    <row r="21" spans="1:12" hidden="1" x14ac:dyDescent="0.25">
      <c r="B21" s="25" t="s">
        <v>22</v>
      </c>
      <c r="C21" s="25"/>
      <c r="D21" s="25"/>
      <c r="E21" s="25"/>
      <c r="F21" s="25"/>
      <c r="G21" s="25"/>
      <c r="H21" s="25"/>
      <c r="I21" s="25"/>
      <c r="J21" s="25"/>
    </row>
    <row r="22" spans="1:12" x14ac:dyDescent="0.25">
      <c r="B22" s="1" t="s">
        <v>75</v>
      </c>
      <c r="C22" s="25"/>
      <c r="D22" s="25"/>
      <c r="E22" s="25"/>
      <c r="F22" s="25"/>
      <c r="G22" s="25">
        <f>('Lista de Saldos IM'!E57-2000000)/1000</f>
        <v>1500</v>
      </c>
      <c r="H22" s="25"/>
      <c r="I22" s="25">
        <v>3500</v>
      </c>
      <c r="J22" s="25"/>
    </row>
    <row r="23" spans="1:12" ht="13.5" customHeight="1" x14ac:dyDescent="0.25">
      <c r="B23" s="25" t="s">
        <v>97</v>
      </c>
      <c r="C23" s="25"/>
      <c r="D23" s="25"/>
      <c r="E23" s="25"/>
      <c r="F23" s="25"/>
      <c r="G23" s="26"/>
      <c r="H23" s="25"/>
      <c r="I23" s="26">
        <v>0</v>
      </c>
      <c r="J23" s="25"/>
      <c r="L23" s="25"/>
    </row>
    <row r="24" spans="1:12" ht="13" x14ac:dyDescent="0.3">
      <c r="B24"/>
      <c r="C24" s="18" t="s">
        <v>104</v>
      </c>
      <c r="D24" s="31"/>
      <c r="E24" s="25"/>
      <c r="F24" s="25"/>
      <c r="G24" s="36">
        <f>SUM(G20:G23)</f>
        <v>15006.718150000001</v>
      </c>
      <c r="H24" s="25"/>
      <c r="I24" s="36">
        <f>SUM(I20:I23)</f>
        <v>17065.580239999999</v>
      </c>
      <c r="J24" s="25"/>
    </row>
    <row r="25" spans="1:12" ht="13" x14ac:dyDescent="0.3">
      <c r="H25" s="36"/>
      <c r="J25" s="36"/>
    </row>
    <row r="26" spans="1:12" ht="13" x14ac:dyDescent="0.3">
      <c r="B26"/>
      <c r="C26" s="30"/>
      <c r="D26" s="31"/>
      <c r="E26" s="25"/>
      <c r="F26" s="25"/>
      <c r="G26" s="37"/>
      <c r="H26" s="36"/>
      <c r="I26" s="37"/>
      <c r="J26" s="36"/>
    </row>
    <row r="27" spans="1:12" ht="13.5" thickBot="1" x14ac:dyDescent="0.35">
      <c r="B27" s="25"/>
      <c r="C27" s="6" t="s">
        <v>105</v>
      </c>
      <c r="D27" s="30"/>
      <c r="E27" s="25"/>
      <c r="F27" s="25"/>
      <c r="G27" s="38">
        <f>+G24+G17</f>
        <v>23080.59994</v>
      </c>
      <c r="H27" s="25"/>
      <c r="I27" s="38">
        <f>+I24+I17</f>
        <v>22884.109199999999</v>
      </c>
      <c r="J27" s="25"/>
    </row>
    <row r="28" spans="1:12" ht="13.5" thickTop="1" x14ac:dyDescent="0.3">
      <c r="H28" s="36"/>
      <c r="J28" s="36"/>
    </row>
    <row r="31" spans="1:12" ht="13" x14ac:dyDescent="0.3">
      <c r="B31" s="33" t="s">
        <v>23</v>
      </c>
      <c r="C31" s="25"/>
      <c r="D31" s="25"/>
      <c r="E31" s="25"/>
      <c r="F31" s="25"/>
      <c r="G31" s="25"/>
      <c r="H31" s="25"/>
      <c r="I31" s="25"/>
      <c r="J31" s="25"/>
    </row>
    <row r="32" spans="1:12" x14ac:dyDescent="0.25">
      <c r="B32"/>
      <c r="C32"/>
      <c r="D32" s="25"/>
      <c r="E32" s="25"/>
      <c r="F32" s="25"/>
      <c r="G32" s="25"/>
      <c r="H32" s="25"/>
      <c r="I32" s="25"/>
      <c r="J32" s="25"/>
    </row>
    <row r="33" spans="2:10" ht="13" x14ac:dyDescent="0.3">
      <c r="B33" s="13" t="s">
        <v>101</v>
      </c>
      <c r="C33" s="25"/>
      <c r="D33" s="25"/>
      <c r="E33" s="25"/>
      <c r="F33" s="25"/>
      <c r="G33" s="25"/>
      <c r="H33" s="25"/>
      <c r="I33" s="25"/>
      <c r="J33" s="25"/>
    </row>
    <row r="34" spans="2:10" x14ac:dyDescent="0.25">
      <c r="B34"/>
      <c r="C34" s="25"/>
      <c r="D34" s="25"/>
      <c r="E34" s="25"/>
      <c r="F34" s="25"/>
      <c r="G34" s="25"/>
      <c r="H34" s="25"/>
      <c r="I34" s="25"/>
      <c r="J34" s="25"/>
    </row>
    <row r="35" spans="2:10" x14ac:dyDescent="0.25">
      <c r="B35" s="25" t="s">
        <v>24</v>
      </c>
      <c r="C35" s="25"/>
      <c r="D35" s="25"/>
      <c r="E35" s="25"/>
      <c r="F35" s="25"/>
      <c r="G35" s="25">
        <f>-'Lista de Saldos IM'!E84/1000</f>
        <v>7240</v>
      </c>
      <c r="H35" s="25"/>
      <c r="I35" s="25">
        <v>7115</v>
      </c>
      <c r="J35" s="25"/>
    </row>
    <row r="36" spans="2:10" x14ac:dyDescent="0.25">
      <c r="B36" s="25" t="s">
        <v>25</v>
      </c>
      <c r="C36" s="25"/>
      <c r="D36" s="25"/>
      <c r="E36" s="25"/>
      <c r="F36" s="25"/>
      <c r="G36" s="81">
        <f>931563.36/1000</f>
        <v>931.56335999999999</v>
      </c>
      <c r="H36" s="25"/>
      <c r="I36" s="81">
        <v>925.75023999999996</v>
      </c>
      <c r="J36" s="25"/>
    </row>
    <row r="37" spans="2:10" x14ac:dyDescent="0.25">
      <c r="B37" s="1" t="s">
        <v>26</v>
      </c>
      <c r="C37" s="25"/>
      <c r="D37" s="25"/>
      <c r="E37" s="25"/>
      <c r="F37" s="25"/>
      <c r="G37" s="26">
        <v>0</v>
      </c>
      <c r="H37" s="25"/>
      <c r="I37" s="26">
        <v>0</v>
      </c>
      <c r="J37" s="25"/>
    </row>
    <row r="38" spans="2:10" ht="13" x14ac:dyDescent="0.3">
      <c r="B38" s="25"/>
      <c r="C38" s="25"/>
      <c r="D38" s="25"/>
      <c r="E38" s="25"/>
      <c r="F38" s="25"/>
      <c r="G38" s="13">
        <f>SUM(G35:G37)</f>
        <v>8171.5633600000001</v>
      </c>
      <c r="H38" s="13"/>
      <c r="I38" s="13">
        <f>SUM(I35:I37)</f>
        <v>8040.7502400000003</v>
      </c>
      <c r="J38" s="13"/>
    </row>
    <row r="39" spans="2:10" x14ac:dyDescent="0.25">
      <c r="G39" s="25"/>
      <c r="I39" s="25"/>
    </row>
    <row r="40" spans="2:10" x14ac:dyDescent="0.25">
      <c r="B40" s="25" t="s">
        <v>27</v>
      </c>
      <c r="C40" s="25"/>
      <c r="D40" s="25"/>
      <c r="E40" s="25"/>
      <c r="F40" s="65"/>
      <c r="G40" s="25">
        <f>481452.5/1000</f>
        <v>481.45249999999999</v>
      </c>
      <c r="H40" s="25"/>
      <c r="I40" s="25">
        <v>484.06860999999998</v>
      </c>
      <c r="J40" s="25"/>
    </row>
    <row r="41" spans="2:10" x14ac:dyDescent="0.25">
      <c r="B41" s="25" t="s">
        <v>28</v>
      </c>
      <c r="C41" s="25"/>
      <c r="D41" s="25"/>
      <c r="E41" s="25"/>
      <c r="F41" s="65"/>
      <c r="G41" s="26">
        <f>261535.6/1000</f>
        <v>261.53559999999999</v>
      </c>
      <c r="H41" s="25"/>
      <c r="I41" s="26">
        <v>231.32704999999999</v>
      </c>
      <c r="J41" s="25"/>
    </row>
    <row r="42" spans="2:10" ht="13" x14ac:dyDescent="0.3">
      <c r="B42" s="39"/>
      <c r="C42" s="30"/>
      <c r="D42"/>
      <c r="E42"/>
      <c r="F42"/>
      <c r="G42" s="36">
        <f>SUM(G40:G41)</f>
        <v>742.98810000000003</v>
      </c>
      <c r="H42" s="25"/>
      <c r="I42" s="36">
        <f>SUM(I40:I41)</f>
        <v>715.39565999999991</v>
      </c>
      <c r="J42" s="25"/>
    </row>
    <row r="43" spans="2:10" ht="13" x14ac:dyDescent="0.3">
      <c r="B43" s="39"/>
      <c r="C43" s="30"/>
      <c r="D43"/>
      <c r="E43"/>
      <c r="F43"/>
      <c r="G43" s="36"/>
      <c r="H43" s="25"/>
      <c r="I43" s="36"/>
      <c r="J43" s="25"/>
    </row>
    <row r="44" spans="2:10" ht="13" x14ac:dyDescent="0.3">
      <c r="B44" s="39"/>
      <c r="C44" s="18" t="s">
        <v>106</v>
      </c>
      <c r="D44"/>
      <c r="E44"/>
      <c r="F44"/>
      <c r="G44" s="36">
        <f>G38+G42</f>
        <v>8914.5514600000006</v>
      </c>
      <c r="H44" s="25"/>
      <c r="I44" s="36">
        <f>I38+I42</f>
        <v>8756.1458999999995</v>
      </c>
      <c r="J44" s="25"/>
    </row>
    <row r="45" spans="2:10" ht="13" x14ac:dyDescent="0.3">
      <c r="B45" s="39"/>
      <c r="C45" s="30"/>
      <c r="D45"/>
      <c r="E45"/>
      <c r="F45"/>
      <c r="G45" s="36"/>
      <c r="H45" s="25"/>
      <c r="I45" s="36"/>
      <c r="J45" s="25"/>
    </row>
    <row r="46" spans="2:10" ht="13" x14ac:dyDescent="0.3">
      <c r="B46" s="13" t="s">
        <v>102</v>
      </c>
      <c r="C46" s="30"/>
      <c r="D46"/>
      <c r="E46"/>
      <c r="F46"/>
      <c r="G46" s="36"/>
      <c r="H46" s="25"/>
      <c r="I46" s="36"/>
      <c r="J46" s="25"/>
    </row>
    <row r="47" spans="2:10" x14ac:dyDescent="0.25">
      <c r="B47" s="25"/>
      <c r="D47" s="31"/>
      <c r="E47" s="25"/>
      <c r="F47" s="25"/>
      <c r="H47" s="25"/>
      <c r="J47" s="25"/>
    </row>
    <row r="48" spans="2:10" ht="13" x14ac:dyDescent="0.3">
      <c r="B48" t="s">
        <v>98</v>
      </c>
      <c r="C48"/>
      <c r="D48"/>
      <c r="E48"/>
      <c r="F48"/>
      <c r="G48" s="40">
        <f>1039717.39/1000</f>
        <v>1039.71739</v>
      </c>
      <c r="H48" s="41"/>
      <c r="I48" s="40">
        <v>1039.71739</v>
      </c>
      <c r="J48" s="41"/>
    </row>
    <row r="49" spans="2:12" x14ac:dyDescent="0.25">
      <c r="B49" s="25" t="s">
        <v>29</v>
      </c>
      <c r="C49"/>
      <c r="D49"/>
      <c r="E49"/>
      <c r="F49" s="65"/>
      <c r="G49" s="26">
        <f>4682812.48/1000</f>
        <v>4682.8124800000005</v>
      </c>
      <c r="H49"/>
      <c r="I49" s="26">
        <v>4765.2182599999996</v>
      </c>
      <c r="J49"/>
    </row>
    <row r="50" spans="2:12" x14ac:dyDescent="0.25">
      <c r="B50" s="25"/>
      <c r="C50"/>
      <c r="D50"/>
      <c r="E50"/>
      <c r="F50" s="65"/>
      <c r="G50" s="25"/>
      <c r="H50"/>
      <c r="I50" s="25"/>
      <c r="J50"/>
    </row>
    <row r="51" spans="2:12" ht="13" x14ac:dyDescent="0.3">
      <c r="C51" s="18" t="s">
        <v>107</v>
      </c>
      <c r="D51" s="25"/>
      <c r="E51" s="25"/>
      <c r="F51" s="25"/>
      <c r="G51" s="36">
        <f>SUM(G48:G49)</f>
        <v>5722.5298700000003</v>
      </c>
      <c r="H51"/>
      <c r="I51" s="36">
        <f>SUM(I48:I49)</f>
        <v>5804.9356499999994</v>
      </c>
      <c r="J51"/>
    </row>
    <row r="52" spans="2:12" ht="13" x14ac:dyDescent="0.3">
      <c r="C52" s="30"/>
      <c r="D52" s="25"/>
      <c r="E52" s="25"/>
      <c r="F52" s="25"/>
      <c r="G52" s="36"/>
      <c r="H52"/>
      <c r="I52" s="36"/>
      <c r="J52"/>
    </row>
    <row r="53" spans="2:12" ht="13" x14ac:dyDescent="0.3">
      <c r="C53" s="18" t="s">
        <v>99</v>
      </c>
      <c r="G53" s="64">
        <f>+G44+G51</f>
        <v>14637.081330000001</v>
      </c>
      <c r="H53" s="25"/>
      <c r="I53" s="64">
        <f>+I44+I51</f>
        <v>14561.081549999999</v>
      </c>
      <c r="J53" s="25"/>
    </row>
    <row r="54" spans="2:12" ht="13" x14ac:dyDescent="0.3">
      <c r="B54" s="25"/>
      <c r="D54" s="30"/>
      <c r="E54" s="25"/>
      <c r="F54" s="25"/>
      <c r="G54" s="23"/>
      <c r="H54" s="36"/>
      <c r="I54" s="23"/>
      <c r="J54" s="36"/>
    </row>
    <row r="55" spans="2:12" ht="13" x14ac:dyDescent="0.3">
      <c r="B55" s="36" t="s">
        <v>30</v>
      </c>
      <c r="C55"/>
      <c r="D55"/>
      <c r="E55"/>
      <c r="F55"/>
      <c r="G55"/>
      <c r="H55"/>
      <c r="I55"/>
      <c r="J55"/>
    </row>
    <row r="56" spans="2:12" x14ac:dyDescent="0.25">
      <c r="B56"/>
      <c r="C56" s="25"/>
      <c r="D56" s="25"/>
      <c r="E56" s="25"/>
      <c r="F56" s="25"/>
      <c r="G56" s="25"/>
      <c r="H56" s="25"/>
      <c r="I56" s="25"/>
      <c r="J56" s="25"/>
    </row>
    <row r="57" spans="2:12" x14ac:dyDescent="0.25">
      <c r="B57" s="25" t="s">
        <v>31</v>
      </c>
      <c r="C57" s="25"/>
      <c r="D57" s="25"/>
      <c r="E57" s="25"/>
      <c r="F57" s="25"/>
      <c r="G57" s="25">
        <v>2301.6970000000001</v>
      </c>
      <c r="H57" s="25"/>
      <c r="I57" s="25">
        <v>2301.6970000000001</v>
      </c>
      <c r="J57" s="25"/>
    </row>
    <row r="58" spans="2:12" x14ac:dyDescent="0.25">
      <c r="B58" s="25" t="s">
        <v>91</v>
      </c>
      <c r="C58" s="25"/>
      <c r="D58" s="25"/>
      <c r="E58" s="25"/>
      <c r="F58" s="25"/>
      <c r="G58" s="25"/>
      <c r="H58" s="25"/>
      <c r="I58" s="25"/>
      <c r="J58" s="25"/>
    </row>
    <row r="59" spans="2:12" x14ac:dyDescent="0.25">
      <c r="B59" s="1" t="s">
        <v>32</v>
      </c>
      <c r="G59" s="25">
        <f>6021330.65/1000</f>
        <v>6021.3306500000008</v>
      </c>
      <c r="I59" s="25">
        <v>4954.7006600000004</v>
      </c>
      <c r="L59" s="23"/>
    </row>
    <row r="60" spans="2:12" x14ac:dyDescent="0.25">
      <c r="B60" s="27" t="s">
        <v>33</v>
      </c>
      <c r="C60" s="25"/>
      <c r="D60" s="25"/>
      <c r="E60" s="25"/>
      <c r="F60" s="25"/>
      <c r="G60" s="43">
        <f>120490.96/1000</f>
        <v>120.49096</v>
      </c>
      <c r="H60" s="25"/>
      <c r="I60" s="43">
        <v>1066.6299899999999</v>
      </c>
      <c r="J60" s="25"/>
    </row>
    <row r="61" spans="2:12" ht="13" x14ac:dyDescent="0.3">
      <c r="B61" s="25"/>
      <c r="C61" s="6" t="s">
        <v>108</v>
      </c>
      <c r="D61" s="31"/>
      <c r="E61" s="25"/>
      <c r="F61" s="25"/>
      <c r="G61" s="37">
        <f>SUM(G57:G60)</f>
        <v>8443.5186099999992</v>
      </c>
      <c r="H61" s="36"/>
      <c r="I61" s="37">
        <f>SUM(I57:I60)</f>
        <v>8323.02765</v>
      </c>
      <c r="J61" s="36"/>
    </row>
    <row r="62" spans="2:12" x14ac:dyDescent="0.25">
      <c r="B62"/>
      <c r="C62"/>
      <c r="D62"/>
      <c r="E62"/>
      <c r="F62"/>
      <c r="G62"/>
      <c r="H62"/>
      <c r="I62"/>
      <c r="J62"/>
    </row>
    <row r="63" spans="2:12" ht="13.5" thickBot="1" x14ac:dyDescent="0.35">
      <c r="B63"/>
      <c r="C63" s="6" t="s">
        <v>109</v>
      </c>
      <c r="D63" s="30"/>
      <c r="E63" s="25"/>
      <c r="F63" s="25"/>
      <c r="G63" s="22">
        <f>+G53+G61</f>
        <v>23080.59994</v>
      </c>
      <c r="H63" s="36"/>
      <c r="I63" s="22">
        <f>+I53+I61</f>
        <v>22884.109199999999</v>
      </c>
      <c r="J63" s="36"/>
    </row>
    <row r="64" spans="2:12" ht="13" thickTop="1" x14ac:dyDescent="0.25">
      <c r="B64"/>
      <c r="C64"/>
      <c r="D64"/>
      <c r="E64"/>
      <c r="F64"/>
      <c r="G64" s="42"/>
      <c r="H64"/>
      <c r="I64"/>
      <c r="J64" s="76">
        <f>G63-G27</f>
        <v>0</v>
      </c>
    </row>
    <row r="65" spans="2:9" x14ac:dyDescent="0.25">
      <c r="B65"/>
      <c r="C65"/>
      <c r="D65"/>
      <c r="E65"/>
      <c r="F65"/>
      <c r="G65" s="42"/>
      <c r="H65"/>
      <c r="I65"/>
    </row>
    <row r="66" spans="2:9" x14ac:dyDescent="0.25">
      <c r="B66"/>
      <c r="C66"/>
      <c r="D66"/>
      <c r="E66"/>
      <c r="F66"/>
      <c r="G66" s="53"/>
      <c r="H66" s="25"/>
      <c r="I66" s="25"/>
    </row>
    <row r="67" spans="2:9" x14ac:dyDescent="0.25">
      <c r="B67" s="25"/>
      <c r="C67" s="25"/>
      <c r="D67" s="25"/>
      <c r="E67" s="25"/>
      <c r="F67" s="25"/>
      <c r="G67" s="25"/>
      <c r="H67" s="25"/>
      <c r="I67" s="25"/>
    </row>
    <row r="68" spans="2:9" ht="13" x14ac:dyDescent="0.3">
      <c r="B68" s="25"/>
      <c r="C68"/>
      <c r="D68"/>
      <c r="E68"/>
      <c r="F68"/>
      <c r="G68" s="44"/>
      <c r="H68"/>
      <c r="I68" s="25"/>
    </row>
    <row r="69" spans="2:9" x14ac:dyDescent="0.25">
      <c r="B69" s="26"/>
      <c r="C69" s="26"/>
      <c r="D69" s="25"/>
      <c r="E69" s="31"/>
      <c r="F69" s="45"/>
      <c r="G69" s="45"/>
      <c r="H69" s="31"/>
      <c r="I69" s="25"/>
    </row>
    <row r="70" spans="2:9" x14ac:dyDescent="0.25">
      <c r="B70" s="111" t="s">
        <v>90</v>
      </c>
      <c r="C70" s="111"/>
      <c r="D70" s="25"/>
      <c r="F70" s="115" t="s">
        <v>96</v>
      </c>
      <c r="G70" s="116"/>
      <c r="H70" s="25"/>
      <c r="I70" s="32"/>
    </row>
    <row r="71" spans="2:9" x14ac:dyDescent="0.25">
      <c r="B71" s="111"/>
      <c r="C71" s="111"/>
      <c r="D71" s="25"/>
      <c r="E71"/>
      <c r="F71" s="112"/>
      <c r="G71" s="112"/>
      <c r="H71" s="32"/>
      <c r="I71" s="32"/>
    </row>
    <row r="72" spans="2:9" x14ac:dyDescent="0.25">
      <c r="B72" s="32"/>
      <c r="C72" s="25"/>
      <c r="D72" s="32"/>
      <c r="E72" s="31"/>
      <c r="F72" s="31"/>
      <c r="G72" s="31"/>
      <c r="H72" s="31"/>
      <c r="I72" s="31"/>
    </row>
    <row r="73" spans="2:9" x14ac:dyDescent="0.25">
      <c r="D73" s="31"/>
      <c r="H73" s="25"/>
      <c r="I73" s="25"/>
    </row>
    <row r="74" spans="2:9" x14ac:dyDescent="0.25">
      <c r="B74" s="113"/>
      <c r="C74" s="113"/>
      <c r="D74" s="113"/>
      <c r="E74" s="113"/>
      <c r="F74" s="113"/>
      <c r="G74" s="113"/>
      <c r="H74" s="113"/>
      <c r="I74" s="25"/>
    </row>
    <row r="75" spans="2:9" x14ac:dyDescent="0.25">
      <c r="B75" s="113"/>
      <c r="C75" s="113"/>
      <c r="D75" s="113"/>
      <c r="E75" s="113"/>
      <c r="F75" s="113"/>
      <c r="G75" s="113"/>
      <c r="H75" s="113"/>
    </row>
    <row r="76" spans="2:9" x14ac:dyDescent="0.25">
      <c r="B76" s="110"/>
      <c r="C76" s="110"/>
      <c r="D76" s="110"/>
      <c r="E76" s="110"/>
      <c r="F76" s="110"/>
      <c r="G76" s="110"/>
      <c r="H76" s="110"/>
    </row>
  </sheetData>
  <mergeCells count="10">
    <mergeCell ref="B6:I6"/>
    <mergeCell ref="B7:I7"/>
    <mergeCell ref="B8:I8"/>
    <mergeCell ref="B70:C70"/>
    <mergeCell ref="F70:G70"/>
    <mergeCell ref="B76:H76"/>
    <mergeCell ref="B71:C71"/>
    <mergeCell ref="F71:G71"/>
    <mergeCell ref="B74:H74"/>
    <mergeCell ref="B75:H75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83" orientation="portrait" r:id="rId1"/>
  <headerFooter alignWithMargins="0"/>
  <customProperties>
    <customPr name="EpmWorksheetKeyString_GUID" r:id="rId2"/>
  </customProperties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97"/>
  <sheetViews>
    <sheetView showGridLines="0" zoomScale="80" zoomScaleNormal="80" workbookViewId="0">
      <selection activeCell="E19" sqref="E19"/>
    </sheetView>
  </sheetViews>
  <sheetFormatPr baseColWidth="10" defaultColWidth="9.1796875" defaultRowHeight="12.5" x14ac:dyDescent="0.25"/>
  <cols>
    <col min="1" max="1" width="2.1796875" style="1" customWidth="1"/>
    <col min="2" max="2" width="15" style="1" customWidth="1"/>
    <col min="3" max="3" width="32.1796875" style="1" customWidth="1"/>
    <col min="4" max="4" width="4.26953125" style="1" customWidth="1"/>
    <col min="5" max="5" width="16.26953125" style="1" customWidth="1"/>
    <col min="6" max="6" width="3.26953125" style="1" customWidth="1"/>
    <col min="7" max="7" width="4.26953125" style="1" customWidth="1"/>
    <col min="8" max="8" width="16.26953125" style="1" customWidth="1"/>
    <col min="9" max="9" width="9.1796875" style="1"/>
    <col min="10" max="10" width="9.81640625" style="1" bestFit="1" customWidth="1"/>
    <col min="11" max="11" width="10.7265625" style="4" bestFit="1" customWidth="1"/>
    <col min="12" max="16384" width="9.1796875" style="1"/>
  </cols>
  <sheetData>
    <row r="1" spans="2:9" ht="13" x14ac:dyDescent="0.3">
      <c r="E1" s="35"/>
      <c r="H1" s="35"/>
    </row>
    <row r="2" spans="2:9" ht="13" x14ac:dyDescent="0.3">
      <c r="E2" s="35"/>
      <c r="H2" s="35"/>
    </row>
    <row r="3" spans="2:9" ht="13" x14ac:dyDescent="0.3">
      <c r="B3" s="3" t="s">
        <v>85</v>
      </c>
      <c r="E3" s="5" t="s">
        <v>114</v>
      </c>
      <c r="G3" s="35"/>
      <c r="H3" s="5" t="s">
        <v>34</v>
      </c>
    </row>
    <row r="4" spans="2:9" ht="13" x14ac:dyDescent="0.3">
      <c r="E4" s="35">
        <v>2021</v>
      </c>
      <c r="H4" s="35">
        <v>2020</v>
      </c>
    </row>
    <row r="5" spans="2:9" ht="13" x14ac:dyDescent="0.3">
      <c r="E5" s="35"/>
      <c r="H5" s="35"/>
    </row>
    <row r="6" spans="2:9" ht="13" x14ac:dyDescent="0.3">
      <c r="E6" s="35"/>
      <c r="H6" s="35"/>
    </row>
    <row r="7" spans="2:9" ht="13" x14ac:dyDescent="0.3">
      <c r="B7" s="117" t="s">
        <v>35</v>
      </c>
      <c r="C7" s="117"/>
      <c r="D7" s="117"/>
      <c r="E7" s="117"/>
      <c r="F7" s="117"/>
      <c r="G7" s="117"/>
      <c r="H7" s="117"/>
    </row>
    <row r="8" spans="2:9" x14ac:dyDescent="0.25">
      <c r="B8"/>
      <c r="C8"/>
      <c r="D8"/>
      <c r="E8" s="46"/>
      <c r="F8" s="47"/>
      <c r="G8" s="47"/>
      <c r="H8" s="46"/>
    </row>
    <row r="9" spans="2:9" x14ac:dyDescent="0.25">
      <c r="B9" s="1" t="s">
        <v>36</v>
      </c>
      <c r="E9" s="25">
        <v>0.2</v>
      </c>
      <c r="F9" s="25"/>
      <c r="G9" s="25"/>
      <c r="H9" s="25">
        <v>0.2</v>
      </c>
    </row>
    <row r="10" spans="2:9" x14ac:dyDescent="0.25">
      <c r="E10" s="25"/>
      <c r="F10" s="25"/>
      <c r="G10" s="25"/>
      <c r="H10" s="25"/>
    </row>
    <row r="11" spans="2:9" x14ac:dyDescent="0.25">
      <c r="B11" s="1" t="s">
        <v>120</v>
      </c>
      <c r="E11" s="25">
        <v>219.9</v>
      </c>
      <c r="F11" s="25"/>
      <c r="G11" s="25"/>
      <c r="H11" s="25">
        <v>219.9</v>
      </c>
    </row>
    <row r="12" spans="2:9" x14ac:dyDescent="0.25">
      <c r="E12" s="25"/>
      <c r="F12" s="25"/>
      <c r="G12" s="25"/>
      <c r="H12" s="25"/>
    </row>
    <row r="13" spans="2:9" ht="12" customHeight="1" x14ac:dyDescent="0.25">
      <c r="B13" s="1" t="s">
        <v>37</v>
      </c>
      <c r="E13" s="25">
        <f>159886.21/1000</f>
        <v>159.88621000000001</v>
      </c>
      <c r="F13" s="25"/>
      <c r="G13" s="25"/>
      <c r="H13" s="25">
        <v>48.365639999999999</v>
      </c>
      <c r="I13" s="25"/>
    </row>
    <row r="14" spans="2:9" x14ac:dyDescent="0.25">
      <c r="E14" s="25"/>
      <c r="F14" s="25"/>
      <c r="G14" s="25"/>
      <c r="H14" s="25"/>
    </row>
    <row r="15" spans="2:9" x14ac:dyDescent="0.25">
      <c r="B15" s="1" t="s">
        <v>38</v>
      </c>
      <c r="E15" s="25">
        <f>-21036.25/1000</f>
        <v>-21.036249999999999</v>
      </c>
      <c r="F15" s="25"/>
      <c r="G15" s="25"/>
      <c r="H15" s="25">
        <v>143.4408</v>
      </c>
    </row>
    <row r="16" spans="2:9" x14ac:dyDescent="0.25">
      <c r="E16" s="26"/>
      <c r="F16" s="25"/>
      <c r="G16" s="25"/>
      <c r="H16" s="26"/>
      <c r="I16" s="23"/>
    </row>
    <row r="17" spans="2:10" hidden="1" x14ac:dyDescent="0.25">
      <c r="B17" s="1" t="s">
        <v>81</v>
      </c>
      <c r="E17" s="26">
        <v>0</v>
      </c>
      <c r="F17" s="25"/>
      <c r="G17" s="25"/>
      <c r="H17" s="26">
        <v>0</v>
      </c>
    </row>
    <row r="18" spans="2:10" x14ac:dyDescent="0.25">
      <c r="B18"/>
      <c r="E18" s="25"/>
      <c r="F18" s="25"/>
      <c r="G18" s="25"/>
      <c r="H18" s="25"/>
    </row>
    <row r="19" spans="2:10" ht="13.5" thickBot="1" x14ac:dyDescent="0.35">
      <c r="E19" s="48">
        <f>SUM(E9:E18)</f>
        <v>358.94996000000003</v>
      </c>
      <c r="F19" s="49"/>
      <c r="G19" s="49"/>
      <c r="H19" s="48">
        <v>411.8202</v>
      </c>
      <c r="J19" s="23"/>
    </row>
    <row r="20" spans="2:10" ht="13" thickTop="1" x14ac:dyDescent="0.25">
      <c r="E20"/>
      <c r="F20"/>
      <c r="G20"/>
      <c r="H20"/>
    </row>
    <row r="21" spans="2:10" x14ac:dyDescent="0.25">
      <c r="E21" s="50"/>
      <c r="F21"/>
      <c r="G21"/>
      <c r="H21" s="50"/>
    </row>
    <row r="22" spans="2:10" ht="13" x14ac:dyDescent="0.3">
      <c r="B22" s="117" t="s">
        <v>39</v>
      </c>
      <c r="C22" s="117"/>
      <c r="D22" s="117"/>
      <c r="E22" s="117"/>
      <c r="F22" s="117"/>
      <c r="G22" s="117"/>
      <c r="H22" s="117"/>
    </row>
    <row r="24" spans="2:10" x14ac:dyDescent="0.25">
      <c r="B24" s="1" t="s">
        <v>40</v>
      </c>
      <c r="E24" s="25">
        <f>3078132.25/1000</f>
        <v>3078.1322500000001</v>
      </c>
      <c r="F24" s="25"/>
      <c r="G24" s="25"/>
      <c r="H24" s="25">
        <v>2823.3782999999999</v>
      </c>
    </row>
    <row r="25" spans="2:10" hidden="1" x14ac:dyDescent="0.25">
      <c r="E25" s="25"/>
      <c r="F25" s="25"/>
      <c r="G25" s="25"/>
      <c r="H25" s="25"/>
    </row>
    <row r="26" spans="2:10" hidden="1" x14ac:dyDescent="0.25">
      <c r="B26" s="51" t="s">
        <v>92</v>
      </c>
      <c r="F26" s="25"/>
      <c r="G26" s="25"/>
    </row>
    <row r="27" spans="2:10" hidden="1" x14ac:dyDescent="0.25">
      <c r="B27" s="51"/>
      <c r="E27" s="25"/>
      <c r="F27" s="25"/>
      <c r="G27" s="25"/>
      <c r="H27" s="25"/>
    </row>
    <row r="28" spans="2:10" x14ac:dyDescent="0.25">
      <c r="B28" s="1" t="s">
        <v>119</v>
      </c>
      <c r="E28" s="25">
        <f>2350+2000</f>
        <v>4350</v>
      </c>
      <c r="F28" s="25"/>
      <c r="G28" s="25"/>
      <c r="H28" s="25">
        <v>2350</v>
      </c>
    </row>
    <row r="29" spans="2:10" hidden="1" x14ac:dyDescent="0.25">
      <c r="E29" s="25"/>
      <c r="F29" s="25"/>
      <c r="G29" s="25"/>
      <c r="H29" s="25"/>
    </row>
    <row r="30" spans="2:10" hidden="1" x14ac:dyDescent="0.25">
      <c r="B30" s="52" t="s">
        <v>41</v>
      </c>
      <c r="D30" s="25"/>
      <c r="E30" s="25"/>
      <c r="F30" s="25"/>
      <c r="G30" s="25"/>
      <c r="H30" s="25"/>
    </row>
    <row r="31" spans="2:10" hidden="1" x14ac:dyDescent="0.25">
      <c r="D31" s="25"/>
      <c r="E31" s="25"/>
      <c r="F31" s="25"/>
      <c r="G31" s="25"/>
      <c r="H31" s="25"/>
    </row>
    <row r="32" spans="2:10" hidden="1" x14ac:dyDescent="0.25">
      <c r="B32" s="1" t="s">
        <v>42</v>
      </c>
      <c r="D32" s="25"/>
      <c r="E32" s="25"/>
      <c r="F32" s="25"/>
      <c r="G32" s="25"/>
      <c r="H32" s="25"/>
    </row>
    <row r="33" spans="2:8" hidden="1" x14ac:dyDescent="0.25">
      <c r="D33" s="25"/>
      <c r="E33" s="25"/>
      <c r="F33" s="25"/>
      <c r="G33" s="25"/>
      <c r="H33" s="25"/>
    </row>
    <row r="34" spans="2:8" hidden="1" x14ac:dyDescent="0.25">
      <c r="B34" s="52" t="s">
        <v>43</v>
      </c>
      <c r="D34" s="25"/>
      <c r="E34" s="25"/>
      <c r="F34" s="25"/>
      <c r="G34" s="25"/>
      <c r="H34" s="25"/>
    </row>
    <row r="35" spans="2:8" hidden="1" x14ac:dyDescent="0.25">
      <c r="D35" s="25"/>
      <c r="E35" s="25"/>
      <c r="F35" s="25"/>
      <c r="G35" s="25"/>
      <c r="H35" s="25"/>
    </row>
    <row r="36" spans="2:8" hidden="1" x14ac:dyDescent="0.25">
      <c r="B36" s="1" t="s">
        <v>83</v>
      </c>
      <c r="D36" s="25"/>
      <c r="E36" s="25"/>
      <c r="F36" s="25"/>
      <c r="G36" s="25"/>
      <c r="H36" s="25"/>
    </row>
    <row r="37" spans="2:8" hidden="1" x14ac:dyDescent="0.25">
      <c r="D37" s="25"/>
      <c r="E37" s="25"/>
      <c r="F37" s="25"/>
      <c r="G37" s="25"/>
      <c r="H37" s="25"/>
    </row>
    <row r="38" spans="2:8" hidden="1" x14ac:dyDescent="0.25">
      <c r="B38" s="1" t="s">
        <v>94</v>
      </c>
      <c r="D38" s="25"/>
      <c r="E38" s="25">
        <v>0</v>
      </c>
      <c r="F38" s="25"/>
      <c r="G38" s="25"/>
      <c r="H38" s="25">
        <v>0</v>
      </c>
    </row>
    <row r="39" spans="2:8" hidden="1" x14ac:dyDescent="0.25">
      <c r="D39" s="25"/>
      <c r="E39" s="25"/>
      <c r="F39" s="25"/>
      <c r="G39" s="25"/>
      <c r="H39" s="25"/>
    </row>
    <row r="40" spans="2:8" hidden="1" x14ac:dyDescent="0.25">
      <c r="B40" s="1" t="s">
        <v>78</v>
      </c>
      <c r="D40" s="25"/>
      <c r="E40" s="25">
        <v>0</v>
      </c>
      <c r="F40" s="25"/>
      <c r="G40" s="25"/>
      <c r="H40" s="25">
        <v>0</v>
      </c>
    </row>
    <row r="41" spans="2:8" hidden="1" x14ac:dyDescent="0.25">
      <c r="D41" s="25"/>
      <c r="E41" s="25"/>
      <c r="F41" s="25"/>
      <c r="G41" s="25"/>
      <c r="H41" s="25"/>
    </row>
    <row r="42" spans="2:8" hidden="1" x14ac:dyDescent="0.25">
      <c r="B42" s="1" t="s">
        <v>44</v>
      </c>
      <c r="D42" s="25"/>
      <c r="E42" s="25"/>
      <c r="F42" s="25"/>
      <c r="G42" s="25"/>
      <c r="H42" s="25"/>
    </row>
    <row r="43" spans="2:8" hidden="1" x14ac:dyDescent="0.25">
      <c r="D43" s="25"/>
      <c r="E43" s="25"/>
      <c r="F43" s="25"/>
      <c r="G43" s="25"/>
      <c r="H43" s="25"/>
    </row>
    <row r="44" spans="2:8" ht="11.25" hidden="1" customHeight="1" x14ac:dyDescent="0.25">
      <c r="B44" s="51" t="s">
        <v>45</v>
      </c>
      <c r="D44" s="25"/>
      <c r="E44" s="25">
        <v>0</v>
      </c>
      <c r="F44" s="25"/>
      <c r="G44" s="25"/>
      <c r="H44" s="25">
        <v>0</v>
      </c>
    </row>
    <row r="45" spans="2:8" ht="12" hidden="1" customHeight="1" x14ac:dyDescent="0.25">
      <c r="D45" s="25"/>
      <c r="E45" s="25"/>
      <c r="F45" s="25"/>
      <c r="G45" s="25"/>
      <c r="H45" s="25"/>
    </row>
    <row r="46" spans="2:8" ht="14.25" customHeight="1" x14ac:dyDescent="0.25">
      <c r="B46" s="1" t="s">
        <v>84</v>
      </c>
      <c r="D46" s="25"/>
      <c r="E46" s="25">
        <f>73635.49/1000</f>
        <v>73.635490000000004</v>
      </c>
      <c r="F46" s="25"/>
      <c r="G46" s="25"/>
      <c r="H46" s="25">
        <v>36.328110000000002</v>
      </c>
    </row>
    <row r="47" spans="2:8" ht="12.75" customHeight="1" x14ac:dyDescent="0.25">
      <c r="D47" s="25"/>
      <c r="E47" s="26"/>
      <c r="F47" s="25"/>
      <c r="G47" s="25"/>
      <c r="H47" s="26"/>
    </row>
    <row r="48" spans="2:8" hidden="1" x14ac:dyDescent="0.25">
      <c r="B48" s="1" t="s">
        <v>84</v>
      </c>
      <c r="D48" s="25"/>
      <c r="E48" s="26"/>
      <c r="F48" s="25"/>
      <c r="G48" s="25"/>
      <c r="H48" s="26"/>
    </row>
    <row r="49" spans="2:10" x14ac:dyDescent="0.25">
      <c r="E49" s="25"/>
      <c r="F49" s="25"/>
      <c r="G49" s="25"/>
      <c r="H49" s="25"/>
    </row>
    <row r="50" spans="2:10" ht="13.5" thickBot="1" x14ac:dyDescent="0.35">
      <c r="E50" s="48">
        <f>SUM(E24:E49)</f>
        <v>7501.7677400000002</v>
      </c>
      <c r="F50" s="49"/>
      <c r="G50" s="49"/>
      <c r="H50" s="48">
        <f>SUM(H24:H49)</f>
        <v>5209.7064100000007</v>
      </c>
      <c r="J50" s="23"/>
    </row>
    <row r="51" spans="2:10" ht="13.5" thickTop="1" x14ac:dyDescent="0.3">
      <c r="E51" s="49"/>
      <c r="F51" s="49"/>
      <c r="G51" s="49"/>
      <c r="H51" s="49"/>
    </row>
    <row r="52" spans="2:10" ht="13" hidden="1" x14ac:dyDescent="0.3">
      <c r="B52" s="117" t="s">
        <v>19</v>
      </c>
      <c r="C52" s="117"/>
      <c r="D52" s="117"/>
      <c r="E52" s="117"/>
      <c r="F52" s="117"/>
      <c r="G52" s="117"/>
      <c r="H52" s="117"/>
    </row>
    <row r="53" spans="2:10" hidden="1" x14ac:dyDescent="0.25"/>
    <row r="54" spans="2:10" hidden="1" x14ac:dyDescent="0.25">
      <c r="B54" s="1" t="s">
        <v>46</v>
      </c>
      <c r="E54" s="25"/>
      <c r="F54" s="25"/>
      <c r="G54" s="25"/>
      <c r="H54" s="25"/>
    </row>
    <row r="55" spans="2:10" hidden="1" x14ac:dyDescent="0.25">
      <c r="E55" s="25"/>
      <c r="F55" s="25"/>
      <c r="G55" s="25"/>
      <c r="H55" s="25"/>
    </row>
    <row r="56" spans="2:10" hidden="1" x14ac:dyDescent="0.25">
      <c r="B56" s="1" t="s">
        <v>47</v>
      </c>
      <c r="E56" s="25"/>
      <c r="F56" s="25"/>
      <c r="G56" s="25"/>
      <c r="H56" s="25"/>
    </row>
    <row r="57" spans="2:10" hidden="1" x14ac:dyDescent="0.25">
      <c r="E57" s="25"/>
      <c r="F57" s="25"/>
      <c r="G57" s="25"/>
      <c r="H57" s="25"/>
    </row>
    <row r="58" spans="2:10" hidden="1" x14ac:dyDescent="0.25">
      <c r="B58" s="1" t="s">
        <v>48</v>
      </c>
      <c r="E58" s="25"/>
      <c r="F58" s="25"/>
      <c r="G58" s="25"/>
      <c r="H58" s="25"/>
    </row>
    <row r="59" spans="2:10" hidden="1" x14ac:dyDescent="0.25">
      <c r="E59" s="25"/>
      <c r="F59" s="25"/>
      <c r="G59" s="25"/>
      <c r="H59" s="25"/>
    </row>
    <row r="60" spans="2:10" hidden="1" x14ac:dyDescent="0.25">
      <c r="B60" s="1" t="s">
        <v>49</v>
      </c>
      <c r="E60" s="25"/>
      <c r="F60" s="25"/>
      <c r="G60" s="25"/>
      <c r="H60" s="25"/>
    </row>
    <row r="61" spans="2:10" hidden="1" x14ac:dyDescent="0.25">
      <c r="E61" s="25"/>
      <c r="F61" s="25"/>
      <c r="G61" s="25"/>
      <c r="H61" s="25"/>
    </row>
    <row r="62" spans="2:10" hidden="1" x14ac:dyDescent="0.25">
      <c r="B62" s="1" t="s">
        <v>50</v>
      </c>
      <c r="E62" s="25"/>
      <c r="F62" s="25"/>
      <c r="G62" s="25"/>
      <c r="H62" s="25"/>
    </row>
    <row r="63" spans="2:10" hidden="1" x14ac:dyDescent="0.25">
      <c r="E63" s="25"/>
      <c r="F63" s="25"/>
      <c r="G63" s="25"/>
      <c r="H63" s="25"/>
    </row>
    <row r="64" spans="2:10" hidden="1" x14ac:dyDescent="0.25">
      <c r="B64" s="1" t="s">
        <v>51</v>
      </c>
      <c r="E64" s="25"/>
      <c r="F64" s="25"/>
      <c r="G64" s="25"/>
      <c r="H64" s="25"/>
    </row>
    <row r="65" spans="2:8" hidden="1" x14ac:dyDescent="0.25">
      <c r="E65" s="25"/>
      <c r="F65" s="25"/>
      <c r="G65" s="25"/>
      <c r="H65" s="25"/>
    </row>
    <row r="66" spans="2:8" hidden="1" x14ac:dyDescent="0.25">
      <c r="B66" s="1" t="s">
        <v>52</v>
      </c>
      <c r="E66" s="25"/>
      <c r="F66" s="25"/>
      <c r="G66" s="25"/>
      <c r="H66" s="25"/>
    </row>
    <row r="67" spans="2:8" hidden="1" x14ac:dyDescent="0.25">
      <c r="E67" s="25"/>
      <c r="F67" s="25"/>
      <c r="G67" s="25"/>
      <c r="H67" s="25"/>
    </row>
    <row r="68" spans="2:8" hidden="1" x14ac:dyDescent="0.25">
      <c r="B68" s="1" t="s">
        <v>53</v>
      </c>
      <c r="E68" s="26"/>
      <c r="F68" s="25"/>
      <c r="G68" s="25"/>
      <c r="H68" s="26"/>
    </row>
    <row r="69" spans="2:8" hidden="1" x14ac:dyDescent="0.25">
      <c r="E69" s="25"/>
      <c r="F69" s="25"/>
      <c r="G69" s="25"/>
      <c r="H69" s="25"/>
    </row>
    <row r="70" spans="2:8" ht="13.5" hidden="1" thickBot="1" x14ac:dyDescent="0.35">
      <c r="E70" s="38">
        <f>SUM(E54:E68)</f>
        <v>0</v>
      </c>
      <c r="F70" s="36"/>
      <c r="G70" s="36"/>
      <c r="H70" s="38">
        <f>SUM(H54:H68)</f>
        <v>0</v>
      </c>
    </row>
    <row r="71" spans="2:8" hidden="1" x14ac:dyDescent="0.25"/>
    <row r="72" spans="2:8" hidden="1" x14ac:dyDescent="0.25"/>
    <row r="73" spans="2:8" hidden="1" x14ac:dyDescent="0.25"/>
    <row r="74" spans="2:8" ht="13" hidden="1" x14ac:dyDescent="0.3">
      <c r="E74" s="36"/>
      <c r="F74" s="36"/>
      <c r="G74" s="36"/>
      <c r="H74" s="36"/>
    </row>
    <row r="75" spans="2:8" ht="13" hidden="1" x14ac:dyDescent="0.3">
      <c r="E75" s="36"/>
      <c r="F75" s="36"/>
      <c r="G75" s="36"/>
      <c r="H75" s="36"/>
    </row>
    <row r="76" spans="2:8" ht="13" x14ac:dyDescent="0.3">
      <c r="E76" s="36"/>
      <c r="F76" s="36"/>
      <c r="G76" s="36"/>
      <c r="H76" s="36"/>
    </row>
    <row r="77" spans="2:8" ht="13" x14ac:dyDescent="0.3">
      <c r="B77" s="117" t="s">
        <v>54</v>
      </c>
      <c r="C77" s="117"/>
      <c r="D77" s="117"/>
      <c r="E77" s="117"/>
      <c r="F77" s="117"/>
      <c r="G77" s="117"/>
      <c r="H77" s="117"/>
    </row>
    <row r="78" spans="2:8" ht="13" x14ac:dyDescent="0.3">
      <c r="B78" s="54"/>
      <c r="C78" s="47"/>
      <c r="D78" s="47"/>
      <c r="E78" s="47"/>
      <c r="F78" s="47"/>
      <c r="G78" s="47"/>
      <c r="H78" s="47"/>
    </row>
    <row r="79" spans="2:8" ht="15.75" hidden="1" customHeight="1" x14ac:dyDescent="0.25">
      <c r="B79" s="2" t="s">
        <v>76</v>
      </c>
      <c r="E79" s="55"/>
      <c r="F79" s="25"/>
      <c r="G79" s="25"/>
      <c r="H79" s="55"/>
    </row>
    <row r="80" spans="2:8" hidden="1" x14ac:dyDescent="0.25">
      <c r="E80" s="25"/>
      <c r="F80" s="25"/>
      <c r="G80" s="25"/>
      <c r="H80" s="25"/>
    </row>
    <row r="81" spans="2:8" x14ac:dyDescent="0.25">
      <c r="B81" s="1" t="s">
        <v>95</v>
      </c>
      <c r="E81" s="56"/>
      <c r="F81" s="25"/>
      <c r="G81" s="25"/>
      <c r="H81" s="56"/>
    </row>
    <row r="82" spans="2:8" hidden="1" x14ac:dyDescent="0.25">
      <c r="E82" s="25"/>
      <c r="F82" s="25"/>
      <c r="G82" s="25"/>
      <c r="H82" s="25"/>
    </row>
    <row r="83" spans="2:8" hidden="1" x14ac:dyDescent="0.25">
      <c r="B83" s="1" t="s">
        <v>82</v>
      </c>
      <c r="E83" s="25"/>
      <c r="F83" s="25"/>
      <c r="G83" s="25"/>
      <c r="H83" s="25"/>
    </row>
    <row r="84" spans="2:8" x14ac:dyDescent="0.25">
      <c r="E84" s="25"/>
      <c r="F84" s="25"/>
      <c r="G84" s="25"/>
      <c r="H84" s="25"/>
    </row>
    <row r="85" spans="2:8" x14ac:dyDescent="0.25">
      <c r="B85" s="1" t="s">
        <v>55</v>
      </c>
      <c r="E85" s="25">
        <f>192564.93/1000</f>
        <v>192.56493</v>
      </c>
      <c r="F85" s="25"/>
      <c r="G85" s="25"/>
      <c r="H85" s="25">
        <v>194.51172</v>
      </c>
    </row>
    <row r="86" spans="2:8" hidden="1" x14ac:dyDescent="0.25">
      <c r="E86" s="25"/>
      <c r="F86" s="25"/>
      <c r="G86" s="25"/>
      <c r="H86" s="25"/>
    </row>
    <row r="87" spans="2:8" hidden="1" x14ac:dyDescent="0.25">
      <c r="B87" s="1" t="s">
        <v>74</v>
      </c>
      <c r="E87" s="25"/>
      <c r="F87" s="25"/>
      <c r="G87" s="25"/>
      <c r="H87" s="25"/>
    </row>
    <row r="88" spans="2:8" x14ac:dyDescent="0.25">
      <c r="E88" s="26"/>
      <c r="F88" s="25"/>
      <c r="G88" s="25"/>
      <c r="H88" s="26"/>
    </row>
    <row r="89" spans="2:8" x14ac:dyDescent="0.25">
      <c r="E89" s="25"/>
      <c r="F89" s="25"/>
      <c r="G89" s="25"/>
      <c r="H89" s="25"/>
    </row>
    <row r="90" spans="2:8" ht="13.5" thickBot="1" x14ac:dyDescent="0.35">
      <c r="E90" s="38">
        <f>SUM(E79:E89)</f>
        <v>192.56493</v>
      </c>
      <c r="F90" s="36"/>
      <c r="G90" s="36"/>
      <c r="H90" s="38">
        <f>SUM(H79:H89)</f>
        <v>194.51172</v>
      </c>
    </row>
    <row r="91" spans="2:8" ht="13.5" thickTop="1" x14ac:dyDescent="0.3">
      <c r="E91" s="36"/>
      <c r="F91" s="36"/>
      <c r="G91" s="36"/>
      <c r="H91" s="36"/>
    </row>
    <row r="92" spans="2:8" ht="13" x14ac:dyDescent="0.3">
      <c r="E92" s="36"/>
      <c r="F92" s="36"/>
      <c r="G92" s="36"/>
      <c r="H92" s="36"/>
    </row>
    <row r="93" spans="2:8" ht="13" x14ac:dyDescent="0.3">
      <c r="E93" s="36"/>
      <c r="F93" s="36"/>
      <c r="G93" s="36"/>
      <c r="H93" s="36"/>
    </row>
    <row r="94" spans="2:8" ht="13" x14ac:dyDescent="0.3">
      <c r="E94" s="36"/>
      <c r="F94" s="36"/>
      <c r="G94" s="36"/>
      <c r="H94" s="36"/>
    </row>
    <row r="95" spans="2:8" ht="13" x14ac:dyDescent="0.3">
      <c r="E95" s="36"/>
      <c r="F95" s="36"/>
      <c r="G95" s="36"/>
      <c r="H95" s="36"/>
    </row>
    <row r="96" spans="2:8" ht="13" x14ac:dyDescent="0.3">
      <c r="E96" s="36"/>
      <c r="F96" s="36"/>
      <c r="G96" s="36"/>
      <c r="H96" s="36"/>
    </row>
    <row r="97" spans="2:8" ht="13" x14ac:dyDescent="0.3">
      <c r="E97" s="36"/>
      <c r="F97" s="36"/>
      <c r="G97" s="36"/>
      <c r="H97" s="36"/>
    </row>
    <row r="98" spans="2:8" ht="13" x14ac:dyDescent="0.3">
      <c r="E98" s="36"/>
      <c r="F98" s="36"/>
      <c r="G98" s="36"/>
      <c r="H98" s="36"/>
    </row>
    <row r="99" spans="2:8" ht="13" x14ac:dyDescent="0.3">
      <c r="E99" s="36"/>
      <c r="F99" s="36"/>
      <c r="G99" s="36"/>
      <c r="H99" s="36"/>
    </row>
    <row r="100" spans="2:8" ht="13" x14ac:dyDescent="0.3">
      <c r="E100" s="36"/>
      <c r="F100" s="36"/>
      <c r="G100" s="36"/>
      <c r="H100" s="36"/>
    </row>
    <row r="101" spans="2:8" ht="13" x14ac:dyDescent="0.3">
      <c r="E101" s="36"/>
      <c r="F101" s="36"/>
      <c r="G101" s="36"/>
      <c r="H101" s="36"/>
    </row>
    <row r="102" spans="2:8" ht="13" x14ac:dyDescent="0.3">
      <c r="E102" s="36"/>
      <c r="F102" s="36"/>
      <c r="G102" s="36"/>
      <c r="H102" s="36"/>
    </row>
    <row r="103" spans="2:8" ht="13" x14ac:dyDescent="0.3">
      <c r="E103" s="36"/>
      <c r="F103" s="36"/>
      <c r="G103" s="36"/>
      <c r="H103" s="36"/>
    </row>
    <row r="104" spans="2:8" ht="13" x14ac:dyDescent="0.3">
      <c r="E104" s="36"/>
      <c r="F104" s="36"/>
      <c r="G104" s="36"/>
      <c r="H104" s="36"/>
    </row>
    <row r="105" spans="2:8" ht="13" x14ac:dyDescent="0.3">
      <c r="E105" s="36"/>
      <c r="F105" s="36"/>
      <c r="G105" s="36"/>
      <c r="H105" s="36"/>
    </row>
    <row r="106" spans="2:8" ht="13" hidden="1" x14ac:dyDescent="0.3">
      <c r="E106" s="36"/>
      <c r="F106" s="36"/>
      <c r="G106" s="36"/>
      <c r="H106" s="36"/>
    </row>
    <row r="107" spans="2:8" ht="13" hidden="1" x14ac:dyDescent="0.3">
      <c r="E107" s="36"/>
      <c r="F107" s="36"/>
      <c r="G107" s="36"/>
      <c r="H107" s="36"/>
    </row>
    <row r="108" spans="2:8" ht="13" x14ac:dyDescent="0.3">
      <c r="E108" s="36"/>
      <c r="F108" s="36"/>
      <c r="G108" s="36"/>
      <c r="H108" s="36"/>
    </row>
    <row r="109" spans="2:8" ht="13" x14ac:dyDescent="0.3">
      <c r="B109" s="117" t="s">
        <v>56</v>
      </c>
      <c r="C109" s="117"/>
      <c r="D109" s="117"/>
      <c r="E109" s="117"/>
      <c r="F109" s="117"/>
      <c r="G109" s="117"/>
      <c r="H109" s="117"/>
    </row>
    <row r="110" spans="2:8" ht="13" x14ac:dyDescent="0.3">
      <c r="D110" s="23"/>
      <c r="E110" s="35"/>
      <c r="F110" s="35"/>
      <c r="G110" s="35"/>
      <c r="H110" s="35"/>
    </row>
    <row r="111" spans="2:8" x14ac:dyDescent="0.25">
      <c r="B111" s="1" t="s">
        <v>57</v>
      </c>
      <c r="D111" s="23"/>
      <c r="E111" s="23">
        <v>3660.3158199999998</v>
      </c>
      <c r="H111" s="23">
        <v>3660.3158199999998</v>
      </c>
    </row>
    <row r="112" spans="2:8" x14ac:dyDescent="0.25">
      <c r="D112" s="23"/>
      <c r="E112" s="23"/>
      <c r="H112" s="23"/>
    </row>
    <row r="113" spans="2:8" x14ac:dyDescent="0.25">
      <c r="B113" s="1" t="s">
        <v>58</v>
      </c>
      <c r="D113" s="23"/>
      <c r="E113" s="23">
        <v>4148.3412799999996</v>
      </c>
      <c r="H113" s="23">
        <v>4148.3412799999996</v>
      </c>
    </row>
    <row r="114" spans="2:8" x14ac:dyDescent="0.25">
      <c r="D114" s="23"/>
      <c r="E114" s="23"/>
      <c r="H114" s="23"/>
    </row>
    <row r="115" spans="2:8" x14ac:dyDescent="0.25">
      <c r="B115" s="1" t="s">
        <v>59</v>
      </c>
      <c r="D115" s="23"/>
      <c r="E115" s="23">
        <v>8932.7665799999995</v>
      </c>
      <c r="H115" s="23">
        <v>8932.7665799999995</v>
      </c>
    </row>
    <row r="116" spans="2:8" x14ac:dyDescent="0.25">
      <c r="D116" s="23"/>
      <c r="E116" s="23"/>
      <c r="H116" s="23"/>
    </row>
    <row r="117" spans="2:8" x14ac:dyDescent="0.25">
      <c r="B117" s="1" t="s">
        <v>60</v>
      </c>
      <c r="D117" s="23"/>
      <c r="E117" s="23">
        <v>123.03902000000001</v>
      </c>
      <c r="H117" s="23">
        <v>123.03902000000001</v>
      </c>
    </row>
    <row r="118" spans="2:8" x14ac:dyDescent="0.25">
      <c r="D118" s="23"/>
      <c r="E118" s="23"/>
      <c r="H118" s="23"/>
    </row>
    <row r="119" spans="2:8" x14ac:dyDescent="0.25">
      <c r="B119" s="1" t="s">
        <v>61</v>
      </c>
      <c r="D119" s="23"/>
      <c r="E119" s="23">
        <f>211791.83/1000</f>
        <v>211.79182999999998</v>
      </c>
      <c r="H119" s="23">
        <v>211.79182999999998</v>
      </c>
    </row>
    <row r="120" spans="2:8" x14ac:dyDescent="0.25">
      <c r="D120" s="23"/>
      <c r="E120" s="23"/>
      <c r="H120" s="23"/>
    </row>
    <row r="121" spans="2:8" x14ac:dyDescent="0.25">
      <c r="B121" s="1" t="s">
        <v>111</v>
      </c>
      <c r="D121" s="23"/>
      <c r="E121" s="23">
        <f>89342.87/1000</f>
        <v>89.342869999999991</v>
      </c>
      <c r="H121" s="23">
        <v>88.46696</v>
      </c>
    </row>
    <row r="122" spans="2:8" x14ac:dyDescent="0.25">
      <c r="D122" s="23"/>
      <c r="E122" s="23"/>
      <c r="H122" s="23"/>
    </row>
    <row r="123" spans="2:8" x14ac:dyDescent="0.25">
      <c r="B123" s="1" t="s">
        <v>62</v>
      </c>
      <c r="D123" s="23"/>
      <c r="E123" s="57">
        <f>-3658879.25/1000</f>
        <v>-3658.87925</v>
      </c>
      <c r="H123" s="57">
        <v>-3599.1412500000001</v>
      </c>
    </row>
    <row r="124" spans="2:8" x14ac:dyDescent="0.25">
      <c r="D124" s="23"/>
      <c r="E124" s="23"/>
      <c r="H124" s="23"/>
    </row>
    <row r="125" spans="2:8" ht="13.5" thickBot="1" x14ac:dyDescent="0.35">
      <c r="D125" s="23"/>
      <c r="E125" s="58">
        <f>SUM(E111:E123)</f>
        <v>13506.718149999999</v>
      </c>
      <c r="H125" s="58">
        <f>SUM(H111:H123)</f>
        <v>13565.580239999999</v>
      </c>
    </row>
    <row r="126" spans="2:8" ht="13.5" thickTop="1" x14ac:dyDescent="0.3">
      <c r="D126" s="23"/>
      <c r="E126" s="19"/>
      <c r="H126" s="19"/>
    </row>
    <row r="127" spans="2:8" ht="13" x14ac:dyDescent="0.3">
      <c r="B127" s="68" t="s">
        <v>75</v>
      </c>
      <c r="C127" s="68"/>
      <c r="D127" s="68"/>
      <c r="E127" s="68"/>
      <c r="F127" s="68"/>
      <c r="G127" s="68"/>
      <c r="H127" s="68"/>
    </row>
    <row r="128" spans="2:8" x14ac:dyDescent="0.25">
      <c r="C128" s="2"/>
    </row>
    <row r="129" spans="2:8" x14ac:dyDescent="0.25">
      <c r="B129" s="1" t="s">
        <v>86</v>
      </c>
      <c r="C129" s="2"/>
      <c r="D129" s="2"/>
      <c r="E129" s="25">
        <f>4000-500-2000</f>
        <v>1500</v>
      </c>
      <c r="F129" s="8"/>
      <c r="G129" s="8"/>
      <c r="H129" s="25">
        <f>4000-500</f>
        <v>3500</v>
      </c>
    </row>
    <row r="130" spans="2:8" x14ac:dyDescent="0.25">
      <c r="C130" s="2"/>
      <c r="D130" s="2"/>
      <c r="E130" s="25"/>
      <c r="F130" s="8"/>
      <c r="G130" s="8"/>
      <c r="H130" s="25"/>
    </row>
    <row r="131" spans="2:8" ht="13.5" thickBot="1" x14ac:dyDescent="0.35">
      <c r="B131" s="2"/>
      <c r="C131" s="2"/>
      <c r="D131" s="2"/>
      <c r="E131" s="73">
        <f>+E129+E130</f>
        <v>1500</v>
      </c>
      <c r="F131" s="8"/>
      <c r="G131" s="8"/>
      <c r="H131" s="73">
        <f>+H129+H130</f>
        <v>3500</v>
      </c>
    </row>
    <row r="132" spans="2:8" ht="13.5" thickTop="1" x14ac:dyDescent="0.3">
      <c r="C132" s="54"/>
      <c r="E132" s="25"/>
      <c r="F132" s="25"/>
      <c r="G132" s="25"/>
      <c r="H132" s="25"/>
    </row>
    <row r="133" spans="2:8" ht="13" x14ac:dyDescent="0.3">
      <c r="B133" s="117" t="s">
        <v>63</v>
      </c>
      <c r="C133" s="117"/>
      <c r="D133" s="117"/>
      <c r="E133" s="117"/>
      <c r="F133" s="117"/>
      <c r="G133" s="117"/>
      <c r="H133" s="117"/>
    </row>
    <row r="135" spans="2:8" hidden="1" x14ac:dyDescent="0.25">
      <c r="B135" s="1" t="s">
        <v>64</v>
      </c>
      <c r="E135" s="25"/>
      <c r="H135" s="25"/>
    </row>
    <row r="136" spans="2:8" hidden="1" x14ac:dyDescent="0.25">
      <c r="E136" s="25"/>
      <c r="H136" s="25"/>
    </row>
    <row r="137" spans="2:8" x14ac:dyDescent="0.25">
      <c r="B137" s="1" t="s">
        <v>65</v>
      </c>
      <c r="E137" s="25">
        <f>BALANCE!G36</f>
        <v>931.56335999999999</v>
      </c>
      <c r="H137" s="25">
        <f>BALANCE!I36</f>
        <v>925.75023999999996</v>
      </c>
    </row>
    <row r="138" spans="2:8" x14ac:dyDescent="0.25">
      <c r="E138" s="43"/>
      <c r="H138" s="43"/>
    </row>
    <row r="139" spans="2:8" hidden="1" x14ac:dyDescent="0.25">
      <c r="B139" s="2" t="s">
        <v>26</v>
      </c>
      <c r="E139" s="43">
        <v>0</v>
      </c>
      <c r="H139" s="43">
        <v>0</v>
      </c>
    </row>
    <row r="140" spans="2:8" x14ac:dyDescent="0.25">
      <c r="E140" s="53"/>
      <c r="H140" s="53"/>
    </row>
    <row r="141" spans="2:8" ht="13.5" thickBot="1" x14ac:dyDescent="0.35">
      <c r="E141" s="59">
        <f>SUM(E135:E139)</f>
        <v>931.56335999999999</v>
      </c>
      <c r="F141" s="25"/>
      <c r="G141" s="25"/>
      <c r="H141" s="59">
        <f>SUM(H135:H139)</f>
        <v>925.75023999999996</v>
      </c>
    </row>
    <row r="142" spans="2:8" ht="13" thickTop="1" x14ac:dyDescent="0.25">
      <c r="E142" s="53"/>
      <c r="F142" s="25"/>
      <c r="G142" s="25"/>
      <c r="H142" s="53"/>
    </row>
    <row r="143" spans="2:8" ht="13" x14ac:dyDescent="0.3">
      <c r="B143" s="117" t="s">
        <v>66</v>
      </c>
      <c r="C143" s="117"/>
      <c r="D143" s="117"/>
      <c r="E143" s="117"/>
      <c r="F143" s="117"/>
      <c r="G143" s="117"/>
      <c r="H143" s="117"/>
    </row>
    <row r="144" spans="2:8" ht="13" x14ac:dyDescent="0.3">
      <c r="B144" s="60"/>
      <c r="C144" s="60"/>
      <c r="D144" s="60"/>
      <c r="E144" s="60"/>
      <c r="F144" s="60"/>
      <c r="G144" s="60"/>
      <c r="H144" s="60"/>
    </row>
    <row r="145" spans="2:11" ht="13" hidden="1" x14ac:dyDescent="0.3">
      <c r="E145" s="35"/>
      <c r="F145" s="35"/>
      <c r="G145" s="35"/>
      <c r="H145" s="35"/>
    </row>
    <row r="146" spans="2:11" x14ac:dyDescent="0.25">
      <c r="B146" s="1" t="s">
        <v>67</v>
      </c>
      <c r="E146" s="25">
        <f>28315.21/1000</f>
        <v>28.31521</v>
      </c>
      <c r="F146" s="25"/>
      <c r="G146" s="25"/>
      <c r="H146" s="25">
        <v>47.384709999999998</v>
      </c>
      <c r="J146" s="25"/>
      <c r="K146" s="25"/>
    </row>
    <row r="147" spans="2:11" x14ac:dyDescent="0.25">
      <c r="E147" s="25"/>
      <c r="F147" s="25"/>
      <c r="G147" s="25"/>
      <c r="H147" s="25"/>
      <c r="J147" s="25"/>
      <c r="K147" s="25"/>
    </row>
    <row r="148" spans="2:11" hidden="1" x14ac:dyDescent="0.25">
      <c r="B148" s="1" t="s">
        <v>68</v>
      </c>
      <c r="E148" s="25">
        <v>0</v>
      </c>
      <c r="F148" s="25"/>
      <c r="G148" s="25"/>
      <c r="H148" s="25">
        <v>0</v>
      </c>
      <c r="J148" s="25"/>
      <c r="K148" s="25"/>
    </row>
    <row r="149" spans="2:11" hidden="1" x14ac:dyDescent="0.25">
      <c r="E149" s="25"/>
      <c r="F149" s="25"/>
      <c r="G149" s="25"/>
      <c r="H149" s="25"/>
      <c r="K149" s="25"/>
    </row>
    <row r="150" spans="2:11" hidden="1" x14ac:dyDescent="0.25">
      <c r="B150" s="1" t="s">
        <v>69</v>
      </c>
      <c r="E150" s="25"/>
      <c r="F150" s="25"/>
      <c r="G150" s="25"/>
      <c r="H150" s="25"/>
      <c r="K150" s="25"/>
    </row>
    <row r="151" spans="2:11" hidden="1" x14ac:dyDescent="0.25">
      <c r="E151" s="25"/>
      <c r="F151" s="25"/>
      <c r="G151" s="25"/>
      <c r="H151" s="25"/>
      <c r="K151" s="25"/>
    </row>
    <row r="152" spans="2:11" x14ac:dyDescent="0.25">
      <c r="B152" s="1" t="s">
        <v>70</v>
      </c>
      <c r="E152" s="26">
        <f>453137.29/1000</f>
        <v>453.13729000000001</v>
      </c>
      <c r="F152" s="25"/>
      <c r="G152" s="25"/>
      <c r="H152" s="26">
        <v>436.68390000000005</v>
      </c>
      <c r="K152" s="25"/>
    </row>
    <row r="153" spans="2:11" x14ac:dyDescent="0.25">
      <c r="E153" s="25"/>
      <c r="F153" s="25"/>
      <c r="G153" s="25"/>
      <c r="H153" s="25"/>
      <c r="K153" s="25"/>
    </row>
    <row r="154" spans="2:11" ht="13.5" thickBot="1" x14ac:dyDescent="0.35">
      <c r="E154" s="38">
        <f>SUM(E146:E152)</f>
        <v>481.45249999999999</v>
      </c>
      <c r="F154" s="36"/>
      <c r="G154" s="36"/>
      <c r="H154" s="38">
        <f>SUM(H146:H152)</f>
        <v>484.06861000000004</v>
      </c>
      <c r="K154" s="36"/>
    </row>
    <row r="155" spans="2:11" ht="13.5" thickTop="1" x14ac:dyDescent="0.3">
      <c r="E155" s="36"/>
      <c r="F155" s="36"/>
      <c r="G155" s="36"/>
      <c r="H155" s="36"/>
    </row>
    <row r="156" spans="2:11" ht="13" x14ac:dyDescent="0.3">
      <c r="B156" s="117" t="s">
        <v>71</v>
      </c>
      <c r="C156" s="117"/>
      <c r="D156" s="117"/>
      <c r="E156" s="117"/>
      <c r="F156" s="117"/>
      <c r="G156" s="117"/>
      <c r="H156" s="117"/>
    </row>
    <row r="157" spans="2:11" ht="13" x14ac:dyDescent="0.3">
      <c r="B157" s="66"/>
      <c r="C157" s="66"/>
      <c r="D157" s="66"/>
      <c r="E157" s="66"/>
      <c r="F157" s="66"/>
      <c r="G157" s="66"/>
      <c r="H157" s="66"/>
    </row>
    <row r="158" spans="2:11" ht="13" hidden="1" x14ac:dyDescent="0.3">
      <c r="B158" t="s">
        <v>77</v>
      </c>
      <c r="C158" s="66"/>
      <c r="D158" s="66"/>
      <c r="E158" s="13">
        <v>0</v>
      </c>
      <c r="F158" s="66"/>
      <c r="G158" s="66"/>
      <c r="H158" s="13">
        <v>0</v>
      </c>
    </row>
    <row r="159" spans="2:11" hidden="1" x14ac:dyDescent="0.25">
      <c r="E159" s="23"/>
      <c r="F159" s="23"/>
      <c r="G159" s="23"/>
      <c r="H159" s="23"/>
    </row>
    <row r="160" spans="2:11" ht="13" hidden="1" x14ac:dyDescent="0.3">
      <c r="B160" s="1" t="s">
        <v>72</v>
      </c>
      <c r="E160" s="13">
        <v>0</v>
      </c>
      <c r="H160" s="13">
        <v>0</v>
      </c>
    </row>
    <row r="161" spans="2:8" ht="13" hidden="1" x14ac:dyDescent="0.3">
      <c r="E161" s="13"/>
      <c r="H161" s="13"/>
    </row>
    <row r="162" spans="2:8" x14ac:dyDescent="0.25">
      <c r="B162" s="1" t="s">
        <v>73</v>
      </c>
      <c r="E162" s="26">
        <f>BALANCE!G49</f>
        <v>4682.8124800000005</v>
      </c>
      <c r="H162" s="26">
        <f>BALANCE!I49</f>
        <v>4765.2182599999996</v>
      </c>
    </row>
    <row r="164" spans="2:8" ht="13.5" thickBot="1" x14ac:dyDescent="0.35">
      <c r="B164" s="3"/>
      <c r="E164" s="58">
        <f>SUM(E158:E162)</f>
        <v>4682.8124800000005</v>
      </c>
      <c r="H164" s="58">
        <f>SUM(H158:H162)</f>
        <v>4765.2182599999996</v>
      </c>
    </row>
    <row r="165" spans="2:8" ht="13.5" thickTop="1" x14ac:dyDescent="0.3">
      <c r="B165" s="3"/>
      <c r="E165" s="19"/>
      <c r="H165" s="19"/>
    </row>
    <row r="166" spans="2:8" ht="13" x14ac:dyDescent="0.3">
      <c r="B166" s="3"/>
      <c r="E166" s="19"/>
      <c r="H166" s="19"/>
    </row>
    <row r="167" spans="2:8" ht="13" hidden="1" x14ac:dyDescent="0.3">
      <c r="B167" s="3"/>
      <c r="E167" s="19"/>
      <c r="H167" s="19"/>
    </row>
    <row r="168" spans="2:8" ht="13" hidden="1" x14ac:dyDescent="0.3">
      <c r="B168" s="68" t="s">
        <v>71</v>
      </c>
      <c r="C168" s="68"/>
      <c r="D168" s="68"/>
      <c r="E168" s="61">
        <v>0</v>
      </c>
      <c r="F168" s="68"/>
      <c r="G168" s="68"/>
      <c r="H168" s="61">
        <v>0</v>
      </c>
    </row>
    <row r="169" spans="2:8" hidden="1" x14ac:dyDescent="0.25">
      <c r="E169" s="23"/>
      <c r="H169" s="23"/>
    </row>
    <row r="170" spans="2:8" ht="13.5" hidden="1" thickBot="1" x14ac:dyDescent="0.35">
      <c r="E170" s="58">
        <f>E168</f>
        <v>0</v>
      </c>
      <c r="H170" s="58">
        <f>H168</f>
        <v>0</v>
      </c>
    </row>
    <row r="171" spans="2:8" hidden="1" x14ac:dyDescent="0.25"/>
    <row r="172" spans="2:8" hidden="1" x14ac:dyDescent="0.25"/>
    <row r="189" spans="1:8" x14ac:dyDescent="0.25">
      <c r="A189" s="67"/>
      <c r="E189" s="23"/>
      <c r="H189" s="23"/>
    </row>
    <row r="190" spans="1:8" x14ac:dyDescent="0.25">
      <c r="A190" s="67"/>
      <c r="E190" s="23"/>
      <c r="H190" s="23"/>
    </row>
    <row r="191" spans="1:8" x14ac:dyDescent="0.25">
      <c r="A191" s="67"/>
    </row>
    <row r="192" spans="1:8" x14ac:dyDescent="0.25">
      <c r="A192" s="67"/>
    </row>
    <row r="193" spans="1:1" x14ac:dyDescent="0.25">
      <c r="A193" s="67"/>
    </row>
    <row r="194" spans="1:1" x14ac:dyDescent="0.25">
      <c r="A194" s="67"/>
    </row>
    <row r="195" spans="1:1" x14ac:dyDescent="0.25">
      <c r="A195" s="67"/>
    </row>
    <row r="196" spans="1:1" x14ac:dyDescent="0.25">
      <c r="A196" s="67"/>
    </row>
    <row r="197" spans="1:1" x14ac:dyDescent="0.25">
      <c r="A197" s="67"/>
    </row>
  </sheetData>
  <sortState ref="A216:J271">
    <sortCondition descending="1" ref="E216:E271"/>
  </sortState>
  <mergeCells count="8">
    <mergeCell ref="B133:H133"/>
    <mergeCell ref="B143:H143"/>
    <mergeCell ref="B156:H156"/>
    <mergeCell ref="B109:H109"/>
    <mergeCell ref="B7:H7"/>
    <mergeCell ref="B22:H22"/>
    <mergeCell ref="B52:H52"/>
    <mergeCell ref="B77:H77"/>
  </mergeCells>
  <phoneticPr fontId="0" type="noConversion"/>
  <pageMargins left="0.59" right="0.28999999999999998" top="0.99" bottom="1" header="0.5" footer="0.5"/>
  <pageSetup orientation="portrait" r:id="rId1"/>
  <headerFooter alignWithMargins="0"/>
  <customProperties>
    <customPr name="EpmWorksheetKeyString_GUID" r:id="rId2"/>
    <customPr name="FPMExcelClientCellBasedFunctionStatus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392"/>
  <sheetViews>
    <sheetView showGridLines="0" topLeftCell="B67" zoomScale="80" zoomScaleNormal="80" workbookViewId="0">
      <selection activeCell="E55" sqref="E55:E56"/>
    </sheetView>
  </sheetViews>
  <sheetFormatPr baseColWidth="10" defaultColWidth="11.453125" defaultRowHeight="14.5" x14ac:dyDescent="0.35"/>
  <cols>
    <col min="1" max="1" width="5.81640625" style="85" customWidth="1"/>
    <col min="2" max="2" width="4.453125" style="85" bestFit="1" customWidth="1"/>
    <col min="3" max="3" width="14.54296875" style="86" customWidth="1"/>
    <col min="4" max="4" width="47" style="85" bestFit="1" customWidth="1"/>
    <col min="5" max="7" width="16" style="88" customWidth="1"/>
    <col min="8" max="8" width="16.81640625" style="85" customWidth="1"/>
    <col min="9" max="9" width="12.7265625" style="85" customWidth="1"/>
    <col min="10" max="10" width="47" style="85" bestFit="1" customWidth="1"/>
    <col min="11" max="11" width="17.81640625" style="88" bestFit="1" customWidth="1"/>
    <col min="12" max="13" width="16.54296875" style="88" customWidth="1"/>
    <col min="14" max="16384" width="11.453125" style="85"/>
  </cols>
  <sheetData>
    <row r="6" spans="1:13" s="82" customFormat="1" x14ac:dyDescent="0.35">
      <c r="A6" s="82" t="s">
        <v>121</v>
      </c>
      <c r="B6" s="82" t="s">
        <v>122</v>
      </c>
      <c r="C6" s="83" t="s">
        <v>123</v>
      </c>
      <c r="D6" s="83" t="s">
        <v>124</v>
      </c>
      <c r="E6" s="84" t="s">
        <v>125</v>
      </c>
      <c r="F6" s="84" t="s">
        <v>126</v>
      </c>
      <c r="G6" s="84" t="s">
        <v>127</v>
      </c>
      <c r="I6" s="82" t="s">
        <v>128</v>
      </c>
      <c r="J6" s="82" t="s">
        <v>129</v>
      </c>
      <c r="K6" s="84" t="s">
        <v>130</v>
      </c>
      <c r="L6" s="84" t="s">
        <v>131</v>
      </c>
      <c r="M6" s="84" t="s">
        <v>132</v>
      </c>
    </row>
    <row r="7" spans="1:13" x14ac:dyDescent="0.35">
      <c r="A7" s="85" t="s">
        <v>133</v>
      </c>
      <c r="B7" s="85">
        <v>139</v>
      </c>
      <c r="C7" s="86">
        <v>1111200000</v>
      </c>
      <c r="D7" s="85" t="s">
        <v>36</v>
      </c>
      <c r="E7" s="87">
        <v>160</v>
      </c>
      <c r="F7" s="87">
        <v>160</v>
      </c>
      <c r="G7" s="87"/>
      <c r="I7" s="86">
        <v>1111200000</v>
      </c>
      <c r="J7" s="85" t="s">
        <v>36</v>
      </c>
      <c r="K7" s="87">
        <v>160</v>
      </c>
      <c r="L7" s="87">
        <f>VLOOKUP(I7,'[2]LISTA DE SALDOS IM SV ENERO 202'!$B$2:$E$117,4,0)</f>
        <v>160</v>
      </c>
      <c r="M7" s="87"/>
    </row>
    <row r="8" spans="1:13" x14ac:dyDescent="0.35">
      <c r="A8" s="85" t="s">
        <v>133</v>
      </c>
      <c r="B8" s="85">
        <v>139</v>
      </c>
      <c r="E8" s="87"/>
      <c r="F8" s="87"/>
      <c r="G8" s="87"/>
      <c r="K8" s="87"/>
      <c r="L8" s="87"/>
      <c r="M8" s="87"/>
    </row>
    <row r="9" spans="1:13" x14ac:dyDescent="0.35">
      <c r="A9" s="85" t="s">
        <v>133</v>
      </c>
      <c r="B9" s="85">
        <v>139</v>
      </c>
      <c r="E9" s="87"/>
      <c r="F9" s="87"/>
      <c r="K9" s="87"/>
      <c r="L9" s="87"/>
    </row>
    <row r="10" spans="1:13" x14ac:dyDescent="0.35">
      <c r="A10" s="85" t="s">
        <v>133</v>
      </c>
      <c r="B10" s="85">
        <v>139</v>
      </c>
      <c r="C10" s="86">
        <v>1112100191</v>
      </c>
      <c r="D10" s="85" t="s">
        <v>134</v>
      </c>
      <c r="E10" s="87">
        <v>9650.31</v>
      </c>
      <c r="F10" s="87">
        <v>9650.31</v>
      </c>
      <c r="G10" s="87"/>
      <c r="I10" s="85">
        <v>1112100191</v>
      </c>
      <c r="J10" s="85" t="s">
        <v>134</v>
      </c>
      <c r="K10" s="87">
        <v>9650.31</v>
      </c>
      <c r="L10" s="87">
        <f>VLOOKUP(I10,'[2]LISTA DE SALDOS IM SV ENERO 202'!$B$2:$E$117,4,0)</f>
        <v>9650.31</v>
      </c>
      <c r="M10" s="87"/>
    </row>
    <row r="11" spans="1:13" x14ac:dyDescent="0.35">
      <c r="A11" s="85" t="s">
        <v>133</v>
      </c>
      <c r="B11" s="85">
        <v>139</v>
      </c>
      <c r="C11" s="86">
        <v>1112100192</v>
      </c>
      <c r="D11" s="85" t="s">
        <v>135</v>
      </c>
      <c r="E11" s="87"/>
      <c r="F11" s="87"/>
      <c r="G11" s="87"/>
      <c r="I11" s="86">
        <v>1112100192</v>
      </c>
      <c r="J11" s="85" t="s">
        <v>135</v>
      </c>
      <c r="K11" s="87"/>
      <c r="L11" s="87"/>
      <c r="M11" s="87"/>
    </row>
    <row r="12" spans="1:13" x14ac:dyDescent="0.35">
      <c r="A12" s="85" t="s">
        <v>133</v>
      </c>
      <c r="B12" s="85">
        <v>139</v>
      </c>
      <c r="C12" s="86">
        <v>1112100193</v>
      </c>
      <c r="D12" s="85" t="s">
        <v>136</v>
      </c>
      <c r="E12" s="87">
        <v>111997.91</v>
      </c>
      <c r="F12" s="87">
        <v>111997.91</v>
      </c>
      <c r="G12" s="87"/>
      <c r="I12" s="85">
        <v>1112100193</v>
      </c>
      <c r="J12" s="85" t="s">
        <v>136</v>
      </c>
      <c r="K12" s="87">
        <v>111997.91</v>
      </c>
      <c r="L12" s="87">
        <f>VLOOKUP(I12,'[2]LISTA DE SALDOS IM SV ENERO 202'!$B$2:$E$117,4,0)</f>
        <v>111997.91</v>
      </c>
      <c r="M12" s="87"/>
    </row>
    <row r="13" spans="1:13" x14ac:dyDescent="0.35">
      <c r="A13" s="85" t="s">
        <v>133</v>
      </c>
      <c r="B13" s="85">
        <v>139</v>
      </c>
      <c r="C13" s="86">
        <v>1112100196</v>
      </c>
      <c r="D13" s="85" t="s">
        <v>137</v>
      </c>
      <c r="E13" s="87">
        <v>-17551.91</v>
      </c>
      <c r="F13" s="87">
        <v>-17551.91</v>
      </c>
      <c r="G13" s="87"/>
      <c r="I13" s="85">
        <v>1112100196</v>
      </c>
      <c r="J13" s="85" t="s">
        <v>137</v>
      </c>
      <c r="K13" s="87">
        <v>-17551.91</v>
      </c>
      <c r="L13" s="87">
        <f>VLOOKUP(I13,'[2]LISTA DE SALDOS IM SV ENERO 202'!$B$2:$E$117,4,0)</f>
        <v>-17551.91</v>
      </c>
      <c r="M13" s="87"/>
    </row>
    <row r="14" spans="1:13" x14ac:dyDescent="0.35">
      <c r="A14" s="85" t="s">
        <v>133</v>
      </c>
      <c r="B14" s="85">
        <v>139</v>
      </c>
      <c r="C14" s="86">
        <v>1112100197</v>
      </c>
      <c r="D14" s="85" t="s">
        <v>138</v>
      </c>
      <c r="E14" s="87">
        <v>-48035.72</v>
      </c>
      <c r="F14" s="87">
        <v>-48035.72</v>
      </c>
      <c r="G14" s="87"/>
      <c r="I14" s="85">
        <v>1112100197</v>
      </c>
      <c r="J14" s="85" t="s">
        <v>138</v>
      </c>
      <c r="K14" s="87">
        <v>-48035.72</v>
      </c>
      <c r="L14" s="87">
        <f>VLOOKUP(I14,'[2]LISTA DE SALDOS IM SV ENERO 202'!$B$2:$E$117,4,0)</f>
        <v>-48035.72</v>
      </c>
      <c r="M14" s="87"/>
    </row>
    <row r="15" spans="1:13" x14ac:dyDescent="0.35">
      <c r="A15" s="85" t="s">
        <v>133</v>
      </c>
      <c r="B15" s="85">
        <v>139</v>
      </c>
      <c r="C15" s="86">
        <v>1112100201</v>
      </c>
      <c r="D15" s="85" t="s">
        <v>139</v>
      </c>
      <c r="E15" s="87">
        <v>8231.16</v>
      </c>
      <c r="F15" s="87">
        <v>8231.16</v>
      </c>
      <c r="G15" s="87"/>
      <c r="I15" s="85">
        <v>1112100201</v>
      </c>
      <c r="J15" s="85" t="s">
        <v>139</v>
      </c>
      <c r="K15" s="87">
        <v>8231.16</v>
      </c>
      <c r="L15" s="87">
        <f>VLOOKUP(I15,'[2]LISTA DE SALDOS IM SV ENERO 202'!$B$2:$E$117,4,0)</f>
        <v>8231.16</v>
      </c>
      <c r="M15" s="87"/>
    </row>
    <row r="16" spans="1:13" x14ac:dyDescent="0.35">
      <c r="A16" s="85" t="s">
        <v>133</v>
      </c>
      <c r="B16" s="85">
        <v>139</v>
      </c>
      <c r="C16" s="86">
        <v>1112100203</v>
      </c>
      <c r="D16" s="85" t="s">
        <v>140</v>
      </c>
      <c r="E16" s="87"/>
      <c r="F16" s="87"/>
      <c r="G16" s="87"/>
      <c r="I16" s="85">
        <v>1112100203</v>
      </c>
      <c r="J16" s="85" t="s">
        <v>140</v>
      </c>
      <c r="K16" s="87"/>
      <c r="L16" s="87"/>
      <c r="M16" s="87"/>
    </row>
    <row r="17" spans="1:13" x14ac:dyDescent="0.35">
      <c r="A17" s="85" t="s">
        <v>133</v>
      </c>
      <c r="B17" s="85">
        <v>139</v>
      </c>
      <c r="C17" s="86">
        <v>1112100207</v>
      </c>
      <c r="D17" s="85" t="s">
        <v>141</v>
      </c>
      <c r="E17" s="87">
        <v>-8182.4</v>
      </c>
      <c r="F17" s="87">
        <v>-8182.4</v>
      </c>
      <c r="G17" s="87"/>
      <c r="I17" s="85">
        <v>1112100207</v>
      </c>
      <c r="J17" s="85" t="s">
        <v>141</v>
      </c>
      <c r="K17" s="87">
        <v>-8182.4</v>
      </c>
      <c r="L17" s="87">
        <f>VLOOKUP(I17,'[2]LISTA DE SALDOS IM SV ENERO 202'!$B$2:$E$117,4,0)</f>
        <v>-8182.4</v>
      </c>
      <c r="M17" s="87"/>
    </row>
    <row r="18" spans="1:13" x14ac:dyDescent="0.35">
      <c r="A18" s="85" t="s">
        <v>133</v>
      </c>
      <c r="B18" s="85">
        <v>139</v>
      </c>
      <c r="C18" s="86">
        <v>1112100221</v>
      </c>
      <c r="D18" s="85" t="s">
        <v>142</v>
      </c>
      <c r="E18" s="87">
        <v>49239.69</v>
      </c>
      <c r="F18" s="87">
        <v>49239.69</v>
      </c>
      <c r="G18" s="87"/>
      <c r="I18" s="85">
        <v>1112100221</v>
      </c>
      <c r="J18" s="85" t="s">
        <v>142</v>
      </c>
      <c r="K18" s="87">
        <v>49239.69</v>
      </c>
      <c r="L18" s="87">
        <f>VLOOKUP(I18,'[2]LISTA DE SALDOS IM SV ENERO 202'!$B$2:$E$117,4,0)</f>
        <v>49239.69</v>
      </c>
      <c r="M18" s="87"/>
    </row>
    <row r="19" spans="1:13" x14ac:dyDescent="0.35">
      <c r="A19" s="85" t="s">
        <v>133</v>
      </c>
      <c r="B19" s="85">
        <v>139</v>
      </c>
      <c r="C19" s="86">
        <v>1112100222</v>
      </c>
      <c r="D19" s="85" t="s">
        <v>143</v>
      </c>
      <c r="E19" s="87"/>
      <c r="F19" s="87"/>
      <c r="G19" s="87"/>
      <c r="I19" s="85">
        <v>1112100222</v>
      </c>
      <c r="J19" s="85" t="s">
        <v>143</v>
      </c>
      <c r="K19" s="87"/>
      <c r="L19" s="87"/>
      <c r="M19" s="87"/>
    </row>
    <row r="20" spans="1:13" x14ac:dyDescent="0.35">
      <c r="A20" s="85" t="s">
        <v>133</v>
      </c>
      <c r="B20" s="85">
        <v>139</v>
      </c>
      <c r="C20" s="86">
        <v>1112100223</v>
      </c>
      <c r="D20" s="85" t="s">
        <v>144</v>
      </c>
      <c r="E20" s="87">
        <v>333066.57</v>
      </c>
      <c r="F20" s="87">
        <v>333066.57</v>
      </c>
      <c r="G20" s="87"/>
      <c r="I20" s="85">
        <v>1112100223</v>
      </c>
      <c r="J20" s="85" t="s">
        <v>144</v>
      </c>
      <c r="K20" s="87">
        <v>333066.57</v>
      </c>
      <c r="L20" s="87">
        <f>VLOOKUP(I20,'[2]LISTA DE SALDOS IM SV ENERO 202'!$B$2:$E$117,4,0)</f>
        <v>333066.57</v>
      </c>
      <c r="M20" s="87"/>
    </row>
    <row r="21" spans="1:13" x14ac:dyDescent="0.35">
      <c r="A21" s="85" t="s">
        <v>133</v>
      </c>
      <c r="B21" s="85">
        <v>139</v>
      </c>
      <c r="C21" s="86">
        <v>1112100226</v>
      </c>
      <c r="D21" s="85" t="s">
        <v>145</v>
      </c>
      <c r="E21" s="87">
        <v>-2950.59</v>
      </c>
      <c r="F21" s="87">
        <v>-2950.59</v>
      </c>
      <c r="G21" s="87"/>
      <c r="I21" s="85">
        <v>1112100226</v>
      </c>
      <c r="J21" s="85" t="s">
        <v>145</v>
      </c>
      <c r="K21" s="87">
        <v>-2950.59</v>
      </c>
      <c r="L21" s="87">
        <f>VLOOKUP(I21,'[2]LISTA DE SALDOS IM SV ENERO 202'!$B$2:$E$117,4,0)</f>
        <v>-2950.59</v>
      </c>
      <c r="M21" s="87"/>
    </row>
    <row r="22" spans="1:13" x14ac:dyDescent="0.35">
      <c r="A22" s="85" t="s">
        <v>133</v>
      </c>
      <c r="B22" s="85">
        <v>139</v>
      </c>
      <c r="C22" s="86">
        <v>1112100227</v>
      </c>
      <c r="D22" s="85" t="s">
        <v>146</v>
      </c>
      <c r="E22" s="87">
        <v>-343152.99</v>
      </c>
      <c r="F22" s="87">
        <v>-343152.99</v>
      </c>
      <c r="G22" s="87"/>
      <c r="I22" s="85">
        <v>1112100227</v>
      </c>
      <c r="J22" s="85" t="s">
        <v>146</v>
      </c>
      <c r="K22" s="87">
        <v>-343152.99</v>
      </c>
      <c r="L22" s="87">
        <f>VLOOKUP(I22,'[2]LISTA DE SALDOS IM SV ENERO 202'!$B$2:$E$117,4,0)</f>
        <v>-343152.99</v>
      </c>
      <c r="M22" s="87"/>
    </row>
    <row r="23" spans="1:13" x14ac:dyDescent="0.35">
      <c r="A23" s="85" t="s">
        <v>133</v>
      </c>
      <c r="C23" s="86">
        <v>1112100331</v>
      </c>
      <c r="D23" s="85" t="s">
        <v>147</v>
      </c>
      <c r="E23" s="87">
        <v>92.09</v>
      </c>
      <c r="F23" s="87">
        <v>92.09</v>
      </c>
      <c r="G23" s="87"/>
      <c r="I23" s="85">
        <v>1112100331</v>
      </c>
      <c r="J23" s="85" t="s">
        <v>147</v>
      </c>
      <c r="K23" s="87">
        <v>92.09</v>
      </c>
      <c r="L23" s="87">
        <f>VLOOKUP(I23,'[2]LISTA DE SALDOS IM SV ENERO 202'!$B$2:$E$117,4,0)</f>
        <v>92.09</v>
      </c>
      <c r="M23" s="87"/>
    </row>
    <row r="24" spans="1:13" x14ac:dyDescent="0.35">
      <c r="A24" s="85" t="s">
        <v>133</v>
      </c>
      <c r="B24" s="85">
        <v>139</v>
      </c>
      <c r="C24" s="86">
        <v>1112100333</v>
      </c>
      <c r="D24" s="85" t="s">
        <v>148</v>
      </c>
      <c r="E24" s="87"/>
      <c r="F24" s="87"/>
      <c r="G24" s="87"/>
      <c r="I24" s="86">
        <v>1112100333</v>
      </c>
      <c r="J24" s="85" t="s">
        <v>148</v>
      </c>
      <c r="K24" s="87"/>
      <c r="L24" s="87"/>
      <c r="M24" s="87"/>
    </row>
    <row r="25" spans="1:13" x14ac:dyDescent="0.35">
      <c r="A25" s="85" t="s">
        <v>133</v>
      </c>
      <c r="B25" s="85">
        <v>139</v>
      </c>
      <c r="C25" s="86">
        <v>1112100337</v>
      </c>
      <c r="D25" s="85" t="s">
        <v>149</v>
      </c>
      <c r="E25" s="87"/>
      <c r="F25" s="87"/>
      <c r="G25" s="87"/>
      <c r="I25" s="86">
        <v>1112100337</v>
      </c>
      <c r="J25" s="85" t="s">
        <v>149</v>
      </c>
      <c r="K25" s="87"/>
      <c r="L25" s="87"/>
      <c r="M25" s="87"/>
    </row>
    <row r="26" spans="1:13" x14ac:dyDescent="0.35">
      <c r="A26" s="85" t="s">
        <v>133</v>
      </c>
      <c r="C26" s="86">
        <v>1112100341</v>
      </c>
      <c r="D26" s="85" t="s">
        <v>147</v>
      </c>
      <c r="E26" s="87">
        <v>808.76</v>
      </c>
      <c r="F26" s="87">
        <v>808.76</v>
      </c>
      <c r="G26" s="87"/>
      <c r="I26" s="85">
        <v>1112100341</v>
      </c>
      <c r="J26" s="85" t="s">
        <v>147</v>
      </c>
      <c r="K26" s="87">
        <v>808.76</v>
      </c>
      <c r="L26" s="87">
        <f>VLOOKUP(I26,'[2]LISTA DE SALDOS IM SV ENERO 202'!$B$2:$E$117,4,0)</f>
        <v>808.76</v>
      </c>
      <c r="M26" s="87"/>
    </row>
    <row r="27" spans="1:13" x14ac:dyDescent="0.35">
      <c r="A27" s="85" t="s">
        <v>133</v>
      </c>
      <c r="B27" s="85">
        <v>139</v>
      </c>
      <c r="C27" s="86">
        <v>1112100343</v>
      </c>
      <c r="D27" s="85" t="s">
        <v>150</v>
      </c>
      <c r="E27" s="87">
        <v>154222.32</v>
      </c>
      <c r="F27" s="87">
        <v>154222.32</v>
      </c>
      <c r="G27" s="87"/>
      <c r="I27" s="85">
        <v>1112100343</v>
      </c>
      <c r="J27" s="85" t="s">
        <v>150</v>
      </c>
      <c r="K27" s="87">
        <v>154222.32</v>
      </c>
      <c r="L27" s="87">
        <f>VLOOKUP(I27,'[2]LISTA DE SALDOS IM SV ENERO 202'!$B$2:$E$117,4,0)</f>
        <v>154222.32</v>
      </c>
      <c r="M27" s="87"/>
    </row>
    <row r="28" spans="1:13" x14ac:dyDescent="0.35">
      <c r="C28" s="86">
        <v>1112100343</v>
      </c>
      <c r="D28" s="85" t="s">
        <v>150</v>
      </c>
      <c r="E28" s="87">
        <v>38120</v>
      </c>
      <c r="F28" s="87">
        <v>38120</v>
      </c>
      <c r="G28" s="87"/>
      <c r="K28" s="87"/>
      <c r="L28" s="87"/>
      <c r="M28" s="87"/>
    </row>
    <row r="29" spans="1:13" x14ac:dyDescent="0.35">
      <c r="A29" s="85" t="s">
        <v>133</v>
      </c>
      <c r="B29" s="85">
        <v>139</v>
      </c>
      <c r="C29" s="86">
        <v>1112100346</v>
      </c>
      <c r="D29" s="85" t="s">
        <v>151</v>
      </c>
      <c r="E29" s="87">
        <v>-12202.09</v>
      </c>
      <c r="F29" s="87">
        <v>-12202.09</v>
      </c>
      <c r="G29" s="87"/>
      <c r="I29" s="85">
        <v>1112100346</v>
      </c>
      <c r="J29" s="85" t="s">
        <v>151</v>
      </c>
      <c r="K29" s="87">
        <v>-12202.09</v>
      </c>
      <c r="L29" s="87">
        <f>VLOOKUP(I29,'[2]LISTA DE SALDOS IM SV ENERO 202'!$B$2:$E$117,4,0)</f>
        <v>-12202.09</v>
      </c>
      <c r="M29" s="87"/>
    </row>
    <row r="30" spans="1:13" x14ac:dyDescent="0.35">
      <c r="C30" s="86">
        <v>1112100346</v>
      </c>
      <c r="D30" s="85" t="s">
        <v>151</v>
      </c>
      <c r="E30" s="87">
        <v>-457.95</v>
      </c>
      <c r="F30" s="87">
        <v>-457.95</v>
      </c>
      <c r="G30" s="87"/>
      <c r="K30" s="87"/>
      <c r="L30" s="87"/>
      <c r="M30" s="87"/>
    </row>
    <row r="31" spans="1:13" x14ac:dyDescent="0.35">
      <c r="A31" s="85" t="s">
        <v>133</v>
      </c>
      <c r="B31" s="85">
        <v>139</v>
      </c>
      <c r="C31" s="86">
        <v>1112100347</v>
      </c>
      <c r="D31" s="85" t="s">
        <v>152</v>
      </c>
      <c r="E31" s="87">
        <v>-134715.72</v>
      </c>
      <c r="F31" s="87">
        <v>-134715.72</v>
      </c>
      <c r="G31" s="87"/>
      <c r="I31" s="85">
        <v>1112100347</v>
      </c>
      <c r="J31" s="85" t="s">
        <v>152</v>
      </c>
      <c r="K31" s="87">
        <v>-134715.72</v>
      </c>
      <c r="L31" s="87">
        <f>VLOOKUP(I31,'[2]LISTA DE SALDOS IM SV ENERO 202'!$B$2:$E$117,4,0)</f>
        <v>-134715.72</v>
      </c>
      <c r="M31" s="87"/>
    </row>
    <row r="32" spans="1:13" x14ac:dyDescent="0.35">
      <c r="C32" s="86">
        <v>1112100347</v>
      </c>
      <c r="D32" s="85" t="s">
        <v>152</v>
      </c>
      <c r="E32" s="87">
        <v>-584.99</v>
      </c>
      <c r="F32" s="87">
        <v>-584.99</v>
      </c>
      <c r="G32" s="87"/>
      <c r="K32" s="87"/>
      <c r="L32" s="87"/>
      <c r="M32" s="87"/>
    </row>
    <row r="33" spans="1:15" x14ac:dyDescent="0.35">
      <c r="A33" s="85" t="s">
        <v>133</v>
      </c>
      <c r="B33" s="85">
        <v>139</v>
      </c>
      <c r="C33" s="86">
        <v>1112100348</v>
      </c>
      <c r="D33" s="85" t="s">
        <v>153</v>
      </c>
      <c r="E33" s="87"/>
      <c r="F33" s="87"/>
      <c r="G33" s="87"/>
      <c r="I33" s="85">
        <v>1112100348</v>
      </c>
      <c r="J33" s="85" t="s">
        <v>153</v>
      </c>
      <c r="K33" s="87"/>
      <c r="L33" s="87"/>
      <c r="M33" s="87"/>
    </row>
    <row r="34" spans="1:15" x14ac:dyDescent="0.35">
      <c r="A34" s="85" t="s">
        <v>133</v>
      </c>
      <c r="B34" s="85">
        <v>139</v>
      </c>
      <c r="C34" s="86">
        <v>1112104181</v>
      </c>
      <c r="D34" s="85" t="s">
        <v>154</v>
      </c>
      <c r="E34" s="87">
        <v>1997.74</v>
      </c>
      <c r="F34" s="87">
        <v>1997.74</v>
      </c>
      <c r="G34" s="87"/>
      <c r="I34" s="85">
        <v>1112104181</v>
      </c>
      <c r="J34" s="85" t="s">
        <v>154</v>
      </c>
      <c r="K34" s="87">
        <v>1997.74</v>
      </c>
      <c r="L34" s="87">
        <f>VLOOKUP(I34,'[2]LISTA DE SALDOS IM SV ENERO 202'!$B$2:$E$117,4,0)</f>
        <v>1997.74</v>
      </c>
      <c r="M34" s="87"/>
    </row>
    <row r="35" spans="1:15" x14ac:dyDescent="0.35">
      <c r="A35" s="85" t="s">
        <v>133</v>
      </c>
      <c r="B35" s="85">
        <v>139</v>
      </c>
      <c r="C35" s="86">
        <v>1112104183</v>
      </c>
      <c r="D35" s="85" t="s">
        <v>155</v>
      </c>
      <c r="E35" s="87"/>
      <c r="F35" s="87"/>
      <c r="G35" s="87"/>
      <c r="I35" s="86">
        <v>1112104183</v>
      </c>
      <c r="J35" s="85" t="s">
        <v>155</v>
      </c>
      <c r="K35" s="87"/>
      <c r="L35" s="87"/>
      <c r="M35" s="87"/>
    </row>
    <row r="36" spans="1:15" x14ac:dyDescent="0.35">
      <c r="A36" s="85" t="s">
        <v>133</v>
      </c>
      <c r="B36" s="85">
        <v>139</v>
      </c>
      <c r="C36" s="86">
        <v>1112104187</v>
      </c>
      <c r="D36" s="85" t="s">
        <v>156</v>
      </c>
      <c r="E36" s="87"/>
      <c r="F36" s="87"/>
      <c r="G36" s="87"/>
      <c r="I36" s="86">
        <v>1112104187</v>
      </c>
      <c r="J36" s="85" t="s">
        <v>156</v>
      </c>
      <c r="K36" s="87"/>
      <c r="L36" s="87"/>
      <c r="M36" s="87"/>
    </row>
    <row r="37" spans="1:15" x14ac:dyDescent="0.35">
      <c r="A37" s="85" t="s">
        <v>133</v>
      </c>
      <c r="B37" s="85">
        <v>139</v>
      </c>
      <c r="C37" s="86">
        <v>1112104191</v>
      </c>
      <c r="D37" s="85" t="s">
        <v>157</v>
      </c>
      <c r="E37" s="87">
        <v>3805.8</v>
      </c>
      <c r="F37" s="87">
        <v>3805.8</v>
      </c>
      <c r="G37" s="87"/>
      <c r="I37" s="86">
        <v>1112104191</v>
      </c>
      <c r="J37" s="85" t="s">
        <v>157</v>
      </c>
      <c r="K37" s="87">
        <v>3805.8</v>
      </c>
      <c r="L37" s="87">
        <f>VLOOKUP(I37,'[2]LISTA DE SALDOS IM SV ENERO 202'!$B$2:$E$117,4,0)</f>
        <v>3805.8</v>
      </c>
      <c r="M37" s="87"/>
    </row>
    <row r="38" spans="1:15" x14ac:dyDescent="0.35">
      <c r="A38" s="85" t="s">
        <v>133</v>
      </c>
      <c r="B38" s="85">
        <v>139</v>
      </c>
      <c r="C38" s="86">
        <v>1112104193</v>
      </c>
      <c r="D38" s="85" t="s">
        <v>158</v>
      </c>
      <c r="E38" s="87">
        <v>124646.88</v>
      </c>
      <c r="F38" s="87">
        <v>124646.88</v>
      </c>
      <c r="G38" s="87"/>
      <c r="I38" s="86">
        <v>1112104193</v>
      </c>
      <c r="J38" s="85" t="s">
        <v>158</v>
      </c>
      <c r="K38" s="87">
        <v>124646.88</v>
      </c>
      <c r="L38" s="87">
        <f>VLOOKUP(I38,'[2]LISTA DE SALDOS IM SV ENERO 202'!$B$2:$E$117,4,0)</f>
        <v>124646.88</v>
      </c>
      <c r="M38" s="87"/>
    </row>
    <row r="39" spans="1:15" x14ac:dyDescent="0.35">
      <c r="A39" s="85" t="s">
        <v>133</v>
      </c>
      <c r="B39" s="85">
        <v>139</v>
      </c>
      <c r="C39" s="86">
        <v>1112104197</v>
      </c>
      <c r="D39" s="85" t="s">
        <v>159</v>
      </c>
      <c r="E39" s="87">
        <v>-126738.19</v>
      </c>
      <c r="F39" s="87">
        <v>-126738.19</v>
      </c>
      <c r="G39" s="87"/>
      <c r="I39" s="86">
        <v>1112104197</v>
      </c>
      <c r="J39" s="85" t="s">
        <v>159</v>
      </c>
      <c r="K39" s="87">
        <v>-126738.19</v>
      </c>
      <c r="L39" s="87">
        <f>VLOOKUP(I39,'[2]LISTA DE SALDOS IM SV ENERO 202'!$B$2:$E$117,4,0)</f>
        <v>-126738.19</v>
      </c>
      <c r="M39" s="87"/>
    </row>
    <row r="40" spans="1:15" x14ac:dyDescent="0.35">
      <c r="A40" s="85" t="s">
        <v>133</v>
      </c>
      <c r="B40" s="85">
        <v>140</v>
      </c>
      <c r="C40" s="85">
        <v>1112100423</v>
      </c>
      <c r="D40" s="85" t="s">
        <v>160</v>
      </c>
      <c r="E40" s="87">
        <v>56900</v>
      </c>
      <c r="F40" s="87">
        <v>56900</v>
      </c>
      <c r="G40" s="87"/>
      <c r="I40" s="85">
        <v>1112100423</v>
      </c>
      <c r="J40" s="85" t="s">
        <v>160</v>
      </c>
      <c r="K40" s="87">
        <v>56900</v>
      </c>
      <c r="L40" s="87">
        <f>VLOOKUP(I40,'[2]LISTA DE SALDOS IM SV ENERO 202'!$B$2:$E$117,4,0)</f>
        <v>56900</v>
      </c>
      <c r="M40" s="87"/>
    </row>
    <row r="41" spans="1:15" x14ac:dyDescent="0.35">
      <c r="A41" s="85" t="s">
        <v>133</v>
      </c>
      <c r="B41" s="85">
        <v>141</v>
      </c>
      <c r="C41" s="85">
        <v>1112100421</v>
      </c>
      <c r="D41" s="85" t="s">
        <v>161</v>
      </c>
      <c r="E41" s="89">
        <v>3224.99</v>
      </c>
      <c r="F41" s="89">
        <v>3224.99</v>
      </c>
      <c r="G41" s="87"/>
      <c r="I41" s="85">
        <v>1112100421</v>
      </c>
      <c r="J41" s="85" t="s">
        <v>161</v>
      </c>
      <c r="K41" s="89">
        <v>3224.99</v>
      </c>
      <c r="L41" s="89">
        <f>VLOOKUP(I41,'[2]LISTA DE SALDOS IM SV ENERO 202'!$B$2:$E$117,4,0)</f>
        <v>3224.99</v>
      </c>
      <c r="M41" s="87"/>
      <c r="N41" s="90"/>
      <c r="O41" s="90"/>
    </row>
    <row r="42" spans="1:15" x14ac:dyDescent="0.35">
      <c r="A42" s="85" t="s">
        <v>133</v>
      </c>
      <c r="B42" s="85">
        <v>141</v>
      </c>
      <c r="C42" s="85">
        <v>1112100427</v>
      </c>
      <c r="D42" s="85" t="s">
        <v>161</v>
      </c>
      <c r="E42" s="87">
        <v>-3545.36</v>
      </c>
      <c r="F42" s="87">
        <v>-3545.36</v>
      </c>
      <c r="G42" s="87"/>
      <c r="I42" s="85">
        <v>1112100427</v>
      </c>
      <c r="J42" s="85" t="s">
        <v>161</v>
      </c>
      <c r="K42" s="87">
        <v>-3545.36</v>
      </c>
      <c r="L42" s="87">
        <f>VLOOKUP(I42,'[2]LISTA DE SALDOS IM SV ENERO 202'!$B$2:$E$117,4,0)</f>
        <v>-3545.36</v>
      </c>
      <c r="M42" s="87"/>
    </row>
    <row r="43" spans="1:15" x14ac:dyDescent="0.35">
      <c r="C43" s="85">
        <v>1112100427</v>
      </c>
      <c r="D43" s="85" t="s">
        <v>161</v>
      </c>
      <c r="E43" s="87">
        <v>-38000</v>
      </c>
      <c r="F43" s="87">
        <v>-38000</v>
      </c>
      <c r="G43" s="87"/>
      <c r="K43" s="87"/>
      <c r="L43" s="87"/>
      <c r="M43" s="87"/>
    </row>
    <row r="44" spans="1:15" x14ac:dyDescent="0.35">
      <c r="A44" s="85" t="s">
        <v>133</v>
      </c>
      <c r="B44" s="85">
        <v>139</v>
      </c>
      <c r="C44" s="86">
        <v>1113000000</v>
      </c>
      <c r="D44" s="85" t="s">
        <v>38</v>
      </c>
      <c r="E44" s="87">
        <v>-21036.25</v>
      </c>
      <c r="F44" s="87">
        <v>-21036.25</v>
      </c>
      <c r="G44" s="87"/>
      <c r="I44" s="86">
        <v>1113000000</v>
      </c>
      <c r="J44" s="85" t="s">
        <v>38</v>
      </c>
      <c r="K44" s="87">
        <v>-21036.25</v>
      </c>
      <c r="L44" s="87">
        <f>VLOOKUP(I44,'[2]LISTA DE SALDOS IM SV ENERO 202'!$B$2:$E$117,4,0)</f>
        <v>-21036.25</v>
      </c>
      <c r="M44" s="87"/>
    </row>
    <row r="45" spans="1:15" x14ac:dyDescent="0.35">
      <c r="C45" s="91">
        <f>E46+E48+E49+E52-D45</f>
        <v>3151767.74</v>
      </c>
      <c r="D45" s="85">
        <v>219853.76</v>
      </c>
      <c r="E45" s="92">
        <f>SUM(E7:E44)</f>
        <v>139010.05999999988</v>
      </c>
      <c r="F45" s="92">
        <f>SUM(F7:F44)</f>
        <v>139010.05999999988</v>
      </c>
      <c r="G45" s="92">
        <f>SUM(G7:G44)</f>
        <v>0</v>
      </c>
      <c r="K45" s="92">
        <f>SUM(K7:K44)</f>
        <v>139932.99999999997</v>
      </c>
      <c r="L45" s="92">
        <f>SUM(L7:L44)</f>
        <v>139932.99999999997</v>
      </c>
      <c r="M45" s="92">
        <f>SUM(M7:M44)</f>
        <v>0</v>
      </c>
    </row>
    <row r="46" spans="1:15" x14ac:dyDescent="0.35">
      <c r="A46" s="85" t="s">
        <v>162</v>
      </c>
      <c r="B46" s="85">
        <v>139</v>
      </c>
      <c r="C46" s="86">
        <v>1131100000</v>
      </c>
      <c r="D46" s="85" t="s">
        <v>40</v>
      </c>
      <c r="E46" s="87">
        <v>3078132.25</v>
      </c>
      <c r="F46" s="87">
        <v>3078132.25</v>
      </c>
      <c r="G46" s="87"/>
      <c r="I46" s="86">
        <v>1131100000</v>
      </c>
      <c r="J46" s="85" t="s">
        <v>40</v>
      </c>
      <c r="K46" s="87">
        <v>3078132.25</v>
      </c>
      <c r="L46" s="87">
        <f>VLOOKUP(I46,'[2]LISTA DE SALDOS IM SV ENERO 202'!$B$2:$E$117,4,0)</f>
        <v>3078132.25</v>
      </c>
      <c r="M46" s="87"/>
    </row>
    <row r="47" spans="1:15" x14ac:dyDescent="0.35">
      <c r="A47" s="85" t="s">
        <v>163</v>
      </c>
      <c r="B47" s="85">
        <v>139</v>
      </c>
      <c r="C47" s="93">
        <v>1131300000</v>
      </c>
      <c r="D47" s="85" t="s">
        <v>164</v>
      </c>
      <c r="E47" s="87">
        <v>2368194.67</v>
      </c>
      <c r="F47" s="87">
        <v>2368194.67</v>
      </c>
      <c r="G47" s="87"/>
      <c r="I47" s="86">
        <v>1131300000</v>
      </c>
      <c r="J47" s="85" t="s">
        <v>164</v>
      </c>
      <c r="K47" s="87">
        <v>2368194.67</v>
      </c>
      <c r="L47" s="87">
        <f>VLOOKUP(I47,'[2]LISTA DE SALDOS IM SV ENERO 202'!$B$2:$E$117,4,0)</f>
        <v>2368194.67</v>
      </c>
      <c r="M47" s="87"/>
    </row>
    <row r="48" spans="1:15" x14ac:dyDescent="0.35">
      <c r="A48" s="85" t="s">
        <v>165</v>
      </c>
      <c r="B48" s="85">
        <v>139</v>
      </c>
      <c r="C48" s="86">
        <v>1132500000</v>
      </c>
      <c r="D48" s="85" t="s">
        <v>166</v>
      </c>
      <c r="E48" s="87">
        <v>288517.05</v>
      </c>
      <c r="F48" s="87">
        <v>288517.05</v>
      </c>
      <c r="G48" s="87"/>
      <c r="I48" s="86">
        <v>1132500000</v>
      </c>
      <c r="J48" s="85" t="s">
        <v>166</v>
      </c>
      <c r="K48" s="87">
        <v>288517.05</v>
      </c>
      <c r="L48" s="87">
        <f>VLOOKUP(I48,'[2]LISTA DE SALDOS IM SV ENERO 202'!$B$2:$E$117,4,0)</f>
        <v>288517.05</v>
      </c>
      <c r="M48" s="87"/>
    </row>
    <row r="49" spans="1:13" x14ac:dyDescent="0.35">
      <c r="A49" s="85" t="s">
        <v>165</v>
      </c>
      <c r="B49" s="85">
        <v>139</v>
      </c>
      <c r="C49" s="86">
        <v>1133200000</v>
      </c>
      <c r="D49" s="85" t="s">
        <v>167</v>
      </c>
      <c r="E49" s="87">
        <v>2035.04</v>
      </c>
      <c r="F49" s="87">
        <v>2035.04</v>
      </c>
      <c r="G49" s="87"/>
      <c r="I49" s="86">
        <v>1133200000</v>
      </c>
      <c r="J49" s="85" t="s">
        <v>167</v>
      </c>
      <c r="K49" s="87">
        <v>2035.04</v>
      </c>
      <c r="L49" s="87">
        <f>VLOOKUP(I49,'[2]LISTA DE SALDOS IM SV ENERO 202'!$B$2:$E$117,4,0)</f>
        <v>2035.04</v>
      </c>
      <c r="M49" s="87"/>
    </row>
    <row r="50" spans="1:13" x14ac:dyDescent="0.35">
      <c r="A50" s="85" t="s">
        <v>165</v>
      </c>
      <c r="B50" s="85">
        <v>139</v>
      </c>
      <c r="C50" s="86">
        <v>1133210000</v>
      </c>
      <c r="D50" s="85" t="s">
        <v>168</v>
      </c>
      <c r="E50" s="87"/>
      <c r="F50" s="87"/>
      <c r="G50" s="87"/>
      <c r="I50" s="86">
        <v>1133210000</v>
      </c>
      <c r="J50" s="85" t="s">
        <v>168</v>
      </c>
      <c r="K50" s="87"/>
      <c r="L50" s="87"/>
      <c r="M50" s="87"/>
    </row>
    <row r="51" spans="1:13" x14ac:dyDescent="0.35">
      <c r="A51" s="85" t="s">
        <v>165</v>
      </c>
      <c r="B51" s="85">
        <v>139</v>
      </c>
      <c r="C51" s="86">
        <v>1140000000</v>
      </c>
      <c r="D51" s="85" t="s">
        <v>169</v>
      </c>
      <c r="E51" s="87"/>
      <c r="F51" s="87"/>
      <c r="G51" s="87"/>
      <c r="I51" s="86">
        <v>1140000000</v>
      </c>
      <c r="J51" s="85" t="s">
        <v>169</v>
      </c>
      <c r="K51" s="87"/>
      <c r="L51" s="87"/>
      <c r="M51" s="87"/>
    </row>
    <row r="52" spans="1:13" x14ac:dyDescent="0.35">
      <c r="A52" s="85" t="s">
        <v>165</v>
      </c>
      <c r="B52" s="85">
        <v>139</v>
      </c>
      <c r="C52" s="86">
        <v>1141000000</v>
      </c>
      <c r="D52" s="85" t="s">
        <v>170</v>
      </c>
      <c r="E52" s="87">
        <v>2937.16</v>
      </c>
      <c r="F52" s="87">
        <v>2937.16</v>
      </c>
      <c r="G52" s="87"/>
      <c r="I52" s="86">
        <v>1141000000</v>
      </c>
      <c r="J52" s="85" t="s">
        <v>170</v>
      </c>
      <c r="K52" s="87">
        <v>2937.16</v>
      </c>
      <c r="L52" s="87">
        <f>VLOOKUP(I52,'[2]LISTA DE SALDOS IM SV ENERO 202'!$B$2:$E$117,4,0)</f>
        <v>2937.16</v>
      </c>
      <c r="M52" s="87"/>
    </row>
    <row r="53" spans="1:13" x14ac:dyDescent="0.35">
      <c r="E53" s="94">
        <f>SUM(E48:E52)</f>
        <v>293489.24999999994</v>
      </c>
      <c r="F53" s="94">
        <f>SUM(F48:F52)</f>
        <v>293489.24999999994</v>
      </c>
      <c r="G53" s="94">
        <f>SUM(G48:G52)</f>
        <v>0</v>
      </c>
      <c r="K53" s="94">
        <f>SUM(K48:K52)</f>
        <v>293489.24999999994</v>
      </c>
      <c r="L53" s="94">
        <f>SUM(L48:L52)</f>
        <v>293489.24999999994</v>
      </c>
      <c r="M53" s="94">
        <f>SUM(M48:M52)</f>
        <v>0</v>
      </c>
    </row>
    <row r="54" spans="1:13" x14ac:dyDescent="0.35">
      <c r="A54" s="85" t="s">
        <v>171</v>
      </c>
      <c r="B54" s="85">
        <v>139</v>
      </c>
      <c r="C54" s="85">
        <v>1125000000</v>
      </c>
      <c r="D54" s="85" t="s">
        <v>172</v>
      </c>
      <c r="E54" s="87">
        <v>2490.63</v>
      </c>
      <c r="F54" s="87">
        <v>2490.63</v>
      </c>
      <c r="G54" s="87"/>
      <c r="I54" s="85">
        <v>1125000000</v>
      </c>
      <c r="J54" s="85" t="s">
        <v>172</v>
      </c>
      <c r="K54" s="87">
        <v>2490.63</v>
      </c>
      <c r="L54" s="87">
        <f>VLOOKUP(I54,'[2]LISTA DE SALDOS IM SV ENERO 202'!$B$2:$E$117,4,0)</f>
        <v>2490.63</v>
      </c>
      <c r="M54" s="87"/>
    </row>
    <row r="55" spans="1:13" x14ac:dyDescent="0.35">
      <c r="A55" s="85" t="s">
        <v>173</v>
      </c>
      <c r="B55" s="85">
        <v>139</v>
      </c>
      <c r="C55" s="86">
        <v>1151000000</v>
      </c>
      <c r="D55" s="85" t="s">
        <v>174</v>
      </c>
      <c r="E55" s="87">
        <v>11791.99</v>
      </c>
      <c r="F55" s="87">
        <v>11791.99</v>
      </c>
      <c r="G55" s="87"/>
      <c r="I55" s="85">
        <v>1151000000</v>
      </c>
      <c r="J55" s="85" t="s">
        <v>174</v>
      </c>
      <c r="K55" s="87">
        <v>11791.99</v>
      </c>
      <c r="L55" s="87">
        <f>VLOOKUP(I55,'[2]LISTA DE SALDOS IM SV ENERO 202'!$B$2:$E$117,4,0)</f>
        <v>11791.99</v>
      </c>
      <c r="M55" s="87"/>
    </row>
    <row r="56" spans="1:13" x14ac:dyDescent="0.35">
      <c r="A56" s="85" t="s">
        <v>173</v>
      </c>
      <c r="B56" s="85">
        <v>139</v>
      </c>
      <c r="C56" s="85">
        <v>1164000000</v>
      </c>
      <c r="D56" s="85" t="s">
        <v>20</v>
      </c>
      <c r="E56" s="87">
        <v>180772.94</v>
      </c>
      <c r="F56" s="87">
        <v>180772.94</v>
      </c>
      <c r="G56" s="87"/>
      <c r="I56" s="85">
        <v>1164000000</v>
      </c>
      <c r="J56" s="85" t="s">
        <v>20</v>
      </c>
      <c r="K56" s="87">
        <v>180772.94</v>
      </c>
      <c r="L56" s="87">
        <f>VLOOKUP(I56,'[2]LISTA DE SALDOS IM SV ENERO 202'!$B$2:$E$117,4,0)</f>
        <v>180772.94</v>
      </c>
      <c r="M56" s="87"/>
    </row>
    <row r="57" spans="1:13" x14ac:dyDescent="0.35">
      <c r="A57" s="85" t="s">
        <v>175</v>
      </c>
      <c r="B57" s="85">
        <v>139</v>
      </c>
      <c r="C57" s="86">
        <v>1202000000</v>
      </c>
      <c r="D57" s="85" t="s">
        <v>176</v>
      </c>
      <c r="E57" s="87">
        <v>3500000</v>
      </c>
      <c r="F57" s="87">
        <v>3500000</v>
      </c>
      <c r="G57" s="87"/>
      <c r="I57" s="85">
        <v>1202000000</v>
      </c>
      <c r="J57" s="85" t="s">
        <v>176</v>
      </c>
      <c r="K57" s="87">
        <v>3500000</v>
      </c>
      <c r="L57" s="87">
        <f>VLOOKUP(I57,'[2]LISTA DE SALDOS IM SV ENERO 202'!$B$2:$E$117,4,0)</f>
        <v>3500000</v>
      </c>
      <c r="M57" s="87"/>
    </row>
    <row r="58" spans="1:13" x14ac:dyDescent="0.35">
      <c r="A58" s="85" t="s">
        <v>177</v>
      </c>
      <c r="B58" s="85">
        <v>139</v>
      </c>
      <c r="C58" s="86">
        <v>1301100000</v>
      </c>
      <c r="D58" s="85" t="s">
        <v>178</v>
      </c>
      <c r="E58" s="87">
        <v>3320394.53</v>
      </c>
      <c r="F58" s="87">
        <v>3320394.53</v>
      </c>
      <c r="G58" s="87"/>
      <c r="I58" s="85">
        <v>1301100000</v>
      </c>
      <c r="J58" s="85" t="s">
        <v>178</v>
      </c>
      <c r="K58" s="87">
        <v>3320394.53</v>
      </c>
      <c r="L58" s="87">
        <f>VLOOKUP(I58,'[2]LISTA DE SALDOS IM SV ENERO 202'!$B$2:$E$117,4,0)</f>
        <v>3320394.53</v>
      </c>
      <c r="M58" s="87"/>
    </row>
    <row r="59" spans="1:13" x14ac:dyDescent="0.35">
      <c r="A59" s="85" t="s">
        <v>177</v>
      </c>
      <c r="B59" s="85">
        <v>139</v>
      </c>
      <c r="C59" s="86">
        <v>1301200000</v>
      </c>
      <c r="D59" s="85" t="s">
        <v>179</v>
      </c>
      <c r="E59" s="87">
        <v>339921.29</v>
      </c>
      <c r="F59" s="87">
        <v>339921.29</v>
      </c>
      <c r="G59" s="87"/>
      <c r="I59" s="85">
        <v>1301200000</v>
      </c>
      <c r="J59" s="85" t="s">
        <v>179</v>
      </c>
      <c r="K59" s="87">
        <v>339921.29</v>
      </c>
      <c r="L59" s="87">
        <f>VLOOKUP(I59,'[2]LISTA DE SALDOS IM SV ENERO 202'!$B$2:$E$117,4,0)</f>
        <v>339921.29</v>
      </c>
      <c r="M59" s="87"/>
    </row>
    <row r="60" spans="1:13" x14ac:dyDescent="0.35">
      <c r="E60" s="95">
        <f>SUM(E58:E59)</f>
        <v>3660315.82</v>
      </c>
      <c r="F60" s="95">
        <f>SUM(F58:F59)</f>
        <v>3660315.82</v>
      </c>
      <c r="G60" s="95">
        <f>SUM(G58:G59)</f>
        <v>0</v>
      </c>
      <c r="K60" s="95">
        <f>SUM(K58:K59)</f>
        <v>3660315.82</v>
      </c>
      <c r="L60" s="95">
        <f>SUM(L58:L59)</f>
        <v>3660315.82</v>
      </c>
      <c r="M60" s="95">
        <f>SUM(M58:M59)</f>
        <v>0</v>
      </c>
    </row>
    <row r="61" spans="1:13" x14ac:dyDescent="0.35">
      <c r="A61" s="85" t="s">
        <v>180</v>
      </c>
      <c r="B61" s="85">
        <v>139</v>
      </c>
      <c r="C61" s="86">
        <v>1302100000</v>
      </c>
      <c r="D61" s="85" t="s">
        <v>181</v>
      </c>
      <c r="E61" s="87">
        <v>3075886.52</v>
      </c>
      <c r="F61" s="87">
        <v>3075886.52</v>
      </c>
      <c r="G61" s="87"/>
      <c r="I61" s="85">
        <v>1302100000</v>
      </c>
      <c r="J61" s="85" t="s">
        <v>181</v>
      </c>
      <c r="K61" s="87">
        <v>3075886.52</v>
      </c>
      <c r="L61" s="87">
        <f>VLOOKUP(I61,'[2]LISTA DE SALDOS IM SV ENERO 202'!$B$2:$E$117,4,0)</f>
        <v>3075886.52</v>
      </c>
      <c r="M61" s="87"/>
    </row>
    <row r="62" spans="1:13" x14ac:dyDescent="0.35">
      <c r="A62" s="85" t="s">
        <v>180</v>
      </c>
      <c r="B62" s="85">
        <v>139</v>
      </c>
      <c r="C62" s="86">
        <v>1302200000</v>
      </c>
      <c r="D62" s="85" t="s">
        <v>182</v>
      </c>
      <c r="E62" s="87">
        <v>747027.76</v>
      </c>
      <c r="F62" s="87">
        <v>747027.76</v>
      </c>
      <c r="G62" s="87"/>
      <c r="I62" s="85">
        <v>1302200000</v>
      </c>
      <c r="J62" s="85" t="s">
        <v>182</v>
      </c>
      <c r="K62" s="87">
        <v>747027.76</v>
      </c>
      <c r="L62" s="87">
        <f>VLOOKUP(I62,'[2]LISTA DE SALDOS IM SV ENERO 202'!$B$2:$E$117,4,0)</f>
        <v>747027.76</v>
      </c>
      <c r="M62" s="87"/>
    </row>
    <row r="63" spans="1:13" x14ac:dyDescent="0.35">
      <c r="A63" s="85" t="s">
        <v>180</v>
      </c>
      <c r="B63" s="85">
        <v>139</v>
      </c>
      <c r="C63" s="86">
        <v>1303100000</v>
      </c>
      <c r="D63" s="85" t="s">
        <v>183</v>
      </c>
      <c r="E63" s="87">
        <v>325427</v>
      </c>
      <c r="F63" s="87">
        <v>325427</v>
      </c>
      <c r="G63" s="87"/>
      <c r="I63" s="86">
        <v>1303100000</v>
      </c>
      <c r="J63" s="85" t="s">
        <v>183</v>
      </c>
      <c r="K63" s="87">
        <v>325427</v>
      </c>
      <c r="L63" s="87">
        <f>VLOOKUP(I63,'[2]LISTA DE SALDOS IM SV ENERO 202'!$B$2:$E$117,4,0)</f>
        <v>325427</v>
      </c>
      <c r="M63" s="87"/>
    </row>
    <row r="64" spans="1:13" x14ac:dyDescent="0.35">
      <c r="E64" s="92">
        <f>SUM(E61:E63)</f>
        <v>4148341.2800000003</v>
      </c>
      <c r="F64" s="92">
        <f>SUM(F61:F63)</f>
        <v>4148341.2800000003</v>
      </c>
      <c r="G64" s="92">
        <f>SUM(G61:G63)</f>
        <v>0</v>
      </c>
      <c r="K64" s="92">
        <f>SUM(K61:K63)</f>
        <v>4148341.2800000003</v>
      </c>
      <c r="L64" s="92">
        <f>SUM(L61:L63)</f>
        <v>4148341.2800000003</v>
      </c>
      <c r="M64" s="92">
        <f>SUM(M61:M63)</f>
        <v>0</v>
      </c>
    </row>
    <row r="65" spans="1:13" x14ac:dyDescent="0.35">
      <c r="A65" s="85" t="s">
        <v>184</v>
      </c>
      <c r="B65" s="85">
        <v>139</v>
      </c>
      <c r="C65" s="86">
        <v>1304100000</v>
      </c>
      <c r="D65" s="85" t="s">
        <v>185</v>
      </c>
      <c r="E65" s="87">
        <v>8201438.8200000003</v>
      </c>
      <c r="F65" s="87">
        <v>8201438.8200000003</v>
      </c>
      <c r="G65" s="87"/>
      <c r="I65" s="85">
        <v>1304100000</v>
      </c>
      <c r="J65" s="85" t="s">
        <v>185</v>
      </c>
      <c r="K65" s="87">
        <v>8201438.8200000003</v>
      </c>
      <c r="L65" s="87">
        <f>VLOOKUP(I65,'[2]LISTA DE SALDOS IM SV ENERO 202'!$B$2:$E$117,4,0)</f>
        <v>8201438.8200000003</v>
      </c>
      <c r="M65" s="87"/>
    </row>
    <row r="66" spans="1:13" x14ac:dyDescent="0.35">
      <c r="C66" s="85">
        <v>1304200000</v>
      </c>
      <c r="D66" s="85" t="s">
        <v>186</v>
      </c>
      <c r="E66" s="87">
        <v>721179</v>
      </c>
      <c r="F66" s="87">
        <v>721179</v>
      </c>
      <c r="G66" s="87"/>
      <c r="I66" s="85">
        <v>1304200000</v>
      </c>
      <c r="J66" s="85" t="s">
        <v>186</v>
      </c>
      <c r="K66" s="87">
        <v>721179</v>
      </c>
      <c r="L66" s="87">
        <f>VLOOKUP(I66,'[2]LISTA DE SALDOS IM SV ENERO 202'!$B$2:$E$117,4,0)</f>
        <v>721179</v>
      </c>
      <c r="M66" s="87"/>
    </row>
    <row r="67" spans="1:13" x14ac:dyDescent="0.35">
      <c r="A67" s="85" t="s">
        <v>184</v>
      </c>
      <c r="C67" s="86">
        <v>1304500000</v>
      </c>
      <c r="D67" s="85" t="s">
        <v>187</v>
      </c>
      <c r="E67" s="87">
        <v>10148.76</v>
      </c>
      <c r="F67" s="87">
        <v>10148.76</v>
      </c>
      <c r="G67" s="87"/>
      <c r="I67" s="85">
        <v>1304500000</v>
      </c>
      <c r="J67" s="85" t="s">
        <v>187</v>
      </c>
      <c r="K67" s="87">
        <v>10148.76</v>
      </c>
      <c r="L67" s="87">
        <f>VLOOKUP(I67,'[2]LISTA DE SALDOS IM SV ENERO 202'!$B$2:$E$117,4,0)</f>
        <v>10148.76</v>
      </c>
      <c r="M67" s="87"/>
    </row>
    <row r="68" spans="1:13" x14ac:dyDescent="0.35">
      <c r="C68" s="86">
        <v>1304510000</v>
      </c>
      <c r="D68" s="85" t="s">
        <v>188</v>
      </c>
      <c r="E68" s="87">
        <v>-17466.580000000002</v>
      </c>
      <c r="F68" s="87">
        <v>-17466.580000000002</v>
      </c>
      <c r="G68" s="87"/>
      <c r="I68" s="85">
        <v>1304510000</v>
      </c>
      <c r="J68" s="85" t="s">
        <v>188</v>
      </c>
      <c r="K68" s="87">
        <v>-17466.580000000002</v>
      </c>
      <c r="L68" s="87">
        <f>VLOOKUP(I68,'[2]LISTA DE SALDOS IM SV ENERO 202'!$B$2:$E$117,4,0)</f>
        <v>-17466.580000000002</v>
      </c>
      <c r="M68" s="87"/>
    </row>
    <row r="69" spans="1:13" x14ac:dyDescent="0.35">
      <c r="A69" s="85" t="s">
        <v>189</v>
      </c>
      <c r="B69" s="85">
        <v>139</v>
      </c>
      <c r="C69" s="86">
        <v>1308100000</v>
      </c>
      <c r="D69" s="85" t="s">
        <v>190</v>
      </c>
      <c r="E69" s="87">
        <v>211791.83</v>
      </c>
      <c r="F69" s="87">
        <v>211791.83</v>
      </c>
      <c r="G69" s="87"/>
      <c r="I69" s="85">
        <v>1308100000</v>
      </c>
      <c r="J69" s="85" t="s">
        <v>190</v>
      </c>
      <c r="K69" s="87">
        <v>211791.83</v>
      </c>
      <c r="L69" s="87">
        <f>VLOOKUP(I69,'[2]LISTA DE SALDOS IM SV ENERO 202'!$B$2:$E$117,4,0)</f>
        <v>211791.83</v>
      </c>
      <c r="M69" s="87"/>
    </row>
    <row r="70" spans="1:13" x14ac:dyDescent="0.35">
      <c r="A70" s="96" t="s">
        <v>191</v>
      </c>
      <c r="C70" s="86">
        <v>1309100000</v>
      </c>
      <c r="D70" s="85" t="s">
        <v>191</v>
      </c>
      <c r="E70" s="87">
        <v>122614.02</v>
      </c>
      <c r="F70" s="87">
        <v>122614.02</v>
      </c>
      <c r="G70" s="87"/>
      <c r="I70" s="85">
        <v>1309100000</v>
      </c>
      <c r="J70" s="85" t="s">
        <v>191</v>
      </c>
      <c r="K70" s="87">
        <v>122614.02</v>
      </c>
      <c r="L70" s="87">
        <f>VLOOKUP(I70,'[2]LISTA DE SALDOS IM SV ENERO 202'!$B$2:$E$117,4,0)</f>
        <v>122614.02</v>
      </c>
      <c r="M70" s="87"/>
    </row>
    <row r="71" spans="1:13" x14ac:dyDescent="0.35">
      <c r="A71" s="96"/>
      <c r="C71" s="86">
        <v>1309200000</v>
      </c>
      <c r="D71" s="85" t="s">
        <v>192</v>
      </c>
      <c r="E71" s="87">
        <v>425</v>
      </c>
      <c r="F71" s="87">
        <v>425</v>
      </c>
      <c r="G71" s="87"/>
      <c r="I71" s="85">
        <v>1309200000</v>
      </c>
      <c r="J71" s="85" t="s">
        <v>192</v>
      </c>
      <c r="K71" s="87">
        <v>425</v>
      </c>
      <c r="L71" s="87">
        <f>VLOOKUP(I71,'[2]LISTA DE SALDOS IM SV ENERO 202'!$B$2:$E$117,4,0)</f>
        <v>425</v>
      </c>
      <c r="M71" s="87"/>
    </row>
    <row r="72" spans="1:13" x14ac:dyDescent="0.35">
      <c r="A72" s="85" t="s">
        <v>193</v>
      </c>
      <c r="C72" s="86">
        <v>1309340000</v>
      </c>
      <c r="D72" s="85" t="s">
        <v>194</v>
      </c>
      <c r="E72" s="87">
        <v>-211</v>
      </c>
      <c r="F72" s="87">
        <v>-211</v>
      </c>
      <c r="G72" s="87"/>
      <c r="I72" s="85">
        <v>1309340000</v>
      </c>
      <c r="J72" s="85" t="s">
        <v>194</v>
      </c>
      <c r="K72" s="87">
        <v>-211</v>
      </c>
      <c r="L72" s="87">
        <f>VLOOKUP(I72,'[2]LISTA DE SALDOS IM SV ENERO 202'!$B$2:$E$117,4,0)</f>
        <v>-211</v>
      </c>
      <c r="M72" s="87"/>
    </row>
    <row r="73" spans="1:13" x14ac:dyDescent="0.35">
      <c r="A73" s="85" t="s">
        <v>193</v>
      </c>
      <c r="B73" s="85">
        <v>139</v>
      </c>
      <c r="C73" s="86">
        <v>1302310000</v>
      </c>
      <c r="D73" s="85" t="s">
        <v>195</v>
      </c>
      <c r="E73" s="87"/>
      <c r="F73" s="87"/>
      <c r="G73" s="87"/>
      <c r="I73" s="85">
        <v>1302310000</v>
      </c>
      <c r="J73" s="85" t="s">
        <v>195</v>
      </c>
      <c r="K73" s="87"/>
      <c r="L73" s="87"/>
      <c r="M73" s="87"/>
    </row>
    <row r="74" spans="1:13" x14ac:dyDescent="0.35">
      <c r="A74" s="85" t="s">
        <v>193</v>
      </c>
      <c r="B74" s="85">
        <v>139</v>
      </c>
      <c r="C74" s="86">
        <v>1302320000</v>
      </c>
      <c r="D74" s="85" t="s">
        <v>196</v>
      </c>
      <c r="E74" s="87"/>
      <c r="F74" s="87"/>
      <c r="G74" s="87"/>
      <c r="I74" s="85">
        <v>1302320000</v>
      </c>
      <c r="J74" s="85" t="s">
        <v>196</v>
      </c>
      <c r="K74" s="87"/>
      <c r="L74" s="87"/>
      <c r="M74" s="87"/>
    </row>
    <row r="75" spans="1:13" x14ac:dyDescent="0.35">
      <c r="A75" s="85" t="s">
        <v>180</v>
      </c>
      <c r="B75" s="85">
        <v>139</v>
      </c>
      <c r="C75" s="86">
        <v>1303310000</v>
      </c>
      <c r="D75" s="85" t="s">
        <v>197</v>
      </c>
      <c r="E75" s="87"/>
      <c r="F75" s="87"/>
      <c r="G75" s="87"/>
      <c r="I75" s="86">
        <v>1303310000</v>
      </c>
      <c r="J75" s="85" t="s">
        <v>197</v>
      </c>
      <c r="K75" s="87"/>
      <c r="L75" s="87"/>
      <c r="M75" s="87"/>
    </row>
    <row r="76" spans="1:13" x14ac:dyDescent="0.35">
      <c r="A76" s="85" t="s">
        <v>193</v>
      </c>
      <c r="B76" s="85">
        <v>139</v>
      </c>
      <c r="C76" s="86">
        <v>1304310000</v>
      </c>
      <c r="D76" s="85" t="s">
        <v>198</v>
      </c>
      <c r="E76" s="87">
        <v>-3532727.82</v>
      </c>
      <c r="F76" s="87">
        <v>-3532727.82</v>
      </c>
      <c r="G76" s="87"/>
      <c r="I76" s="85">
        <v>1304310000</v>
      </c>
      <c r="J76" s="85" t="s">
        <v>198</v>
      </c>
      <c r="K76" s="87">
        <v>-3532727.82</v>
      </c>
      <c r="L76" s="87">
        <f>VLOOKUP(I76,'[2]LISTA DE SALDOS IM SV ENERO 202'!$B$2:$E$117,4,0)</f>
        <v>-3532727.82</v>
      </c>
      <c r="M76" s="87"/>
    </row>
    <row r="77" spans="1:13" x14ac:dyDescent="0.35">
      <c r="C77" s="85">
        <v>1304320000</v>
      </c>
      <c r="D77" s="85" t="s">
        <v>199</v>
      </c>
      <c r="E77" s="87">
        <v>104603</v>
      </c>
      <c r="F77" s="87">
        <v>104603</v>
      </c>
      <c r="G77" s="87"/>
      <c r="I77" s="85">
        <v>1304320000</v>
      </c>
      <c r="J77" s="85" t="s">
        <v>199</v>
      </c>
      <c r="K77" s="87">
        <v>104603</v>
      </c>
      <c r="L77" s="87">
        <f>VLOOKUP(I77,'[2]LISTA DE SALDOS IM SV ENERO 202'!$B$2:$E$117,4,0)</f>
        <v>104603</v>
      </c>
      <c r="M77" s="87"/>
    </row>
    <row r="78" spans="1:13" x14ac:dyDescent="0.35">
      <c r="A78" s="85" t="s">
        <v>193</v>
      </c>
      <c r="C78" s="86">
        <v>1309310000</v>
      </c>
      <c r="D78" s="85" t="s">
        <v>200</v>
      </c>
      <c r="E78" s="87">
        <v>-105579.02</v>
      </c>
      <c r="F78" s="87">
        <v>-105579.02</v>
      </c>
      <c r="G78" s="87"/>
      <c r="I78" s="85">
        <v>1309310000</v>
      </c>
      <c r="J78" s="85" t="s">
        <v>200</v>
      </c>
      <c r="K78" s="87">
        <v>-105579.02</v>
      </c>
      <c r="L78" s="87">
        <f>VLOOKUP(I78,'[2]LISTA DE SALDOS IM SV ENERO 202'!$B$2:$E$117,4,0)</f>
        <v>-105579.02</v>
      </c>
      <c r="M78" s="87"/>
    </row>
    <row r="79" spans="1:13" x14ac:dyDescent="0.35">
      <c r="A79" s="85" t="s">
        <v>193</v>
      </c>
      <c r="B79" s="85">
        <v>139</v>
      </c>
      <c r="C79" s="86">
        <v>1308310000</v>
      </c>
      <c r="D79" s="85" t="s">
        <v>201</v>
      </c>
      <c r="E79" s="87">
        <v>-107497.83</v>
      </c>
      <c r="F79" s="87">
        <v>-107497.83</v>
      </c>
      <c r="G79" s="87"/>
      <c r="I79" s="85">
        <v>1308310000</v>
      </c>
      <c r="J79" s="85" t="s">
        <v>201</v>
      </c>
      <c r="K79" s="87">
        <v>-107497.83</v>
      </c>
      <c r="L79" s="87">
        <f>VLOOKUP(I79,'[2]LISTA DE SALDOS IM SV ENERO 202'!$B$2:$E$117,4,0)</f>
        <v>-107497.83</v>
      </c>
      <c r="M79" s="87"/>
    </row>
    <row r="80" spans="1:13" x14ac:dyDescent="0.35">
      <c r="E80" s="97">
        <f>SUM(E72:E79)</f>
        <v>-3641412.67</v>
      </c>
      <c r="F80" s="97">
        <f>SUM(F72:F79)</f>
        <v>-3641412.67</v>
      </c>
      <c r="G80" s="97">
        <f>SUM(G73:G79)</f>
        <v>0</v>
      </c>
      <c r="K80" s="97">
        <f>SUM(K72:K79)</f>
        <v>-3641412.67</v>
      </c>
      <c r="L80" s="97">
        <f>SUM(L72:L79)</f>
        <v>-3641412.67</v>
      </c>
      <c r="M80" s="97">
        <f>SUM(M73:M79)</f>
        <v>0</v>
      </c>
    </row>
    <row r="81" spans="1:13" x14ac:dyDescent="0.35">
      <c r="C81" s="86">
        <v>1531000000</v>
      </c>
      <c r="D81" s="85" t="s">
        <v>97</v>
      </c>
      <c r="E81" s="87">
        <v>60193.69</v>
      </c>
      <c r="F81" s="87">
        <v>60193.69</v>
      </c>
      <c r="G81" s="87"/>
      <c r="I81" s="85">
        <v>1531000000</v>
      </c>
      <c r="J81" s="85" t="s">
        <v>97</v>
      </c>
      <c r="K81" s="87">
        <v>60193.69</v>
      </c>
      <c r="L81" s="87">
        <f>VLOOKUP(I81,'[2]LISTA DE SALDOS IM SV ENERO 202'!$B$2:$E$117,4,0)</f>
        <v>60193.69</v>
      </c>
      <c r="M81" s="87"/>
    </row>
    <row r="82" spans="1:13" x14ac:dyDescent="0.35">
      <c r="A82" s="85" t="s">
        <v>202</v>
      </c>
      <c r="B82" s="85">
        <v>139</v>
      </c>
      <c r="C82" s="86">
        <v>1319999999</v>
      </c>
      <c r="D82" s="85" t="s">
        <v>111</v>
      </c>
      <c r="E82" s="87">
        <v>89342.87</v>
      </c>
      <c r="F82" s="87">
        <v>89342.87</v>
      </c>
      <c r="G82" s="87"/>
      <c r="I82" s="86">
        <v>1319999999</v>
      </c>
      <c r="J82" s="85" t="s">
        <v>111</v>
      </c>
      <c r="K82" s="87">
        <v>89342.87</v>
      </c>
      <c r="L82" s="87">
        <f>VLOOKUP(I82,'[2]LISTA DE SALDOS IM SV ENERO 202'!$B$2:$E$117,4,0)</f>
        <v>89342.87</v>
      </c>
      <c r="M82" s="87"/>
    </row>
    <row r="83" spans="1:13" x14ac:dyDescent="0.35">
      <c r="A83" s="85" t="s">
        <v>203</v>
      </c>
      <c r="B83" s="85">
        <v>139</v>
      </c>
      <c r="C83" s="86">
        <v>1501000000</v>
      </c>
      <c r="D83" s="85" t="s">
        <v>204</v>
      </c>
      <c r="E83" s="87">
        <v>1668030.51</v>
      </c>
      <c r="F83" s="87">
        <v>1668030.51</v>
      </c>
      <c r="G83" s="87"/>
      <c r="I83" s="85">
        <v>1501000000</v>
      </c>
      <c r="J83" s="85" t="s">
        <v>204</v>
      </c>
      <c r="K83" s="87">
        <v>1668030.51</v>
      </c>
      <c r="L83" s="87">
        <f>VLOOKUP(I83,'[2]LISTA DE SALDOS IM SV ENERO 202'!$B$2:$E$117,4,0)</f>
        <v>1668030.51</v>
      </c>
      <c r="M83" s="87"/>
    </row>
    <row r="84" spans="1:13" x14ac:dyDescent="0.35">
      <c r="A84" s="85" t="s">
        <v>205</v>
      </c>
      <c r="B84" s="85">
        <v>139</v>
      </c>
      <c r="C84" s="86">
        <v>2111000000</v>
      </c>
      <c r="D84" s="85" t="s">
        <v>206</v>
      </c>
      <c r="E84" s="87">
        <v>-7240000</v>
      </c>
      <c r="F84" s="87">
        <v>-7240000</v>
      </c>
      <c r="G84" s="87"/>
      <c r="I84" s="85">
        <v>2111000000</v>
      </c>
      <c r="J84" s="85" t="s">
        <v>206</v>
      </c>
      <c r="K84" s="87">
        <v>-7240000</v>
      </c>
      <c r="L84" s="87">
        <f>VLOOKUP(I84,'[2]LISTA DE SALDOS IM SV ENERO 202'!$B$2:$E$117,4,0)</f>
        <v>-7240000</v>
      </c>
      <c r="M84" s="87"/>
    </row>
    <row r="85" spans="1:13" x14ac:dyDescent="0.35">
      <c r="A85" s="85" t="s">
        <v>207</v>
      </c>
      <c r="B85" s="85">
        <v>139</v>
      </c>
      <c r="C85" s="86">
        <v>2112000000</v>
      </c>
      <c r="D85" s="85" t="s">
        <v>208</v>
      </c>
      <c r="E85" s="87">
        <v>-827536.08</v>
      </c>
      <c r="F85" s="87">
        <v>-827536.08</v>
      </c>
      <c r="G85" s="87"/>
      <c r="I85" s="85">
        <v>2112000000</v>
      </c>
      <c r="J85" s="85" t="s">
        <v>208</v>
      </c>
      <c r="K85" s="87">
        <v>-827536.08</v>
      </c>
      <c r="L85" s="87">
        <f>VLOOKUP(I85,'[2]LISTA DE SALDOS IM SV ENERO 202'!$B$2:$E$117,4,0)</f>
        <v>-827536.08</v>
      </c>
      <c r="M85" s="87"/>
    </row>
    <row r="86" spans="1:13" x14ac:dyDescent="0.35">
      <c r="A86" s="85" t="s">
        <v>207</v>
      </c>
      <c r="B86" s="85">
        <v>139</v>
      </c>
      <c r="C86" s="86">
        <v>2114000000</v>
      </c>
      <c r="D86" s="85" t="s">
        <v>209</v>
      </c>
      <c r="E86" s="87">
        <v>-104027.28</v>
      </c>
      <c r="F86" s="87">
        <v>-104027.28</v>
      </c>
      <c r="G86" s="87"/>
      <c r="I86" s="85">
        <v>2114000000</v>
      </c>
      <c r="J86" s="85" t="s">
        <v>209</v>
      </c>
      <c r="K86" s="87">
        <v>-104027.28</v>
      </c>
      <c r="L86" s="87">
        <f>VLOOKUP(I86,'[2]LISTA DE SALDOS IM SV ENERO 202'!$B$2:$E$117,4,0)</f>
        <v>-104027.28</v>
      </c>
      <c r="M86" s="87"/>
    </row>
    <row r="87" spans="1:13" x14ac:dyDescent="0.35">
      <c r="A87" s="85" t="s">
        <v>210</v>
      </c>
      <c r="C87" s="86">
        <v>2203000000</v>
      </c>
      <c r="D87" s="85" t="s">
        <v>211</v>
      </c>
      <c r="E87" s="87">
        <v>-105907.44</v>
      </c>
      <c r="F87" s="87">
        <v>-105907.44</v>
      </c>
      <c r="G87" s="87"/>
      <c r="I87" s="85">
        <v>2203000000</v>
      </c>
      <c r="J87" s="85" t="s">
        <v>211</v>
      </c>
      <c r="K87" s="87">
        <v>-105907.44</v>
      </c>
      <c r="L87" s="87">
        <f>VLOOKUP(I87,'[2]LISTA DE SALDOS IM SV ENERO 202'!$B$2:$E$117,4,0)</f>
        <v>-105907.44</v>
      </c>
      <c r="M87" s="87"/>
    </row>
    <row r="88" spans="1:13" x14ac:dyDescent="0.35">
      <c r="A88" s="85" t="s">
        <v>212</v>
      </c>
      <c r="B88" s="85">
        <v>139</v>
      </c>
      <c r="C88" s="86">
        <v>2121000000</v>
      </c>
      <c r="D88" s="85" t="s">
        <v>66</v>
      </c>
      <c r="E88" s="87">
        <v>-28315.21</v>
      </c>
      <c r="F88" s="87">
        <v>-28315.21</v>
      </c>
      <c r="G88" s="87"/>
      <c r="I88" s="85">
        <v>2121000000</v>
      </c>
      <c r="J88" s="85" t="s">
        <v>66</v>
      </c>
      <c r="K88" s="87">
        <v>-28315.21</v>
      </c>
      <c r="L88" s="87">
        <f>VLOOKUP(I88,'[2]LISTA DE SALDOS IM SV ENERO 202'!$B$2:$E$117,4,0)</f>
        <v>-28315.21</v>
      </c>
      <c r="M88" s="87"/>
    </row>
    <row r="89" spans="1:13" x14ac:dyDescent="0.35">
      <c r="A89" s="85" t="s">
        <v>213</v>
      </c>
      <c r="B89" s="85">
        <v>139</v>
      </c>
      <c r="C89" s="86">
        <v>2122000000</v>
      </c>
      <c r="D89" s="85" t="s">
        <v>214</v>
      </c>
      <c r="E89" s="87">
        <v>-453137.29</v>
      </c>
      <c r="F89" s="87">
        <v>-453137.29</v>
      </c>
      <c r="G89" s="87"/>
      <c r="I89" s="85">
        <v>2122000000</v>
      </c>
      <c r="J89" s="85" t="s">
        <v>214</v>
      </c>
      <c r="K89" s="87">
        <v>-453137.29</v>
      </c>
      <c r="L89" s="87">
        <f>VLOOKUP(I89,'[2]LISTA DE SALDOS IM SV ENERO 202'!$B$2:$E$117,4,0)</f>
        <v>-453137.29</v>
      </c>
      <c r="M89" s="87"/>
    </row>
    <row r="90" spans="1:13" x14ac:dyDescent="0.35">
      <c r="E90" s="87"/>
      <c r="F90" s="87"/>
      <c r="G90" s="87"/>
      <c r="K90" s="87"/>
      <c r="L90" s="87"/>
      <c r="M90" s="87"/>
    </row>
    <row r="91" spans="1:13" x14ac:dyDescent="0.35">
      <c r="A91" s="85" t="s">
        <v>215</v>
      </c>
      <c r="B91" s="85">
        <v>139</v>
      </c>
      <c r="C91" s="86">
        <v>2133200000</v>
      </c>
      <c r="D91" s="85" t="s">
        <v>216</v>
      </c>
      <c r="E91" s="87">
        <f>-2567.54-101.94</f>
        <v>-2669.48</v>
      </c>
      <c r="F91" s="87">
        <f>-2567.54-101.94</f>
        <v>-2669.48</v>
      </c>
      <c r="G91" s="87"/>
      <c r="I91" s="85">
        <v>2133200000</v>
      </c>
      <c r="J91" s="85" t="s">
        <v>216</v>
      </c>
      <c r="K91" s="87">
        <f>-2567.54-101.94</f>
        <v>-2669.48</v>
      </c>
      <c r="L91" s="87">
        <f>-2567.54-101.94</f>
        <v>-2669.48</v>
      </c>
      <c r="M91" s="87"/>
    </row>
    <row r="92" spans="1:13" x14ac:dyDescent="0.35">
      <c r="C92" s="86">
        <v>2133700000</v>
      </c>
      <c r="D92" s="85" t="s">
        <v>217</v>
      </c>
      <c r="E92" s="87">
        <v>11165.91</v>
      </c>
      <c r="F92" s="87">
        <v>11165.91</v>
      </c>
      <c r="G92" s="87"/>
      <c r="I92" s="86">
        <v>2133700000</v>
      </c>
      <c r="J92" s="85" t="s">
        <v>217</v>
      </c>
      <c r="K92" s="87">
        <v>11165.91</v>
      </c>
      <c r="L92" s="87">
        <v>11165.91</v>
      </c>
      <c r="M92" s="87"/>
    </row>
    <row r="93" spans="1:13" x14ac:dyDescent="0.35">
      <c r="A93" s="85" t="s">
        <v>215</v>
      </c>
      <c r="B93" s="85">
        <v>139</v>
      </c>
      <c r="C93" s="86">
        <v>2137000000</v>
      </c>
      <c r="D93" s="85" t="s">
        <v>218</v>
      </c>
      <c r="E93" s="87">
        <v>-34665.89</v>
      </c>
      <c r="F93" s="87">
        <v>-34665.89</v>
      </c>
      <c r="G93" s="87"/>
      <c r="I93" s="85">
        <v>2137000000</v>
      </c>
      <c r="J93" s="85" t="s">
        <v>218</v>
      </c>
      <c r="K93" s="87">
        <v>-34665.89</v>
      </c>
      <c r="L93" s="87">
        <f>VLOOKUP(I93,'[2]LISTA DE SALDOS IM SV ENERO 202'!$B$2:$E$117,4,0)</f>
        <v>-34665.89</v>
      </c>
      <c r="M93" s="87"/>
    </row>
    <row r="94" spans="1:13" x14ac:dyDescent="0.35">
      <c r="A94" s="85" t="s">
        <v>215</v>
      </c>
      <c r="B94" s="85">
        <v>139</v>
      </c>
      <c r="C94" s="86">
        <v>2140000000</v>
      </c>
      <c r="D94" s="85" t="s">
        <v>219</v>
      </c>
      <c r="E94" s="87">
        <v>-35529.300000000003</v>
      </c>
      <c r="F94" s="87">
        <v>-35529.300000000003</v>
      </c>
      <c r="G94" s="87"/>
      <c r="I94" s="86">
        <v>2140000000</v>
      </c>
      <c r="J94" s="85" t="s">
        <v>219</v>
      </c>
      <c r="K94" s="87">
        <v>-35529.300000000003</v>
      </c>
      <c r="L94" s="87">
        <f>VLOOKUP(I94,'[2]LISTA DE SALDOS IM SV ENERO 202'!$B$2:$E$117,4,0)</f>
        <v>-35529.300000000003</v>
      </c>
      <c r="M94" s="87"/>
    </row>
    <row r="95" spans="1:13" x14ac:dyDescent="0.35">
      <c r="C95" s="85">
        <v>2131000000</v>
      </c>
      <c r="D95" s="85" t="s">
        <v>220</v>
      </c>
      <c r="E95" s="89"/>
      <c r="F95" s="89"/>
      <c r="G95" s="87"/>
      <c r="I95" s="85">
        <v>2131000000</v>
      </c>
      <c r="J95" s="85" t="s">
        <v>220</v>
      </c>
      <c r="K95" s="89"/>
      <c r="L95" s="89"/>
      <c r="M95" s="87"/>
    </row>
    <row r="96" spans="1:13" x14ac:dyDescent="0.35">
      <c r="A96" s="85" t="s">
        <v>215</v>
      </c>
      <c r="C96" s="86">
        <v>2134130000</v>
      </c>
      <c r="D96" s="85" t="s">
        <v>221</v>
      </c>
      <c r="E96" s="87"/>
      <c r="F96" s="87"/>
      <c r="G96" s="87"/>
      <c r="I96" s="85">
        <v>2134130000</v>
      </c>
      <c r="J96" s="85" t="s">
        <v>221</v>
      </c>
      <c r="K96" s="87"/>
      <c r="L96" s="87"/>
      <c r="M96" s="87"/>
    </row>
    <row r="97" spans="1:13" x14ac:dyDescent="0.35">
      <c r="A97" s="85" t="s">
        <v>215</v>
      </c>
      <c r="C97" s="86">
        <v>2180200000</v>
      </c>
      <c r="D97" s="85" t="s">
        <v>222</v>
      </c>
      <c r="E97" s="87">
        <v>-4634.6400000000003</v>
      </c>
      <c r="F97" s="87">
        <v>-4634.6400000000003</v>
      </c>
      <c r="G97" s="87"/>
      <c r="I97" s="85">
        <v>2180200000</v>
      </c>
      <c r="J97" s="85" t="s">
        <v>222</v>
      </c>
      <c r="K97" s="87">
        <v>-4634.6400000000003</v>
      </c>
      <c r="L97" s="87">
        <f>VLOOKUP(I97,'[2]LISTA DE SALDOS IM SV ENERO 202'!$B$2:$E$117,4,0)</f>
        <v>-4634.6400000000003</v>
      </c>
      <c r="M97" s="87"/>
    </row>
    <row r="98" spans="1:13" x14ac:dyDescent="0.35">
      <c r="A98" s="85" t="s">
        <v>215</v>
      </c>
      <c r="C98" s="86">
        <v>2134020000</v>
      </c>
      <c r="D98" s="85" t="s">
        <v>223</v>
      </c>
      <c r="E98" s="87">
        <v>-1016.94</v>
      </c>
      <c r="F98" s="87">
        <v>-1016.94</v>
      </c>
      <c r="G98" s="87"/>
      <c r="I98" s="85">
        <v>2134020000</v>
      </c>
      <c r="J98" s="85" t="s">
        <v>223</v>
      </c>
      <c r="K98" s="87">
        <v>-1016.94</v>
      </c>
      <c r="L98" s="87">
        <f>VLOOKUP(I98,'[2]LISTA DE SALDOS IM SV ENERO 202'!$B$2:$E$117,4,0)</f>
        <v>-1016.94</v>
      </c>
      <c r="M98" s="87"/>
    </row>
    <row r="99" spans="1:13" x14ac:dyDescent="0.35">
      <c r="A99" s="85" t="s">
        <v>215</v>
      </c>
      <c r="C99" s="86">
        <v>2134080000</v>
      </c>
      <c r="D99" s="85" t="s">
        <v>224</v>
      </c>
      <c r="E99" s="87">
        <v>-40</v>
      </c>
      <c r="F99" s="87">
        <v>-40</v>
      </c>
      <c r="G99" s="87"/>
      <c r="I99" s="85">
        <v>2134080000</v>
      </c>
      <c r="J99" s="85" t="s">
        <v>224</v>
      </c>
      <c r="K99" s="87">
        <v>-40</v>
      </c>
      <c r="L99" s="87">
        <f>VLOOKUP(I99,'[2]LISTA DE SALDOS IM SV ENERO 202'!$B$2:$E$117,4,0)</f>
        <v>-40</v>
      </c>
      <c r="M99" s="87"/>
    </row>
    <row r="100" spans="1:13" x14ac:dyDescent="0.35">
      <c r="A100" s="85" t="s">
        <v>215</v>
      </c>
      <c r="C100" s="86">
        <v>2134160000</v>
      </c>
      <c r="D100" s="85" t="s">
        <v>225</v>
      </c>
      <c r="E100" s="87">
        <v>-62.28</v>
      </c>
      <c r="F100" s="87">
        <v>-62.28</v>
      </c>
      <c r="G100" s="87"/>
      <c r="I100" s="85">
        <v>2134160000</v>
      </c>
      <c r="J100" s="85" t="s">
        <v>225</v>
      </c>
      <c r="K100" s="87">
        <v>-62.28</v>
      </c>
      <c r="L100" s="87">
        <f>VLOOKUP(I100,'[2]LISTA DE SALDOS IM SV ENERO 202'!$B$2:$E$117,4,0)</f>
        <v>-62.28</v>
      </c>
      <c r="M100" s="87"/>
    </row>
    <row r="101" spans="1:13" x14ac:dyDescent="0.35">
      <c r="E101" s="98">
        <f>SUM(E91:E100)</f>
        <v>-67452.62000000001</v>
      </c>
      <c r="F101" s="98">
        <f>SUM(F91:F100)</f>
        <v>-67452.62000000001</v>
      </c>
      <c r="G101" s="98">
        <f>SUM(G91:G100)</f>
        <v>0</v>
      </c>
      <c r="K101" s="98">
        <f>SUM(K91:K100)</f>
        <v>-67452.62000000001</v>
      </c>
      <c r="L101" s="98">
        <f>SUM(L91:L100)</f>
        <v>-67452.62000000001</v>
      </c>
      <c r="M101" s="98">
        <f>SUM(M91:M100)</f>
        <v>0</v>
      </c>
    </row>
    <row r="102" spans="1:13" x14ac:dyDescent="0.35">
      <c r="A102" s="85" t="s">
        <v>226</v>
      </c>
      <c r="B102" s="85">
        <v>139</v>
      </c>
      <c r="C102" s="86">
        <v>2134060000</v>
      </c>
      <c r="D102" s="85" t="s">
        <v>227</v>
      </c>
      <c r="E102" s="87">
        <v>-1016.94</v>
      </c>
      <c r="F102" s="87">
        <v>-1016.94</v>
      </c>
      <c r="G102" s="87"/>
      <c r="I102" s="85">
        <v>2134060000</v>
      </c>
      <c r="J102" s="85" t="s">
        <v>227</v>
      </c>
      <c r="K102" s="87">
        <v>-1016.94</v>
      </c>
      <c r="L102" s="87">
        <f>VLOOKUP(I102,'[2]LISTA DE SALDOS IM SV ENERO 202'!$B$2:$E$117,4,0)</f>
        <v>-1016.94</v>
      </c>
      <c r="M102" s="87"/>
    </row>
    <row r="103" spans="1:13" x14ac:dyDescent="0.35">
      <c r="E103" s="98">
        <f>SUM(E102)</f>
        <v>-1016.94</v>
      </c>
      <c r="F103" s="98">
        <f>SUM(F102)</f>
        <v>-1016.94</v>
      </c>
      <c r="G103" s="98">
        <f t="shared" ref="G103" si="0">SUM(G102)</f>
        <v>0</v>
      </c>
      <c r="K103" s="98">
        <f>SUM(K102)</f>
        <v>-1016.94</v>
      </c>
      <c r="L103" s="98">
        <f>SUM(L102)</f>
        <v>-1016.94</v>
      </c>
      <c r="M103" s="98">
        <f t="shared" ref="M103" si="1">SUM(M102)</f>
        <v>0</v>
      </c>
    </row>
    <row r="104" spans="1:13" x14ac:dyDescent="0.35">
      <c r="A104" s="85" t="s">
        <v>228</v>
      </c>
      <c r="B104" s="85">
        <v>139</v>
      </c>
      <c r="C104" s="93">
        <v>2151000000</v>
      </c>
      <c r="D104" s="99" t="s">
        <v>229</v>
      </c>
      <c r="E104" s="87">
        <v>-193066.04</v>
      </c>
      <c r="F104" s="87">
        <v>-193066.04</v>
      </c>
      <c r="G104" s="87"/>
      <c r="I104" s="85">
        <v>2151000000</v>
      </c>
      <c r="J104" s="85" t="s">
        <v>229</v>
      </c>
      <c r="K104" s="87">
        <v>-193066.04</v>
      </c>
      <c r="L104" s="87">
        <f>VLOOKUP(I104,'[2]LISTA DE SALDOS IM SV ENERO 202'!$B$2:$E$117,4,0)</f>
        <v>-193066.04</v>
      </c>
      <c r="M104" s="87"/>
    </row>
    <row r="105" spans="1:13" x14ac:dyDescent="0.35">
      <c r="A105" s="85" t="s">
        <v>230</v>
      </c>
      <c r="B105" s="85">
        <v>139</v>
      </c>
      <c r="C105" s="86">
        <v>2190000000</v>
      </c>
      <c r="D105" s="85" t="s">
        <v>231</v>
      </c>
      <c r="E105" s="87">
        <v>-1668030.51</v>
      </c>
      <c r="F105" s="87">
        <v>-1668030.51</v>
      </c>
      <c r="G105" s="87"/>
      <c r="I105" s="85">
        <v>2190000000</v>
      </c>
      <c r="J105" s="85" t="s">
        <v>231</v>
      </c>
      <c r="K105" s="87">
        <v>-1668030.51</v>
      </c>
      <c r="L105" s="87">
        <f>VLOOKUP(I105,'[2]LISTA DE SALDOS IM SV ENERO 202'!$B$2:$E$117,4,0)</f>
        <v>-1668030.51</v>
      </c>
      <c r="M105" s="87"/>
    </row>
    <row r="106" spans="1:13" x14ac:dyDescent="0.35">
      <c r="A106" s="85" t="s">
        <v>232</v>
      </c>
      <c r="B106" s="85">
        <v>139</v>
      </c>
      <c r="C106" s="86">
        <v>2201000000</v>
      </c>
      <c r="D106" s="85" t="s">
        <v>233</v>
      </c>
      <c r="E106" s="87">
        <v>-4576905.04</v>
      </c>
      <c r="F106" s="87">
        <v>-4576905.04</v>
      </c>
      <c r="G106" s="87"/>
      <c r="I106" s="85">
        <v>2201000000</v>
      </c>
      <c r="J106" s="85" t="s">
        <v>233</v>
      </c>
      <c r="K106" s="87">
        <v>-4576905.04</v>
      </c>
      <c r="L106" s="87">
        <f>VLOOKUP(I106,'[2]LISTA DE SALDOS IM SV ENERO 202'!$B$2:$E$117,4,0)</f>
        <v>-4576905.04</v>
      </c>
      <c r="M106" s="87"/>
    </row>
    <row r="107" spans="1:13" x14ac:dyDescent="0.35">
      <c r="A107" s="85" t="s">
        <v>234</v>
      </c>
      <c r="B107" s="85">
        <v>139</v>
      </c>
      <c r="C107" s="86">
        <v>2301000000</v>
      </c>
      <c r="D107" s="85" t="s">
        <v>31</v>
      </c>
      <c r="E107" s="87">
        <v>-2301697</v>
      </c>
      <c r="F107" s="87">
        <v>-2301697</v>
      </c>
      <c r="G107" s="87"/>
      <c r="I107" s="85">
        <v>2301000000</v>
      </c>
      <c r="J107" s="85" t="s">
        <v>31</v>
      </c>
      <c r="K107" s="87">
        <v>-2301697</v>
      </c>
      <c r="L107" s="87">
        <f>VLOOKUP(I107,'[2]LISTA DE SALDOS IM SV ENERO 202'!$B$2:$E$117,4,0)</f>
        <v>-2301697</v>
      </c>
      <c r="M107" s="87"/>
    </row>
    <row r="108" spans="1:13" x14ac:dyDescent="0.35">
      <c r="C108" s="86">
        <v>2205100000</v>
      </c>
      <c r="D108" s="85" t="s">
        <v>98</v>
      </c>
      <c r="E108" s="87">
        <v>-1099911.08</v>
      </c>
      <c r="F108" s="87">
        <v>-1099911.08</v>
      </c>
      <c r="G108" s="87"/>
      <c r="I108" s="85">
        <v>2205100000</v>
      </c>
      <c r="J108" s="85" t="s">
        <v>98</v>
      </c>
      <c r="K108" s="87">
        <v>-1099911.08</v>
      </c>
      <c r="L108" s="87">
        <f>VLOOKUP(I108,'[2]LISTA DE SALDOS IM SV ENERO 202'!$B$2:$E$117,4,0)</f>
        <v>-1099911.08</v>
      </c>
      <c r="M108" s="87"/>
    </row>
    <row r="109" spans="1:13" x14ac:dyDescent="0.35">
      <c r="A109" s="85" t="s">
        <v>232</v>
      </c>
      <c r="C109" s="86">
        <v>2302300000</v>
      </c>
      <c r="D109" s="85" t="s">
        <v>235</v>
      </c>
      <c r="E109" s="87"/>
      <c r="F109" s="87"/>
      <c r="G109" s="87"/>
      <c r="I109" s="86">
        <v>2302300000</v>
      </c>
      <c r="J109" s="85" t="s">
        <v>235</v>
      </c>
      <c r="K109" s="87"/>
      <c r="L109" s="87"/>
      <c r="M109" s="87"/>
    </row>
    <row r="110" spans="1:13" x14ac:dyDescent="0.35">
      <c r="A110" s="85" t="s">
        <v>236</v>
      </c>
      <c r="B110" s="85">
        <v>139</v>
      </c>
      <c r="C110" s="86">
        <v>2303100000</v>
      </c>
      <c r="D110" s="85" t="s">
        <v>237</v>
      </c>
      <c r="E110" s="87"/>
      <c r="F110" s="87"/>
      <c r="G110" s="87"/>
      <c r="I110" s="85">
        <v>2303100000</v>
      </c>
      <c r="J110" s="85" t="s">
        <v>237</v>
      </c>
      <c r="K110" s="87"/>
      <c r="L110" s="87"/>
      <c r="M110" s="87"/>
    </row>
    <row r="111" spans="1:13" x14ac:dyDescent="0.35">
      <c r="A111" s="85" t="s">
        <v>236</v>
      </c>
      <c r="B111" s="85">
        <v>139</v>
      </c>
      <c r="C111" s="86">
        <v>2303200000</v>
      </c>
      <c r="D111" s="85" t="s">
        <v>238</v>
      </c>
      <c r="E111" s="87"/>
      <c r="F111" s="87"/>
      <c r="G111" s="87"/>
      <c r="I111" s="85">
        <v>2303200000</v>
      </c>
      <c r="J111" s="85" t="s">
        <v>238</v>
      </c>
      <c r="K111" s="87"/>
      <c r="L111" s="87"/>
      <c r="M111" s="87"/>
    </row>
    <row r="112" spans="1:13" x14ac:dyDescent="0.35">
      <c r="C112" s="86">
        <v>2303250000</v>
      </c>
      <c r="D112" s="85" t="s">
        <v>239</v>
      </c>
      <c r="E112" s="87">
        <v>186169.17</v>
      </c>
      <c r="F112" s="87">
        <v>186169.17</v>
      </c>
      <c r="G112" s="87"/>
      <c r="I112" s="85">
        <v>2303250000</v>
      </c>
      <c r="J112" s="85" t="s">
        <v>239</v>
      </c>
      <c r="K112" s="87">
        <v>186169.17</v>
      </c>
      <c r="L112" s="87">
        <f>VLOOKUP(I112,'[2]LISTA DE SALDOS IM SV ENERO 202'!$B$2:$E$117,4,0)</f>
        <v>186169.17</v>
      </c>
      <c r="M112" s="87"/>
    </row>
    <row r="113" spans="1:13" x14ac:dyDescent="0.35">
      <c r="C113" s="85">
        <v>2303400000</v>
      </c>
      <c r="D113" s="85" t="s">
        <v>240</v>
      </c>
      <c r="E113" s="87">
        <v>-649061.1</v>
      </c>
      <c r="F113" s="87">
        <v>-649061.1</v>
      </c>
      <c r="G113" s="87"/>
      <c r="I113" s="85">
        <v>2303400000</v>
      </c>
      <c r="J113" s="85" t="s">
        <v>240</v>
      </c>
      <c r="K113" s="87">
        <v>-649061.1</v>
      </c>
      <c r="L113" s="87">
        <f>VLOOKUP(I113,'[2]LISTA DE SALDOS IM SV ENERO 202'!$B$2:$E$117,4,0)</f>
        <v>-649061.1</v>
      </c>
      <c r="M113" s="87"/>
    </row>
    <row r="114" spans="1:13" x14ac:dyDescent="0.35">
      <c r="B114" s="85">
        <v>139</v>
      </c>
      <c r="C114" s="86">
        <v>2307450000</v>
      </c>
      <c r="D114" s="85" t="s">
        <v>241</v>
      </c>
      <c r="E114" s="87"/>
      <c r="F114" s="87"/>
      <c r="G114" s="87"/>
      <c r="I114" s="85">
        <v>2307450000</v>
      </c>
      <c r="J114" s="85" t="s">
        <v>241</v>
      </c>
      <c r="K114" s="87"/>
      <c r="L114" s="87"/>
      <c r="M114" s="87"/>
    </row>
    <row r="115" spans="1:13" x14ac:dyDescent="0.35">
      <c r="A115" s="85" t="s">
        <v>242</v>
      </c>
      <c r="B115" s="85">
        <v>139</v>
      </c>
      <c r="C115" s="86">
        <v>2307460000</v>
      </c>
      <c r="D115" s="85" t="s">
        <v>243</v>
      </c>
      <c r="E115" s="87">
        <v>-72117.899999999994</v>
      </c>
      <c r="F115" s="87">
        <v>-72117.899999999994</v>
      </c>
      <c r="G115" s="87"/>
      <c r="I115" s="85">
        <v>2307460000</v>
      </c>
      <c r="J115" s="85" t="s">
        <v>243</v>
      </c>
      <c r="K115" s="87">
        <v>-72117.899999999994</v>
      </c>
      <c r="L115" s="87">
        <f>VLOOKUP(I115,'[2]LISTA DE SALDOS IM SV ENERO 202'!$B$2:$E$117,4,0)</f>
        <v>-72117.899999999994</v>
      </c>
      <c r="M115" s="87"/>
    </row>
    <row r="116" spans="1:13" x14ac:dyDescent="0.35">
      <c r="E116" s="97">
        <f>SUM(E110:E115)</f>
        <v>-535009.82999999996</v>
      </c>
      <c r="F116" s="97">
        <f>SUM(F110:F115)</f>
        <v>-535009.82999999996</v>
      </c>
      <c r="G116" s="97">
        <f>SUM(G110:G115)</f>
        <v>0</v>
      </c>
      <c r="K116" s="97">
        <f>SUM(K110:K115)</f>
        <v>-535009.82999999996</v>
      </c>
      <c r="L116" s="97">
        <f>SUM(L110:L115)</f>
        <v>-535009.82999999996</v>
      </c>
      <c r="M116" s="97">
        <f>SUM(M110:M115)</f>
        <v>0</v>
      </c>
    </row>
    <row r="117" spans="1:13" x14ac:dyDescent="0.35">
      <c r="A117" s="85" t="s">
        <v>242</v>
      </c>
      <c r="B117" s="85">
        <v>139</v>
      </c>
      <c r="C117" s="86">
        <v>2307300000</v>
      </c>
      <c r="D117" s="85" t="s">
        <v>244</v>
      </c>
      <c r="E117" s="87">
        <v>-3831332.29</v>
      </c>
      <c r="F117" s="87">
        <v>-3831332.29</v>
      </c>
      <c r="G117" s="87"/>
      <c r="I117" s="85">
        <v>2307300000</v>
      </c>
      <c r="J117" s="85" t="s">
        <v>244</v>
      </c>
      <c r="K117" s="87">
        <v>-3831332.29</v>
      </c>
      <c r="L117" s="87">
        <f>VLOOKUP(I117,'[2]LISTA DE SALDOS IM SV ENERO 202'!$B$2:$E$117,4,0)</f>
        <v>-3831332.29</v>
      </c>
      <c r="M117" s="87"/>
    </row>
    <row r="118" spans="1:13" x14ac:dyDescent="0.35">
      <c r="A118" s="85" t="s">
        <v>245</v>
      </c>
      <c r="B118" s="85">
        <v>139</v>
      </c>
      <c r="C118" s="86">
        <v>2304001000</v>
      </c>
      <c r="D118" s="85" t="s">
        <v>246</v>
      </c>
      <c r="E118" s="87">
        <v>-394606.33</v>
      </c>
      <c r="F118" s="87">
        <v>-394606.33</v>
      </c>
      <c r="G118" s="87"/>
      <c r="I118" s="85">
        <v>2304001000</v>
      </c>
      <c r="J118" s="85" t="s">
        <v>246</v>
      </c>
      <c r="K118" s="87">
        <v>-394606.33</v>
      </c>
      <c r="L118" s="87">
        <f>VLOOKUP(I118,'[2]LISTA DE SALDOS IM SV ENERO 202'!$B$2:$E$117,4,0)</f>
        <v>-394606.33</v>
      </c>
      <c r="M118" s="87"/>
    </row>
    <row r="119" spans="1:13" x14ac:dyDescent="0.35">
      <c r="A119" s="85" t="s">
        <v>242</v>
      </c>
      <c r="C119" s="86">
        <v>2307100000</v>
      </c>
      <c r="D119" s="85" t="s">
        <v>247</v>
      </c>
      <c r="E119" s="87">
        <v>-1260382.2</v>
      </c>
      <c r="F119" s="87">
        <v>-1260382.2</v>
      </c>
      <c r="G119" s="87"/>
      <c r="I119" s="85">
        <v>2307100000</v>
      </c>
      <c r="J119" s="85" t="s">
        <v>247</v>
      </c>
      <c r="K119" s="87">
        <v>-1260382.2</v>
      </c>
      <c r="L119" s="87">
        <f>VLOOKUP(I119,'[2]LISTA DE SALDOS IM SV ENERO 202'!$B$2:$E$117,4,0)</f>
        <v>-1260382.2</v>
      </c>
      <c r="M119" s="87"/>
    </row>
    <row r="120" spans="1:13" ht="18.5" x14ac:dyDescent="0.45">
      <c r="B120" s="100" t="s">
        <v>248</v>
      </c>
      <c r="E120" s="87"/>
      <c r="F120" s="87"/>
      <c r="G120" s="87"/>
      <c r="K120" s="87"/>
      <c r="L120" s="87"/>
      <c r="M120" s="87"/>
    </row>
    <row r="121" spans="1:13" x14ac:dyDescent="0.35">
      <c r="E121" s="87"/>
      <c r="F121" s="87"/>
      <c r="G121" s="87"/>
      <c r="K121" s="87"/>
      <c r="L121" s="87"/>
      <c r="M121" s="87"/>
    </row>
    <row r="122" spans="1:13" x14ac:dyDescent="0.35">
      <c r="A122" s="85" t="s">
        <v>249</v>
      </c>
      <c r="B122" s="85">
        <v>139</v>
      </c>
      <c r="C122" s="86">
        <v>3101000000</v>
      </c>
      <c r="D122" s="85" t="s">
        <v>250</v>
      </c>
      <c r="E122" s="87">
        <v>-59203.89</v>
      </c>
      <c r="F122" s="87">
        <v>-59203.89</v>
      </c>
      <c r="G122" s="87">
        <v>-59203.89</v>
      </c>
      <c r="I122" s="85">
        <v>3101000000</v>
      </c>
      <c r="J122" s="85" t="s">
        <v>250</v>
      </c>
      <c r="K122" s="87">
        <v>-59203.89</v>
      </c>
      <c r="L122" s="87">
        <f>VLOOKUP(I122,'[2]LISTA DE SALDOS IM SV ENERO 202'!$B$2:$E$117,4,0)</f>
        <v>-59203.89</v>
      </c>
      <c r="M122" s="87"/>
    </row>
    <row r="123" spans="1:13" x14ac:dyDescent="0.35">
      <c r="A123" s="85" t="s">
        <v>249</v>
      </c>
      <c r="B123" s="85">
        <v>139</v>
      </c>
      <c r="C123" s="86">
        <v>3101010000</v>
      </c>
      <c r="D123" s="85" t="s">
        <v>251</v>
      </c>
      <c r="E123" s="87">
        <v>-20902.400000000001</v>
      </c>
      <c r="F123" s="87">
        <v>-20902.400000000001</v>
      </c>
      <c r="G123" s="87">
        <v>-20902.400000000001</v>
      </c>
      <c r="I123" s="85">
        <v>3101010000</v>
      </c>
      <c r="J123" s="85" t="s">
        <v>251</v>
      </c>
      <c r="K123" s="87">
        <v>-20902.400000000001</v>
      </c>
      <c r="L123" s="87">
        <f>VLOOKUP(I123,'[2]LISTA DE SALDOS IM SV ENERO 202'!$B$2:$E$117,4,0)</f>
        <v>-20902.400000000001</v>
      </c>
      <c r="M123" s="87"/>
    </row>
    <row r="124" spans="1:13" x14ac:dyDescent="0.35">
      <c r="A124" s="85" t="s">
        <v>252</v>
      </c>
      <c r="B124" s="85">
        <v>139</v>
      </c>
      <c r="C124" s="86">
        <v>3102000000</v>
      </c>
      <c r="D124" s="85" t="s">
        <v>253</v>
      </c>
      <c r="E124" s="87">
        <v>-251234.16</v>
      </c>
      <c r="F124" s="87">
        <v>-251234.16</v>
      </c>
      <c r="G124" s="87">
        <v>-251234.16</v>
      </c>
      <c r="I124" s="85">
        <v>3102000000</v>
      </c>
      <c r="J124" s="85" t="s">
        <v>253</v>
      </c>
      <c r="K124" s="87">
        <v>-251234.16</v>
      </c>
      <c r="L124" s="87">
        <f>VLOOKUP(I124,'[2]LISTA DE SALDOS IM SV ENERO 202'!$B$2:$E$117,4,0)</f>
        <v>-251234.16</v>
      </c>
      <c r="M124" s="87"/>
    </row>
    <row r="125" spans="1:13" x14ac:dyDescent="0.35">
      <c r="B125" s="85">
        <v>139</v>
      </c>
      <c r="C125" s="86">
        <v>3103000000</v>
      </c>
      <c r="D125" s="85" t="s">
        <v>254</v>
      </c>
      <c r="E125" s="87">
        <v>-189.93</v>
      </c>
      <c r="F125" s="87">
        <v>-189.93</v>
      </c>
      <c r="G125" s="87">
        <v>-189.93</v>
      </c>
      <c r="I125" s="85">
        <v>3103000000</v>
      </c>
      <c r="J125" s="85" t="s">
        <v>254</v>
      </c>
      <c r="K125" s="87">
        <v>-189.93</v>
      </c>
      <c r="L125" s="87">
        <f>VLOOKUP(I125,'[2]LISTA DE SALDOS IM SV ENERO 202'!$B$2:$E$117,4,0)</f>
        <v>-189.93</v>
      </c>
      <c r="M125" s="87"/>
    </row>
    <row r="126" spans="1:13" x14ac:dyDescent="0.35">
      <c r="A126" s="85" t="s">
        <v>255</v>
      </c>
      <c r="C126" s="86">
        <v>3107000000</v>
      </c>
      <c r="D126" s="85" t="s">
        <v>255</v>
      </c>
      <c r="E126" s="87"/>
      <c r="F126" s="87"/>
      <c r="G126" s="87"/>
      <c r="I126" s="85">
        <v>3107000000</v>
      </c>
      <c r="J126" s="85" t="s">
        <v>255</v>
      </c>
      <c r="K126" s="87"/>
      <c r="L126" s="87"/>
      <c r="M126" s="87"/>
    </row>
    <row r="127" spans="1:13" x14ac:dyDescent="0.35">
      <c r="A127" s="85" t="s">
        <v>256</v>
      </c>
      <c r="B127" s="85">
        <v>139</v>
      </c>
      <c r="C127" s="86">
        <v>4001000000</v>
      </c>
      <c r="D127" s="85" t="s">
        <v>82</v>
      </c>
      <c r="E127" s="87">
        <v>62975.81</v>
      </c>
      <c r="F127" s="87">
        <v>62975.81</v>
      </c>
      <c r="G127" s="87">
        <v>62975.81</v>
      </c>
      <c r="I127" s="85">
        <v>4001000000</v>
      </c>
      <c r="J127" s="85" t="s">
        <v>82</v>
      </c>
      <c r="K127" s="87">
        <v>62975.81</v>
      </c>
      <c r="L127" s="87">
        <f>VLOOKUP(I127,'[2]LISTA DE SALDOS IM SV ENERO 202'!$B$2:$E$117,4,0)</f>
        <v>62975.81</v>
      </c>
      <c r="M127" s="87"/>
    </row>
    <row r="128" spans="1:13" x14ac:dyDescent="0.35">
      <c r="A128" s="85" t="s">
        <v>257</v>
      </c>
      <c r="B128" s="85">
        <v>139</v>
      </c>
      <c r="C128" s="101">
        <v>4001010000</v>
      </c>
      <c r="D128" s="101" t="s">
        <v>258</v>
      </c>
      <c r="E128" s="87">
        <v>4948.1499999999996</v>
      </c>
      <c r="F128" s="87">
        <v>4948.1499999999996</v>
      </c>
      <c r="G128" s="87">
        <v>4948.1499999999996</v>
      </c>
      <c r="I128" s="85">
        <v>4001010000</v>
      </c>
      <c r="J128" s="85" t="s">
        <v>258</v>
      </c>
      <c r="K128" s="87">
        <v>4948.1499999999996</v>
      </c>
      <c r="L128" s="87">
        <f>VLOOKUP(I128,'[2]LISTA DE SALDOS IM SV ENERO 202'!$B$2:$E$117,4,0)</f>
        <v>4948.1499999999996</v>
      </c>
      <c r="M128" s="87"/>
    </row>
    <row r="129" spans="1:13" x14ac:dyDescent="0.35">
      <c r="A129" s="85" t="s">
        <v>259</v>
      </c>
      <c r="B129" s="85">
        <v>139</v>
      </c>
      <c r="C129" s="86">
        <v>4002000001</v>
      </c>
      <c r="D129" s="85" t="s">
        <v>260</v>
      </c>
      <c r="E129" s="87"/>
      <c r="F129" s="87"/>
      <c r="G129" s="87"/>
      <c r="I129" s="85">
        <v>4002000001</v>
      </c>
      <c r="J129" s="85" t="s">
        <v>260</v>
      </c>
      <c r="K129" s="87"/>
      <c r="L129" s="87"/>
      <c r="M129" s="87"/>
    </row>
    <row r="130" spans="1:13" x14ac:dyDescent="0.35">
      <c r="A130" s="85" t="s">
        <v>259</v>
      </c>
      <c r="B130" s="85">
        <v>139</v>
      </c>
      <c r="C130" s="85">
        <v>4002000003</v>
      </c>
      <c r="D130" s="85" t="s">
        <v>261</v>
      </c>
      <c r="E130" s="87"/>
      <c r="F130" s="87"/>
      <c r="G130" s="87"/>
      <c r="I130" s="85">
        <v>4002000003</v>
      </c>
      <c r="J130" s="85" t="s">
        <v>261</v>
      </c>
      <c r="K130" s="87"/>
      <c r="L130" s="87"/>
      <c r="M130" s="87"/>
    </row>
    <row r="131" spans="1:13" x14ac:dyDescent="0.35">
      <c r="A131" s="85" t="s">
        <v>259</v>
      </c>
      <c r="B131" s="85">
        <v>139</v>
      </c>
      <c r="C131" s="86">
        <v>4002000005</v>
      </c>
      <c r="D131" s="85" t="s">
        <v>262</v>
      </c>
      <c r="E131" s="87">
        <v>58889</v>
      </c>
      <c r="F131" s="87">
        <v>58889</v>
      </c>
      <c r="G131" s="87">
        <v>58889</v>
      </c>
      <c r="H131" s="102"/>
      <c r="I131" s="85">
        <v>4002000005</v>
      </c>
      <c r="J131" s="85" t="s">
        <v>262</v>
      </c>
      <c r="K131" s="87">
        <v>58889</v>
      </c>
      <c r="L131" s="87">
        <f>VLOOKUP(I131,'[2]LISTA DE SALDOS IM SV ENERO 202'!$B$2:$E$117,4,0)</f>
        <v>58889</v>
      </c>
      <c r="M131" s="87"/>
    </row>
    <row r="132" spans="1:13" x14ac:dyDescent="0.35">
      <c r="A132" s="85" t="s">
        <v>259</v>
      </c>
      <c r="B132" s="85">
        <v>139</v>
      </c>
      <c r="C132" s="86">
        <v>4002000008</v>
      </c>
      <c r="D132" s="85" t="s">
        <v>263</v>
      </c>
      <c r="E132" s="87">
        <v>2941</v>
      </c>
      <c r="F132" s="87">
        <v>2941</v>
      </c>
      <c r="G132" s="87">
        <v>2941</v>
      </c>
      <c r="H132" s="102"/>
      <c r="I132" s="85">
        <v>4002000008</v>
      </c>
      <c r="J132" s="85" t="s">
        <v>263</v>
      </c>
      <c r="K132" s="87">
        <v>2941</v>
      </c>
      <c r="L132" s="87">
        <f>VLOOKUP(I132,'[2]LISTA DE SALDOS IM SV ENERO 202'!$B$2:$E$117,4,0)</f>
        <v>2941</v>
      </c>
      <c r="M132" s="87"/>
    </row>
    <row r="133" spans="1:13" x14ac:dyDescent="0.35">
      <c r="A133" s="85" t="s">
        <v>259</v>
      </c>
      <c r="B133" s="85">
        <v>139</v>
      </c>
      <c r="C133" s="86">
        <v>4002000011</v>
      </c>
      <c r="D133" s="85" t="s">
        <v>264</v>
      </c>
      <c r="E133" s="87"/>
      <c r="F133" s="87"/>
      <c r="G133" s="87"/>
      <c r="I133" s="85">
        <v>4002000011</v>
      </c>
      <c r="J133" s="85" t="s">
        <v>264</v>
      </c>
      <c r="K133" s="87"/>
      <c r="L133" s="87"/>
      <c r="M133" s="87"/>
    </row>
    <row r="134" spans="1:13" x14ac:dyDescent="0.35">
      <c r="A134" s="85" t="s">
        <v>259</v>
      </c>
      <c r="B134" s="85">
        <v>139</v>
      </c>
      <c r="C134" s="85">
        <v>4002000013</v>
      </c>
      <c r="D134" s="85" t="s">
        <v>265</v>
      </c>
      <c r="E134" s="87">
        <v>-4186</v>
      </c>
      <c r="F134" s="87">
        <v>-4186</v>
      </c>
      <c r="G134" s="87">
        <v>-4186</v>
      </c>
      <c r="H134" s="102"/>
      <c r="I134" s="85">
        <v>4002000013</v>
      </c>
      <c r="J134" s="85" t="s">
        <v>265</v>
      </c>
      <c r="K134" s="87">
        <v>-4186</v>
      </c>
      <c r="L134" s="87">
        <f>VLOOKUP(I134,'[2]LISTA DE SALDOS IM SV ENERO 202'!$B$2:$E$117,4,0)</f>
        <v>-4186</v>
      </c>
      <c r="M134" s="87"/>
    </row>
    <row r="135" spans="1:13" x14ac:dyDescent="0.35">
      <c r="A135" s="85" t="s">
        <v>259</v>
      </c>
      <c r="B135" s="85">
        <v>139</v>
      </c>
      <c r="C135" s="86">
        <v>4002000000</v>
      </c>
      <c r="D135" s="85" t="s">
        <v>266</v>
      </c>
      <c r="E135" s="87"/>
      <c r="F135" s="87"/>
      <c r="G135" s="87"/>
      <c r="H135" s="102"/>
      <c r="I135" s="85">
        <v>4002000000</v>
      </c>
      <c r="J135" s="85" t="s">
        <v>266</v>
      </c>
      <c r="K135" s="87"/>
      <c r="L135" s="87"/>
      <c r="M135" s="87"/>
    </row>
    <row r="136" spans="1:13" x14ac:dyDescent="0.35">
      <c r="A136" s="85" t="s">
        <v>259</v>
      </c>
      <c r="B136" s="85">
        <v>139</v>
      </c>
      <c r="C136" s="86">
        <v>4002000010</v>
      </c>
      <c r="D136" s="85" t="s">
        <v>267</v>
      </c>
      <c r="E136" s="87">
        <v>2084</v>
      </c>
      <c r="F136" s="87">
        <v>2084</v>
      </c>
      <c r="G136" s="87">
        <v>2084</v>
      </c>
      <c r="I136" s="85">
        <v>4002000010</v>
      </c>
      <c r="J136" s="85" t="s">
        <v>267</v>
      </c>
      <c r="K136" s="87">
        <v>2084</v>
      </c>
      <c r="L136" s="87">
        <f>VLOOKUP(I136,'[2]LISTA DE SALDOS IM SV ENERO 202'!$B$2:$E$117,4,0)</f>
        <v>2084</v>
      </c>
      <c r="M136" s="87"/>
    </row>
    <row r="137" spans="1:13" x14ac:dyDescent="0.35">
      <c r="A137" s="85" t="s">
        <v>259</v>
      </c>
      <c r="B137" s="85">
        <v>139</v>
      </c>
      <c r="C137" s="86">
        <v>4002000019</v>
      </c>
      <c r="D137" s="85" t="s">
        <v>268</v>
      </c>
      <c r="E137" s="87">
        <v>10</v>
      </c>
      <c r="F137" s="87">
        <v>10</v>
      </c>
      <c r="G137" s="87">
        <v>10</v>
      </c>
      <c r="H137" s="102"/>
      <c r="I137" s="85">
        <v>4002000019</v>
      </c>
      <c r="J137" s="85" t="s">
        <v>268</v>
      </c>
      <c r="K137" s="87">
        <v>10</v>
      </c>
      <c r="L137" s="87">
        <f>VLOOKUP(I137,'[2]LISTA DE SALDOS IM SV ENERO 202'!$B$2:$E$117,4,0)</f>
        <v>10</v>
      </c>
      <c r="M137" s="87"/>
    </row>
    <row r="138" spans="1:13" x14ac:dyDescent="0.35">
      <c r="A138" s="85" t="s">
        <v>269</v>
      </c>
      <c r="B138" s="85">
        <v>139</v>
      </c>
      <c r="C138" s="86">
        <v>4007000000</v>
      </c>
      <c r="D138" s="85" t="s">
        <v>270</v>
      </c>
      <c r="E138" s="87">
        <v>7236.92</v>
      </c>
      <c r="F138" s="87">
        <v>7236.92</v>
      </c>
      <c r="G138" s="87">
        <v>7236.92</v>
      </c>
      <c r="I138" s="85">
        <v>4007000000</v>
      </c>
      <c r="J138" s="85" t="s">
        <v>270</v>
      </c>
      <c r="K138" s="87">
        <v>7236.92</v>
      </c>
      <c r="L138" s="87">
        <f>VLOOKUP(I138,'[2]LISTA DE SALDOS IM SV ENERO 202'!$B$2:$E$117,4,0)</f>
        <v>7236.92</v>
      </c>
      <c r="M138" s="87"/>
    </row>
    <row r="139" spans="1:13" x14ac:dyDescent="0.35">
      <c r="A139" s="85" t="s">
        <v>269</v>
      </c>
      <c r="B139" s="85">
        <v>139</v>
      </c>
      <c r="C139" s="86">
        <v>4007000002</v>
      </c>
      <c r="D139" s="85" t="s">
        <v>271</v>
      </c>
      <c r="E139" s="87">
        <v>979.96</v>
      </c>
      <c r="F139" s="87">
        <v>979.96</v>
      </c>
      <c r="G139" s="87">
        <v>979.96</v>
      </c>
      <c r="I139" s="85">
        <v>4007000002</v>
      </c>
      <c r="J139" s="85" t="s">
        <v>271</v>
      </c>
      <c r="K139" s="87">
        <v>979.96</v>
      </c>
      <c r="L139" s="87">
        <f>VLOOKUP(I139,'[2]LISTA DE SALDOS IM SV ENERO 202'!$B$2:$E$117,4,0)</f>
        <v>979.96</v>
      </c>
      <c r="M139" s="87"/>
    </row>
    <row r="140" spans="1:13" x14ac:dyDescent="0.35">
      <c r="A140" s="85" t="s">
        <v>269</v>
      </c>
      <c r="B140" s="85">
        <v>139</v>
      </c>
      <c r="C140" s="86">
        <v>4007000006</v>
      </c>
      <c r="D140" s="85" t="s">
        <v>272</v>
      </c>
      <c r="E140" s="87">
        <v>1800</v>
      </c>
      <c r="F140" s="87">
        <v>1800</v>
      </c>
      <c r="G140" s="87">
        <v>1800</v>
      </c>
      <c r="I140" s="85">
        <v>4007000006</v>
      </c>
      <c r="J140" s="85" t="s">
        <v>272</v>
      </c>
      <c r="K140" s="87">
        <v>1800</v>
      </c>
      <c r="L140" s="87">
        <f>VLOOKUP(I140,'[2]LISTA DE SALDOS IM SV ENERO 202'!$B$2:$E$117,4,0)</f>
        <v>1800</v>
      </c>
      <c r="M140" s="87"/>
    </row>
    <row r="141" spans="1:13" x14ac:dyDescent="0.35">
      <c r="A141" s="85" t="s">
        <v>269</v>
      </c>
      <c r="B141" s="85">
        <v>139</v>
      </c>
      <c r="C141" s="103">
        <v>4007010002</v>
      </c>
      <c r="D141" s="101" t="s">
        <v>273</v>
      </c>
      <c r="E141" s="87"/>
      <c r="F141" s="87"/>
      <c r="G141" s="87"/>
      <c r="I141" s="86">
        <v>4007010002</v>
      </c>
      <c r="J141" s="85" t="s">
        <v>273</v>
      </c>
      <c r="K141" s="87"/>
      <c r="L141" s="87"/>
      <c r="M141" s="87"/>
    </row>
    <row r="142" spans="1:13" x14ac:dyDescent="0.35">
      <c r="A142" s="85" t="s">
        <v>269</v>
      </c>
      <c r="B142" s="85">
        <v>139</v>
      </c>
      <c r="C142" s="103">
        <v>4007010006</v>
      </c>
      <c r="D142" s="101" t="s">
        <v>274</v>
      </c>
      <c r="E142" s="87"/>
      <c r="F142" s="87"/>
      <c r="G142" s="87"/>
      <c r="I142" s="86">
        <v>4007010006</v>
      </c>
      <c r="J142" s="85" t="s">
        <v>274</v>
      </c>
      <c r="K142" s="87"/>
      <c r="L142" s="87"/>
      <c r="M142" s="87"/>
    </row>
    <row r="143" spans="1:13" x14ac:dyDescent="0.35">
      <c r="A143" s="85" t="s">
        <v>275</v>
      </c>
      <c r="B143" s="85">
        <v>139</v>
      </c>
      <c r="C143" s="86">
        <v>4007000001</v>
      </c>
      <c r="D143" s="85" t="s">
        <v>276</v>
      </c>
      <c r="E143" s="87"/>
      <c r="F143" s="87"/>
      <c r="G143" s="87"/>
      <c r="I143" s="86">
        <v>4007000001</v>
      </c>
      <c r="J143" s="85" t="s">
        <v>276</v>
      </c>
      <c r="K143" s="87"/>
      <c r="L143" s="87"/>
      <c r="M143" s="87"/>
    </row>
    <row r="144" spans="1:13" x14ac:dyDescent="0.35">
      <c r="A144" s="85" t="s">
        <v>275</v>
      </c>
      <c r="B144" s="85">
        <v>139</v>
      </c>
      <c r="C144" s="86">
        <v>7000000050</v>
      </c>
      <c r="D144" s="85" t="s">
        <v>277</v>
      </c>
      <c r="E144" s="87"/>
      <c r="F144" s="87"/>
      <c r="G144" s="87"/>
      <c r="I144" s="86">
        <v>7000000050</v>
      </c>
      <c r="J144" s="85" t="s">
        <v>277</v>
      </c>
      <c r="K144" s="87"/>
      <c r="L144" s="87"/>
      <c r="M144" s="87"/>
    </row>
    <row r="145" spans="1:13" x14ac:dyDescent="0.35">
      <c r="A145" s="85" t="s">
        <v>275</v>
      </c>
      <c r="B145" s="85">
        <v>139</v>
      </c>
      <c r="C145" s="86">
        <v>4007000011</v>
      </c>
      <c r="D145" s="85" t="s">
        <v>278</v>
      </c>
      <c r="E145" s="87">
        <v>703.07</v>
      </c>
      <c r="F145" s="87">
        <v>703.07</v>
      </c>
      <c r="G145" s="87">
        <v>703.07</v>
      </c>
      <c r="I145" s="86">
        <v>4007000011</v>
      </c>
      <c r="J145" s="85" t="s">
        <v>278</v>
      </c>
      <c r="K145" s="87">
        <v>703.07</v>
      </c>
      <c r="L145" s="87">
        <f>VLOOKUP(I145,'[2]LISTA DE SALDOS IM SV ENERO 202'!$B$2:$E$117,4,0)</f>
        <v>703.07</v>
      </c>
      <c r="M145" s="87"/>
    </row>
    <row r="146" spans="1:13" x14ac:dyDescent="0.35">
      <c r="A146" s="85" t="s">
        <v>275</v>
      </c>
      <c r="B146" s="85">
        <v>139</v>
      </c>
      <c r="C146" s="86">
        <v>4007000012</v>
      </c>
      <c r="D146" s="85" t="s">
        <v>279</v>
      </c>
      <c r="E146" s="87">
        <v>10666.16</v>
      </c>
      <c r="F146" s="87">
        <v>10666.16</v>
      </c>
      <c r="G146" s="87">
        <v>10666.16</v>
      </c>
      <c r="I146" s="86">
        <v>4007000012</v>
      </c>
      <c r="J146" s="85" t="s">
        <v>279</v>
      </c>
      <c r="K146" s="87">
        <v>10666.16</v>
      </c>
      <c r="L146" s="87">
        <f>VLOOKUP(I146,'[2]LISTA DE SALDOS IM SV ENERO 202'!$B$2:$E$117,4,0)</f>
        <v>10666.16</v>
      </c>
      <c r="M146" s="87"/>
    </row>
    <row r="147" spans="1:13" x14ac:dyDescent="0.35">
      <c r="A147" s="85" t="s">
        <v>275</v>
      </c>
      <c r="B147" s="85">
        <v>139</v>
      </c>
      <c r="C147" s="86">
        <v>4007000007</v>
      </c>
      <c r="D147" s="85" t="s">
        <v>280</v>
      </c>
      <c r="E147" s="87">
        <v>9232.66</v>
      </c>
      <c r="F147" s="87">
        <v>9232.66</v>
      </c>
      <c r="G147" s="87">
        <v>9232.66</v>
      </c>
      <c r="I147" s="86">
        <v>4007000007</v>
      </c>
      <c r="J147" s="85" t="s">
        <v>280</v>
      </c>
      <c r="K147" s="87">
        <v>9232.66</v>
      </c>
      <c r="L147" s="87">
        <f>VLOOKUP(I147,'[2]LISTA DE SALDOS IM SV ENERO 202'!$B$2:$E$117,4,0)</f>
        <v>9232.66</v>
      </c>
      <c r="M147" s="87"/>
    </row>
    <row r="148" spans="1:13" x14ac:dyDescent="0.35">
      <c r="E148" s="87"/>
      <c r="F148" s="87"/>
      <c r="G148" s="87"/>
      <c r="I148" s="86"/>
      <c r="K148" s="87"/>
      <c r="L148" s="87"/>
      <c r="M148" s="87"/>
    </row>
    <row r="149" spans="1:13" x14ac:dyDescent="0.35">
      <c r="A149" s="85" t="s">
        <v>275</v>
      </c>
      <c r="C149" s="86">
        <v>8000000050</v>
      </c>
      <c r="D149" s="85" t="s">
        <v>281</v>
      </c>
      <c r="E149" s="87"/>
      <c r="F149" s="87"/>
      <c r="G149" s="87"/>
      <c r="I149" s="86">
        <v>8000000050</v>
      </c>
      <c r="J149" s="85" t="s">
        <v>281</v>
      </c>
      <c r="K149" s="87"/>
      <c r="L149" s="87"/>
      <c r="M149" s="87"/>
    </row>
    <row r="150" spans="1:13" x14ac:dyDescent="0.35">
      <c r="A150" s="85" t="s">
        <v>282</v>
      </c>
      <c r="B150" s="85">
        <v>139</v>
      </c>
      <c r="C150" s="86">
        <v>8000000060</v>
      </c>
      <c r="D150" s="85" t="s">
        <v>283</v>
      </c>
      <c r="E150" s="87">
        <v>392.42</v>
      </c>
      <c r="F150" s="87">
        <v>392.42</v>
      </c>
      <c r="G150" s="87">
        <v>392.42</v>
      </c>
      <c r="I150" s="86">
        <v>8000000060</v>
      </c>
      <c r="J150" s="85" t="s">
        <v>283</v>
      </c>
      <c r="K150" s="87">
        <v>392.42</v>
      </c>
      <c r="L150" s="87">
        <f>VLOOKUP(I150,'[2]LISTA DE SALDOS IM SV ENERO 202'!$B$2:$E$117,4,0)</f>
        <v>392.42</v>
      </c>
      <c r="M150" s="87"/>
    </row>
    <row r="151" spans="1:13" x14ac:dyDescent="0.35">
      <c r="C151" s="86">
        <v>8000000070</v>
      </c>
      <c r="D151" s="85" t="s">
        <v>284</v>
      </c>
      <c r="E151" s="87"/>
      <c r="F151" s="87"/>
      <c r="G151" s="87"/>
      <c r="I151" s="86">
        <v>8000000070</v>
      </c>
      <c r="J151" s="85" t="s">
        <v>284</v>
      </c>
      <c r="K151" s="87"/>
      <c r="L151" s="87"/>
      <c r="M151" s="87"/>
    </row>
    <row r="152" spans="1:13" x14ac:dyDescent="0.35">
      <c r="A152" s="85" t="s">
        <v>285</v>
      </c>
      <c r="B152" s="85">
        <v>139</v>
      </c>
      <c r="C152" s="86">
        <v>8000000080</v>
      </c>
      <c r="D152" s="85" t="s">
        <v>229</v>
      </c>
      <c r="E152" s="87">
        <v>31408.240000000002</v>
      </c>
      <c r="F152" s="87">
        <v>31408.240000000002</v>
      </c>
      <c r="G152" s="87">
        <v>31408.240000000002</v>
      </c>
      <c r="I152" s="85">
        <v>8000000080</v>
      </c>
      <c r="J152" s="85" t="s">
        <v>229</v>
      </c>
      <c r="K152" s="87">
        <v>31408.240000000002</v>
      </c>
      <c r="L152" s="87">
        <f>VLOOKUP(I152,'[2]LISTA DE SALDOS IM SV ENERO 202'!$B$2:$E$117,4,0)</f>
        <v>31408.240000000002</v>
      </c>
      <c r="M152" s="87"/>
    </row>
    <row r="153" spans="1:13" x14ac:dyDescent="0.35">
      <c r="C153" s="86">
        <v>8000000100</v>
      </c>
      <c r="D153" s="85" t="s">
        <v>286</v>
      </c>
      <c r="E153" s="87"/>
      <c r="F153" s="87"/>
      <c r="G153" s="87"/>
      <c r="I153" s="86">
        <v>8000000100</v>
      </c>
      <c r="J153" s="85" t="s">
        <v>286</v>
      </c>
      <c r="K153" s="87"/>
      <c r="L153" s="87"/>
      <c r="M153" s="87"/>
    </row>
    <row r="154" spans="1:13" x14ac:dyDescent="0.35">
      <c r="C154" s="86">
        <v>8000000140</v>
      </c>
      <c r="D154" s="85" t="s">
        <v>287</v>
      </c>
      <c r="E154" s="87"/>
      <c r="F154" s="87"/>
      <c r="G154" s="87"/>
      <c r="I154" s="86">
        <v>8000000140</v>
      </c>
      <c r="J154" s="85" t="s">
        <v>287</v>
      </c>
      <c r="K154" s="87"/>
      <c r="L154" s="87"/>
      <c r="M154" s="87"/>
    </row>
    <row r="155" spans="1:13" x14ac:dyDescent="0.35">
      <c r="E155" s="87"/>
      <c r="F155" s="87"/>
      <c r="G155" s="87"/>
      <c r="K155" s="87"/>
      <c r="L155" s="87"/>
      <c r="M155" s="87"/>
    </row>
    <row r="156" spans="1:13" x14ac:dyDescent="0.35">
      <c r="A156" s="85" t="s">
        <v>288</v>
      </c>
      <c r="C156" s="86">
        <v>5000000380</v>
      </c>
      <c r="D156" s="85" t="s">
        <v>289</v>
      </c>
      <c r="E156" s="87"/>
      <c r="F156" s="87"/>
      <c r="G156" s="87"/>
      <c r="I156" s="85">
        <v>5000000380</v>
      </c>
      <c r="J156" s="85" t="s">
        <v>289</v>
      </c>
      <c r="K156" s="87"/>
      <c r="L156" s="87"/>
      <c r="M156" s="87"/>
    </row>
    <row r="157" spans="1:13" x14ac:dyDescent="0.35">
      <c r="A157" s="85" t="s">
        <v>288</v>
      </c>
      <c r="C157" s="86">
        <v>5000000190</v>
      </c>
      <c r="D157" s="85" t="s">
        <v>290</v>
      </c>
      <c r="E157" s="87"/>
      <c r="F157" s="87"/>
      <c r="G157" s="87"/>
      <c r="I157" s="85">
        <v>5000000190</v>
      </c>
      <c r="J157" s="85" t="s">
        <v>290</v>
      </c>
      <c r="K157" s="87"/>
      <c r="L157" s="87"/>
      <c r="M157" s="87"/>
    </row>
    <row r="158" spans="1:13" x14ac:dyDescent="0.35">
      <c r="A158" s="85" t="s">
        <v>288</v>
      </c>
      <c r="C158" s="86">
        <v>5000000400</v>
      </c>
      <c r="D158" s="85" t="s">
        <v>291</v>
      </c>
      <c r="E158" s="87"/>
      <c r="F158" s="87"/>
      <c r="G158" s="87"/>
      <c r="I158" s="85">
        <v>5000000400</v>
      </c>
      <c r="J158" s="85" t="s">
        <v>291</v>
      </c>
      <c r="K158" s="87"/>
      <c r="L158" s="87"/>
      <c r="M158" s="87"/>
    </row>
    <row r="159" spans="1:13" x14ac:dyDescent="0.35">
      <c r="A159" s="85" t="s">
        <v>288</v>
      </c>
      <c r="C159" s="86">
        <v>5000000040</v>
      </c>
      <c r="D159" s="85" t="s">
        <v>292</v>
      </c>
      <c r="E159" s="87">
        <v>2140</v>
      </c>
      <c r="F159" s="87">
        <v>2140</v>
      </c>
      <c r="G159" s="87">
        <v>2140</v>
      </c>
      <c r="I159" s="85">
        <v>5000000040</v>
      </c>
      <c r="J159" s="85" t="s">
        <v>292</v>
      </c>
      <c r="K159" s="87">
        <v>2140</v>
      </c>
      <c r="L159" s="87">
        <f>VLOOKUP(I159,'[2]LISTA DE SALDOS IM SV ENERO 202'!$B$2:$E$117,4,0)</f>
        <v>2140</v>
      </c>
      <c r="M159" s="87"/>
    </row>
    <row r="160" spans="1:13" x14ac:dyDescent="0.35">
      <c r="A160" s="85" t="s">
        <v>288</v>
      </c>
      <c r="C160" s="86">
        <v>5000000010</v>
      </c>
      <c r="D160" s="85" t="s">
        <v>293</v>
      </c>
      <c r="E160" s="87"/>
      <c r="F160" s="87"/>
      <c r="G160" s="87"/>
      <c r="I160" s="85">
        <v>5000000010</v>
      </c>
      <c r="J160" s="85" t="s">
        <v>293</v>
      </c>
      <c r="K160" s="87"/>
      <c r="L160" s="87"/>
      <c r="M160" s="87"/>
    </row>
    <row r="161" spans="1:13" x14ac:dyDescent="0.35">
      <c r="A161" s="85" t="s">
        <v>288</v>
      </c>
      <c r="C161" s="86">
        <v>5000000050</v>
      </c>
      <c r="D161" s="85" t="s">
        <v>294</v>
      </c>
      <c r="E161" s="87">
        <v>11844</v>
      </c>
      <c r="F161" s="87">
        <v>11844</v>
      </c>
      <c r="G161" s="87">
        <v>11844</v>
      </c>
      <c r="I161" s="85">
        <v>5000000050</v>
      </c>
      <c r="J161" s="85" t="s">
        <v>294</v>
      </c>
      <c r="K161" s="87">
        <v>11844</v>
      </c>
      <c r="L161" s="87">
        <f>VLOOKUP(I161,'[2]LISTA DE SALDOS IM SV ENERO 202'!$B$2:$E$117,4,0)</f>
        <v>11844</v>
      </c>
      <c r="M161" s="89"/>
    </row>
    <row r="162" spans="1:13" x14ac:dyDescent="0.35">
      <c r="A162" s="85" t="s">
        <v>288</v>
      </c>
      <c r="C162" s="86">
        <v>5000000100</v>
      </c>
      <c r="D162" s="85" t="s">
        <v>295</v>
      </c>
      <c r="E162" s="87">
        <v>1016.94</v>
      </c>
      <c r="F162" s="87">
        <v>1016.94</v>
      </c>
      <c r="G162" s="87">
        <v>1016.94</v>
      </c>
      <c r="I162" s="85">
        <v>5000000100</v>
      </c>
      <c r="J162" s="85" t="s">
        <v>295</v>
      </c>
      <c r="K162" s="87">
        <v>1016.94</v>
      </c>
      <c r="L162" s="87">
        <f>VLOOKUP(I162,'[2]LISTA DE SALDOS IM SV ENERO 202'!$B$2:$E$117,4,0)</f>
        <v>1016.94</v>
      </c>
      <c r="M162" s="89"/>
    </row>
    <row r="163" spans="1:13" x14ac:dyDescent="0.35">
      <c r="A163" s="85" t="s">
        <v>288</v>
      </c>
      <c r="C163" s="86">
        <v>5000000110</v>
      </c>
      <c r="D163" s="85" t="s">
        <v>296</v>
      </c>
      <c r="E163" s="87">
        <v>1372.5</v>
      </c>
      <c r="F163" s="87">
        <v>1372.5</v>
      </c>
      <c r="G163" s="87">
        <v>1372.5</v>
      </c>
      <c r="I163" s="85">
        <v>5000000110</v>
      </c>
      <c r="J163" s="85" t="s">
        <v>296</v>
      </c>
      <c r="K163" s="87">
        <v>1372.5</v>
      </c>
      <c r="L163" s="87">
        <f>VLOOKUP(I163,'[2]LISTA DE SALDOS IM SV ENERO 202'!$B$2:$E$117,4,0)</f>
        <v>1372.5</v>
      </c>
      <c r="M163" s="89"/>
    </row>
    <row r="164" spans="1:13" x14ac:dyDescent="0.35">
      <c r="A164" s="85" t="s">
        <v>288</v>
      </c>
      <c r="C164" s="86">
        <v>5000000120</v>
      </c>
      <c r="D164" s="85" t="s">
        <v>297</v>
      </c>
      <c r="E164" s="87">
        <v>1016.94</v>
      </c>
      <c r="F164" s="87">
        <v>1016.94</v>
      </c>
      <c r="G164" s="87">
        <v>1016.94</v>
      </c>
      <c r="I164" s="85">
        <v>5000000120</v>
      </c>
      <c r="J164" s="85" t="s">
        <v>297</v>
      </c>
      <c r="K164" s="87">
        <v>1016.94</v>
      </c>
      <c r="L164" s="87">
        <f>VLOOKUP(I164,'[2]LISTA DE SALDOS IM SV ENERO 202'!$B$2:$E$117,4,0)</f>
        <v>1016.94</v>
      </c>
      <c r="M164" s="89"/>
    </row>
    <row r="165" spans="1:13" x14ac:dyDescent="0.35">
      <c r="A165" s="85" t="s">
        <v>288</v>
      </c>
      <c r="C165" s="86">
        <v>5000000140</v>
      </c>
      <c r="D165" s="85" t="s">
        <v>298</v>
      </c>
      <c r="E165" s="87"/>
      <c r="F165" s="87"/>
      <c r="G165" s="87"/>
      <c r="I165" s="85">
        <v>5000000140</v>
      </c>
      <c r="J165" s="85" t="s">
        <v>298</v>
      </c>
      <c r="K165" s="87"/>
      <c r="L165" s="87"/>
      <c r="M165" s="89"/>
    </row>
    <row r="166" spans="1:13" x14ac:dyDescent="0.35">
      <c r="A166" s="85" t="s">
        <v>288</v>
      </c>
      <c r="C166" s="86">
        <v>5000000150</v>
      </c>
      <c r="D166" s="85" t="s">
        <v>299</v>
      </c>
      <c r="E166" s="87">
        <v>337.5</v>
      </c>
      <c r="F166" s="87">
        <v>337.5</v>
      </c>
      <c r="G166" s="87">
        <v>337.5</v>
      </c>
      <c r="I166" s="85">
        <v>5000000150</v>
      </c>
      <c r="J166" s="85" t="s">
        <v>299</v>
      </c>
      <c r="K166" s="87">
        <v>337.5</v>
      </c>
      <c r="L166" s="87">
        <f>VLOOKUP(I166,'[2]LISTA DE SALDOS IM SV ENERO 202'!$B$2:$E$117,4,0)</f>
        <v>337.5</v>
      </c>
      <c r="M166" s="89"/>
    </row>
    <row r="167" spans="1:13" x14ac:dyDescent="0.35">
      <c r="A167" s="85" t="s">
        <v>288</v>
      </c>
      <c r="C167" s="86">
        <v>5000000160</v>
      </c>
      <c r="D167" s="85" t="s">
        <v>300</v>
      </c>
      <c r="E167" s="87">
        <v>167.31</v>
      </c>
      <c r="F167" s="87">
        <v>167.31</v>
      </c>
      <c r="G167" s="87">
        <v>167.31</v>
      </c>
      <c r="I167" s="85">
        <v>5000000160</v>
      </c>
      <c r="J167" s="85" t="s">
        <v>300</v>
      </c>
      <c r="K167" s="87">
        <v>167.31</v>
      </c>
      <c r="L167" s="87">
        <f>VLOOKUP(I167,'[2]LISTA DE SALDOS IM SV ENERO 202'!$B$2:$E$117,4,0)</f>
        <v>167.31</v>
      </c>
      <c r="M167" s="89"/>
    </row>
    <row r="168" spans="1:13" x14ac:dyDescent="0.35">
      <c r="A168" s="85" t="s">
        <v>288</v>
      </c>
      <c r="C168" s="86">
        <v>5000000240</v>
      </c>
      <c r="D168" s="85" t="s">
        <v>225</v>
      </c>
      <c r="E168" s="87">
        <v>200</v>
      </c>
      <c r="F168" s="87">
        <v>200</v>
      </c>
      <c r="G168" s="87">
        <v>200</v>
      </c>
      <c r="I168" s="85">
        <v>5000000240</v>
      </c>
      <c r="J168" s="85" t="s">
        <v>225</v>
      </c>
      <c r="K168" s="87">
        <v>200</v>
      </c>
      <c r="L168" s="87">
        <f>VLOOKUP(I168,'[2]LISTA DE SALDOS IM SV ENERO 202'!$B$2:$E$117,4,0)</f>
        <v>200</v>
      </c>
      <c r="M168" s="89"/>
    </row>
    <row r="169" spans="1:13" x14ac:dyDescent="0.35">
      <c r="A169" s="85" t="s">
        <v>288</v>
      </c>
      <c r="C169" s="86">
        <v>5000000260</v>
      </c>
      <c r="D169" s="85" t="s">
        <v>301</v>
      </c>
      <c r="E169" s="87">
        <v>40</v>
      </c>
      <c r="F169" s="87">
        <v>40</v>
      </c>
      <c r="G169" s="87">
        <v>40</v>
      </c>
      <c r="I169" s="85">
        <v>5000000260</v>
      </c>
      <c r="J169" s="85" t="s">
        <v>301</v>
      </c>
      <c r="K169" s="87">
        <v>40</v>
      </c>
      <c r="L169" s="87">
        <f>VLOOKUP(I169,'[2]LISTA DE SALDOS IM SV ENERO 202'!$B$2:$E$117,4,0)</f>
        <v>40</v>
      </c>
      <c r="M169" s="89"/>
    </row>
    <row r="170" spans="1:13" x14ac:dyDescent="0.35">
      <c r="A170" s="85" t="s">
        <v>288</v>
      </c>
      <c r="C170" s="86">
        <v>5000000210</v>
      </c>
      <c r="E170" s="87"/>
      <c r="F170" s="87"/>
      <c r="G170" s="87"/>
      <c r="I170" s="86">
        <v>5000000210</v>
      </c>
      <c r="K170" s="87"/>
      <c r="L170" s="87"/>
      <c r="M170" s="89"/>
    </row>
    <row r="171" spans="1:13" x14ac:dyDescent="0.35">
      <c r="A171" s="85" t="s">
        <v>288</v>
      </c>
      <c r="C171" s="86">
        <v>5000000180</v>
      </c>
      <c r="D171" s="85" t="s">
        <v>302</v>
      </c>
      <c r="E171" s="87"/>
      <c r="F171" s="87"/>
      <c r="G171" s="87"/>
      <c r="I171" s="85">
        <v>5000000180</v>
      </c>
      <c r="J171" s="85" t="s">
        <v>302</v>
      </c>
      <c r="K171" s="87"/>
      <c r="L171" s="87"/>
      <c r="M171" s="89"/>
    </row>
    <row r="172" spans="1:13" x14ac:dyDescent="0.35">
      <c r="A172" s="85" t="s">
        <v>288</v>
      </c>
      <c r="C172" s="86">
        <v>5000000270</v>
      </c>
      <c r="D172" s="85" t="s">
        <v>303</v>
      </c>
      <c r="E172" s="87">
        <v>1125</v>
      </c>
      <c r="F172" s="87">
        <v>1125</v>
      </c>
      <c r="G172" s="87">
        <v>1125</v>
      </c>
      <c r="I172" s="85">
        <v>5000000270</v>
      </c>
      <c r="J172" s="85" t="s">
        <v>303</v>
      </c>
      <c r="K172" s="87">
        <v>1125</v>
      </c>
      <c r="L172" s="87">
        <f>VLOOKUP(I172,'[2]LISTA DE SALDOS IM SV ENERO 202'!$B$2:$E$117,4,0)</f>
        <v>1125</v>
      </c>
      <c r="M172" s="89"/>
    </row>
    <row r="173" spans="1:13" x14ac:dyDescent="0.35">
      <c r="A173" s="85" t="s">
        <v>288</v>
      </c>
      <c r="C173" s="86">
        <v>5000000280</v>
      </c>
      <c r="D173" s="85" t="s">
        <v>304</v>
      </c>
      <c r="E173" s="87"/>
      <c r="F173" s="87"/>
      <c r="G173" s="87"/>
      <c r="I173" s="86">
        <v>5000000280</v>
      </c>
      <c r="J173" s="85" t="s">
        <v>304</v>
      </c>
      <c r="K173" s="87"/>
      <c r="L173" s="87"/>
      <c r="M173" s="87"/>
    </row>
    <row r="174" spans="1:13" x14ac:dyDescent="0.35">
      <c r="A174" s="85" t="s">
        <v>288</v>
      </c>
      <c r="C174" s="85">
        <v>5000000390</v>
      </c>
      <c r="D174" s="85" t="s">
        <v>305</v>
      </c>
      <c r="E174" s="87"/>
      <c r="F174" s="87"/>
      <c r="G174" s="87"/>
      <c r="I174" s="86">
        <v>5000000390</v>
      </c>
      <c r="J174" s="85" t="s">
        <v>305</v>
      </c>
      <c r="K174" s="87"/>
      <c r="L174" s="87"/>
      <c r="M174" s="89"/>
    </row>
    <row r="175" spans="1:13" x14ac:dyDescent="0.35">
      <c r="A175" s="85" t="s">
        <v>288</v>
      </c>
      <c r="C175" s="85">
        <v>5000000360</v>
      </c>
      <c r="D175" s="85" t="s">
        <v>306</v>
      </c>
      <c r="E175" s="87">
        <v>76.459999999999994</v>
      </c>
      <c r="F175" s="87">
        <v>76.459999999999994</v>
      </c>
      <c r="G175" s="87">
        <v>76.459999999999994</v>
      </c>
      <c r="I175" s="85">
        <v>5000000360</v>
      </c>
      <c r="J175" s="85" t="s">
        <v>306</v>
      </c>
      <c r="K175" s="87">
        <v>76.459999999999994</v>
      </c>
      <c r="L175" s="87">
        <f>VLOOKUP(I175,'[2]LISTA DE SALDOS IM SV ENERO 202'!$B$2:$E$117,4,0)</f>
        <v>76.459999999999994</v>
      </c>
      <c r="M175" s="87"/>
    </row>
    <row r="176" spans="1:13" x14ac:dyDescent="0.35">
      <c r="C176" s="85">
        <v>5000000440</v>
      </c>
      <c r="D176" s="85" t="s">
        <v>307</v>
      </c>
      <c r="E176" s="89">
        <v>940</v>
      </c>
      <c r="F176" s="89">
        <v>940</v>
      </c>
      <c r="G176" s="89">
        <v>940</v>
      </c>
      <c r="I176" s="85">
        <v>5000000440</v>
      </c>
      <c r="J176" s="85" t="s">
        <v>307</v>
      </c>
      <c r="K176" s="89">
        <v>940</v>
      </c>
      <c r="L176" s="87">
        <f>VLOOKUP(I176,'[2]LISTA DE SALDOS IM SV ENERO 202'!$B$2:$E$117,4,0)</f>
        <v>940</v>
      </c>
      <c r="M176" s="87"/>
    </row>
    <row r="177" spans="1:13" x14ac:dyDescent="0.35">
      <c r="A177" s="85" t="s">
        <v>288</v>
      </c>
      <c r="C177" s="86">
        <v>5000000600</v>
      </c>
      <c r="D177" s="85" t="s">
        <v>308</v>
      </c>
      <c r="E177" s="87">
        <v>681.38</v>
      </c>
      <c r="F177" s="87">
        <v>681.38</v>
      </c>
      <c r="G177" s="87">
        <v>681.38</v>
      </c>
      <c r="I177" s="85">
        <v>5000000600</v>
      </c>
      <c r="J177" s="85" t="s">
        <v>308</v>
      </c>
      <c r="K177" s="87">
        <v>681.38</v>
      </c>
      <c r="L177" s="87">
        <f>VLOOKUP(I177,'[2]LISTA DE SALDOS IM SV ENERO 202'!$B$2:$E$117,4,0)</f>
        <v>681.38</v>
      </c>
      <c r="M177" s="89"/>
    </row>
    <row r="178" spans="1:13" x14ac:dyDescent="0.35">
      <c r="A178" s="85" t="s">
        <v>288</v>
      </c>
      <c r="C178" s="85">
        <v>5000000680</v>
      </c>
      <c r="D178" s="85" t="s">
        <v>309</v>
      </c>
      <c r="E178" s="87"/>
      <c r="F178" s="87"/>
      <c r="G178" s="87"/>
      <c r="I178" s="85">
        <v>5000000680</v>
      </c>
      <c r="J178" s="85" t="s">
        <v>309</v>
      </c>
      <c r="K178" s="87"/>
      <c r="L178" s="87"/>
      <c r="M178" s="87"/>
    </row>
    <row r="179" spans="1:13" x14ac:dyDescent="0.35">
      <c r="A179" s="85" t="s">
        <v>288</v>
      </c>
      <c r="C179" s="85">
        <v>5000000860</v>
      </c>
      <c r="D179" s="85" t="s">
        <v>310</v>
      </c>
      <c r="E179" s="87"/>
      <c r="F179" s="87"/>
      <c r="G179" s="87"/>
      <c r="I179" s="85">
        <v>5000000860</v>
      </c>
      <c r="J179" s="85" t="s">
        <v>310</v>
      </c>
      <c r="K179" s="87"/>
      <c r="L179" s="87"/>
      <c r="M179" s="89"/>
    </row>
    <row r="180" spans="1:13" x14ac:dyDescent="0.35">
      <c r="A180" s="85" t="s">
        <v>288</v>
      </c>
      <c r="C180" s="86">
        <v>5000000500</v>
      </c>
      <c r="D180" s="85" t="s">
        <v>311</v>
      </c>
      <c r="E180" s="87"/>
      <c r="F180" s="87"/>
      <c r="G180" s="87"/>
      <c r="I180" s="85">
        <v>5000000500</v>
      </c>
      <c r="J180" s="85" t="s">
        <v>311</v>
      </c>
      <c r="K180" s="87"/>
      <c r="L180" s="87"/>
      <c r="M180" s="87">
        <v>0</v>
      </c>
    </row>
    <row r="181" spans="1:13" x14ac:dyDescent="0.35">
      <c r="A181" s="101" t="s">
        <v>312</v>
      </c>
      <c r="E181" s="95">
        <f>SUM(E156:E180)</f>
        <v>20958.030000000002</v>
      </c>
      <c r="F181" s="95">
        <f>SUM(F156:F180)</f>
        <v>20958.030000000002</v>
      </c>
      <c r="G181" s="95">
        <f>SUM(G156:G180)</f>
        <v>20958.030000000002</v>
      </c>
      <c r="K181" s="95">
        <f>SUM(K156:K180)</f>
        <v>20958.030000000002</v>
      </c>
      <c r="L181" s="95">
        <f>SUM(L156:L180)</f>
        <v>20958.030000000002</v>
      </c>
      <c r="M181" s="95">
        <f>SUM(M156:M180)</f>
        <v>0</v>
      </c>
    </row>
    <row r="229" spans="9:9" x14ac:dyDescent="0.35">
      <c r="I229" s="104"/>
    </row>
    <row r="231" spans="9:9" x14ac:dyDescent="0.35">
      <c r="I231" s="104"/>
    </row>
    <row r="232" spans="9:9" x14ac:dyDescent="0.35">
      <c r="I232" s="104"/>
    </row>
    <row r="235" spans="9:9" x14ac:dyDescent="0.35">
      <c r="I235" s="104"/>
    </row>
    <row r="236" spans="9:9" x14ac:dyDescent="0.35">
      <c r="I236" s="104"/>
    </row>
    <row r="237" spans="9:9" x14ac:dyDescent="0.35">
      <c r="I237" s="104"/>
    </row>
    <row r="238" spans="9:9" x14ac:dyDescent="0.35">
      <c r="I238" s="104"/>
    </row>
    <row r="239" spans="9:9" x14ac:dyDescent="0.35">
      <c r="I239" s="104"/>
    </row>
    <row r="240" spans="9:9" x14ac:dyDescent="0.35">
      <c r="I240" s="104"/>
    </row>
    <row r="241" spans="9:9" x14ac:dyDescent="0.35">
      <c r="I241" s="104"/>
    </row>
    <row r="242" spans="9:9" x14ac:dyDescent="0.35">
      <c r="I242" s="104"/>
    </row>
    <row r="243" spans="9:9" x14ac:dyDescent="0.35">
      <c r="I243" s="104"/>
    </row>
    <row r="244" spans="9:9" x14ac:dyDescent="0.35">
      <c r="I244" s="104"/>
    </row>
    <row r="245" spans="9:9" x14ac:dyDescent="0.35">
      <c r="I245" s="104"/>
    </row>
    <row r="246" spans="9:9" x14ac:dyDescent="0.35">
      <c r="I246" s="104"/>
    </row>
    <row r="247" spans="9:9" x14ac:dyDescent="0.35">
      <c r="I247" s="104"/>
    </row>
    <row r="248" spans="9:9" x14ac:dyDescent="0.35">
      <c r="I248" s="104"/>
    </row>
    <row r="249" spans="9:9" x14ac:dyDescent="0.35">
      <c r="I249" s="104"/>
    </row>
    <row r="251" spans="9:9" x14ac:dyDescent="0.35">
      <c r="I251" s="104"/>
    </row>
    <row r="253" spans="9:9" x14ac:dyDescent="0.35">
      <c r="I253" s="104"/>
    </row>
    <row r="254" spans="9:9" x14ac:dyDescent="0.35">
      <c r="I254" s="104"/>
    </row>
    <row r="256" spans="9:9" x14ac:dyDescent="0.35">
      <c r="I256" s="104"/>
    </row>
    <row r="257" spans="9:9" x14ac:dyDescent="0.35">
      <c r="I257" s="104"/>
    </row>
    <row r="258" spans="9:9" x14ac:dyDescent="0.35">
      <c r="I258" s="104"/>
    </row>
    <row r="259" spans="9:9" x14ac:dyDescent="0.35">
      <c r="I259" s="104"/>
    </row>
    <row r="260" spans="9:9" x14ac:dyDescent="0.35">
      <c r="I260" s="104"/>
    </row>
    <row r="261" spans="9:9" x14ac:dyDescent="0.35">
      <c r="I261" s="104"/>
    </row>
    <row r="262" spans="9:9" x14ac:dyDescent="0.35">
      <c r="I262" s="104"/>
    </row>
    <row r="263" spans="9:9" x14ac:dyDescent="0.35">
      <c r="I263" s="104"/>
    </row>
    <row r="264" spans="9:9" x14ac:dyDescent="0.35">
      <c r="I264" s="104"/>
    </row>
    <row r="265" spans="9:9" x14ac:dyDescent="0.35">
      <c r="I265" s="104"/>
    </row>
    <row r="266" spans="9:9" x14ac:dyDescent="0.35">
      <c r="I266" s="104"/>
    </row>
    <row r="267" spans="9:9" x14ac:dyDescent="0.35">
      <c r="I267" s="104"/>
    </row>
    <row r="268" spans="9:9" x14ac:dyDescent="0.35">
      <c r="I268" s="104"/>
    </row>
    <row r="269" spans="9:9" x14ac:dyDescent="0.35">
      <c r="I269" s="104"/>
    </row>
    <row r="270" spans="9:9" x14ac:dyDescent="0.35">
      <c r="I270" s="104"/>
    </row>
    <row r="271" spans="9:9" x14ac:dyDescent="0.35">
      <c r="I271" s="104"/>
    </row>
    <row r="272" spans="9:9" x14ac:dyDescent="0.35">
      <c r="I272" s="104"/>
    </row>
    <row r="273" spans="9:9" x14ac:dyDescent="0.35">
      <c r="I273" s="104"/>
    </row>
    <row r="274" spans="9:9" x14ac:dyDescent="0.35">
      <c r="I274" s="104"/>
    </row>
    <row r="275" spans="9:9" x14ac:dyDescent="0.35">
      <c r="I275" s="104"/>
    </row>
    <row r="276" spans="9:9" x14ac:dyDescent="0.35">
      <c r="I276" s="104"/>
    </row>
    <row r="277" spans="9:9" x14ac:dyDescent="0.35">
      <c r="I277" s="104"/>
    </row>
    <row r="278" spans="9:9" x14ac:dyDescent="0.35">
      <c r="I278" s="104"/>
    </row>
    <row r="281" spans="9:9" x14ac:dyDescent="0.35">
      <c r="I281" s="104"/>
    </row>
    <row r="282" spans="9:9" x14ac:dyDescent="0.35">
      <c r="I282" s="104"/>
    </row>
    <row r="283" spans="9:9" x14ac:dyDescent="0.35">
      <c r="I283" s="104"/>
    </row>
    <row r="284" spans="9:9" x14ac:dyDescent="0.35">
      <c r="I284" s="104"/>
    </row>
    <row r="285" spans="9:9" x14ac:dyDescent="0.35">
      <c r="I285" s="104"/>
    </row>
    <row r="286" spans="9:9" x14ac:dyDescent="0.35">
      <c r="I286" s="104"/>
    </row>
    <row r="287" spans="9:9" x14ac:dyDescent="0.35">
      <c r="I287" s="104"/>
    </row>
    <row r="288" spans="9:9" x14ac:dyDescent="0.35">
      <c r="I288" s="104"/>
    </row>
    <row r="289" spans="9:9" x14ac:dyDescent="0.35">
      <c r="I289" s="104"/>
    </row>
    <row r="290" spans="9:9" x14ac:dyDescent="0.35">
      <c r="I290" s="104"/>
    </row>
    <row r="291" spans="9:9" x14ac:dyDescent="0.35">
      <c r="I291" s="104"/>
    </row>
    <row r="292" spans="9:9" x14ac:dyDescent="0.35">
      <c r="I292" s="104"/>
    </row>
    <row r="293" spans="9:9" x14ac:dyDescent="0.35">
      <c r="I293" s="104"/>
    </row>
    <row r="294" spans="9:9" x14ac:dyDescent="0.35">
      <c r="I294" s="104"/>
    </row>
    <row r="295" spans="9:9" x14ac:dyDescent="0.35">
      <c r="I295" s="104"/>
    </row>
    <row r="297" spans="9:9" x14ac:dyDescent="0.35">
      <c r="I297" s="104"/>
    </row>
    <row r="347" spans="9:9" x14ac:dyDescent="0.35">
      <c r="I347" s="104"/>
    </row>
    <row r="348" spans="9:9" x14ac:dyDescent="0.35">
      <c r="I348" s="104"/>
    </row>
    <row r="351" spans="9:9" x14ac:dyDescent="0.35">
      <c r="I351" s="104"/>
    </row>
    <row r="352" spans="9:9" x14ac:dyDescent="0.35">
      <c r="I352" s="104"/>
    </row>
    <row r="353" spans="9:9" x14ac:dyDescent="0.35">
      <c r="I353" s="104"/>
    </row>
    <row r="354" spans="9:9" x14ac:dyDescent="0.35">
      <c r="I354" s="104"/>
    </row>
    <row r="355" spans="9:9" x14ac:dyDescent="0.35">
      <c r="I355" s="104"/>
    </row>
    <row r="356" spans="9:9" x14ac:dyDescent="0.35">
      <c r="I356" s="104"/>
    </row>
    <row r="357" spans="9:9" x14ac:dyDescent="0.35">
      <c r="I357" s="104"/>
    </row>
    <row r="358" spans="9:9" x14ac:dyDescent="0.35">
      <c r="I358" s="104"/>
    </row>
    <row r="360" spans="9:9" x14ac:dyDescent="0.35">
      <c r="I360" s="104"/>
    </row>
    <row r="361" spans="9:9" x14ac:dyDescent="0.35">
      <c r="I361" s="104"/>
    </row>
    <row r="362" spans="9:9" x14ac:dyDescent="0.35">
      <c r="I362" s="104"/>
    </row>
    <row r="363" spans="9:9" x14ac:dyDescent="0.35">
      <c r="I363" s="104"/>
    </row>
    <row r="364" spans="9:9" x14ac:dyDescent="0.35">
      <c r="I364" s="104"/>
    </row>
    <row r="365" spans="9:9" x14ac:dyDescent="0.35">
      <c r="I365" s="104"/>
    </row>
    <row r="367" spans="9:9" x14ac:dyDescent="0.35">
      <c r="I367" s="104"/>
    </row>
    <row r="369" spans="9:9" x14ac:dyDescent="0.35">
      <c r="I369" s="104"/>
    </row>
    <row r="370" spans="9:9" x14ac:dyDescent="0.35">
      <c r="I370" s="104"/>
    </row>
    <row r="371" spans="9:9" x14ac:dyDescent="0.35">
      <c r="I371" s="104"/>
    </row>
    <row r="372" spans="9:9" x14ac:dyDescent="0.35">
      <c r="I372" s="104"/>
    </row>
    <row r="373" spans="9:9" x14ac:dyDescent="0.35">
      <c r="I373" s="104"/>
    </row>
    <row r="377" spans="9:9" x14ac:dyDescent="0.35">
      <c r="I377" s="104"/>
    </row>
    <row r="380" spans="9:9" x14ac:dyDescent="0.35">
      <c r="I380" s="104"/>
    </row>
    <row r="381" spans="9:9" x14ac:dyDescent="0.35">
      <c r="I381" s="104"/>
    </row>
    <row r="382" spans="9:9" x14ac:dyDescent="0.35">
      <c r="I382" s="104"/>
    </row>
    <row r="383" spans="9:9" x14ac:dyDescent="0.35">
      <c r="I383" s="104"/>
    </row>
    <row r="384" spans="9:9" x14ac:dyDescent="0.35">
      <c r="I384" s="104"/>
    </row>
    <row r="385" spans="9:9" x14ac:dyDescent="0.35">
      <c r="I385" s="104"/>
    </row>
    <row r="386" spans="9:9" x14ac:dyDescent="0.35">
      <c r="I386" s="104"/>
    </row>
    <row r="387" spans="9:9" x14ac:dyDescent="0.35">
      <c r="I387" s="104"/>
    </row>
    <row r="388" spans="9:9" x14ac:dyDescent="0.35">
      <c r="I388" s="104"/>
    </row>
    <row r="389" spans="9:9" x14ac:dyDescent="0.35">
      <c r="I389" s="104"/>
    </row>
    <row r="390" spans="9:9" x14ac:dyDescent="0.35">
      <c r="I390" s="104"/>
    </row>
    <row r="391" spans="9:9" x14ac:dyDescent="0.35">
      <c r="I391" s="104"/>
    </row>
    <row r="392" spans="9:9" x14ac:dyDescent="0.35">
      <c r="I392" s="10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RESULTADO</vt:lpstr>
      <vt:lpstr>BALANCE</vt:lpstr>
      <vt:lpstr>ANEXO</vt:lpstr>
      <vt:lpstr>Lista de Saldos IM</vt:lpstr>
      <vt:lpstr>BALANCE!Área_de_impresión</vt:lpstr>
      <vt:lpstr>RESULTADO!Área_de_impresión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MichellsAlvarenga</cp:lastModifiedBy>
  <cp:lastPrinted>2021-02-10T22:45:21Z</cp:lastPrinted>
  <dcterms:created xsi:type="dcterms:W3CDTF">2009-05-06T00:19:57Z</dcterms:created>
  <dcterms:modified xsi:type="dcterms:W3CDTF">2021-02-11T22:03:27Z</dcterms:modified>
</cp:coreProperties>
</file>