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530" activeTab="3"/>
  </bookViews>
  <sheets>
    <sheet name="Balance" sheetId="5" r:id="rId1"/>
    <sheet name="Resultado" sheetId="6" r:id="rId2"/>
    <sheet name="ECP" sheetId="7" r:id="rId3"/>
    <sheet name="Flujodef" sheetId="2" r:id="rId4"/>
    <sheet name="HT septiembre 2020" sheetId="3" r:id="rId5"/>
    <sheet name="OPERAC BURSATILES" sheetId="8" r:id="rId6"/>
  </sheets>
  <externalReferences>
    <externalReference r:id="rId7"/>
  </externalReferences>
  <definedNames>
    <definedName name="_xlnm.Print_Area" localSheetId="0">Balance!$A$1:$H$50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Resultado!$A$3:$I$48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3"/>
  <c r="H15" i="5"/>
  <c r="D40" i="3"/>
  <c r="D36"/>
  <c r="D35"/>
  <c r="H32" i="5"/>
  <c r="C27" i="3" s="1"/>
  <c r="C28"/>
  <c r="C26"/>
  <c r="C23"/>
  <c r="C22"/>
  <c r="C21"/>
  <c r="C18"/>
  <c r="C17"/>
  <c r="C16"/>
  <c r="C15"/>
  <c r="C12"/>
  <c r="C10"/>
  <c r="A1" i="8"/>
  <c r="A2"/>
  <c r="A3"/>
  <c r="I24"/>
  <c r="I33"/>
  <c r="P17" i="7"/>
  <c r="P18"/>
  <c r="P20" s="1"/>
  <c r="P19"/>
  <c r="H20"/>
  <c r="J20"/>
  <c r="L20"/>
  <c r="N20"/>
  <c r="P22"/>
  <c r="P23"/>
  <c r="H25"/>
  <c r="L25"/>
  <c r="I10" i="6"/>
  <c r="I15"/>
  <c r="I23"/>
  <c r="I28"/>
  <c r="H9" i="5"/>
  <c r="H21"/>
  <c r="H25"/>
  <c r="H28"/>
  <c r="H34"/>
  <c r="H31" l="1"/>
  <c r="I20" i="6"/>
  <c r="I26" s="1"/>
  <c r="I32" s="1"/>
  <c r="I38" s="1"/>
  <c r="H18" i="5"/>
  <c r="J24" i="7"/>
  <c r="J25" s="1"/>
  <c r="H39" i="5" l="1"/>
  <c r="L41" i="6" s="1"/>
  <c r="N24" i="7"/>
  <c r="N25" s="1"/>
  <c r="M45" i="3"/>
  <c r="H37" i="5" l="1"/>
  <c r="C29" i="3" s="1"/>
  <c r="C30" s="1"/>
  <c r="P24" i="7"/>
  <c r="P25" s="1"/>
  <c r="D48" i="3"/>
  <c r="E36"/>
  <c r="H41" i="5" l="1"/>
  <c r="K42" s="1"/>
  <c r="H40"/>
  <c r="R26" i="7" s="1"/>
  <c r="F38" i="3"/>
  <c r="E43"/>
  <c r="E41"/>
  <c r="E40"/>
  <c r="E35"/>
  <c r="E42"/>
  <c r="H43" l="1"/>
  <c r="D38" l="1"/>
  <c r="D49" s="1"/>
  <c r="E37"/>
  <c r="E27"/>
  <c r="E52" l="1"/>
  <c r="E47"/>
  <c r="E46"/>
  <c r="H46" s="1"/>
  <c r="E45"/>
  <c r="E44"/>
  <c r="F22" i="2"/>
  <c r="E48" i="3"/>
  <c r="H41"/>
  <c r="F21" i="2" s="1"/>
  <c r="H40" i="3"/>
  <c r="F20" i="2" s="1"/>
  <c r="E39" i="3"/>
  <c r="H39" s="1"/>
  <c r="F16" i="2"/>
  <c r="K30" i="3"/>
  <c r="F30"/>
  <c r="D30"/>
  <c r="E29"/>
  <c r="H29" s="1"/>
  <c r="I29" s="1"/>
  <c r="M39" s="1"/>
  <c r="G30"/>
  <c r="E28"/>
  <c r="H28" s="1"/>
  <c r="J28" s="1"/>
  <c r="F46" i="2" s="1"/>
  <c r="H27" i="3"/>
  <c r="I27" s="1"/>
  <c r="M40" s="1"/>
  <c r="E26"/>
  <c r="H26" s="1"/>
  <c r="M26" s="1"/>
  <c r="E25"/>
  <c r="H25" s="1"/>
  <c r="M25" s="1"/>
  <c r="E24"/>
  <c r="H24" s="1"/>
  <c r="E22"/>
  <c r="H22" s="1"/>
  <c r="E21"/>
  <c r="H21" s="1"/>
  <c r="M20"/>
  <c r="L19"/>
  <c r="I19"/>
  <c r="G19"/>
  <c r="F19"/>
  <c r="C19"/>
  <c r="E18"/>
  <c r="H18" s="1"/>
  <c r="E17"/>
  <c r="E15"/>
  <c r="H15" s="1"/>
  <c r="J15" s="1"/>
  <c r="E14"/>
  <c r="H14" s="1"/>
  <c r="J14" s="1"/>
  <c r="F43" i="2" s="1"/>
  <c r="E13" i="3"/>
  <c r="H13" s="1"/>
  <c r="J13" s="1"/>
  <c r="F41" i="2" s="1"/>
  <c r="E12" i="3"/>
  <c r="H12" s="1"/>
  <c r="J12" s="1"/>
  <c r="E11"/>
  <c r="H11" s="1"/>
  <c r="K11" s="1"/>
  <c r="M11" s="1"/>
  <c r="E10"/>
  <c r="F35" i="2" l="1"/>
  <c r="H17" i="3"/>
  <c r="F42" i="2"/>
  <c r="H10" i="3"/>
  <c r="M10" s="1"/>
  <c r="F31"/>
  <c r="G31"/>
  <c r="F44" i="2"/>
  <c r="M13" i="3"/>
  <c r="C31"/>
  <c r="M15"/>
  <c r="H36"/>
  <c r="F15" i="2" s="1"/>
  <c r="D19" i="3"/>
  <c r="D31" s="1"/>
  <c r="E16"/>
  <c r="H16" s="1"/>
  <c r="J21"/>
  <c r="F48" i="2" s="1"/>
  <c r="M12" i="3"/>
  <c r="M14"/>
  <c r="M27"/>
  <c r="J18"/>
  <c r="F45" s="1"/>
  <c r="J22"/>
  <c r="G44" s="1"/>
  <c r="H44" s="1"/>
  <c r="J24"/>
  <c r="M24" s="1"/>
  <c r="E38"/>
  <c r="E49" s="1"/>
  <c r="E23"/>
  <c r="K17" l="1"/>
  <c r="F37" s="1"/>
  <c r="H37" s="1"/>
  <c r="F17" i="2" s="1"/>
  <c r="H19" i="3"/>
  <c r="M21"/>
  <c r="F23" i="2"/>
  <c r="F49"/>
  <c r="F34"/>
  <c r="M18" i="3"/>
  <c r="F38" i="2"/>
  <c r="F37" s="1"/>
  <c r="F48" i="3"/>
  <c r="F49" s="1"/>
  <c r="E19"/>
  <c r="E30"/>
  <c r="H23"/>
  <c r="M22"/>
  <c r="I30"/>
  <c r="I31" s="1"/>
  <c r="L29"/>
  <c r="J16"/>
  <c r="G35" s="1"/>
  <c r="G38" s="1"/>
  <c r="K19" l="1"/>
  <c r="K31" s="1"/>
  <c r="M42" s="1"/>
  <c r="F45" i="2"/>
  <c r="M17" i="3"/>
  <c r="F47" i="2"/>
  <c r="H35" i="3"/>
  <c r="H38" s="1"/>
  <c r="E31"/>
  <c r="H45"/>
  <c r="J19"/>
  <c r="M16"/>
  <c r="J23"/>
  <c r="F50" i="2" s="1"/>
  <c r="H30" i="3"/>
  <c r="H31" s="1"/>
  <c r="L30"/>
  <c r="L31" s="1"/>
  <c r="M43" s="1"/>
  <c r="M29"/>
  <c r="G42" l="1"/>
  <c r="M19"/>
  <c r="F40" i="2"/>
  <c r="F52" s="1"/>
  <c r="J30" i="3"/>
  <c r="J31" s="1"/>
  <c r="M31" s="1"/>
  <c r="M23"/>
  <c r="H42" l="1"/>
  <c r="G48"/>
  <c r="G49" s="1"/>
  <c r="M41"/>
  <c r="M44" l="1"/>
  <c r="M46" s="1"/>
  <c r="M48" s="1"/>
  <c r="N39"/>
  <c r="H48"/>
  <c r="H49" s="1"/>
  <c r="H52" s="1"/>
  <c r="F24" i="2"/>
  <c r="F26" s="1"/>
  <c r="F28" l="1"/>
  <c r="F30" s="1"/>
  <c r="G30" s="1"/>
  <c r="O39" i="3"/>
  <c r="G51"/>
  <c r="H51"/>
  <c r="G53" l="1"/>
</calcChain>
</file>

<file path=xl/comments1.xml><?xml version="1.0" encoding="utf-8"?>
<comments xmlns="http://schemas.openxmlformats.org/spreadsheetml/2006/main">
  <authors>
    <author>Autor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<sst xmlns="http://schemas.openxmlformats.org/spreadsheetml/2006/main" count="294" uniqueCount="185">
  <si>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</si>
  <si>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</si>
  <si>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</si>
  <si>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</si>
  <si>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</si>
  <si>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</si>
  <si>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</si>
  <si>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</si>
  <si>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</si>
  <si>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</si>
  <si>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</si>
  <si>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</si>
  <si>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</si>
  <si>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</si>
  <si>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</si>
  <si>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</si>
  <si>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</si>
  <si>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</si>
  <si>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</si>
  <si>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</si>
  <si>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</si>
  <si>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</si>
  <si>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</si>
  <si>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</si>
  <si>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</si>
  <si>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</si>
  <si>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</si>
  <si>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</si>
  <si>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</si>
  <si>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</si>
  <si>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</si>
  <si>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</si>
  <si>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</si>
  <si>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</si>
  <si>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</si>
  <si>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</si>
  <si>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</si>
  <si>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</si>
  <si>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</si>
  <si>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</si>
  <si>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</si>
  <si>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</si>
  <si>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</si>
  <si>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</si>
  <si>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</si>
  <si>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</si>
  <si>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</si>
  <si>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</si>
  <si>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</si>
  <si>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</si>
  <si>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</si>
  <si>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</si>
  <si>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</si>
  <si>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</si>
  <si>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</si>
  <si>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</si>
  <si>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</si>
  <si>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</si>
  <si>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</si>
  <si>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</si>
  <si>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</si>
  <si>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</si>
  <si>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</si>
  <si>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</si>
  <si>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</si>
  <si>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</si>
  <si>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</si>
  <si>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</si>
  <si>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</si>
  <si>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</si>
  <si>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</si>
  <si>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</si>
  <si>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</si>
  <si>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</si>
  <si>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</si>
  <si>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</si>
  <si>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</si>
  <si>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</si>
  <si>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</si>
  <si>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</si>
  <si>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</si>
  <si>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</si>
  <si>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</si>
  <si>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</si>
  <si>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</si>
  <si>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</si>
  <si>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</si>
  <si>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</si>
  <si>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</si>
  <si>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</si>
  <si>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</si>
  <si>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</si>
  <si>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</si>
  <si>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</si>
  <si>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</si>
  <si>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</si>
  <si>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</si>
  <si>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Diciembre</t>
  </si>
  <si>
    <t>Auditores Externos</t>
  </si>
  <si>
    <t>Zelaya Rivas Asociados, SA de CV</t>
  </si>
  <si>
    <t>Contador</t>
  </si>
  <si>
    <t>Vicepresidenta</t>
  </si>
  <si>
    <t>Juan Carlos Martínez Sánchez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</si>
  <si>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</si>
  <si>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</si>
  <si>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</si>
  <si>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</si>
  <si>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</si>
  <si>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</si>
  <si>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</si>
  <si>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</si>
  <si>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</si>
  <si>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</si>
  <si>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</si>
  <si>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</si>
  <si>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</si>
  <si>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</si>
  <si>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</si>
  <si>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</si>
  <si>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</si>
  <si>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</si>
  <si>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</si>
  <si>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</si>
  <si>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</si>
  <si>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</si>
  <si>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</si>
  <si>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</si>
  <si>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</si>
  <si>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</si>
  <si>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</si>
  <si>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</si>
  <si>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</si>
  <si>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</si>
  <si>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</si>
  <si>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</si>
  <si>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</si>
  <si>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</si>
  <si>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</si>
  <si>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</si>
  <si>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</si>
  <si>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</si>
  <si>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</si>
  <si>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</si>
  <si>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</si>
  <si>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</si>
  <si>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</si>
  <si>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</si>
  <si>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</si>
  <si>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</si>
  <si>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</si>
  <si>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</si>
  <si>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</si>
  <si>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</si>
  <si>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2019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</si>
  <si>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</si>
  <si>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</si>
  <si>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</si>
  <si>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</si>
  <si>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</si>
  <si>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</si>
  <si>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</si>
  <si>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</si>
  <si>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</si>
  <si>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</si>
  <si>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</si>
  <si>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</si>
  <si>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</si>
  <si>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</si>
  <si>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</si>
  <si>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</si>
  <si>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</si>
  <si>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</si>
  <si>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</si>
  <si>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</si>
  <si>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</si>
  <si>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</si>
  <si>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</si>
  <si>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</si>
  <si>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</si>
  <si>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Balance General al 30 de septiembre de 2020</t>
  </si>
  <si>
    <t>Estado de Resultados al 30 de septiembre de 2020</t>
  </si>
  <si>
    <t>Estado de Cambios en el Patrimonio del 01 de enero al 30 de septiembre 2020</t>
  </si>
  <si>
    <t>Por los períodos del 1 de enero al 30 de septeimbre 2020</t>
  </si>
  <si>
    <t>FLUJO DE EFECTIVO AL 30/09/2020</t>
  </si>
  <si>
    <t>Estado de Operaciones Bursátiles al 30 de septiembre 2020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</si>
</sst>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#,##0.0000000000000_);\(#,##0.0000000000000\)"/>
    <numFmt numFmtId="167" formatCode="#,##0.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</font>
    <font>
      <u/>
      <sz val="11"/>
      <name val="Times New Roman"/>
      <family val="1"/>
    </font>
    <font>
      <b/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3" fontId="10" fillId="4" borderId="6" xfId="1" applyNumberFormat="1" applyFont="1" applyFill="1" applyBorder="1"/>
    <xf numFmtId="0" fontId="9" fillId="4" borderId="5" xfId="1" applyFont="1" applyFill="1" applyBorder="1"/>
    <xf numFmtId="0" fontId="9" fillId="4" borderId="7" xfId="1" applyFont="1" applyFill="1" applyBorder="1"/>
    <xf numFmtId="0" fontId="9" fillId="4" borderId="6" xfId="1" applyFont="1" applyFill="1" applyBorder="1"/>
    <xf numFmtId="0" fontId="9" fillId="4" borderId="4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left"/>
    </xf>
    <xf numFmtId="0" fontId="9" fillId="4" borderId="4" xfId="1" applyFont="1" applyFill="1" applyBorder="1"/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4" borderId="9" xfId="1" applyFont="1" applyFill="1" applyBorder="1"/>
    <xf numFmtId="0" fontId="9" fillId="4" borderId="10" xfId="1" applyFont="1" applyFill="1" applyBorder="1"/>
    <xf numFmtId="0" fontId="9" fillId="4" borderId="8" xfId="1" applyFont="1" applyFill="1" applyBorder="1"/>
    <xf numFmtId="0" fontId="9" fillId="4" borderId="5" xfId="1" quotePrefix="1" applyFont="1" applyFill="1" applyBorder="1" applyAlignment="1">
      <alignment horizontal="left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43" fontId="10" fillId="0" borderId="11" xfId="3" applyFont="1" applyBorder="1"/>
    <xf numFmtId="43" fontId="10" fillId="0" borderId="0" xfId="3" applyFont="1" applyBorder="1"/>
    <xf numFmtId="43" fontId="10" fillId="0" borderId="13" xfId="3" applyFont="1" applyBorder="1"/>
    <xf numFmtId="43" fontId="10" fillId="0" borderId="14" xfId="3" applyFont="1" applyBorder="1"/>
    <xf numFmtId="43" fontId="10" fillId="0" borderId="14" xfId="3" applyFont="1" applyFill="1" applyBorder="1"/>
    <xf numFmtId="43" fontId="10" fillId="0" borderId="0" xfId="3" applyFont="1" applyFill="1" applyBorder="1"/>
    <xf numFmtId="43" fontId="10" fillId="0" borderId="11" xfId="3" applyFont="1" applyFill="1" applyBorder="1"/>
    <xf numFmtId="43" fontId="10" fillId="0" borderId="11" xfId="3" applyFont="1" applyBorder="1" applyAlignment="1">
      <alignment horizontal="left"/>
    </xf>
    <xf numFmtId="43" fontId="10" fillId="0" borderId="0" xfId="3" applyFont="1" applyBorder="1" applyAlignment="1">
      <alignment horizontal="left"/>
    </xf>
    <xf numFmtId="43" fontId="10" fillId="3" borderId="0" xfId="3" applyFont="1" applyFill="1" applyBorder="1"/>
    <xf numFmtId="43" fontId="10" fillId="3" borderId="11" xfId="3" applyFont="1" applyFill="1" applyBorder="1"/>
    <xf numFmtId="43" fontId="10" fillId="5" borderId="0" xfId="3" applyFont="1" applyFill="1" applyBorder="1"/>
    <xf numFmtId="43" fontId="10" fillId="6" borderId="0" xfId="3" applyFont="1" applyFill="1" applyBorder="1"/>
    <xf numFmtId="43" fontId="11" fillId="0" borderId="0" xfId="3" applyFont="1"/>
    <xf numFmtId="43" fontId="10" fillId="7" borderId="0" xfId="3" applyFont="1" applyFill="1" applyBorder="1"/>
    <xf numFmtId="43" fontId="10" fillId="0" borderId="8" xfId="3" applyFont="1" applyBorder="1"/>
    <xf numFmtId="43" fontId="10" fillId="8" borderId="8" xfId="3" applyFont="1" applyFill="1" applyBorder="1"/>
    <xf numFmtId="43" fontId="9" fillId="0" borderId="11" xfId="3" quotePrefix="1" applyFont="1" applyBorder="1" applyAlignment="1">
      <alignment horizontal="left"/>
    </xf>
    <xf numFmtId="43" fontId="9" fillId="0" borderId="0" xfId="3" quotePrefix="1" applyFont="1" applyBorder="1" applyAlignment="1">
      <alignment horizontal="left"/>
    </xf>
    <xf numFmtId="43" fontId="10" fillId="0" borderId="15" xfId="3" applyFont="1" applyBorder="1"/>
    <xf numFmtId="43" fontId="10" fillId="0" borderId="16" xfId="3" applyFont="1" applyBorder="1"/>
    <xf numFmtId="43" fontId="10" fillId="0" borderId="17" xfId="3" applyFont="1" applyBorder="1"/>
    <xf numFmtId="43" fontId="10" fillId="0" borderId="18" xfId="3" applyFont="1" applyBorder="1"/>
    <xf numFmtId="43" fontId="10" fillId="0" borderId="19" xfId="3" applyFont="1" applyFill="1" applyBorder="1"/>
    <xf numFmtId="43" fontId="10" fillId="3" borderId="15" xfId="3" applyFont="1" applyFill="1" applyBorder="1"/>
    <xf numFmtId="43" fontId="10" fillId="3" borderId="19" xfId="3" applyFont="1" applyFill="1" applyBorder="1"/>
    <xf numFmtId="43" fontId="10" fillId="0" borderId="11" xfId="3" quotePrefix="1" applyFont="1" applyBorder="1" applyAlignment="1">
      <alignment horizontal="left"/>
    </xf>
    <xf numFmtId="43" fontId="10" fillId="0" borderId="0" xfId="3" quotePrefix="1" applyFont="1" applyBorder="1" applyAlignment="1">
      <alignment horizontal="left"/>
    </xf>
    <xf numFmtId="43" fontId="10" fillId="0" borderId="20" xfId="3" applyFont="1" applyBorder="1"/>
    <xf numFmtId="43" fontId="10" fillId="0" borderId="21" xfId="3" applyFont="1" applyBorder="1"/>
    <xf numFmtId="43" fontId="10" fillId="9" borderId="0" xfId="3" applyFont="1" applyFill="1" applyBorder="1"/>
    <xf numFmtId="43" fontId="9" fillId="0" borderId="11" xfId="3" applyFont="1" applyBorder="1"/>
    <xf numFmtId="43" fontId="9" fillId="0" borderId="0" xfId="3" applyFont="1" applyBorder="1"/>
    <xf numFmtId="43" fontId="9" fillId="0" borderId="14" xfId="3" applyFont="1" applyBorder="1"/>
    <xf numFmtId="43" fontId="9" fillId="3" borderId="11" xfId="3" applyFont="1" applyFill="1" applyBorder="1"/>
    <xf numFmtId="43" fontId="10" fillId="0" borderId="10" xfId="3" applyFont="1" applyBorder="1"/>
    <xf numFmtId="43" fontId="10" fillId="0" borderId="19" xfId="3" applyFont="1" applyBorder="1"/>
    <xf numFmtId="43" fontId="10" fillId="0" borderId="2" xfId="3" applyFont="1" applyBorder="1"/>
    <xf numFmtId="43" fontId="10" fillId="10" borderId="2" xfId="3" applyFont="1" applyFill="1" applyBorder="1"/>
    <xf numFmtId="43" fontId="10" fillId="11" borderId="8" xfId="3" applyFont="1" applyFill="1" applyBorder="1"/>
    <xf numFmtId="43" fontId="10" fillId="0" borderId="0" xfId="3" applyFont="1"/>
    <xf numFmtId="43" fontId="10" fillId="3" borderId="23" xfId="3" applyFont="1" applyFill="1" applyBorder="1"/>
    <xf numFmtId="43" fontId="10" fillId="13" borderId="22" xfId="3" applyFont="1" applyFill="1" applyBorder="1"/>
    <xf numFmtId="43" fontId="10" fillId="3" borderId="14" xfId="3" applyFont="1" applyFill="1" applyBorder="1"/>
    <xf numFmtId="43" fontId="10" fillId="3" borderId="13" xfId="3" applyFont="1" applyFill="1" applyBorder="1"/>
    <xf numFmtId="43" fontId="10" fillId="6" borderId="14" xfId="3" applyFont="1" applyFill="1" applyBorder="1"/>
    <xf numFmtId="43" fontId="10" fillId="3" borderId="10" xfId="3" applyFont="1" applyFill="1" applyBorder="1"/>
    <xf numFmtId="43" fontId="10" fillId="3" borderId="18" xfId="3" applyFont="1" applyFill="1" applyBorder="1"/>
    <xf numFmtId="43" fontId="10" fillId="3" borderId="17" xfId="3" applyFont="1" applyFill="1" applyBorder="1"/>
    <xf numFmtId="43" fontId="10" fillId="3" borderId="0" xfId="3" applyFont="1" applyFill="1"/>
    <xf numFmtId="43" fontId="10" fillId="4" borderId="26" xfId="3" applyFont="1" applyFill="1" applyBorder="1"/>
    <xf numFmtId="165" fontId="1" fillId="14" borderId="0" xfId="1" applyNumberFormat="1" applyFill="1"/>
    <xf numFmtId="43" fontId="1" fillId="0" borderId="0" xfId="1" applyNumberFormat="1"/>
    <xf numFmtId="43" fontId="10" fillId="15" borderId="14" xfId="3" applyFont="1" applyFill="1" applyBorder="1"/>
    <xf numFmtId="43" fontId="10" fillId="16" borderId="28" xfId="3" applyFont="1" applyFill="1" applyBorder="1"/>
    <xf numFmtId="43" fontId="10" fillId="17" borderId="28" xfId="3" applyFont="1" applyFill="1" applyBorder="1"/>
    <xf numFmtId="165" fontId="1" fillId="0" borderId="0" xfId="1" applyNumberFormat="1"/>
    <xf numFmtId="43" fontId="10" fillId="7" borderId="14" xfId="3" applyFont="1" applyFill="1" applyBorder="1"/>
    <xf numFmtId="43" fontId="10" fillId="13" borderId="14" xfId="3" applyFont="1" applyFill="1" applyBorder="1"/>
    <xf numFmtId="43" fontId="10" fillId="11" borderId="28" xfId="3" applyFont="1" applyFill="1" applyBorder="1"/>
    <xf numFmtId="43" fontId="12" fillId="3" borderId="14" xfId="3" applyFont="1" applyFill="1" applyBorder="1"/>
    <xf numFmtId="43" fontId="10" fillId="0" borderId="28" xfId="3" applyFont="1" applyBorder="1"/>
    <xf numFmtId="43" fontId="10" fillId="9" borderId="14" xfId="3" applyFont="1" applyFill="1" applyBorder="1"/>
    <xf numFmtId="43" fontId="10" fillId="8" borderId="13" xfId="3" applyFont="1" applyFill="1" applyBorder="1"/>
    <xf numFmtId="43" fontId="10" fillId="0" borderId="13" xfId="3" applyFont="1" applyFill="1" applyBorder="1"/>
    <xf numFmtId="43" fontId="10" fillId="0" borderId="31" xfId="3" applyFont="1" applyBorder="1"/>
    <xf numFmtId="43" fontId="10" fillId="0" borderId="9" xfId="3" applyFont="1" applyBorder="1"/>
    <xf numFmtId="43" fontId="11" fillId="0" borderId="0" xfId="3" applyFont="1" applyAlignment="1">
      <alignment horizontal="center"/>
    </xf>
    <xf numFmtId="43" fontId="10" fillId="16" borderId="9" xfId="3" applyFont="1" applyFill="1" applyBorder="1"/>
    <xf numFmtId="43" fontId="10" fillId="17" borderId="10" xfId="3" applyFont="1" applyFill="1" applyBorder="1"/>
    <xf numFmtId="0" fontId="10" fillId="0" borderId="0" xfId="1" applyFont="1"/>
    <xf numFmtId="165" fontId="10" fillId="0" borderId="0" xfId="3" applyNumberFormat="1" applyFont="1" applyBorder="1"/>
    <xf numFmtId="43" fontId="10" fillId="0" borderId="0" xfId="3" applyNumberFormat="1" applyFont="1" applyBorder="1"/>
    <xf numFmtId="43" fontId="10" fillId="0" borderId="0" xfId="1" applyNumberFormat="1" applyFont="1"/>
    <xf numFmtId="165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5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43" fontId="15" fillId="0" borderId="0" xfId="3" applyNumberFormat="1" applyFont="1"/>
    <xf numFmtId="43" fontId="15" fillId="0" borderId="0" xfId="1" applyNumberFormat="1" applyFont="1"/>
    <xf numFmtId="165" fontId="15" fillId="0" borderId="0" xfId="3" applyNumberFormat="1" applyFont="1"/>
    <xf numFmtId="0" fontId="15" fillId="0" borderId="0" xfId="1" applyFont="1" applyAlignment="1">
      <alignment horizontal="center"/>
    </xf>
    <xf numFmtId="165" fontId="12" fillId="0" borderId="0" xfId="3" applyNumberFormat="1" applyFont="1"/>
    <xf numFmtId="43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43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43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67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67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43" fontId="10" fillId="0" borderId="27" xfId="3" applyFont="1" applyBorder="1" applyAlignment="1">
      <alignment horizontal="justify"/>
    </xf>
    <xf numFmtId="43" fontId="10" fillId="0" borderId="0" xfId="3" applyFont="1" applyBorder="1" applyAlignment="1">
      <alignment horizontal="justify"/>
    </xf>
    <xf numFmtId="43" fontId="10" fillId="0" borderId="29" xfId="3" applyFont="1" applyBorder="1" applyAlignment="1">
      <alignment horizontal="justify"/>
    </xf>
    <xf numFmtId="43" fontId="10" fillId="0" borderId="30" xfId="3" applyFont="1" applyBorder="1" applyAlignment="1">
      <alignment horizontal="justify"/>
    </xf>
    <xf numFmtId="43" fontId="10" fillId="12" borderId="7" xfId="3" applyFont="1" applyFill="1" applyBorder="1" applyAlignment="1">
      <alignment horizontal="center"/>
    </xf>
    <xf numFmtId="43" fontId="10" fillId="12" borderId="4" xfId="3" applyFont="1" applyFill="1" applyBorder="1" applyAlignment="1">
      <alignment horizontal="center"/>
    </xf>
    <xf numFmtId="43" fontId="10" fillId="12" borderId="6" xfId="3" applyFont="1" applyFill="1" applyBorder="1" applyAlignment="1">
      <alignment horizontal="center"/>
    </xf>
    <xf numFmtId="43" fontId="10" fillId="4" borderId="24" xfId="3" applyFont="1" applyFill="1" applyBorder="1" applyAlignment="1">
      <alignment horizontal="justify"/>
    </xf>
    <xf numFmtId="43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ELA-DC-01\Backups\CONTABILIDAD\JACQUELINE%20PALACIOS\ESCRITORIO\ESTADOS%20FINANCIEROS\ESTADOS%20FINACIEROS%202017\LIBROS%20LEGALES2017\ESTADOS%20FINACIEROS%20DICEMBRE%202017VALORES%20LEGA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ResultadoOK"/>
      <sheetName val="Patrimonio"/>
      <sheetName val="Flujo de Efectivo dic2012"/>
      <sheetName val="Operaciones bursátiles"/>
      <sheetName val="RESUL OTRO"/>
      <sheetName val="flujo dic2011"/>
      <sheetName val="hoja2017-2016"/>
      <sheetName val="hoja2010-2011"/>
    </sheetNames>
    <sheetDataSet>
      <sheetData sheetId="0">
        <row r="1">
          <cell r="A1" t="str">
            <v>LAFISE VALORES DE EL SALVADOR, S.A. DE C.V.</v>
          </cell>
        </row>
        <row r="3">
          <cell r="A3" t="str">
            <v>(Compañía Salvadoreña Subsidiaria de Finance Exchange and Trading Corp.)</v>
          </cell>
        </row>
      </sheetData>
      <sheetData sheetId="1"/>
      <sheetData sheetId="2">
        <row r="2">
          <cell r="A2" t="str">
            <v>(Casa de Corredores de Bolsa)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6"/>
  <sheetViews>
    <sheetView showGridLines="0" zoomScaleNormal="100" zoomScaleSheetLayoutView="90" workbookViewId="0">
      <selection activeCell="H23" sqref="H23"/>
    </sheetView>
  </sheetViews>
  <sheetFormatPr baseColWidth="10" defaultRowHeight="11.25" customHeight="1"/>
  <cols>
    <col min="1" max="1" width="1.140625" style="149" customWidth="1"/>
    <col min="2" max="2" width="1.7109375" style="149" customWidth="1"/>
    <col min="3" max="3" width="2.7109375" style="149" customWidth="1"/>
    <col min="4" max="4" width="2" style="149" customWidth="1"/>
    <col min="5" max="5" width="42.42578125" style="149" customWidth="1"/>
    <col min="6" max="6" width="4.85546875" style="151" hidden="1" customWidth="1"/>
    <col min="7" max="7" width="8.28515625" style="149" customWidth="1"/>
    <col min="8" max="8" width="23.7109375" style="149" customWidth="1"/>
    <col min="9" max="9" width="3.7109375" style="149" hidden="1" customWidth="1"/>
    <col min="10" max="10" width="11.42578125" style="150" customWidth="1"/>
    <col min="11" max="16384" width="11.42578125" style="149"/>
  </cols>
  <sheetData>
    <row r="1" spans="1:11" ht="15">
      <c r="A1" s="252" t="s">
        <v>0</v>
      </c>
      <c r="B1" s="252"/>
      <c r="C1" s="252"/>
      <c r="D1" s="252"/>
      <c r="E1" s="252"/>
      <c r="F1" s="252"/>
      <c r="G1" s="252"/>
      <c r="H1" s="252"/>
      <c r="I1" s="153"/>
    </row>
    <row r="2" spans="1:11" ht="15">
      <c r="A2" s="252" t="s">
        <v>1</v>
      </c>
      <c r="B2" s="252"/>
      <c r="C2" s="252"/>
      <c r="D2" s="252"/>
      <c r="E2" s="252"/>
      <c r="F2" s="252"/>
      <c r="G2" s="252"/>
      <c r="H2" s="252"/>
      <c r="I2" s="153"/>
    </row>
    <row r="3" spans="1:11" ht="15">
      <c r="A3" s="252" t="s">
        <v>2</v>
      </c>
      <c r="B3" s="252"/>
      <c r="C3" s="252"/>
      <c r="D3" s="252"/>
      <c r="E3" s="252"/>
      <c r="F3" s="252"/>
      <c r="G3" s="252"/>
      <c r="H3" s="252"/>
      <c r="I3" s="153"/>
    </row>
    <row r="4" spans="1:11" ht="15">
      <c r="A4" s="252" t="s">
        <v>3</v>
      </c>
      <c r="B4" s="252"/>
      <c r="C4" s="252"/>
      <c r="D4" s="252"/>
      <c r="E4" s="252"/>
      <c r="F4" s="252"/>
      <c r="G4" s="252"/>
      <c r="H4" s="252"/>
      <c r="I4" s="185"/>
    </row>
    <row r="5" spans="1:11" ht="15">
      <c r="A5" s="252" t="s">
        <v>179</v>
      </c>
      <c r="B5" s="252"/>
      <c r="C5" s="252"/>
      <c r="D5" s="252"/>
      <c r="E5" s="252"/>
      <c r="F5" s="252"/>
      <c r="G5" s="252"/>
      <c r="H5" s="252"/>
      <c r="I5" s="153"/>
    </row>
    <row r="6" spans="1:11" ht="15">
      <c r="A6" s="252" t="s">
        <v>6</v>
      </c>
      <c r="B6" s="252"/>
      <c r="C6" s="252"/>
      <c r="D6" s="252"/>
      <c r="E6" s="252"/>
      <c r="F6" s="252"/>
      <c r="G6" s="252"/>
      <c r="H6" s="252"/>
      <c r="I6" s="184"/>
    </row>
    <row r="7" spans="1:11" ht="15">
      <c r="A7" s="183"/>
      <c r="B7" s="183"/>
      <c r="C7" s="183"/>
      <c r="D7" s="183"/>
      <c r="E7" s="183"/>
      <c r="F7" s="183"/>
      <c r="G7" s="183"/>
      <c r="H7" s="183"/>
      <c r="I7" s="182"/>
    </row>
    <row r="8" spans="1:11" ht="15">
      <c r="A8" s="176" t="s">
        <v>127</v>
      </c>
      <c r="I8" s="150"/>
    </row>
    <row r="9" spans="1:11" ht="15">
      <c r="A9" s="153" t="s">
        <v>126</v>
      </c>
      <c r="E9" s="174"/>
      <c r="H9" s="166">
        <f>SUM(H10:H13)</f>
        <v>299285.39999999997</v>
      </c>
      <c r="I9" s="158"/>
    </row>
    <row r="10" spans="1:11" ht="15">
      <c r="B10" s="149" t="s">
        <v>125</v>
      </c>
      <c r="F10" s="151">
        <v>4</v>
      </c>
      <c r="H10" s="161">
        <v>22381.79</v>
      </c>
      <c r="I10" s="158"/>
      <c r="K10" s="149" t="s">
        <v>10</v>
      </c>
    </row>
    <row r="11" spans="1:11" ht="15">
      <c r="B11" s="149" t="s">
        <v>124</v>
      </c>
      <c r="F11" s="151">
        <v>6</v>
      </c>
      <c r="H11" s="168">
        <v>254191.93</v>
      </c>
      <c r="I11" s="158"/>
    </row>
    <row r="12" spans="1:11" ht="15">
      <c r="B12" s="149" t="s">
        <v>61</v>
      </c>
      <c r="H12" s="168">
        <v>22201.68</v>
      </c>
      <c r="I12" s="158"/>
    </row>
    <row r="13" spans="1:11" ht="15">
      <c r="B13" s="149" t="s">
        <v>62</v>
      </c>
      <c r="H13" s="166">
        <v>510</v>
      </c>
      <c r="I13" s="158"/>
    </row>
    <row r="14" spans="1:11" ht="12" customHeight="1">
      <c r="H14" s="158"/>
      <c r="I14" s="158"/>
    </row>
    <row r="15" spans="1:11" ht="15">
      <c r="A15" s="153" t="s">
        <v>123</v>
      </c>
      <c r="H15" s="181">
        <f>+H16+H17</f>
        <v>104037.63</v>
      </c>
      <c r="I15" s="152"/>
      <c r="K15" s="180"/>
    </row>
    <row r="16" spans="1:11" ht="15">
      <c r="B16" s="149" t="s">
        <v>122</v>
      </c>
      <c r="F16" s="151">
        <v>5</v>
      </c>
      <c r="H16" s="168">
        <v>102000.41</v>
      </c>
      <c r="I16" s="158"/>
      <c r="J16" s="150" t="s">
        <v>10</v>
      </c>
      <c r="K16" s="179"/>
    </row>
    <row r="17" spans="1:11" ht="15">
      <c r="B17" s="149" t="s">
        <v>121</v>
      </c>
      <c r="F17" s="151">
        <v>7</v>
      </c>
      <c r="H17" s="168">
        <v>2037.22</v>
      </c>
      <c r="I17" s="158"/>
      <c r="K17" s="178"/>
    </row>
    <row r="18" spans="1:11" ht="15.75" thickBot="1">
      <c r="A18" s="153" t="s">
        <v>120</v>
      </c>
      <c r="H18" s="170">
        <f>+H9+H15</f>
        <v>403323.02999999997</v>
      </c>
      <c r="I18" s="152"/>
      <c r="J18" s="177"/>
      <c r="K18" s="160"/>
    </row>
    <row r="19" spans="1:11" ht="12" customHeight="1" thickTop="1">
      <c r="A19" s="153"/>
      <c r="H19" s="152"/>
      <c r="I19" s="152"/>
      <c r="J19" s="177"/>
      <c r="K19" s="160"/>
    </row>
    <row r="20" spans="1:11" ht="15">
      <c r="A20" s="176" t="s">
        <v>119</v>
      </c>
      <c r="F20" s="175"/>
      <c r="G20" s="174"/>
      <c r="H20" s="173"/>
      <c r="I20" s="172"/>
    </row>
    <row r="21" spans="1:11" ht="15">
      <c r="A21" s="153" t="s">
        <v>118</v>
      </c>
      <c r="H21" s="166">
        <f>SUM(H22:H24)</f>
        <v>48892.92</v>
      </c>
      <c r="I21" s="158"/>
    </row>
    <row r="22" spans="1:11" ht="15">
      <c r="B22" s="149" t="s">
        <v>67</v>
      </c>
      <c r="H22" s="158">
        <v>8367.85</v>
      </c>
      <c r="I22" s="158"/>
    </row>
    <row r="23" spans="1:11" ht="15">
      <c r="B23" s="149" t="s">
        <v>117</v>
      </c>
      <c r="H23" s="158">
        <v>39890.06</v>
      </c>
      <c r="I23" s="158"/>
    </row>
    <row r="24" spans="1:11" ht="15">
      <c r="A24" s="171"/>
      <c r="B24" s="149" t="s">
        <v>68</v>
      </c>
      <c r="F24" s="151">
        <v>6</v>
      </c>
      <c r="H24" s="158">
        <v>635.01</v>
      </c>
      <c r="I24" s="158"/>
    </row>
    <row r="25" spans="1:11" ht="15.75" thickBot="1">
      <c r="A25" s="153" t="s">
        <v>116</v>
      </c>
      <c r="H25" s="170">
        <f>SUM(H22:H24)</f>
        <v>48892.92</v>
      </c>
      <c r="I25" s="152"/>
    </row>
    <row r="26" spans="1:11" ht="12" customHeight="1" thickTop="1">
      <c r="A26" s="153"/>
      <c r="H26" s="152"/>
      <c r="I26" s="152"/>
    </row>
    <row r="27" spans="1:11" ht="15">
      <c r="A27" s="153" t="s">
        <v>115</v>
      </c>
      <c r="E27" s="169"/>
      <c r="H27" s="168"/>
      <c r="I27" s="158"/>
    </row>
    <row r="28" spans="1:11" ht="15">
      <c r="A28" s="153" t="s">
        <v>114</v>
      </c>
      <c r="H28" s="166">
        <f>+H29</f>
        <v>325176</v>
      </c>
      <c r="I28" s="158"/>
    </row>
    <row r="29" spans="1:11" ht="15">
      <c r="B29" s="149" t="s">
        <v>72</v>
      </c>
      <c r="F29" s="151" t="s">
        <v>113</v>
      </c>
      <c r="H29" s="158">
        <v>325176</v>
      </c>
      <c r="I29" s="158"/>
    </row>
    <row r="30" spans="1:11" ht="12" customHeight="1">
      <c r="H30" s="158"/>
      <c r="I30" s="158"/>
    </row>
    <row r="31" spans="1:11" ht="15">
      <c r="A31" s="153" t="s">
        <v>112</v>
      </c>
      <c r="H31" s="166">
        <f>H32</f>
        <v>7897.4599999999991</v>
      </c>
      <c r="I31" s="158"/>
      <c r="J31" s="152"/>
    </row>
    <row r="32" spans="1:11" ht="15">
      <c r="B32" s="149" t="s">
        <v>73</v>
      </c>
      <c r="F32" s="151">
        <v>12</v>
      </c>
      <c r="H32" s="167">
        <f>6143.82+339.33+456.87+957.44</f>
        <v>7897.4599999999991</v>
      </c>
      <c r="I32" s="158"/>
      <c r="J32" s="152"/>
    </row>
    <row r="33" spans="1:11" ht="15">
      <c r="H33" s="167"/>
      <c r="I33" s="158"/>
      <c r="J33" s="152"/>
    </row>
    <row r="34" spans="1:11" ht="15">
      <c r="A34" s="153" t="s">
        <v>111</v>
      </c>
      <c r="H34" s="166">
        <f>H35</f>
        <v>0</v>
      </c>
      <c r="I34" s="158"/>
    </row>
    <row r="35" spans="1:11" ht="15">
      <c r="A35" s="153"/>
      <c r="B35" s="149" t="s">
        <v>110</v>
      </c>
      <c r="F35" s="151" t="s">
        <v>109</v>
      </c>
      <c r="H35" s="158">
        <v>0</v>
      </c>
      <c r="I35" s="158"/>
      <c r="J35" s="150" t="s">
        <v>10</v>
      </c>
      <c r="K35" s="165" t="s">
        <v>10</v>
      </c>
    </row>
    <row r="36" spans="1:11" ht="12" customHeight="1">
      <c r="A36" s="153"/>
      <c r="H36" s="158"/>
      <c r="I36" s="158"/>
      <c r="K36" s="165"/>
    </row>
    <row r="37" spans="1:11" ht="15">
      <c r="A37" s="153" t="s">
        <v>108</v>
      </c>
      <c r="F37" s="151">
        <v>12</v>
      </c>
      <c r="H37" s="164">
        <f>+H38+H39</f>
        <v>21356.650000000005</v>
      </c>
      <c r="I37" s="163"/>
    </row>
    <row r="38" spans="1:11" ht="15">
      <c r="B38" s="162" t="s">
        <v>107</v>
      </c>
      <c r="H38" s="158">
        <v>-26825.59</v>
      </c>
      <c r="I38" s="158"/>
    </row>
    <row r="39" spans="1:11" ht="15">
      <c r="B39" s="149" t="s">
        <v>106</v>
      </c>
      <c r="H39" s="161">
        <f>Resultado!I38</f>
        <v>48182.240000000005</v>
      </c>
      <c r="I39" s="158"/>
      <c r="K39" s="160" t="s">
        <v>10</v>
      </c>
    </row>
    <row r="40" spans="1:11" ht="15">
      <c r="A40" s="153" t="s">
        <v>105</v>
      </c>
      <c r="H40" s="159">
        <f>H28+H31+H34+H37</f>
        <v>354430.11000000004</v>
      </c>
      <c r="I40" s="158"/>
    </row>
    <row r="41" spans="1:11" ht="15.75" thickBot="1">
      <c r="A41" s="153" t="s">
        <v>104</v>
      </c>
      <c r="H41" s="157">
        <f>H21+H28+H31+H34+H37</f>
        <v>403323.03</v>
      </c>
      <c r="I41" s="152"/>
    </row>
    <row r="42" spans="1:11" ht="15.75" thickTop="1">
      <c r="H42" s="155"/>
      <c r="I42" s="154"/>
      <c r="K42" s="156">
        <f>H18-H41</f>
        <v>0</v>
      </c>
    </row>
    <row r="43" spans="1:11" ht="15">
      <c r="H43" s="155"/>
      <c r="I43" s="154"/>
    </row>
    <row r="44" spans="1:11" ht="15">
      <c r="H44" s="152"/>
      <c r="I44" s="152"/>
    </row>
    <row r="45" spans="1:11" ht="15">
      <c r="A45" s="153"/>
      <c r="C45" s="254" t="s">
        <v>103</v>
      </c>
      <c r="D45" s="254"/>
      <c r="E45" s="254"/>
      <c r="G45" s="252" t="s">
        <v>102</v>
      </c>
      <c r="H45" s="252"/>
      <c r="I45" s="152"/>
    </row>
    <row r="46" spans="1:11" ht="15">
      <c r="A46" s="153"/>
      <c r="C46" s="255" t="s">
        <v>101</v>
      </c>
      <c r="D46" s="255"/>
      <c r="E46" s="255"/>
      <c r="G46" s="256" t="s">
        <v>100</v>
      </c>
      <c r="H46" s="256"/>
      <c r="I46" s="152"/>
    </row>
    <row r="47" spans="1:11" ht="15">
      <c r="A47" s="153"/>
      <c r="H47" s="152"/>
      <c r="I47" s="152"/>
    </row>
    <row r="48" spans="1:11" ht="15">
      <c r="A48" s="153"/>
      <c r="H48" s="152"/>
      <c r="I48" s="152"/>
    </row>
    <row r="49" spans="1:9" s="149" customFormat="1" ht="15">
      <c r="A49" s="252" t="s">
        <v>99</v>
      </c>
      <c r="B49" s="252"/>
      <c r="C49" s="252"/>
      <c r="D49" s="252"/>
      <c r="E49" s="252"/>
      <c r="F49" s="252"/>
      <c r="G49" s="252"/>
      <c r="H49" s="252"/>
      <c r="I49" s="152"/>
    </row>
    <row r="50" spans="1:9" s="149" customFormat="1" ht="15.75">
      <c r="A50" s="253" t="s">
        <v>98</v>
      </c>
      <c r="B50" s="253"/>
      <c r="C50" s="253"/>
      <c r="D50" s="253"/>
      <c r="E50" s="253"/>
      <c r="F50" s="253"/>
      <c r="G50" s="253"/>
      <c r="H50" s="253"/>
      <c r="I50" s="152"/>
    </row>
    <row r="51" spans="1:9" s="149" customFormat="1" ht="15">
      <c r="F51" s="151"/>
      <c r="H51" s="152"/>
      <c r="I51" s="152"/>
    </row>
    <row r="52" spans="1:9" s="149" customFormat="1" ht="15">
      <c r="B52" s="153"/>
      <c r="F52" s="151"/>
      <c r="H52" s="152"/>
      <c r="I52" s="152"/>
    </row>
    <row r="53" spans="1:9" s="149" customFormat="1" ht="15.6" customHeight="1">
      <c r="F53" s="151"/>
      <c r="H53" s="152"/>
      <c r="I53" s="152"/>
    </row>
    <row r="54" spans="1:9" s="149" customFormat="1" ht="15.6" customHeight="1">
      <c r="A54" s="153"/>
      <c r="F54" s="151"/>
      <c r="H54" s="152"/>
      <c r="I54" s="152"/>
    </row>
    <row r="55" spans="1:9" s="149" customFormat="1" ht="15.6" customHeight="1">
      <c r="F55" s="151"/>
      <c r="H55" s="150"/>
    </row>
    <row r="56" spans="1:9" s="149" customFormat="1" ht="11.25" customHeight="1">
      <c r="F56" s="151"/>
      <c r="H56" s="150"/>
    </row>
  </sheetData>
  <mergeCells count="12">
    <mergeCell ref="A1:H1"/>
    <mergeCell ref="A2:H2"/>
    <mergeCell ref="A3:H3"/>
    <mergeCell ref="A4:H4"/>
    <mergeCell ref="A5:H5"/>
    <mergeCell ref="A49:H49"/>
    <mergeCell ref="A50:H50"/>
    <mergeCell ref="A6:H6"/>
    <mergeCell ref="C45:E45"/>
    <mergeCell ref="C46:E46"/>
    <mergeCell ref="G45:H45"/>
    <mergeCell ref="G46:H46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opLeftCell="A22" zoomScale="115" zoomScaleNormal="115" zoomScaleSheetLayoutView="80" workbookViewId="0">
      <selection activeCell="I19" sqref="I19"/>
    </sheetView>
  </sheetViews>
  <sheetFormatPr baseColWidth="10" defaultRowHeight="15"/>
  <cols>
    <col min="1" max="2" width="5.5703125" style="149" customWidth="1"/>
    <col min="3" max="4" width="11.42578125" style="149" customWidth="1"/>
    <col min="5" max="5" width="23.140625" style="149" customWidth="1"/>
    <col min="6" max="6" width="2.7109375" style="149" customWidth="1"/>
    <col min="7" max="7" width="5.28515625" style="149" hidden="1" customWidth="1"/>
    <col min="8" max="8" width="7.140625" style="149" hidden="1" customWidth="1"/>
    <col min="9" max="9" width="16.5703125" style="149" customWidth="1"/>
    <col min="10" max="10" width="6.5703125" style="149" customWidth="1"/>
    <col min="11" max="11" width="11.85546875" style="149" bestFit="1" customWidth="1"/>
    <col min="12" max="12" width="17.42578125" style="149" bestFit="1" customWidth="1"/>
    <col min="13" max="16384" width="11.42578125" style="149"/>
  </cols>
  <sheetData>
    <row r="3" spans="1:13" ht="15.75" customHeight="1">
      <c r="A3" s="254" t="s">
        <v>147</v>
      </c>
      <c r="B3" s="254"/>
      <c r="C3" s="254"/>
      <c r="D3" s="254"/>
      <c r="E3" s="254"/>
      <c r="F3" s="254"/>
      <c r="G3" s="254"/>
      <c r="H3" s="254"/>
      <c r="I3" s="254"/>
      <c r="J3" s="200"/>
    </row>
    <row r="4" spans="1:13" ht="15.75" customHeight="1">
      <c r="A4" s="255" t="s">
        <v>1</v>
      </c>
      <c r="B4" s="255"/>
      <c r="C4" s="255"/>
      <c r="D4" s="255"/>
      <c r="E4" s="255"/>
      <c r="F4" s="255"/>
      <c r="G4" s="255"/>
      <c r="H4" s="255"/>
      <c r="I4" s="255"/>
      <c r="J4" s="201"/>
    </row>
    <row r="5" spans="1:13" ht="15.75" customHeight="1">
      <c r="A5" s="254" t="s">
        <v>2</v>
      </c>
      <c r="B5" s="254"/>
      <c r="C5" s="254"/>
      <c r="D5" s="254"/>
      <c r="E5" s="254"/>
      <c r="F5" s="254"/>
      <c r="G5" s="254"/>
      <c r="H5" s="254"/>
      <c r="I5" s="254"/>
      <c r="J5" s="200"/>
    </row>
    <row r="6" spans="1:13" ht="15.75" customHeight="1">
      <c r="A6" s="255" t="s">
        <v>3</v>
      </c>
      <c r="B6" s="255"/>
      <c r="C6" s="255"/>
      <c r="D6" s="255"/>
      <c r="E6" s="255"/>
      <c r="F6" s="255"/>
      <c r="G6" s="255"/>
      <c r="H6" s="255"/>
      <c r="I6" s="255"/>
      <c r="J6" s="201"/>
    </row>
    <row r="7" spans="1:13" ht="15.75" customHeight="1">
      <c r="A7" s="254" t="s">
        <v>180</v>
      </c>
      <c r="B7" s="254"/>
      <c r="C7" s="254"/>
      <c r="D7" s="254"/>
      <c r="E7" s="254"/>
      <c r="F7" s="254"/>
      <c r="G7" s="254"/>
      <c r="H7" s="254"/>
      <c r="I7" s="254"/>
      <c r="J7" s="200"/>
    </row>
    <row r="8" spans="1:13" ht="15.75" customHeight="1">
      <c r="A8" s="257" t="s">
        <v>6</v>
      </c>
      <c r="B8" s="257"/>
      <c r="C8" s="257"/>
      <c r="D8" s="257"/>
      <c r="E8" s="257"/>
      <c r="F8" s="257"/>
      <c r="G8" s="257"/>
      <c r="H8" s="257"/>
      <c r="I8" s="257"/>
      <c r="J8" s="199"/>
    </row>
    <row r="9" spans="1:13" ht="17.25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</row>
    <row r="10" spans="1:13">
      <c r="A10" s="153" t="s">
        <v>146</v>
      </c>
      <c r="I10" s="195">
        <f>+I11+I12+I13</f>
        <v>128500</v>
      </c>
      <c r="J10" s="156"/>
    </row>
    <row r="11" spans="1:13" ht="16.5" customHeight="1">
      <c r="B11" s="149" t="s">
        <v>145</v>
      </c>
      <c r="G11" s="151"/>
      <c r="I11" s="197">
        <v>0</v>
      </c>
      <c r="J11" s="156"/>
    </row>
    <row r="12" spans="1:13">
      <c r="B12" s="149" t="s">
        <v>144</v>
      </c>
      <c r="G12" s="151">
        <v>13</v>
      </c>
      <c r="I12" s="194">
        <v>128500</v>
      </c>
      <c r="J12" s="156"/>
    </row>
    <row r="13" spans="1:13">
      <c r="B13" s="149" t="s">
        <v>80</v>
      </c>
      <c r="G13" s="151"/>
      <c r="I13" s="195">
        <v>0</v>
      </c>
      <c r="J13" s="156"/>
      <c r="L13" s="149" t="s">
        <v>10</v>
      </c>
    </row>
    <row r="14" spans="1:13" ht="12" customHeight="1">
      <c r="G14" s="151"/>
      <c r="I14" s="194"/>
      <c r="J14" s="156"/>
    </row>
    <row r="15" spans="1:13">
      <c r="A15" s="153" t="s">
        <v>143</v>
      </c>
      <c r="G15" s="151"/>
      <c r="I15" s="181">
        <f>+I16+I18</f>
        <v>89129.18</v>
      </c>
      <c r="J15" s="156"/>
    </row>
    <row r="16" spans="1:13">
      <c r="B16" s="149" t="s">
        <v>142</v>
      </c>
      <c r="G16" s="151"/>
      <c r="I16" s="192">
        <v>3091</v>
      </c>
      <c r="J16" s="156"/>
      <c r="M16" s="149" t="s">
        <v>10</v>
      </c>
    </row>
    <row r="17" spans="1:13">
      <c r="B17" s="149" t="s">
        <v>141</v>
      </c>
      <c r="G17" s="151"/>
      <c r="I17" s="192" t="s">
        <v>10</v>
      </c>
      <c r="J17" s="156"/>
    </row>
    <row r="18" spans="1:13">
      <c r="B18" s="149" t="s">
        <v>140</v>
      </c>
      <c r="G18" s="151" t="s">
        <v>139</v>
      </c>
      <c r="I18" s="196">
        <v>86038.18</v>
      </c>
      <c r="J18" s="156"/>
      <c r="K18" s="156" t="s">
        <v>10</v>
      </c>
    </row>
    <row r="19" spans="1:13" ht="12" customHeight="1">
      <c r="G19" s="151"/>
      <c r="I19" s="194"/>
      <c r="J19" s="152"/>
    </row>
    <row r="20" spans="1:13" ht="16.5" customHeight="1">
      <c r="A20" s="153" t="s">
        <v>138</v>
      </c>
      <c r="G20" s="151"/>
      <c r="I20" s="152">
        <f>+I10-I15</f>
        <v>39370.820000000007</v>
      </c>
      <c r="J20" s="152"/>
    </row>
    <row r="21" spans="1:13">
      <c r="A21" s="153" t="s">
        <v>27</v>
      </c>
      <c r="G21" s="151"/>
      <c r="I21" s="192"/>
      <c r="J21" s="156"/>
    </row>
    <row r="22" spans="1:13" ht="12" customHeight="1">
      <c r="G22" s="151"/>
      <c r="I22" s="192"/>
      <c r="J22" s="156"/>
    </row>
    <row r="23" spans="1:13">
      <c r="A23" s="153" t="s">
        <v>137</v>
      </c>
      <c r="G23" s="151"/>
      <c r="I23" s="195">
        <f>I24</f>
        <v>8811.42</v>
      </c>
      <c r="J23" s="156"/>
    </row>
    <row r="24" spans="1:13" ht="18.75" customHeight="1">
      <c r="B24" s="149" t="s">
        <v>136</v>
      </c>
      <c r="G24" s="151"/>
      <c r="I24" s="195">
        <v>8811.42</v>
      </c>
      <c r="J24" s="156"/>
      <c r="K24" s="156" t="s">
        <v>10</v>
      </c>
    </row>
    <row r="25" spans="1:13" ht="12" customHeight="1">
      <c r="G25" s="151"/>
      <c r="I25" s="194"/>
      <c r="J25" s="152"/>
      <c r="L25" s="160" t="s">
        <v>10</v>
      </c>
    </row>
    <row r="26" spans="1:13" ht="16.5" customHeight="1">
      <c r="A26" s="153" t="s">
        <v>135</v>
      </c>
      <c r="G26" s="151"/>
      <c r="I26" s="181">
        <f>+I20+I23</f>
        <v>48182.240000000005</v>
      </c>
      <c r="J26" s="156"/>
      <c r="M26" s="193"/>
    </row>
    <row r="27" spans="1:13" ht="12" customHeight="1">
      <c r="G27" s="151"/>
      <c r="I27" s="192"/>
      <c r="J27" s="156"/>
      <c r="L27" s="156" t="s">
        <v>10</v>
      </c>
    </row>
    <row r="28" spans="1:13" ht="14.25" customHeight="1">
      <c r="A28" s="153" t="s">
        <v>134</v>
      </c>
      <c r="G28" s="151"/>
      <c r="I28" s="181">
        <f>+I29</f>
        <v>0</v>
      </c>
      <c r="J28" s="156"/>
    </row>
    <row r="29" spans="1:13" ht="15" customHeight="1">
      <c r="B29" s="149" t="s">
        <v>133</v>
      </c>
      <c r="G29" s="151">
        <v>6</v>
      </c>
      <c r="I29" s="181">
        <v>0</v>
      </c>
      <c r="J29" s="156"/>
    </row>
    <row r="30" spans="1:13" ht="12" customHeight="1">
      <c r="G30" s="151"/>
      <c r="I30" s="192"/>
      <c r="J30" s="156"/>
    </row>
    <row r="31" spans="1:13" ht="9.75" customHeight="1">
      <c r="G31" s="151"/>
      <c r="I31" s="192"/>
      <c r="J31" s="156"/>
    </row>
    <row r="32" spans="1:13" ht="15.75" thickBot="1">
      <c r="A32" s="153" t="s">
        <v>132</v>
      </c>
      <c r="G32" s="151"/>
      <c r="I32" s="191">
        <f>+I26-I28</f>
        <v>48182.240000000005</v>
      </c>
      <c r="J32" s="156"/>
      <c r="L32" s="190" t="s">
        <v>10</v>
      </c>
    </row>
    <row r="33" spans="1:12" ht="15.75" customHeight="1" thickTop="1">
      <c r="A33" s="153"/>
      <c r="B33" s="153" t="s">
        <v>12</v>
      </c>
      <c r="G33" s="151"/>
      <c r="I33" s="152"/>
      <c r="J33" s="156"/>
    </row>
    <row r="34" spans="1:12" ht="15" customHeight="1">
      <c r="A34" s="153"/>
      <c r="B34" s="149" t="s">
        <v>131</v>
      </c>
      <c r="G34" s="151">
        <v>12</v>
      </c>
      <c r="I34" s="189">
        <v>0</v>
      </c>
      <c r="J34" s="156"/>
    </row>
    <row r="35" spans="1:12" ht="15" customHeight="1">
      <c r="B35" s="149" t="s">
        <v>130</v>
      </c>
      <c r="G35" s="151"/>
      <c r="I35" s="181">
        <v>0</v>
      </c>
      <c r="J35" s="156"/>
      <c r="L35" s="156" t="s">
        <v>10</v>
      </c>
    </row>
    <row r="36" spans="1:12" ht="9.75" customHeight="1">
      <c r="G36" s="151"/>
      <c r="I36" s="156"/>
      <c r="J36" s="156"/>
      <c r="L36" s="156"/>
    </row>
    <row r="37" spans="1:12" ht="4.5" customHeight="1">
      <c r="G37" s="151"/>
      <c r="I37" s="156"/>
      <c r="J37" s="156"/>
      <c r="L37" s="156"/>
    </row>
    <row r="38" spans="1:12" ht="15.75" customHeight="1" thickBot="1">
      <c r="A38" s="153" t="s">
        <v>129</v>
      </c>
      <c r="G38" s="151"/>
      <c r="I38" s="188">
        <f>+I32+I34+I35</f>
        <v>48182.240000000005</v>
      </c>
      <c r="J38" s="156"/>
      <c r="L38" s="187"/>
    </row>
    <row r="39" spans="1:12" ht="9.75" customHeight="1" thickTop="1">
      <c r="G39" s="151"/>
      <c r="I39" s="160"/>
    </row>
    <row r="40" spans="1:12">
      <c r="A40" s="150"/>
      <c r="B40" s="150"/>
      <c r="C40" s="150"/>
      <c r="D40" s="150"/>
      <c r="E40" s="150"/>
      <c r="F40" s="150"/>
      <c r="G40" s="150"/>
      <c r="H40" s="186"/>
      <c r="I40" s="186"/>
      <c r="L40" s="187"/>
    </row>
    <row r="41" spans="1:12" ht="18.600000000000001" customHeight="1">
      <c r="A41" s="150"/>
      <c r="B41" s="150"/>
      <c r="C41" s="150"/>
      <c r="D41" s="150"/>
      <c r="E41" s="150"/>
      <c r="F41" s="150"/>
      <c r="G41" s="150"/>
      <c r="H41" s="186"/>
      <c r="I41" s="186"/>
      <c r="L41" s="156">
        <f>Balance!H39-Resultado!I38</f>
        <v>0</v>
      </c>
    </row>
    <row r="42" spans="1:12">
      <c r="A42" s="150"/>
      <c r="B42" s="150"/>
      <c r="C42" s="150"/>
      <c r="D42" s="150"/>
      <c r="E42" s="150"/>
      <c r="F42" s="150"/>
      <c r="G42" s="150"/>
      <c r="H42" s="186"/>
      <c r="I42" s="186"/>
      <c r="J42" s="186"/>
    </row>
    <row r="43" spans="1:12">
      <c r="A43" s="252" t="s">
        <v>103</v>
      </c>
      <c r="B43" s="252"/>
      <c r="C43" s="252"/>
      <c r="D43" s="252"/>
      <c r="E43" s="252" t="s">
        <v>102</v>
      </c>
      <c r="F43" s="252"/>
      <c r="G43" s="252"/>
      <c r="H43" s="252"/>
      <c r="I43" s="252"/>
      <c r="J43" s="186"/>
    </row>
    <row r="44" spans="1:12">
      <c r="A44" s="256" t="s">
        <v>101</v>
      </c>
      <c r="B44" s="256"/>
      <c r="C44" s="256"/>
      <c r="D44" s="256"/>
      <c r="E44" s="256" t="s">
        <v>100</v>
      </c>
      <c r="F44" s="256"/>
      <c r="G44" s="256"/>
      <c r="H44" s="256"/>
      <c r="I44" s="256"/>
      <c r="J44" s="186"/>
    </row>
    <row r="45" spans="1:12">
      <c r="A45" s="150"/>
      <c r="G45" s="152"/>
      <c r="H45" s="152"/>
      <c r="I45" s="186"/>
      <c r="J45" s="186"/>
    </row>
    <row r="46" spans="1:12">
      <c r="B46" s="153"/>
      <c r="C46" s="153"/>
      <c r="D46" s="153"/>
      <c r="E46" s="153"/>
      <c r="F46" s="153"/>
      <c r="G46" s="153"/>
      <c r="H46" s="153"/>
      <c r="I46" s="153"/>
      <c r="J46" s="186"/>
    </row>
    <row r="47" spans="1:12">
      <c r="A47" s="252" t="s">
        <v>99</v>
      </c>
      <c r="B47" s="252"/>
      <c r="C47" s="252"/>
      <c r="D47" s="252"/>
      <c r="E47" s="252"/>
      <c r="F47" s="252"/>
      <c r="G47" s="252"/>
      <c r="H47" s="252"/>
      <c r="I47" s="252"/>
      <c r="J47" s="186"/>
    </row>
    <row r="48" spans="1:12" ht="15.75">
      <c r="A48" s="253" t="s">
        <v>98</v>
      </c>
      <c r="B48" s="253"/>
      <c r="C48" s="253"/>
      <c r="D48" s="253"/>
      <c r="E48" s="253"/>
      <c r="F48" s="253"/>
      <c r="G48" s="253"/>
      <c r="H48" s="253"/>
      <c r="I48" s="253"/>
      <c r="J48" s="186"/>
    </row>
    <row r="49" spans="1:12">
      <c r="A49" s="150"/>
      <c r="B49" s="149" t="s">
        <v>10</v>
      </c>
      <c r="C49" s="153" t="s">
        <v>10</v>
      </c>
      <c r="F49" s="151"/>
      <c r="H49" s="152"/>
      <c r="I49" s="186"/>
      <c r="J49" s="186"/>
    </row>
    <row r="50" spans="1:12">
      <c r="D50" s="151" t="s">
        <v>10</v>
      </c>
      <c r="F50" s="151"/>
      <c r="H50" s="152"/>
      <c r="J50" s="186"/>
    </row>
    <row r="51" spans="1:12">
      <c r="C51" s="153" t="s">
        <v>128</v>
      </c>
      <c r="D51" s="149" t="s">
        <v>10</v>
      </c>
      <c r="E51" s="151" t="s">
        <v>10</v>
      </c>
      <c r="F51" s="151"/>
      <c r="H51" s="152"/>
      <c r="J51" s="186"/>
    </row>
    <row r="52" spans="1:12" ht="21.6" customHeight="1">
      <c r="C52" s="153" t="s">
        <v>128</v>
      </c>
      <c r="D52" s="149" t="s">
        <v>10</v>
      </c>
      <c r="E52" s="149" t="s">
        <v>10</v>
      </c>
      <c r="F52" s="151"/>
      <c r="H52" s="152"/>
      <c r="J52" s="186"/>
      <c r="L52" s="149" t="s">
        <v>10</v>
      </c>
    </row>
    <row r="53" spans="1:12" ht="13.5" customHeight="1">
      <c r="C53" s="151" t="s">
        <v>10</v>
      </c>
      <c r="J53" s="186"/>
    </row>
    <row r="54" spans="1:12">
      <c r="J54" s="18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showGridLines="0" workbookViewId="0">
      <selection activeCell="S23" sqref="S23"/>
    </sheetView>
  </sheetViews>
  <sheetFormatPr baseColWidth="10" defaultRowHeight="14.25" customHeight="1"/>
  <cols>
    <col min="1" max="1" width="1.140625" style="202" customWidth="1"/>
    <col min="2" max="3" width="2.7109375" style="202" customWidth="1"/>
    <col min="4" max="4" width="1.85546875" style="202" customWidth="1"/>
    <col min="5" max="5" width="24.7109375" style="202" bestFit="1" customWidth="1"/>
    <col min="6" max="6" width="5.85546875" style="202" hidden="1" customWidth="1"/>
    <col min="7" max="7" width="1.85546875" style="202" customWidth="1"/>
    <col min="8" max="8" width="11.28515625" style="204" customWidth="1"/>
    <col min="9" max="9" width="1.7109375" style="202" customWidth="1"/>
    <col min="10" max="10" width="10.42578125" style="203" customWidth="1"/>
    <col min="11" max="11" width="1.7109375" style="203" customWidth="1"/>
    <col min="12" max="12" width="10.42578125" style="203" customWidth="1"/>
    <col min="13" max="13" width="3.140625" style="202" customWidth="1"/>
    <col min="14" max="14" width="10.42578125" style="203" customWidth="1"/>
    <col min="15" max="15" width="1.28515625" style="202" customWidth="1"/>
    <col min="16" max="16" width="10.7109375" style="203" bestFit="1" customWidth="1"/>
    <col min="17" max="17" width="11.42578125" style="202"/>
    <col min="18" max="18" width="14.85546875" style="202" customWidth="1"/>
    <col min="19" max="16384" width="11.42578125" style="202"/>
  </cols>
  <sheetData>
    <row r="1" spans="1:16" ht="15.75" customHeight="1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15.75" customHeight="1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spans="1:16" ht="15.75" customHeight="1">
      <c r="A3" s="260" t="s">
        <v>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 ht="15.75" customHeight="1">
      <c r="A4" s="263" t="s">
        <v>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ht="15.75" hidden="1" customHeight="1">
      <c r="A5" s="220"/>
      <c r="B5" s="220"/>
      <c r="C5" s="220"/>
      <c r="D5" s="220"/>
      <c r="E5" s="220"/>
      <c r="F5" s="220"/>
      <c r="G5" s="230"/>
      <c r="H5" s="220"/>
      <c r="I5" s="220"/>
      <c r="J5" s="220"/>
      <c r="K5" s="220"/>
      <c r="L5" s="220"/>
      <c r="M5" s="229"/>
      <c r="N5" s="220"/>
      <c r="O5" s="220"/>
      <c r="P5" s="220"/>
    </row>
    <row r="6" spans="1:16" ht="15.75" customHeight="1">
      <c r="A6" s="264" t="s">
        <v>181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16" ht="15.75" hidden="1" customHeight="1">
      <c r="A7" s="220"/>
      <c r="B7" s="220"/>
      <c r="P7" s="220"/>
    </row>
    <row r="8" spans="1:16" ht="15.75" hidden="1" customHeight="1">
      <c r="A8" s="220" t="s">
        <v>10</v>
      </c>
      <c r="B8" s="220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P8" s="220"/>
    </row>
    <row r="9" spans="1:16" ht="15.75" hidden="1" customHeight="1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P9" s="220"/>
    </row>
    <row r="10" spans="1:16" ht="14.25" customHeight="1">
      <c r="A10" s="265" t="s">
        <v>6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</row>
    <row r="11" spans="1:16" s="219" customFormat="1" ht="10.5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</row>
    <row r="12" spans="1:16" s="219" customFormat="1" ht="14.25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</row>
    <row r="13" spans="1:16" ht="9.75" customHeight="1">
      <c r="A13" s="220"/>
      <c r="B13" s="22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20"/>
    </row>
    <row r="14" spans="1:16" s="215" customFormat="1" ht="14.25" customHeight="1">
      <c r="H14" s="226" t="s">
        <v>161</v>
      </c>
      <c r="J14" s="225"/>
      <c r="K14" s="225"/>
      <c r="L14" s="225"/>
      <c r="N14" s="226" t="s">
        <v>160</v>
      </c>
      <c r="P14" s="225"/>
    </row>
    <row r="15" spans="1:16" s="215" customFormat="1" ht="14.25" customHeight="1">
      <c r="F15" s="224" t="s">
        <v>7</v>
      </c>
      <c r="H15" s="223" t="s">
        <v>159</v>
      </c>
      <c r="J15" s="223" t="s">
        <v>158</v>
      </c>
      <c r="K15" s="223"/>
      <c r="L15" s="223" t="s">
        <v>111</v>
      </c>
      <c r="N15" s="223" t="s">
        <v>157</v>
      </c>
      <c r="P15" s="223" t="s">
        <v>156</v>
      </c>
    </row>
    <row r="17" spans="1:18" ht="17.25" hidden="1" customHeight="1">
      <c r="A17" s="216" t="s">
        <v>155</v>
      </c>
      <c r="H17" s="214">
        <v>325176</v>
      </c>
      <c r="I17" s="214"/>
      <c r="J17" s="214">
        <v>3298.25</v>
      </c>
      <c r="K17" s="214"/>
      <c r="L17" s="214">
        <v>22347.599999999999</v>
      </c>
      <c r="M17" s="214"/>
      <c r="N17" s="214">
        <v>-79862.55</v>
      </c>
      <c r="O17" s="214"/>
      <c r="P17" s="211">
        <f>SUM(H17:N17)</f>
        <v>270959.3</v>
      </c>
      <c r="Q17" s="212"/>
      <c r="R17" s="202" t="s">
        <v>10</v>
      </c>
    </row>
    <row r="18" spans="1:18" ht="17.100000000000001" hidden="1" customHeight="1">
      <c r="A18" s="220" t="s">
        <v>111</v>
      </c>
      <c r="F18" s="215" t="s">
        <v>109</v>
      </c>
      <c r="H18" s="211">
        <v>0</v>
      </c>
      <c r="I18" s="211"/>
      <c r="J18" s="211">
        <v>0</v>
      </c>
      <c r="K18" s="211"/>
      <c r="L18" s="211">
        <v>-14677.3</v>
      </c>
      <c r="M18" s="211"/>
      <c r="N18" s="211">
        <v>0</v>
      </c>
      <c r="O18" s="211"/>
      <c r="P18" s="211">
        <f>SUM(H18:N18)</f>
        <v>-14677.3</v>
      </c>
      <c r="Q18" s="219"/>
    </row>
    <row r="19" spans="1:18" ht="17.100000000000001" hidden="1" customHeight="1">
      <c r="A19" s="202" t="s">
        <v>152</v>
      </c>
      <c r="F19" s="215"/>
      <c r="H19" s="218">
        <v>0</v>
      </c>
      <c r="I19" s="214"/>
      <c r="J19" s="218">
        <v>515.75</v>
      </c>
      <c r="K19" s="214"/>
      <c r="L19" s="217">
        <v>0</v>
      </c>
      <c r="M19" s="214"/>
      <c r="N19" s="217">
        <v>6852.17</v>
      </c>
      <c r="O19" s="214"/>
      <c r="P19" s="211">
        <f>SUM(H19:N19)</f>
        <v>7367.92</v>
      </c>
    </row>
    <row r="20" spans="1:18" ht="21" hidden="1" customHeight="1">
      <c r="A20" s="216" t="s">
        <v>154</v>
      </c>
      <c r="F20" s="215"/>
      <c r="H20" s="213">
        <f>SUM(H17:H19)</f>
        <v>325176</v>
      </c>
      <c r="I20" s="214"/>
      <c r="J20" s="213">
        <f>SUM(J17:J19)</f>
        <v>3814</v>
      </c>
      <c r="K20" s="214"/>
      <c r="L20" s="213">
        <f>SUM(L17:L19)</f>
        <v>7670.2999999999993</v>
      </c>
      <c r="M20" s="214"/>
      <c r="N20" s="213">
        <f>SUM(N17:N19)</f>
        <v>-73010.38</v>
      </c>
      <c r="O20" s="214"/>
      <c r="P20" s="213">
        <f>SUM(P17:P19)</f>
        <v>263649.91999999998</v>
      </c>
      <c r="Q20" s="212"/>
    </row>
    <row r="21" spans="1:18" ht="9.75" customHeight="1">
      <c r="H21" s="222"/>
      <c r="I21" s="219"/>
      <c r="M21" s="219"/>
      <c r="O21" s="219"/>
      <c r="Q21" s="219"/>
    </row>
    <row r="22" spans="1:18" ht="30" customHeight="1">
      <c r="A22" s="202" t="s">
        <v>153</v>
      </c>
      <c r="H22" s="211">
        <v>325176</v>
      </c>
      <c r="I22" s="221"/>
      <c r="J22" s="211">
        <v>7897.46</v>
      </c>
      <c r="K22" s="211"/>
      <c r="L22" s="211">
        <v>0</v>
      </c>
      <c r="M22" s="221"/>
      <c r="N22" s="214">
        <v>-26825.59</v>
      </c>
      <c r="O22" s="221"/>
      <c r="P22" s="211">
        <f>SUM(H22:N22)</f>
        <v>306247.87</v>
      </c>
    </row>
    <row r="23" spans="1:18" ht="30.75" customHeight="1">
      <c r="A23" s="220" t="s">
        <v>111</v>
      </c>
      <c r="F23" s="215" t="s">
        <v>109</v>
      </c>
      <c r="H23" s="211">
        <v>0</v>
      </c>
      <c r="I23" s="211"/>
      <c r="J23" s="211">
        <v>0</v>
      </c>
      <c r="K23" s="211"/>
      <c r="L23" s="211">
        <v>0</v>
      </c>
      <c r="M23" s="211"/>
      <c r="N23" s="211">
        <v>0</v>
      </c>
      <c r="O23" s="211"/>
      <c r="P23" s="211">
        <f>SUM(H23:N23)</f>
        <v>0</v>
      </c>
      <c r="Q23" s="219"/>
    </row>
    <row r="24" spans="1:18" ht="30.75" customHeight="1">
      <c r="A24" s="202" t="s">
        <v>152</v>
      </c>
      <c r="F24" s="215"/>
      <c r="H24" s="218">
        <v>0</v>
      </c>
      <c r="I24" s="214"/>
      <c r="J24" s="218">
        <f>Resultado!I34*-1</f>
        <v>0</v>
      </c>
      <c r="K24" s="214"/>
      <c r="L24" s="217">
        <v>0</v>
      </c>
      <c r="M24" s="214"/>
      <c r="N24" s="217">
        <f>Resultado!I38</f>
        <v>48182.240000000005</v>
      </c>
      <c r="O24" s="214"/>
      <c r="P24" s="211">
        <f>SUM(J24:N24)</f>
        <v>48182.240000000005</v>
      </c>
    </row>
    <row r="25" spans="1:18" ht="30.75" customHeight="1" thickBot="1">
      <c r="A25" s="216" t="s">
        <v>151</v>
      </c>
      <c r="F25" s="215"/>
      <c r="H25" s="213">
        <f>SUM(H22:H24)</f>
        <v>325176</v>
      </c>
      <c r="I25" s="214"/>
      <c r="J25" s="213">
        <f>SUM(J22:J24)</f>
        <v>7897.46</v>
      </c>
      <c r="K25" s="214"/>
      <c r="L25" s="213">
        <f>SUM(L22:L24)</f>
        <v>0</v>
      </c>
      <c r="M25" s="214"/>
      <c r="N25" s="213">
        <f>SUM(N22:N24)</f>
        <v>21356.650000000005</v>
      </c>
      <c r="O25" s="214"/>
      <c r="P25" s="213">
        <f>SUM(P22:P24)</f>
        <v>354430.11</v>
      </c>
      <c r="Q25" s="212"/>
    </row>
    <row r="26" spans="1:18" ht="32.25" customHeight="1" thickTop="1">
      <c r="H26" s="204" t="s">
        <v>10</v>
      </c>
      <c r="I26" s="202" t="s">
        <v>10</v>
      </c>
      <c r="J26" s="211" t="s">
        <v>10</v>
      </c>
      <c r="K26" s="203" t="s">
        <v>10</v>
      </c>
      <c r="L26" s="203" t="s">
        <v>10</v>
      </c>
      <c r="M26" s="202" t="s">
        <v>10</v>
      </c>
      <c r="N26" s="203" t="s">
        <v>10</v>
      </c>
      <c r="O26" s="202" t="s">
        <v>10</v>
      </c>
      <c r="P26" s="210" t="s">
        <v>10</v>
      </c>
      <c r="R26" s="210">
        <f>P25-Balance!H40</f>
        <v>0</v>
      </c>
    </row>
    <row r="30" spans="1:18" ht="14.25" customHeight="1">
      <c r="A30" s="258" t="s">
        <v>103</v>
      </c>
      <c r="B30" s="258"/>
      <c r="C30" s="258"/>
      <c r="D30" s="258"/>
      <c r="E30" s="258"/>
      <c r="F30" s="209" t="s">
        <v>150</v>
      </c>
      <c r="G30" s="206"/>
      <c r="H30" s="206"/>
      <c r="I30" s="186"/>
      <c r="J30" s="252" t="s">
        <v>102</v>
      </c>
      <c r="K30" s="252"/>
      <c r="L30" s="252"/>
      <c r="M30" s="252"/>
      <c r="N30" s="252"/>
      <c r="O30" s="252"/>
      <c r="P30" s="252"/>
    </row>
    <row r="31" spans="1:18" ht="14.25" customHeight="1">
      <c r="A31" s="253" t="s">
        <v>101</v>
      </c>
      <c r="B31" s="253"/>
      <c r="C31" s="253"/>
      <c r="D31" s="253"/>
      <c r="E31" s="253"/>
      <c r="F31" s="207" t="s">
        <v>149</v>
      </c>
      <c r="G31" s="206"/>
      <c r="H31" s="206"/>
      <c r="I31" s="186"/>
      <c r="J31" s="256" t="s">
        <v>100</v>
      </c>
      <c r="K31" s="256"/>
      <c r="L31" s="256"/>
      <c r="M31" s="256"/>
      <c r="N31" s="256"/>
      <c r="O31" s="256"/>
      <c r="P31" s="256"/>
    </row>
    <row r="32" spans="1:18" ht="14.25" customHeight="1">
      <c r="B32" s="207"/>
      <c r="C32" s="207"/>
      <c r="D32" s="207"/>
      <c r="E32" s="207"/>
      <c r="F32" s="208"/>
      <c r="G32" s="207"/>
      <c r="H32" s="206"/>
      <c r="I32" s="186"/>
    </row>
    <row r="33" spans="1:16" ht="14.25" customHeight="1">
      <c r="B33" s="207"/>
      <c r="C33" s="207"/>
      <c r="D33" s="207"/>
      <c r="E33" s="207"/>
      <c r="F33" s="208"/>
      <c r="G33" s="207"/>
      <c r="H33" s="206"/>
      <c r="I33" s="205"/>
    </row>
    <row r="34" spans="1:16" ht="14.25" customHeight="1">
      <c r="B34" s="207"/>
      <c r="C34" s="207"/>
      <c r="D34" s="207"/>
      <c r="E34" s="207" t="s">
        <v>148</v>
      </c>
      <c r="F34" s="208"/>
      <c r="G34" s="207"/>
      <c r="H34" s="206" t="s">
        <v>10</v>
      </c>
      <c r="I34" s="205"/>
    </row>
    <row r="35" spans="1:16" ht="14.25" customHeight="1">
      <c r="A35" s="254" t="s">
        <v>99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</row>
    <row r="36" spans="1:16" ht="14.25" customHeight="1">
      <c r="A36" s="259" t="s">
        <v>98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</row>
    <row r="39" spans="1:16" ht="11.25" customHeight="1"/>
    <row r="44" spans="1:16" ht="18" customHeight="1"/>
  </sheetData>
  <mergeCells count="13">
    <mergeCell ref="A1:P1"/>
    <mergeCell ref="A3:P3"/>
    <mergeCell ref="C13:O13"/>
    <mergeCell ref="A2:P2"/>
    <mergeCell ref="A4:P4"/>
    <mergeCell ref="A6:P6"/>
    <mergeCell ref="A10:P10"/>
    <mergeCell ref="A30:E30"/>
    <mergeCell ref="A31:E31"/>
    <mergeCell ref="A35:P35"/>
    <mergeCell ref="A36:P36"/>
    <mergeCell ref="J30:P30"/>
    <mergeCell ref="J31:P31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3"/>
  <sheetViews>
    <sheetView showGridLines="0" tabSelected="1" topLeftCell="A13" zoomScale="110" zoomScaleNormal="110" zoomScaleSheetLayoutView="100" workbookViewId="0">
      <selection activeCell="I18" sqref="I18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67" t="s">
        <v>0</v>
      </c>
      <c r="B1" s="267"/>
      <c r="C1" s="267"/>
      <c r="D1" s="267"/>
      <c r="E1" s="267"/>
      <c r="F1" s="1"/>
    </row>
    <row r="2" spans="1:6" ht="15">
      <c r="A2" s="267" t="s">
        <v>1</v>
      </c>
      <c r="B2" s="267"/>
      <c r="C2" s="267"/>
      <c r="D2" s="267"/>
      <c r="E2" s="267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66" t="s">
        <v>3</v>
      </c>
      <c r="B4" s="266"/>
      <c r="C4" s="266"/>
      <c r="D4" s="266"/>
      <c r="E4" s="266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67" t="s">
        <v>4</v>
      </c>
      <c r="B6" s="267"/>
      <c r="C6" s="267"/>
      <c r="D6" s="267"/>
      <c r="E6" s="267"/>
      <c r="F6" s="1"/>
    </row>
    <row r="7" spans="1:6" ht="15">
      <c r="A7" s="266" t="s">
        <v>5</v>
      </c>
      <c r="B7" s="266"/>
      <c r="C7" s="266"/>
      <c r="D7" s="266"/>
      <c r="E7" s="266"/>
      <c r="F7" s="1"/>
    </row>
    <row r="8" spans="1:6" ht="22.5" customHeight="1">
      <c r="A8" s="266" t="s">
        <v>182</v>
      </c>
      <c r="B8" s="266"/>
      <c r="C8" s="266"/>
      <c r="D8" s="266"/>
      <c r="E8" s="266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66" t="s">
        <v>6</v>
      </c>
      <c r="B10" s="266"/>
      <c r="C10" s="266"/>
      <c r="D10" s="266"/>
      <c r="E10" s="266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39">
        <v>2020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septiembre 2020'!H36</f>
        <v>128500</v>
      </c>
    </row>
    <row r="16" spans="1:6" ht="15.6" customHeight="1">
      <c r="B16" s="1" t="s">
        <v>11</v>
      </c>
      <c r="E16" s="12"/>
      <c r="F16" s="13">
        <f>'HT septiembre 2020'!E35</f>
        <v>8811.42</v>
      </c>
    </row>
    <row r="17" spans="1:7" ht="15.6" customHeight="1">
      <c r="B17" s="1" t="s">
        <v>80</v>
      </c>
      <c r="E17" s="12"/>
      <c r="F17" s="13">
        <f>'HT septiembre 2020'!H37</f>
        <v>0</v>
      </c>
    </row>
    <row r="18" spans="1:7" ht="15.6" customHeight="1">
      <c r="E18" s="12"/>
      <c r="F18" s="13" t="s">
        <v>10</v>
      </c>
    </row>
    <row r="19" spans="1:7" ht="15.6" customHeight="1">
      <c r="B19" s="1" t="s">
        <v>12</v>
      </c>
      <c r="E19" s="12"/>
      <c r="F19" s="13" t="s">
        <v>10</v>
      </c>
    </row>
    <row r="20" spans="1:7" ht="15.6" customHeight="1">
      <c r="C20" s="4" t="s">
        <v>13</v>
      </c>
      <c r="E20" s="12"/>
      <c r="F20" s="13">
        <f>'HT septiembre 2020'!H40</f>
        <v>3091</v>
      </c>
    </row>
    <row r="21" spans="1:7" ht="15.6" customHeight="1">
      <c r="C21" s="4" t="s">
        <v>14</v>
      </c>
      <c r="E21" s="12"/>
      <c r="F21" s="13">
        <f>'HT septiembre 2020'!H41</f>
        <v>-36289.93</v>
      </c>
    </row>
    <row r="22" spans="1:7" ht="15.6" customHeight="1">
      <c r="B22" s="14"/>
      <c r="C22" s="1" t="s">
        <v>15</v>
      </c>
      <c r="E22" s="12"/>
      <c r="F22" s="13">
        <f>'HT septiembre 2020'!H43</f>
        <v>-47330.21</v>
      </c>
    </row>
    <row r="23" spans="1:7" ht="15.6" customHeight="1">
      <c r="B23" s="14" t="s">
        <v>15</v>
      </c>
      <c r="C23" s="1" t="s">
        <v>16</v>
      </c>
      <c r="E23" s="12"/>
      <c r="F23" s="13">
        <f>'HT septiembre 2020'!H44</f>
        <v>-1208.6400000000001</v>
      </c>
    </row>
    <row r="24" spans="1:7" ht="15.6" customHeight="1">
      <c r="B24" s="14" t="s">
        <v>17</v>
      </c>
      <c r="E24" s="12"/>
      <c r="F24" s="15">
        <f>'HT septiembre 2020'!G35+'HT septiembre 2020'!H42+'HT septiembre 2020'!H46</f>
        <v>-35184.03</v>
      </c>
    </row>
    <row r="25" spans="1:7" ht="15.6" customHeight="1">
      <c r="A25" s="16" t="s">
        <v>18</v>
      </c>
      <c r="F25" s="13" t="s">
        <v>10</v>
      </c>
    </row>
    <row r="26" spans="1:7" ht="15.6" customHeight="1">
      <c r="A26" s="16" t="s">
        <v>19</v>
      </c>
      <c r="E26" s="12"/>
      <c r="F26" s="17">
        <f>SUM(F15:F24)</f>
        <v>20389.610000000022</v>
      </c>
    </row>
    <row r="27" spans="1:7" ht="15.6" customHeight="1">
      <c r="E27" s="12"/>
      <c r="F27" s="18"/>
    </row>
    <row r="28" spans="1:7" ht="15.6" customHeight="1">
      <c r="A28" s="1" t="s">
        <v>20</v>
      </c>
      <c r="E28" s="12"/>
      <c r="F28" s="19">
        <f>F26</f>
        <v>20389.610000000022</v>
      </c>
    </row>
    <row r="29" spans="1:7" ht="15.6" customHeight="1">
      <c r="A29" s="1" t="s">
        <v>21</v>
      </c>
      <c r="E29" s="12"/>
      <c r="F29" s="20">
        <v>1992.18</v>
      </c>
    </row>
    <row r="30" spans="1:7" ht="16.5" customHeight="1" thickBot="1">
      <c r="A30" s="16" t="s">
        <v>22</v>
      </c>
      <c r="D30" s="21">
        <v>4</v>
      </c>
      <c r="E30" s="12"/>
      <c r="F30" s="22">
        <f>+F28+F29</f>
        <v>22381.790000000023</v>
      </c>
      <c r="G30" s="12">
        <f>+F30-Balance!H10</f>
        <v>0</v>
      </c>
    </row>
    <row r="31" spans="1:7" ht="15.6" customHeight="1" thickTop="1">
      <c r="E31" s="12"/>
      <c r="F31" s="18"/>
    </row>
    <row r="32" spans="1:7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septiembre 2020'!I29</f>
        <v>48182.240000000005</v>
      </c>
    </row>
    <row r="35" spans="1:6" ht="15.6" customHeight="1">
      <c r="B35" s="1" t="s">
        <v>26</v>
      </c>
      <c r="E35" s="12"/>
      <c r="F35" s="20">
        <f>'HT septiembre 2020'!I27</f>
        <v>0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107.10000000000014</v>
      </c>
    </row>
    <row r="38" spans="1:6" ht="15.6" customHeight="1">
      <c r="B38" s="14" t="s">
        <v>29</v>
      </c>
      <c r="E38" s="12"/>
      <c r="F38" s="23">
        <f>'HT septiembre 2020'!J18</f>
        <v>107.10000000000014</v>
      </c>
    </row>
    <row r="39" spans="1:6" ht="9" customHeight="1">
      <c r="E39" s="12"/>
      <c r="F39" s="23"/>
    </row>
    <row r="40" spans="1:6" ht="15.6" customHeight="1">
      <c r="A40" s="266" t="s">
        <v>30</v>
      </c>
      <c r="B40" s="266"/>
      <c r="C40" s="266"/>
      <c r="E40" s="12"/>
      <c r="F40" s="20">
        <f>SUM(F41:F50)</f>
        <v>-27899.73000000001</v>
      </c>
    </row>
    <row r="41" spans="1:6" ht="15.6" customHeight="1">
      <c r="A41" s="266" t="s">
        <v>31</v>
      </c>
      <c r="B41" s="266"/>
      <c r="C41" s="266"/>
      <c r="E41" s="12"/>
      <c r="F41" s="18">
        <f>'HT septiembre 2020'!J13</f>
        <v>0</v>
      </c>
    </row>
    <row r="42" spans="1:6" ht="15.6" customHeight="1">
      <c r="A42" s="266" t="s">
        <v>32</v>
      </c>
      <c r="B42" s="266"/>
      <c r="C42" s="266"/>
      <c r="E42" s="12"/>
      <c r="F42" s="18">
        <f>'HT septiembre 2020'!J12</f>
        <v>-57133.570000000007</v>
      </c>
    </row>
    <row r="43" spans="1:6" ht="15.6" customHeight="1">
      <c r="A43" s="266" t="s">
        <v>33</v>
      </c>
      <c r="B43" s="266"/>
      <c r="C43" s="266"/>
      <c r="E43" s="12"/>
      <c r="F43" s="18">
        <f>'HT septiembre 2020'!J14</f>
        <v>0</v>
      </c>
    </row>
    <row r="44" spans="1:6" ht="15.6" customHeight="1">
      <c r="A44" s="266" t="s">
        <v>34</v>
      </c>
      <c r="B44" s="266"/>
      <c r="C44" s="266"/>
      <c r="E44" s="12"/>
      <c r="F44" s="18">
        <f>'HT septiembre 2020'!J15</f>
        <v>493.31000000000131</v>
      </c>
    </row>
    <row r="45" spans="1:6" ht="15.6" customHeight="1">
      <c r="A45" s="141"/>
      <c r="B45" s="266" t="s">
        <v>95</v>
      </c>
      <c r="C45" s="266"/>
      <c r="E45" s="12"/>
      <c r="F45" s="18">
        <f>'HT septiembre 2020'!K17</f>
        <v>0</v>
      </c>
    </row>
    <row r="46" spans="1:6" ht="15.6" customHeight="1">
      <c r="A46" s="141"/>
      <c r="B46" s="266" t="s">
        <v>96</v>
      </c>
      <c r="C46" s="266"/>
      <c r="E46" s="12"/>
      <c r="F46" s="18">
        <f>'HT septiembre 2020'!J28</f>
        <v>0</v>
      </c>
    </row>
    <row r="47" spans="1:6" ht="15.6" customHeight="1">
      <c r="A47" s="266" t="s">
        <v>35</v>
      </c>
      <c r="B47" s="266"/>
      <c r="C47" s="266"/>
      <c r="E47" s="12"/>
      <c r="F47" s="18">
        <f>'HT septiembre 2020'!J16</f>
        <v>690</v>
      </c>
    </row>
    <row r="48" spans="1:6" ht="15.6" customHeight="1">
      <c r="A48" s="266" t="s">
        <v>36</v>
      </c>
      <c r="B48" s="266"/>
      <c r="C48" s="266"/>
      <c r="E48" s="12"/>
      <c r="F48" s="18">
        <f>'HT septiembre 2020'!J21</f>
        <v>-750.81999999999971</v>
      </c>
    </row>
    <row r="49" spans="1:6" ht="15.6" customHeight="1">
      <c r="A49" s="266" t="s">
        <v>37</v>
      </c>
      <c r="B49" s="266"/>
      <c r="C49" s="266"/>
      <c r="E49" s="12"/>
      <c r="F49" s="23">
        <f>'HT septiembre 2020'!J22</f>
        <v>-1208.6400000000001</v>
      </c>
    </row>
    <row r="50" spans="1:6" ht="15.6" customHeight="1">
      <c r="A50" s="268" t="s">
        <v>38</v>
      </c>
      <c r="B50" s="268"/>
      <c r="C50" s="268"/>
      <c r="E50" s="12"/>
      <c r="F50" s="20">
        <f>'HT septiembre 2020'!J23</f>
        <v>30009.989999999998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40">
        <f>F34+F40+F37+F35</f>
        <v>20389.609999999993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  <mergeCell ref="A8:E8"/>
    <mergeCell ref="A1:E1"/>
    <mergeCell ref="A2:E2"/>
    <mergeCell ref="A4:E4"/>
    <mergeCell ref="A6:E6"/>
    <mergeCell ref="A7:E7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WVW61"/>
  <sheetViews>
    <sheetView showGridLines="0" topLeftCell="A30" workbookViewId="0">
      <selection activeCell="D46" sqref="D46"/>
    </sheetView>
  </sheetViews>
  <sheetFormatPr baseColWidth="10" defaultColWidth="0" defaultRowHeight="15"/>
  <cols>
    <col min="1" max="1" width="36.42578125" style="131" bestFit="1" customWidth="1"/>
    <col min="2" max="2" width="0.28515625" style="131" customWidth="1"/>
    <col min="3" max="3" width="13.85546875" style="131" customWidth="1"/>
    <col min="4" max="4" width="14.140625" style="131" customWidth="1"/>
    <col min="5" max="5" width="13.42578125" style="131" customWidth="1"/>
    <col min="6" max="6" width="12.85546875" style="131" customWidth="1"/>
    <col min="7" max="8" width="13" style="131" bestFit="1" customWidth="1"/>
    <col min="9" max="9" width="15.5703125" style="131" customWidth="1"/>
    <col min="10" max="10" width="14.7109375" style="131" customWidth="1"/>
    <col min="11" max="11" width="12.7109375" style="131" customWidth="1"/>
    <col min="12" max="12" width="9.42578125" style="131" customWidth="1"/>
    <col min="13" max="13" width="13.140625" style="13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6.5" hidden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6.5">
      <c r="A3" s="36" t="s">
        <v>183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40" t="s">
        <v>97</v>
      </c>
      <c r="D7" s="38" t="s">
        <v>97</v>
      </c>
      <c r="E7" s="41"/>
      <c r="F7" s="42" t="s">
        <v>42</v>
      </c>
      <c r="G7" s="43"/>
      <c r="H7" s="44" t="s">
        <v>43</v>
      </c>
      <c r="I7" s="41" t="s">
        <v>44</v>
      </c>
      <c r="J7" s="45" t="s">
        <v>45</v>
      </c>
      <c r="K7" s="45" t="s">
        <v>46</v>
      </c>
      <c r="L7" s="46"/>
      <c r="M7" s="43"/>
    </row>
    <row r="8" spans="1:13" ht="16.5">
      <c r="A8" s="47"/>
      <c r="B8" s="48">
        <v>2004</v>
      </c>
      <c r="C8" s="49">
        <v>2020</v>
      </c>
      <c r="D8" s="49">
        <v>2019</v>
      </c>
      <c r="E8" s="48" t="s">
        <v>47</v>
      </c>
      <c r="F8" s="50" t="s">
        <v>48</v>
      </c>
      <c r="G8" s="51" t="s">
        <v>49</v>
      </c>
      <c r="H8" s="49" t="s">
        <v>50</v>
      </c>
      <c r="I8" s="52" t="s">
        <v>51</v>
      </c>
      <c r="J8" s="48" t="s">
        <v>52</v>
      </c>
      <c r="K8" s="53" t="s">
        <v>53</v>
      </c>
      <c r="L8" s="48" t="s">
        <v>54</v>
      </c>
      <c r="M8" s="41"/>
    </row>
    <row r="9" spans="1:13" ht="16.5">
      <c r="A9" s="54" t="s">
        <v>55</v>
      </c>
      <c r="B9" s="55"/>
      <c r="C9" s="56"/>
      <c r="D9" s="56"/>
      <c r="E9" s="57"/>
      <c r="F9" s="58"/>
      <c r="G9" s="59"/>
      <c r="H9" s="56"/>
      <c r="I9" s="59"/>
      <c r="J9" s="57"/>
      <c r="K9" s="56"/>
      <c r="L9" s="57"/>
      <c r="M9" s="60"/>
    </row>
    <row r="10" spans="1:13">
      <c r="A10" s="61" t="s">
        <v>56</v>
      </c>
      <c r="B10" s="62"/>
      <c r="C10" s="61">
        <f>Balance!H10</f>
        <v>22381.79</v>
      </c>
      <c r="D10" s="61">
        <v>1992.18</v>
      </c>
      <c r="E10" s="62">
        <f>C10-D10</f>
        <v>20389.61</v>
      </c>
      <c r="F10" s="63">
        <v>0</v>
      </c>
      <c r="G10" s="114">
        <v>0</v>
      </c>
      <c r="H10" s="61">
        <f>+E10+F10-G10</f>
        <v>20389.61</v>
      </c>
      <c r="I10" s="65"/>
      <c r="J10" s="66"/>
      <c r="K10" s="67"/>
      <c r="L10" s="66"/>
      <c r="M10" s="61">
        <f>SUM(I10:L10)+H10</f>
        <v>20389.61</v>
      </c>
    </row>
    <row r="11" spans="1:13">
      <c r="A11" s="68" t="s">
        <v>57</v>
      </c>
      <c r="B11" s="69"/>
      <c r="C11" s="61">
        <v>0</v>
      </c>
      <c r="D11" s="61">
        <v>0</v>
      </c>
      <c r="E11" s="62">
        <f t="shared" ref="E11:E18" si="0">C11-D11</f>
        <v>0</v>
      </c>
      <c r="F11" s="63"/>
      <c r="G11" s="64"/>
      <c r="H11" s="61">
        <f t="shared" ref="H11:H18" si="1">+E11+F11-G11</f>
        <v>0</v>
      </c>
      <c r="I11" s="65"/>
      <c r="J11" s="70"/>
      <c r="K11" s="71">
        <f>-H11-I11</f>
        <v>0</v>
      </c>
      <c r="L11" s="70"/>
      <c r="M11" s="71">
        <f t="shared" ref="M11:M20" si="2">SUM(I11:L11)+H11</f>
        <v>0</v>
      </c>
    </row>
    <row r="12" spans="1:13">
      <c r="A12" s="61" t="s">
        <v>58</v>
      </c>
      <c r="B12" s="62"/>
      <c r="C12" s="61">
        <f>Balance!H11</f>
        <v>254191.93</v>
      </c>
      <c r="D12" s="61">
        <v>197058.36</v>
      </c>
      <c r="E12" s="62">
        <f t="shared" si="0"/>
        <v>57133.570000000007</v>
      </c>
      <c r="F12" s="63"/>
      <c r="G12" s="64"/>
      <c r="H12" s="61">
        <f t="shared" si="1"/>
        <v>57133.570000000007</v>
      </c>
      <c r="I12" s="65" t="s">
        <v>10</v>
      </c>
      <c r="J12" s="72">
        <f>-H12</f>
        <v>-57133.570000000007</v>
      </c>
      <c r="K12" s="71">
        <v>0</v>
      </c>
      <c r="L12" s="70">
        <v>0</v>
      </c>
      <c r="M12" s="71">
        <f t="shared" si="2"/>
        <v>0</v>
      </c>
    </row>
    <row r="13" spans="1:13">
      <c r="A13" s="61" t="s">
        <v>59</v>
      </c>
      <c r="B13" s="62"/>
      <c r="C13" s="61">
        <v>0</v>
      </c>
      <c r="D13" s="61">
        <v>0</v>
      </c>
      <c r="E13" s="62">
        <f t="shared" si="0"/>
        <v>0</v>
      </c>
      <c r="F13" s="63"/>
      <c r="G13" s="64"/>
      <c r="H13" s="61">
        <f t="shared" si="1"/>
        <v>0</v>
      </c>
      <c r="I13" s="65"/>
      <c r="J13" s="73">
        <f>-H13</f>
        <v>0</v>
      </c>
      <c r="K13" s="74"/>
      <c r="L13" s="70"/>
      <c r="M13" s="71">
        <f t="shared" si="2"/>
        <v>0</v>
      </c>
    </row>
    <row r="14" spans="1:13">
      <c r="A14" s="61" t="s">
        <v>60</v>
      </c>
      <c r="B14" s="62"/>
      <c r="C14" s="61"/>
      <c r="D14" s="61">
        <v>0</v>
      </c>
      <c r="E14" s="62">
        <f t="shared" si="0"/>
        <v>0</v>
      </c>
      <c r="F14" s="63"/>
      <c r="G14" s="64"/>
      <c r="H14" s="61">
        <f t="shared" si="1"/>
        <v>0</v>
      </c>
      <c r="I14" s="65"/>
      <c r="J14" s="72">
        <f>-H14</f>
        <v>0</v>
      </c>
      <c r="K14" s="71"/>
      <c r="L14" s="70"/>
      <c r="M14" s="71">
        <f t="shared" si="2"/>
        <v>0</v>
      </c>
    </row>
    <row r="15" spans="1:13">
      <c r="A15" s="61" t="s">
        <v>61</v>
      </c>
      <c r="B15" s="62"/>
      <c r="C15" s="61">
        <f>Balance!H12</f>
        <v>22201.68</v>
      </c>
      <c r="D15" s="61">
        <v>22694.99</v>
      </c>
      <c r="E15" s="62">
        <f t="shared" si="0"/>
        <v>-493.31000000000131</v>
      </c>
      <c r="F15" s="63"/>
      <c r="G15" s="64"/>
      <c r="H15" s="61">
        <f t="shared" si="1"/>
        <v>-493.31000000000131</v>
      </c>
      <c r="I15" s="65"/>
      <c r="J15" s="75">
        <f>-H15</f>
        <v>493.31000000000131</v>
      </c>
      <c r="K15" s="74"/>
      <c r="L15" s="70"/>
      <c r="M15" s="71">
        <f t="shared" si="2"/>
        <v>0</v>
      </c>
    </row>
    <row r="16" spans="1:13">
      <c r="A16" s="61" t="s">
        <v>62</v>
      </c>
      <c r="B16" s="62"/>
      <c r="C16" s="61">
        <f>Balance!H13</f>
        <v>510</v>
      </c>
      <c r="D16" s="61">
        <v>1200</v>
      </c>
      <c r="E16" s="62">
        <f t="shared" si="0"/>
        <v>-690</v>
      </c>
      <c r="F16" s="63"/>
      <c r="G16" s="64"/>
      <c r="H16" s="61">
        <f t="shared" si="1"/>
        <v>-690</v>
      </c>
      <c r="I16" s="65"/>
      <c r="J16" s="75">
        <f>-H16</f>
        <v>690</v>
      </c>
      <c r="K16" s="71"/>
      <c r="L16" s="70"/>
      <c r="M16" s="71">
        <f t="shared" si="2"/>
        <v>0</v>
      </c>
    </row>
    <row r="17" spans="1:13">
      <c r="A17" s="68" t="s">
        <v>63</v>
      </c>
      <c r="B17" s="69"/>
      <c r="C17" s="61">
        <f>Balance!H16</f>
        <v>102000.41</v>
      </c>
      <c r="D17" s="61">
        <v>102000.41</v>
      </c>
      <c r="E17" s="62">
        <f t="shared" si="0"/>
        <v>0</v>
      </c>
      <c r="F17" s="148">
        <v>0</v>
      </c>
      <c r="G17" s="64">
        <v>0</v>
      </c>
      <c r="H17" s="61">
        <f>+E17+F17-G17</f>
        <v>0</v>
      </c>
      <c r="I17" s="67" t="s">
        <v>10</v>
      </c>
      <c r="J17" s="75"/>
      <c r="K17" s="71">
        <f>-H17</f>
        <v>0</v>
      </c>
      <c r="L17" s="70"/>
      <c r="M17" s="71">
        <f t="shared" si="2"/>
        <v>0</v>
      </c>
    </row>
    <row r="18" spans="1:13">
      <c r="A18" s="68" t="s">
        <v>64</v>
      </c>
      <c r="B18" s="69"/>
      <c r="C18" s="76">
        <f>Balance!H17</f>
        <v>2037.22</v>
      </c>
      <c r="D18" s="76">
        <v>2144.3200000000002</v>
      </c>
      <c r="E18" s="62">
        <f t="shared" si="0"/>
        <v>-107.10000000000014</v>
      </c>
      <c r="F18" s="63"/>
      <c r="G18" s="64"/>
      <c r="H18" s="76">
        <f t="shared" si="1"/>
        <v>-107.10000000000014</v>
      </c>
      <c r="I18" s="77"/>
      <c r="J18" s="75">
        <f>-H18</f>
        <v>107.10000000000014</v>
      </c>
      <c r="K18" s="71"/>
      <c r="L18" s="70"/>
      <c r="M18" s="71">
        <f t="shared" si="2"/>
        <v>0</v>
      </c>
    </row>
    <row r="19" spans="1:13" ht="17.25" thickBot="1">
      <c r="A19" s="78" t="s">
        <v>65</v>
      </c>
      <c r="B19" s="79"/>
      <c r="C19" s="80">
        <f t="shared" ref="C19:L19" si="3">SUM(C10:C18)</f>
        <v>403323.02999999991</v>
      </c>
      <c r="D19" s="81">
        <f t="shared" si="3"/>
        <v>327090.25999999995</v>
      </c>
      <c r="E19" s="80">
        <f t="shared" si="3"/>
        <v>76232.77</v>
      </c>
      <c r="F19" s="82">
        <f t="shared" si="3"/>
        <v>0</v>
      </c>
      <c r="G19" s="83">
        <f t="shared" si="3"/>
        <v>0</v>
      </c>
      <c r="H19" s="80">
        <f t="shared" si="3"/>
        <v>76232.77</v>
      </c>
      <c r="I19" s="84">
        <f>SUM(I10:I18)</f>
        <v>0</v>
      </c>
      <c r="J19" s="85">
        <f>SUM(J10:J18)</f>
        <v>-55843.160000000011</v>
      </c>
      <c r="K19" s="86">
        <f>SUM(K10:K18)</f>
        <v>0</v>
      </c>
      <c r="L19" s="85">
        <f t="shared" si="3"/>
        <v>0</v>
      </c>
      <c r="M19" s="71">
        <f>SUM(I19:L19)+H19</f>
        <v>20389.609999999993</v>
      </c>
    </row>
    <row r="20" spans="1:13" ht="15.75" thickTop="1">
      <c r="A20" s="87" t="s">
        <v>66</v>
      </c>
      <c r="B20" s="88"/>
      <c r="C20" s="89"/>
      <c r="D20" s="90"/>
      <c r="E20" s="62"/>
      <c r="F20" s="63"/>
      <c r="G20" s="64"/>
      <c r="H20" s="62"/>
      <c r="I20" s="67"/>
      <c r="J20" s="70"/>
      <c r="K20" s="71"/>
      <c r="L20" s="70"/>
      <c r="M20" s="71">
        <f t="shared" si="2"/>
        <v>0</v>
      </c>
    </row>
    <row r="21" spans="1:13">
      <c r="A21" s="68" t="s">
        <v>67</v>
      </c>
      <c r="B21" s="69"/>
      <c r="C21" s="64">
        <f>Balance!H22*-1</f>
        <v>-8367.85</v>
      </c>
      <c r="D21" s="61">
        <v>-9118.67</v>
      </c>
      <c r="E21" s="62">
        <f>C21-D21</f>
        <v>750.81999999999971</v>
      </c>
      <c r="F21" s="63">
        <v>0</v>
      </c>
      <c r="G21" s="64">
        <v>0</v>
      </c>
      <c r="H21" s="62">
        <f>+E21+G21-F21</f>
        <v>750.81999999999971</v>
      </c>
      <c r="I21" s="67"/>
      <c r="J21" s="75">
        <f>-H21</f>
        <v>-750.81999999999971</v>
      </c>
      <c r="K21" s="74"/>
      <c r="L21" s="70"/>
      <c r="M21" s="71">
        <f>SUM(H21:L21)</f>
        <v>0</v>
      </c>
    </row>
    <row r="22" spans="1:13">
      <c r="A22" s="68" t="s">
        <v>68</v>
      </c>
      <c r="B22" s="69"/>
      <c r="C22" s="64">
        <f>Balance!H24*-1</f>
        <v>-635.01</v>
      </c>
      <c r="D22" s="61">
        <v>-1843.65</v>
      </c>
      <c r="E22" s="62">
        <f t="shared" ref="E22:E29" si="4">C22-D22</f>
        <v>1208.6400000000001</v>
      </c>
      <c r="F22" s="63"/>
      <c r="G22" s="64">
        <v>0</v>
      </c>
      <c r="H22" s="62">
        <f t="shared" ref="H22:H27" si="5">+E22+G22-F22</f>
        <v>1208.6400000000001</v>
      </c>
      <c r="I22" s="67"/>
      <c r="J22" s="91">
        <f>-H22</f>
        <v>-1208.6400000000001</v>
      </c>
      <c r="K22" s="74"/>
      <c r="L22" s="70"/>
      <c r="M22" s="71">
        <f t="shared" ref="M22:M29" si="6">SUM(I22:L22)+H22</f>
        <v>0</v>
      </c>
    </row>
    <row r="23" spans="1:13">
      <c r="A23" s="68" t="s">
        <v>69</v>
      </c>
      <c r="B23" s="69"/>
      <c r="C23" s="64">
        <f>Balance!H23*-1</f>
        <v>-39890.06</v>
      </c>
      <c r="D23" s="61">
        <v>-9880.07</v>
      </c>
      <c r="E23" s="62">
        <f t="shared" si="4"/>
        <v>-30009.989999999998</v>
      </c>
      <c r="F23" s="63">
        <v>0</v>
      </c>
      <c r="G23" s="64"/>
      <c r="H23" s="62">
        <f t="shared" si="5"/>
        <v>-30009.989999999998</v>
      </c>
      <c r="I23" s="67">
        <v>0</v>
      </c>
      <c r="J23" s="75">
        <f>-H23</f>
        <v>30009.989999999998</v>
      </c>
      <c r="K23" s="71"/>
      <c r="L23" s="70">
        <v>0</v>
      </c>
      <c r="M23" s="71">
        <f t="shared" si="6"/>
        <v>0</v>
      </c>
    </row>
    <row r="24" spans="1:13">
      <c r="A24" s="68" t="s">
        <v>70</v>
      </c>
      <c r="B24" s="69"/>
      <c r="C24" s="64"/>
      <c r="D24" s="61">
        <v>0</v>
      </c>
      <c r="E24" s="62">
        <f t="shared" si="4"/>
        <v>0</v>
      </c>
      <c r="F24" s="63">
        <v>0</v>
      </c>
      <c r="G24" s="64"/>
      <c r="H24" s="62">
        <f t="shared" si="5"/>
        <v>0</v>
      </c>
      <c r="I24" s="67">
        <v>0</v>
      </c>
      <c r="J24" s="70">
        <f>-H24-I24</f>
        <v>0</v>
      </c>
      <c r="K24" s="71"/>
      <c r="L24" s="70"/>
      <c r="M24" s="71">
        <f t="shared" si="6"/>
        <v>0</v>
      </c>
    </row>
    <row r="25" spans="1:13" ht="16.5">
      <c r="A25" s="92" t="s">
        <v>71</v>
      </c>
      <c r="B25" s="93"/>
      <c r="C25" s="94"/>
      <c r="D25" s="92"/>
      <c r="E25" s="62">
        <f>C25-D25</f>
        <v>0</v>
      </c>
      <c r="F25" s="63"/>
      <c r="G25" s="64"/>
      <c r="H25" s="62">
        <f t="shared" si="5"/>
        <v>0</v>
      </c>
      <c r="I25" s="67"/>
      <c r="J25" s="70"/>
      <c r="K25" s="71"/>
      <c r="L25" s="70"/>
      <c r="M25" s="95">
        <f t="shared" si="6"/>
        <v>0</v>
      </c>
    </row>
    <row r="26" spans="1:13">
      <c r="A26" s="61" t="s">
        <v>72</v>
      </c>
      <c r="B26" s="62"/>
      <c r="C26" s="64">
        <f>Balance!H29*-1</f>
        <v>-325176</v>
      </c>
      <c r="D26" s="61">
        <v>-325176</v>
      </c>
      <c r="E26" s="62">
        <f t="shared" si="4"/>
        <v>0</v>
      </c>
      <c r="F26" s="63"/>
      <c r="G26" s="64"/>
      <c r="H26" s="62">
        <f t="shared" si="5"/>
        <v>0</v>
      </c>
      <c r="I26" s="67"/>
      <c r="J26" s="70"/>
      <c r="K26" s="71"/>
      <c r="L26" s="70">
        <v>0</v>
      </c>
      <c r="M26" s="71">
        <f t="shared" si="6"/>
        <v>0</v>
      </c>
    </row>
    <row r="27" spans="1:13">
      <c r="A27" s="68" t="s">
        <v>73</v>
      </c>
      <c r="B27" s="69"/>
      <c r="C27" s="64">
        <f>Balance!H32*-1</f>
        <v>-7897.4599999999991</v>
      </c>
      <c r="D27" s="61">
        <v>-7897.46</v>
      </c>
      <c r="E27" s="62">
        <f>C27-D27</f>
        <v>0</v>
      </c>
      <c r="F27" s="63"/>
      <c r="G27" s="64"/>
      <c r="H27" s="62">
        <f t="shared" si="5"/>
        <v>0</v>
      </c>
      <c r="I27" s="67">
        <f>-H27</f>
        <v>0</v>
      </c>
      <c r="J27" s="70"/>
      <c r="K27" s="71"/>
      <c r="L27" s="70"/>
      <c r="M27" s="71">
        <f t="shared" si="6"/>
        <v>0</v>
      </c>
    </row>
    <row r="28" spans="1:13">
      <c r="A28" s="68" t="s">
        <v>74</v>
      </c>
      <c r="B28" s="69"/>
      <c r="C28" s="64">
        <f>Balance!H35*-1</f>
        <v>0</v>
      </c>
      <c r="D28" s="61">
        <v>0</v>
      </c>
      <c r="E28" s="62">
        <f t="shared" si="4"/>
        <v>0</v>
      </c>
      <c r="F28" s="63">
        <v>0</v>
      </c>
      <c r="G28" s="114">
        <v>0</v>
      </c>
      <c r="H28" s="62">
        <f>+E28+G28-F28</f>
        <v>0</v>
      </c>
      <c r="I28" s="67">
        <v>0</v>
      </c>
      <c r="J28" s="70">
        <f>(H28)*-1</f>
        <v>0</v>
      </c>
      <c r="K28" s="71"/>
      <c r="L28" s="70"/>
      <c r="M28" s="71"/>
    </row>
    <row r="29" spans="1:13">
      <c r="A29" s="68" t="s">
        <v>75</v>
      </c>
      <c r="B29" s="69"/>
      <c r="C29" s="96">
        <f>Balance!H37*-1</f>
        <v>-21356.650000000005</v>
      </c>
      <c r="D29" s="76">
        <v>26825.59</v>
      </c>
      <c r="E29" s="62">
        <f t="shared" si="4"/>
        <v>-48182.240000000005</v>
      </c>
      <c r="F29" s="63"/>
      <c r="G29" s="64"/>
      <c r="H29" s="62">
        <f>+E29+G29-F29</f>
        <v>-48182.240000000005</v>
      </c>
      <c r="I29" s="67">
        <f>H29*-1</f>
        <v>48182.240000000005</v>
      </c>
      <c r="J29" s="70"/>
      <c r="K29" s="71"/>
      <c r="L29" s="70">
        <f>+(H29+I29)*-1</f>
        <v>0</v>
      </c>
      <c r="M29" s="71">
        <f t="shared" si="6"/>
        <v>0</v>
      </c>
    </row>
    <row r="30" spans="1:13" ht="17.25" thickBot="1">
      <c r="A30" s="92" t="s">
        <v>76</v>
      </c>
      <c r="B30" s="93"/>
      <c r="C30" s="80">
        <f>SUM(C20:C29)</f>
        <v>-403323.03</v>
      </c>
      <c r="D30" s="81">
        <f>SUM(D20:D29)</f>
        <v>-327090.26</v>
      </c>
      <c r="E30" s="80">
        <f>SUM(E20:E29)</f>
        <v>-76232.77</v>
      </c>
      <c r="F30" s="82">
        <f t="shared" ref="F30:L30" si="7">SUM(F21:F29)</f>
        <v>0</v>
      </c>
      <c r="G30" s="83">
        <f t="shared" si="7"/>
        <v>0</v>
      </c>
      <c r="H30" s="80">
        <f t="shared" si="7"/>
        <v>-76232.77</v>
      </c>
      <c r="I30" s="97">
        <f>SUM(I21:I29)</f>
        <v>48182.240000000005</v>
      </c>
      <c r="J30" s="85">
        <f>SUM(J21:J29)</f>
        <v>28050.53</v>
      </c>
      <c r="K30" s="86">
        <f t="shared" si="7"/>
        <v>0</v>
      </c>
      <c r="L30" s="85">
        <f t="shared" si="7"/>
        <v>0</v>
      </c>
      <c r="M30" s="86"/>
    </row>
    <row r="31" spans="1:13" ht="15.75" thickTop="1">
      <c r="A31" s="76" t="s">
        <v>77</v>
      </c>
      <c r="B31" s="98"/>
      <c r="C31" s="98">
        <f>+C19+C30</f>
        <v>0</v>
      </c>
      <c r="D31" s="98">
        <f>+D19+D30</f>
        <v>0</v>
      </c>
      <c r="E31" s="98">
        <f>+E19+E30</f>
        <v>0</v>
      </c>
      <c r="F31" s="98">
        <f>+F19+F30</f>
        <v>0</v>
      </c>
      <c r="G31" s="98">
        <f>+G19+G30</f>
        <v>0</v>
      </c>
      <c r="H31" s="98">
        <f>+H30+H19</f>
        <v>0</v>
      </c>
      <c r="I31" s="76">
        <f>+I30+I19</f>
        <v>48182.240000000005</v>
      </c>
      <c r="J31" s="99">
        <f>+J19+J30</f>
        <v>-27792.630000000012</v>
      </c>
      <c r="K31" s="100">
        <f>+K19+K30</f>
        <v>0</v>
      </c>
      <c r="L31" s="98">
        <f>+L19+L30</f>
        <v>0</v>
      </c>
      <c r="M31" s="76">
        <f>I31+J31+K31+L31</f>
        <v>20389.609999999993</v>
      </c>
    </row>
    <row r="32" spans="1:13" hidden="1">
      <c r="A32" s="101"/>
      <c r="B32" s="101"/>
      <c r="C32" s="62"/>
      <c r="D32" s="62"/>
      <c r="E32" s="62"/>
      <c r="F32" s="62"/>
      <c r="G32" s="62"/>
      <c r="H32" s="62"/>
      <c r="I32" s="101"/>
      <c r="J32" s="101"/>
      <c r="K32" s="101"/>
      <c r="L32" s="101"/>
      <c r="M32" s="101"/>
    </row>
    <row r="33" spans="1:15">
      <c r="A33" s="101"/>
      <c r="B33" s="101"/>
      <c r="C33" s="62"/>
      <c r="D33" s="62"/>
      <c r="E33" s="98"/>
      <c r="F33" s="98"/>
      <c r="G33" s="98"/>
      <c r="H33" s="98"/>
      <c r="I33" s="101"/>
      <c r="J33" s="101"/>
      <c r="K33" s="101"/>
      <c r="L33" s="101"/>
      <c r="M33" s="101"/>
    </row>
    <row r="34" spans="1:15">
      <c r="A34" s="273" t="s">
        <v>78</v>
      </c>
      <c r="B34" s="274"/>
      <c r="C34" s="274"/>
      <c r="D34" s="274"/>
      <c r="E34" s="274"/>
      <c r="F34" s="274"/>
      <c r="G34" s="274"/>
      <c r="H34" s="275"/>
      <c r="I34" s="101"/>
      <c r="J34" s="101"/>
      <c r="K34" s="101"/>
      <c r="L34" s="101"/>
      <c r="M34" s="101"/>
    </row>
    <row r="35" spans="1:15">
      <c r="A35" s="61" t="s">
        <v>79</v>
      </c>
      <c r="B35" s="63"/>
      <c r="C35" s="63"/>
      <c r="D35" s="70">
        <f>Resultado!I23</f>
        <v>8811.42</v>
      </c>
      <c r="E35" s="70">
        <f>+D35</f>
        <v>8811.42</v>
      </c>
      <c r="F35" s="102">
        <v>0</v>
      </c>
      <c r="G35" s="103">
        <f>J14+J12+J16</f>
        <v>-56443.570000000007</v>
      </c>
      <c r="H35" s="104">
        <f>+E35+G35-F35</f>
        <v>-47632.150000000009</v>
      </c>
      <c r="I35" s="74"/>
      <c r="J35" s="101"/>
      <c r="K35" s="101"/>
      <c r="L35" s="101"/>
      <c r="M35" s="101"/>
    </row>
    <row r="36" spans="1:15">
      <c r="A36" s="61" t="s">
        <v>9</v>
      </c>
      <c r="B36" s="63"/>
      <c r="C36" s="63"/>
      <c r="D36" s="70">
        <f>Resultado!I12</f>
        <v>128500</v>
      </c>
      <c r="E36" s="70">
        <f>+D36</f>
        <v>128500</v>
      </c>
      <c r="F36" s="105">
        <v>0</v>
      </c>
      <c r="G36" s="106">
        <v>0</v>
      </c>
      <c r="H36" s="104">
        <f>+E36+G36-F36</f>
        <v>128500</v>
      </c>
      <c r="I36" s="74"/>
      <c r="J36" s="101"/>
      <c r="K36" s="101"/>
      <c r="L36" s="101"/>
      <c r="M36" s="101"/>
    </row>
    <row r="37" spans="1:15">
      <c r="A37" s="61" t="s">
        <v>80</v>
      </c>
      <c r="B37" s="63"/>
      <c r="C37" s="63"/>
      <c r="D37" s="107">
        <v>0</v>
      </c>
      <c r="E37" s="70">
        <f>+D37</f>
        <v>0</v>
      </c>
      <c r="F37" s="105">
        <f>K17+J28</f>
        <v>0</v>
      </c>
      <c r="G37" s="107">
        <v>0</v>
      </c>
      <c r="H37" s="107">
        <f>+E37-G37+F37</f>
        <v>0</v>
      </c>
      <c r="I37" s="101"/>
      <c r="J37" s="101"/>
      <c r="K37" s="101"/>
      <c r="L37" s="101"/>
      <c r="M37" s="101"/>
    </row>
    <row r="38" spans="1:15" ht="15.75" thickBot="1">
      <c r="A38" s="61"/>
      <c r="B38" s="63"/>
      <c r="C38" s="63"/>
      <c r="D38" s="108">
        <f>SUM(D35:D37)</f>
        <v>137311.42000000001</v>
      </c>
      <c r="E38" s="85">
        <f>SUM(E34:E37)</f>
        <v>137311.42000000001</v>
      </c>
      <c r="F38" s="109">
        <f>+F35+F36</f>
        <v>0</v>
      </c>
      <c r="G38" s="109">
        <f>+G35+G36</f>
        <v>-56443.570000000007</v>
      </c>
      <c r="H38" s="108">
        <f>SUM(H35:H37)</f>
        <v>80867.849999999991</v>
      </c>
      <c r="I38" s="101"/>
      <c r="J38" s="101"/>
      <c r="K38" s="101"/>
      <c r="L38" s="101"/>
      <c r="M38" s="101"/>
    </row>
    <row r="39" spans="1:15" ht="15.75" thickTop="1">
      <c r="A39" s="61" t="s">
        <v>81</v>
      </c>
      <c r="B39" s="63"/>
      <c r="C39" s="63"/>
      <c r="D39" s="104"/>
      <c r="E39" s="70">
        <f t="shared" ref="E39:E47" si="8">+D39</f>
        <v>0</v>
      </c>
      <c r="F39" s="110"/>
      <c r="G39" s="104"/>
      <c r="H39" s="104">
        <f>SUM(E39:G39)</f>
        <v>0</v>
      </c>
      <c r="I39" s="101"/>
      <c r="J39" s="276" t="s">
        <v>82</v>
      </c>
      <c r="K39" s="277"/>
      <c r="L39" s="277"/>
      <c r="M39" s="111">
        <f>I29</f>
        <v>48182.240000000005</v>
      </c>
      <c r="N39" s="112">
        <f>+M39+M40+M41</f>
        <v>20389.609999999993</v>
      </c>
      <c r="O39" s="113">
        <f>+N39-H49</f>
        <v>0</v>
      </c>
    </row>
    <row r="40" spans="1:15">
      <c r="A40" s="61" t="s">
        <v>83</v>
      </c>
      <c r="B40" s="63"/>
      <c r="C40" s="63"/>
      <c r="D40" s="104">
        <f>Resultado!I16</f>
        <v>3091</v>
      </c>
      <c r="E40" s="70">
        <f>+D40</f>
        <v>3091</v>
      </c>
      <c r="F40" s="105"/>
      <c r="G40" s="104"/>
      <c r="H40" s="114">
        <f>+E40+F40-G40</f>
        <v>3091</v>
      </c>
      <c r="I40" s="74"/>
      <c r="J40" s="269" t="s">
        <v>84</v>
      </c>
      <c r="K40" s="270"/>
      <c r="L40" s="270"/>
      <c r="M40" s="115">
        <f>I27</f>
        <v>0</v>
      </c>
    </row>
    <row r="41" spans="1:15">
      <c r="A41" s="61" t="s">
        <v>14</v>
      </c>
      <c r="B41" s="63"/>
      <c r="C41" s="63"/>
      <c r="D41" s="104">
        <v>-36289.93</v>
      </c>
      <c r="E41" s="70">
        <f>+D41</f>
        <v>-36289.93</v>
      </c>
      <c r="F41" s="105"/>
      <c r="G41" s="104">
        <v>0</v>
      </c>
      <c r="H41" s="114">
        <f>+E41+F41-G41</f>
        <v>-36289.93</v>
      </c>
      <c r="I41" s="74"/>
      <c r="J41" s="269" t="s">
        <v>85</v>
      </c>
      <c r="K41" s="270"/>
      <c r="L41" s="270"/>
      <c r="M41" s="116">
        <f>+J31</f>
        <v>-27792.630000000012</v>
      </c>
      <c r="N41" s="117"/>
    </row>
    <row r="42" spans="1:15">
      <c r="A42" s="61" t="s">
        <v>86</v>
      </c>
      <c r="B42" s="63"/>
      <c r="C42" s="63"/>
      <c r="D42" s="104">
        <f>-89129.18-D41-D43-D46-D45-D40</f>
        <v>-6718.5199999999932</v>
      </c>
      <c r="E42" s="70">
        <f>+D42</f>
        <v>-6718.5199999999932</v>
      </c>
      <c r="F42" s="105"/>
      <c r="G42" s="118">
        <f>-J15-J21-J23</f>
        <v>-29752.48</v>
      </c>
      <c r="H42" s="119">
        <f>+E42+F42-G42</f>
        <v>23033.960000000006</v>
      </c>
      <c r="I42" s="74"/>
      <c r="J42" s="269" t="s">
        <v>87</v>
      </c>
      <c r="K42" s="270"/>
      <c r="L42" s="270"/>
      <c r="M42" s="120">
        <f>+K31</f>
        <v>0</v>
      </c>
    </row>
    <row r="43" spans="1:15">
      <c r="A43" s="61" t="s">
        <v>15</v>
      </c>
      <c r="B43" s="63"/>
      <c r="C43" s="63"/>
      <c r="D43" s="121">
        <v>-47330.21</v>
      </c>
      <c r="E43" s="70">
        <f>+D43</f>
        <v>-47330.21</v>
      </c>
      <c r="F43" s="105"/>
      <c r="G43" s="104"/>
      <c r="H43" s="114">
        <f>+E43+F43-G43</f>
        <v>-47330.21</v>
      </c>
      <c r="I43" s="74"/>
      <c r="J43" s="269" t="s">
        <v>88</v>
      </c>
      <c r="K43" s="270"/>
      <c r="L43" s="270"/>
      <c r="M43" s="122">
        <f>+L31</f>
        <v>0</v>
      </c>
    </row>
    <row r="44" spans="1:15">
      <c r="A44" s="61" t="s">
        <v>89</v>
      </c>
      <c r="B44" s="63"/>
      <c r="C44" s="63"/>
      <c r="D44" s="104">
        <v>0</v>
      </c>
      <c r="E44" s="70">
        <f>+D44</f>
        <v>0</v>
      </c>
      <c r="F44" s="105">
        <v>0</v>
      </c>
      <c r="G44" s="123">
        <f>J22</f>
        <v>-1208.6400000000001</v>
      </c>
      <c r="H44" s="104">
        <f>+E44-F44+G44</f>
        <v>-1208.6400000000001</v>
      </c>
      <c r="I44" s="74"/>
      <c r="J44" s="269" t="s">
        <v>90</v>
      </c>
      <c r="K44" s="270"/>
      <c r="L44" s="270"/>
      <c r="M44" s="122">
        <f>SUM(M39:M43)</f>
        <v>20389.609999999993</v>
      </c>
      <c r="N44" s="74"/>
      <c r="O44" s="117"/>
    </row>
    <row r="45" spans="1:15">
      <c r="A45" s="61" t="s">
        <v>91</v>
      </c>
      <c r="B45" s="63"/>
      <c r="C45" s="63"/>
      <c r="D45" s="104">
        <v>-107.1</v>
      </c>
      <c r="E45" s="70">
        <f t="shared" si="8"/>
        <v>-107.1</v>
      </c>
      <c r="F45" s="124">
        <f>J18</f>
        <v>107.10000000000014</v>
      </c>
      <c r="G45" s="104"/>
      <c r="H45" s="104">
        <f>+E45+F45-G45</f>
        <v>1.4210854715202004E-13</v>
      </c>
      <c r="I45" s="74"/>
      <c r="J45" s="269" t="s">
        <v>92</v>
      </c>
      <c r="K45" s="270"/>
      <c r="L45" s="270"/>
      <c r="M45" s="122">
        <f>+D10</f>
        <v>1992.18</v>
      </c>
      <c r="N45" s="74"/>
    </row>
    <row r="46" spans="1:15" ht="15.75" thickBot="1">
      <c r="A46" s="61" t="s">
        <v>16</v>
      </c>
      <c r="B46" s="63"/>
      <c r="C46" s="63"/>
      <c r="D46" s="65">
        <v>-1774.42</v>
      </c>
      <c r="E46" s="62">
        <f t="shared" si="8"/>
        <v>-1774.42</v>
      </c>
      <c r="F46" s="125"/>
      <c r="G46" s="65"/>
      <c r="H46" s="119">
        <f>+E46+F46-G46</f>
        <v>-1774.42</v>
      </c>
      <c r="I46" s="74"/>
      <c r="J46" s="271" t="s">
        <v>93</v>
      </c>
      <c r="K46" s="272"/>
      <c r="L46" s="272"/>
      <c r="M46" s="126">
        <f>SUM(M44:M45)</f>
        <v>22381.789999999994</v>
      </c>
      <c r="N46" s="74"/>
    </row>
    <row r="47" spans="1:15">
      <c r="A47" s="61" t="s">
        <v>73</v>
      </c>
      <c r="B47" s="63"/>
      <c r="C47" s="63"/>
      <c r="D47" s="96">
        <v>0</v>
      </c>
      <c r="E47" s="98">
        <f t="shared" si="8"/>
        <v>0</v>
      </c>
      <c r="F47" s="127">
        <v>0</v>
      </c>
      <c r="G47" s="96"/>
      <c r="H47" s="96"/>
      <c r="I47" s="101"/>
      <c r="J47" s="101"/>
      <c r="K47" s="101"/>
      <c r="L47" s="62"/>
      <c r="M47" s="128"/>
    </row>
    <row r="48" spans="1:15" ht="17.25" thickBot="1">
      <c r="A48" s="61"/>
      <c r="B48" s="63"/>
      <c r="C48" s="63"/>
      <c r="D48" s="83">
        <f>SUM(D39:D47)</f>
        <v>-89129.180000000008</v>
      </c>
      <c r="E48" s="80">
        <f>+D48</f>
        <v>-89129.180000000008</v>
      </c>
      <c r="F48" s="82">
        <f>SUM(F40:F47)</f>
        <v>107.10000000000014</v>
      </c>
      <c r="G48" s="83">
        <f>SUM(G40:G47)</f>
        <v>-30961.119999999999</v>
      </c>
      <c r="H48" s="83">
        <f>SUM(H39:H47)</f>
        <v>-60478.239999999991</v>
      </c>
      <c r="I48" s="101"/>
      <c r="J48" s="101"/>
      <c r="K48" s="101"/>
      <c r="L48" s="93" t="s">
        <v>94</v>
      </c>
      <c r="M48" s="93">
        <f>M46-C10</f>
        <v>0</v>
      </c>
    </row>
    <row r="49" spans="1:15" ht="15.75" thickTop="1">
      <c r="A49" s="76"/>
      <c r="B49" s="127"/>
      <c r="C49" s="127"/>
      <c r="D49" s="96">
        <f>+D38+D48</f>
        <v>48182.240000000005</v>
      </c>
      <c r="E49" s="98">
        <f>+E38+E48</f>
        <v>48182.240000000005</v>
      </c>
      <c r="F49" s="129">
        <f>+F38+F48</f>
        <v>107.10000000000014</v>
      </c>
      <c r="G49" s="130">
        <f>G48+G38</f>
        <v>-87404.69</v>
      </c>
      <c r="H49" s="96">
        <f>+H38+H48</f>
        <v>20389.61</v>
      </c>
      <c r="I49" s="101"/>
      <c r="J49" s="101"/>
      <c r="K49" s="101"/>
      <c r="L49" s="62"/>
      <c r="M49" s="62"/>
    </row>
    <row r="50" spans="1:15">
      <c r="C50" s="132"/>
      <c r="D50" s="133"/>
      <c r="E50" s="74"/>
      <c r="F50" s="133"/>
      <c r="G50" s="133"/>
      <c r="H50" s="133"/>
      <c r="I50" s="134"/>
      <c r="J50" s="134"/>
      <c r="K50" s="134"/>
      <c r="L50" s="134"/>
      <c r="M50" s="134"/>
    </row>
    <row r="51" spans="1:15">
      <c r="C51" s="142"/>
      <c r="D51" s="143"/>
      <c r="E51" s="143"/>
      <c r="F51" s="143"/>
      <c r="G51" s="143">
        <f>G49+H49-F49</f>
        <v>-67122.180000000008</v>
      </c>
      <c r="H51" s="143">
        <f>M44-H49</f>
        <v>0</v>
      </c>
      <c r="I51" s="144"/>
      <c r="J51" s="134"/>
      <c r="K51" s="134"/>
      <c r="L51" s="134"/>
      <c r="M51" s="134"/>
    </row>
    <row r="52" spans="1:15">
      <c r="C52" s="142">
        <v>1693.6</v>
      </c>
      <c r="D52" s="145">
        <v>1182.6099999999999</v>
      </c>
      <c r="E52" s="145">
        <f>C52-D52</f>
        <v>510.99</v>
      </c>
      <c r="F52" s="145"/>
      <c r="G52" s="145"/>
      <c r="H52" s="147">
        <f>M31-H49</f>
        <v>0</v>
      </c>
      <c r="I52" s="146"/>
      <c r="J52" s="136"/>
      <c r="M52" s="136"/>
    </row>
    <row r="53" spans="1:15">
      <c r="C53" s="142"/>
      <c r="D53" s="145"/>
      <c r="E53" s="145"/>
      <c r="F53" s="145"/>
      <c r="G53" s="145">
        <f>G51-M46</f>
        <v>-89503.97</v>
      </c>
      <c r="H53" s="145"/>
      <c r="I53" s="142"/>
    </row>
    <row r="54" spans="1:15">
      <c r="C54" s="142"/>
      <c r="D54" s="145"/>
      <c r="E54" s="145"/>
      <c r="F54" s="145"/>
      <c r="G54" s="145"/>
      <c r="H54" s="145"/>
      <c r="I54" s="142"/>
    </row>
    <row r="55" spans="1:15">
      <c r="C55" s="142"/>
      <c r="D55" s="145"/>
      <c r="E55" s="145"/>
      <c r="F55" s="145"/>
      <c r="G55" s="145"/>
      <c r="H55" s="145"/>
      <c r="I55" s="142"/>
    </row>
    <row r="56" spans="1:15">
      <c r="D56" s="135"/>
      <c r="E56" s="135"/>
      <c r="F56" s="135"/>
      <c r="G56" s="135"/>
      <c r="H56" s="135"/>
    </row>
    <row r="57" spans="1:15">
      <c r="D57" s="135"/>
      <c r="E57" s="135"/>
      <c r="F57" s="135"/>
      <c r="G57" s="135"/>
      <c r="H57" s="135"/>
    </row>
    <row r="58" spans="1:15">
      <c r="D58" s="135"/>
      <c r="E58" s="135"/>
      <c r="F58" s="135"/>
      <c r="G58" s="135"/>
      <c r="H58" s="135"/>
    </row>
    <row r="59" spans="1:15" s="131" customFormat="1">
      <c r="C59" s="135"/>
      <c r="D59" s="135"/>
      <c r="E59" s="135"/>
      <c r="F59" s="135"/>
      <c r="G59" s="135"/>
      <c r="H59" s="135"/>
      <c r="N59" s="37"/>
      <c r="O59" s="37"/>
    </row>
    <row r="60" spans="1:15" s="131" customFormat="1">
      <c r="C60" s="137"/>
      <c r="N60" s="37"/>
      <c r="O60" s="37"/>
    </row>
    <row r="61" spans="1:15" s="131" customFormat="1">
      <c r="C61" s="138"/>
      <c r="N61" s="37"/>
      <c r="O61" s="37"/>
    </row>
  </sheetData>
  <mergeCells count="9"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showGridLines="0" workbookViewId="0">
      <selection activeCell="M10" sqref="M10"/>
    </sheetView>
  </sheetViews>
  <sheetFormatPr baseColWidth="10" defaultRowHeight="15"/>
  <cols>
    <col min="1" max="1" width="2.42578125" style="202" customWidth="1"/>
    <col min="2" max="2" width="2.140625" style="202" customWidth="1"/>
    <col min="3" max="3" width="1.5703125" style="202" customWidth="1"/>
    <col min="4" max="4" width="5" style="202" customWidth="1"/>
    <col min="5" max="5" width="49.140625" style="202" customWidth="1"/>
    <col min="6" max="6" width="5.7109375" style="202" hidden="1" customWidth="1"/>
    <col min="7" max="7" width="5.42578125" style="202" customWidth="1"/>
    <col min="8" max="8" width="1.28515625" style="202" customWidth="1"/>
    <col min="9" max="9" width="13.7109375" style="202" customWidth="1"/>
    <col min="10" max="10" width="4.140625" style="202" customWidth="1"/>
    <col min="11" max="11" width="12.7109375" style="202" hidden="1" customWidth="1"/>
    <col min="12" max="16384" width="11.42578125" style="202"/>
  </cols>
  <sheetData>
    <row r="1" spans="1:11" ht="15.75" customHeight="1">
      <c r="A1" s="264" t="str">
        <f>[1]Balance!A1</f>
        <v>LAFISE VALORES DE EL SALVADOR, S.A. DE C.V.</v>
      </c>
      <c r="B1" s="264"/>
      <c r="C1" s="264"/>
      <c r="D1" s="264"/>
      <c r="E1" s="264"/>
      <c r="F1" s="264"/>
      <c r="G1" s="264"/>
      <c r="H1" s="264"/>
      <c r="I1" s="264"/>
      <c r="J1" s="251"/>
      <c r="K1" s="251"/>
    </row>
    <row r="2" spans="1:11" ht="15.75" customHeight="1">
      <c r="A2" s="263" t="str">
        <f>[1]Patrimonio!A2</f>
        <v>(Casa de Corredores de Bolsa)</v>
      </c>
      <c r="B2" s="263"/>
      <c r="C2" s="263"/>
      <c r="D2" s="263"/>
      <c r="E2" s="263"/>
      <c r="F2" s="263"/>
      <c r="G2" s="263"/>
      <c r="H2" s="263"/>
      <c r="I2" s="263"/>
      <c r="J2" s="251"/>
      <c r="K2" s="251"/>
    </row>
    <row r="3" spans="1:11" ht="15.75" customHeight="1">
      <c r="A3" s="278" t="str">
        <f>[1]Balance!A3</f>
        <v>(Compañía Salvadoreña Subsidiaria de Finance Exchange and Trading Corp.)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ht="15.75" customHeight="1">
      <c r="A4" s="263" t="s">
        <v>3</v>
      </c>
      <c r="B4" s="263"/>
      <c r="C4" s="263"/>
      <c r="D4" s="263"/>
      <c r="E4" s="263"/>
      <c r="F4" s="263"/>
      <c r="G4" s="263"/>
      <c r="H4" s="263"/>
      <c r="I4" s="263"/>
      <c r="J4" s="220"/>
      <c r="K4" s="220"/>
    </row>
    <row r="5" spans="1:11" ht="15.75" hidden="1" customHeight="1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</row>
    <row r="6" spans="1:11" ht="15.75" customHeight="1">
      <c r="A6" s="278" t="s">
        <v>184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</row>
    <row r="7" spans="1:11" ht="15.75" hidden="1" customHeight="1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</row>
    <row r="8" spans="1:11" ht="15.75" hidden="1" customHeight="1">
      <c r="A8" s="261" t="s">
        <v>10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1:11" ht="15.75" hidden="1" customHeigh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1" ht="15.75" customHeight="1">
      <c r="A10" s="261" t="s">
        <v>6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</row>
    <row r="11" spans="1:11" hidden="1">
      <c r="A11" s="250"/>
      <c r="B11" s="250"/>
      <c r="C11" s="250"/>
      <c r="D11" s="250"/>
      <c r="E11" s="250"/>
      <c r="F11" s="250"/>
      <c r="G11" s="250"/>
      <c r="H11" s="250"/>
      <c r="I11" s="250"/>
      <c r="J11" s="250"/>
      <c r="K11" s="250"/>
    </row>
    <row r="12" spans="1:11" ht="10.5" hidden="1" customHeight="1">
      <c r="A12" s="249"/>
      <c r="B12" s="249"/>
      <c r="C12" s="249"/>
      <c r="D12" s="249"/>
      <c r="E12" s="249"/>
      <c r="F12" s="249"/>
      <c r="G12" s="249"/>
      <c r="H12" s="249"/>
      <c r="I12" s="249"/>
      <c r="J12" s="249"/>
      <c r="K12" s="249"/>
    </row>
    <row r="13" spans="1:11" hidden="1"/>
    <row r="14" spans="1:11" hidden="1"/>
    <row r="15" spans="1:11">
      <c r="F15" s="224" t="s">
        <v>7</v>
      </c>
      <c r="G15" s="224"/>
      <c r="H15" s="224"/>
      <c r="I15" s="224"/>
      <c r="J15" s="216"/>
      <c r="K15" s="224">
        <v>2013</v>
      </c>
    </row>
    <row r="16" spans="1:11" hidden="1">
      <c r="A16" s="216" t="s">
        <v>178</v>
      </c>
    </row>
    <row r="17" spans="1:17" ht="16.5" hidden="1" customHeight="1">
      <c r="A17" s="216"/>
      <c r="B17" s="202" t="s">
        <v>57</v>
      </c>
      <c r="I17" s="248">
        <v>0</v>
      </c>
      <c r="J17" s="247"/>
      <c r="K17" s="248">
        <v>0</v>
      </c>
      <c r="L17" s="202" t="s">
        <v>10</v>
      </c>
    </row>
    <row r="18" spans="1:17" ht="16.5" hidden="1" customHeight="1">
      <c r="A18" s="216"/>
      <c r="I18" s="246"/>
      <c r="J18" s="247"/>
      <c r="K18" s="246"/>
    </row>
    <row r="19" spans="1:17" ht="18" customHeight="1">
      <c r="A19" s="278" t="s">
        <v>177</v>
      </c>
      <c r="B19" s="278"/>
      <c r="C19" s="278"/>
      <c r="D19" s="278"/>
      <c r="E19" s="278"/>
    </row>
    <row r="20" spans="1:17">
      <c r="B20" s="261" t="s">
        <v>176</v>
      </c>
      <c r="C20" s="261"/>
      <c r="D20" s="261"/>
      <c r="E20" s="261"/>
      <c r="I20" s="244">
        <v>0</v>
      </c>
      <c r="J20" s="238"/>
      <c r="K20" s="244">
        <v>24519.54</v>
      </c>
    </row>
    <row r="21" spans="1:17">
      <c r="B21" s="261" t="s">
        <v>59</v>
      </c>
      <c r="C21" s="261"/>
      <c r="D21" s="261"/>
      <c r="E21" s="261"/>
      <c r="I21" s="244">
        <v>0</v>
      </c>
      <c r="J21" s="238"/>
      <c r="K21" s="244">
        <v>197405.45</v>
      </c>
      <c r="N21" s="202" t="s">
        <v>10</v>
      </c>
    </row>
    <row r="22" spans="1:17">
      <c r="B22" s="261" t="s">
        <v>175</v>
      </c>
      <c r="C22" s="261"/>
      <c r="D22" s="261"/>
      <c r="E22" s="261"/>
      <c r="F22" s="215">
        <v>11</v>
      </c>
      <c r="G22" s="215"/>
      <c r="I22" s="242">
        <v>0</v>
      </c>
      <c r="J22" s="241"/>
      <c r="K22" s="242">
        <v>179776.02</v>
      </c>
    </row>
    <row r="23" spans="1:17">
      <c r="B23" s="261" t="s">
        <v>174</v>
      </c>
      <c r="C23" s="261"/>
      <c r="D23" s="261"/>
      <c r="E23" s="261"/>
      <c r="F23" s="215">
        <v>15</v>
      </c>
      <c r="G23" s="215"/>
      <c r="I23" s="239">
        <v>0</v>
      </c>
      <c r="J23" s="238"/>
      <c r="K23" s="239">
        <v>5115550.09</v>
      </c>
    </row>
    <row r="24" spans="1:17" ht="19.149999999999999" customHeight="1" thickBot="1">
      <c r="A24" s="278" t="s">
        <v>173</v>
      </c>
      <c r="B24" s="278"/>
      <c r="C24" s="278"/>
      <c r="D24" s="278"/>
      <c r="E24" s="278"/>
      <c r="F24" s="215"/>
      <c r="G24" s="215"/>
      <c r="I24" s="237">
        <f>SUM(I20:I23)</f>
        <v>0</v>
      </c>
      <c r="J24" s="238"/>
      <c r="K24" s="237">
        <v>5517251.0999999996</v>
      </c>
    </row>
    <row r="25" spans="1:17" ht="15.75" thickTop="1">
      <c r="F25" s="215"/>
      <c r="G25" s="215"/>
      <c r="I25" s="238"/>
      <c r="J25" s="238"/>
      <c r="K25" s="238"/>
      <c r="M25" s="202" t="s">
        <v>10</v>
      </c>
    </row>
    <row r="26" spans="1:17">
      <c r="A26" s="216" t="s">
        <v>172</v>
      </c>
      <c r="F26" s="215"/>
      <c r="G26" s="215"/>
      <c r="I26" s="238"/>
      <c r="J26" s="238"/>
      <c r="K26" s="238"/>
      <c r="Q26" s="202" t="s">
        <v>10</v>
      </c>
    </row>
    <row r="27" spans="1:17">
      <c r="B27" s="216" t="s">
        <v>171</v>
      </c>
      <c r="C27" s="216"/>
      <c r="F27" s="215"/>
      <c r="G27" s="215"/>
      <c r="I27" s="238"/>
      <c r="J27" s="238"/>
      <c r="K27" s="238"/>
    </row>
    <row r="28" spans="1:17">
      <c r="B28" s="245" t="s">
        <v>170</v>
      </c>
      <c r="C28" s="216"/>
      <c r="F28" s="215"/>
      <c r="G28" s="215"/>
      <c r="I28" s="238"/>
      <c r="J28" s="238"/>
      <c r="K28" s="238"/>
    </row>
    <row r="29" spans="1:17">
      <c r="B29" s="245"/>
      <c r="C29" s="216"/>
      <c r="D29" s="202" t="s">
        <v>169</v>
      </c>
      <c r="F29" s="215"/>
      <c r="G29" s="215"/>
      <c r="I29" s="244">
        <v>0</v>
      </c>
      <c r="J29" s="238"/>
      <c r="K29" s="244">
        <v>31783.599999999999</v>
      </c>
      <c r="N29" s="202" t="s">
        <v>10</v>
      </c>
    </row>
    <row r="30" spans="1:17">
      <c r="D30" s="202" t="s">
        <v>67</v>
      </c>
      <c r="F30" s="215"/>
      <c r="G30" s="215"/>
      <c r="I30" s="243">
        <v>0</v>
      </c>
      <c r="J30" s="238"/>
      <c r="K30" s="243">
        <v>190141.39</v>
      </c>
    </row>
    <row r="31" spans="1:17">
      <c r="D31" s="202" t="s">
        <v>168</v>
      </c>
      <c r="F31" s="215">
        <v>11</v>
      </c>
      <c r="G31" s="215"/>
      <c r="I31" s="242">
        <v>0</v>
      </c>
      <c r="J31" s="241"/>
      <c r="K31" s="240">
        <v>179776.02</v>
      </c>
    </row>
    <row r="32" spans="1:17">
      <c r="D32" s="202" t="s">
        <v>167</v>
      </c>
      <c r="F32" s="215">
        <v>15</v>
      </c>
      <c r="G32" s="215"/>
      <c r="I32" s="239">
        <v>0</v>
      </c>
      <c r="J32" s="238"/>
      <c r="K32" s="239">
        <v>5115550.09</v>
      </c>
    </row>
    <row r="33" spans="1:16" ht="18.600000000000001" customHeight="1" thickBot="1">
      <c r="A33" s="278" t="s">
        <v>166</v>
      </c>
      <c r="B33" s="278"/>
      <c r="C33" s="278"/>
      <c r="D33" s="278"/>
      <c r="E33" s="278"/>
      <c r="I33" s="237">
        <f>SUM(I29:I32)</f>
        <v>0</v>
      </c>
      <c r="J33" s="238"/>
      <c r="K33" s="237">
        <v>5517251.0999999996</v>
      </c>
    </row>
    <row r="34" spans="1:16" ht="15.75" thickTop="1">
      <c r="I34" s="236"/>
      <c r="K34" s="236"/>
    </row>
    <row r="35" spans="1:16">
      <c r="I35" s="236"/>
      <c r="K35" s="236"/>
    </row>
    <row r="36" spans="1:16">
      <c r="I36" s="236"/>
      <c r="K36" s="236"/>
    </row>
    <row r="39" spans="1:16">
      <c r="B39" s="234" t="s">
        <v>165</v>
      </c>
      <c r="C39" s="205"/>
      <c r="D39" s="205"/>
      <c r="E39" s="205"/>
      <c r="F39" s="151"/>
      <c r="G39" s="235" t="s">
        <v>164</v>
      </c>
      <c r="H39" s="233"/>
      <c r="I39" s="233"/>
      <c r="J39" s="233"/>
      <c r="K39" s="232"/>
    </row>
    <row r="40" spans="1:16">
      <c r="B40" s="205" t="s">
        <v>163</v>
      </c>
      <c r="C40" s="205"/>
      <c r="E40" s="205"/>
      <c r="F40" s="151"/>
      <c r="G40" s="205" t="s">
        <v>162</v>
      </c>
      <c r="H40" s="233"/>
      <c r="I40" s="233"/>
      <c r="J40" s="233"/>
      <c r="K40" s="232"/>
    </row>
    <row r="41" spans="1:16">
      <c r="B41" s="205"/>
      <c r="C41" s="205"/>
      <c r="D41" s="205"/>
      <c r="E41" s="205"/>
      <c r="F41" s="151"/>
      <c r="G41" s="205"/>
      <c r="H41" s="233"/>
      <c r="I41" s="233"/>
      <c r="J41" s="233"/>
      <c r="K41" s="232"/>
    </row>
    <row r="42" spans="1:16">
      <c r="B42" s="205"/>
      <c r="C42" s="205"/>
      <c r="D42" s="205"/>
      <c r="E42" s="205"/>
      <c r="F42" s="151"/>
      <c r="G42" s="205"/>
      <c r="H42" s="233"/>
      <c r="I42" s="233"/>
      <c r="J42" s="233"/>
      <c r="K42" s="232"/>
    </row>
    <row r="43" spans="1:16">
      <c r="B43" s="205"/>
      <c r="C43" s="205"/>
      <c r="D43" s="205"/>
      <c r="E43" s="234" t="s">
        <v>10</v>
      </c>
      <c r="F43" s="151"/>
      <c r="G43" s="205"/>
      <c r="H43" s="233"/>
      <c r="I43" s="233"/>
      <c r="J43" s="233"/>
      <c r="K43" s="232"/>
    </row>
    <row r="44" spans="1:16">
      <c r="B44" s="205"/>
      <c r="C44" s="205"/>
      <c r="D44" s="205"/>
      <c r="E44" s="205" t="s">
        <v>10</v>
      </c>
      <c r="F44" s="151"/>
      <c r="G44" s="205"/>
      <c r="H44" s="233"/>
      <c r="I44" s="233"/>
      <c r="J44" s="233"/>
      <c r="K44" s="232"/>
    </row>
    <row r="47" spans="1:16">
      <c r="A47" s="254" t="s">
        <v>99</v>
      </c>
      <c r="B47" s="254"/>
      <c r="C47" s="254"/>
      <c r="D47" s="254"/>
      <c r="E47" s="254"/>
      <c r="F47" s="254"/>
      <c r="G47" s="254"/>
      <c r="H47" s="254"/>
      <c r="I47" s="254"/>
      <c r="J47" s="200"/>
      <c r="K47" s="200"/>
      <c r="L47" s="200"/>
      <c r="M47" s="200"/>
      <c r="N47" s="200"/>
      <c r="O47" s="200"/>
      <c r="P47" s="200"/>
    </row>
    <row r="48" spans="1:16" ht="15.75">
      <c r="A48" s="259" t="s">
        <v>98</v>
      </c>
      <c r="B48" s="259"/>
      <c r="C48" s="259"/>
      <c r="D48" s="259"/>
      <c r="E48" s="259"/>
      <c r="F48" s="259"/>
      <c r="G48" s="259"/>
      <c r="H48" s="259"/>
      <c r="I48" s="259"/>
      <c r="J48" s="231"/>
      <c r="K48" s="231"/>
      <c r="L48" s="231"/>
      <c r="M48" s="231"/>
      <c r="N48" s="231"/>
      <c r="O48" s="231"/>
      <c r="P48" s="23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</vt:lpstr>
      <vt:lpstr>Resultado</vt:lpstr>
      <vt:lpstr>ECP</vt:lpstr>
      <vt:lpstr>Flujodef</vt:lpstr>
      <vt:lpstr>HT septiembre 2020</vt:lpstr>
      <vt:lpstr>OPERAC BURSATILES</vt:lpstr>
      <vt:lpstr>Balance!Área_de_impresión</vt:lpstr>
      <vt:lpstr>ECP!Área_de_impresión</vt:lpstr>
      <vt:lpstr>Flujodef!Área_de_impresión</vt:lpstr>
      <vt:lpstr>'OPERAC BURSATILES'!Área_de_impresión</vt:lpstr>
      <vt:lpstr>Resultado!Área_de_impresión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2021-02-10T22:35:15Z</dcterms:modified>
</cp:coreProperties>
</file>