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20\"/>
    </mc:Choice>
  </mc:AlternateContent>
  <bookViews>
    <workbookView xWindow="0" yWindow="0" windowWidth="20490" windowHeight="7620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Hoja de Trabajo - flujo" sheetId="17" state="hidden" r:id="rId6"/>
  </sheets>
  <definedNames>
    <definedName name="_xlnm.Print_Area" localSheetId="1">Balance!$A$1:$G$61</definedName>
    <definedName name="_xlnm.Print_Area" localSheetId="2">ER!$A$1:$G$64</definedName>
    <definedName name="_xlnm.Print_Area" localSheetId="0">'Est. de Ingr. Trim'!$A$1:$E$142</definedName>
    <definedName name="_xlnm.Print_Area" localSheetId="5">'Hoja de Trabajo - flujo'!$A$1:$S$75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5" i="14" l="1"/>
  <c r="F50" i="14"/>
  <c r="F41" i="14"/>
  <c r="F30" i="14"/>
  <c r="F51" i="15"/>
  <c r="F40" i="15"/>
  <c r="F32" i="15"/>
  <c r="L62" i="17" l="1"/>
  <c r="M63" i="17"/>
  <c r="L60" i="17"/>
  <c r="M61" i="17"/>
  <c r="L58" i="17"/>
  <c r="M59" i="17"/>
  <c r="L44" i="17"/>
  <c r="J23" i="17" l="1"/>
  <c r="J32" i="17"/>
  <c r="M67" i="17" l="1"/>
  <c r="H32" i="15" l="1"/>
  <c r="H32" i="17" l="1"/>
  <c r="K32" i="17" s="1"/>
  <c r="N32" i="17" s="1"/>
  <c r="O32" i="17" s="1"/>
  <c r="S32" i="17" s="1"/>
  <c r="F37" i="14"/>
  <c r="F44" i="15"/>
  <c r="L28" i="17" l="1"/>
  <c r="M28" i="17"/>
  <c r="H23" i="17"/>
  <c r="K23" i="17" s="1"/>
  <c r="N23" i="17" s="1"/>
  <c r="O23" i="17" s="1"/>
  <c r="S23" i="17" s="1"/>
  <c r="H21" i="17" l="1"/>
  <c r="A2" i="14" l="1"/>
  <c r="F46" i="14" l="1"/>
  <c r="F26" i="14"/>
  <c r="F21" i="14"/>
  <c r="F19" i="15"/>
  <c r="F26" i="15"/>
  <c r="F52" i="15"/>
  <c r="F34" i="15" l="1"/>
  <c r="F28" i="14"/>
  <c r="F53" i="15"/>
  <c r="M16" i="17"/>
  <c r="F32" i="14" l="1"/>
  <c r="F48" i="14" s="1"/>
  <c r="F52" i="14" s="1"/>
  <c r="L16" i="17"/>
  <c r="F57" i="14" l="1"/>
  <c r="I50" i="15"/>
  <c r="S18" i="17" l="1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30" i="17"/>
  <c r="C121" i="18" l="1"/>
  <c r="C125" i="18" s="1"/>
  <c r="D269" i="18"/>
  <c r="C121" i="19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F271" i="19" s="1"/>
  <c r="F277" i="19" s="1"/>
  <c r="G47" i="19"/>
  <c r="G74" i="19" s="1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9" i="17"/>
  <c r="D54" i="18" l="1"/>
  <c r="F128" i="19"/>
  <c r="E127" i="19"/>
  <c r="C271" i="19"/>
  <c r="C277" i="19" s="1"/>
  <c r="D54" i="19"/>
  <c r="C128" i="18"/>
  <c r="G127" i="18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S72" i="17" l="1"/>
  <c r="K20" i="17" l="1"/>
  <c r="N20" i="17" s="1"/>
  <c r="P20" i="17" s="1"/>
  <c r="S20" i="17" s="1"/>
  <c r="J14" i="17"/>
  <c r="J38" i="17"/>
  <c r="H52" i="15"/>
  <c r="H33" i="15"/>
  <c r="L30" i="17"/>
  <c r="H14" i="17"/>
  <c r="R14" i="17" s="1"/>
  <c r="H17" i="17"/>
  <c r="H19" i="15"/>
  <c r="L37" i="17"/>
  <c r="H35" i="17"/>
  <c r="J35" i="17"/>
  <c r="J21" i="17"/>
  <c r="L56" i="17"/>
  <c r="M57" i="17" s="1"/>
  <c r="H22" i="17"/>
  <c r="J22" i="17"/>
  <c r="J24" i="17"/>
  <c r="H31" i="17"/>
  <c r="J31" i="17"/>
  <c r="J33" i="17"/>
  <c r="H36" i="17"/>
  <c r="J36" i="17"/>
  <c r="H37" i="17"/>
  <c r="J37" i="17"/>
  <c r="M51" i="17"/>
  <c r="N51" i="17" s="1"/>
  <c r="O51" i="17" s="1"/>
  <c r="S51" i="17" s="1"/>
  <c r="M43" i="17"/>
  <c r="L18" i="17" s="1"/>
  <c r="N50" i="17"/>
  <c r="O50" i="17" s="1"/>
  <c r="S50" i="17" s="1"/>
  <c r="N47" i="17"/>
  <c r="O47" i="17" s="1"/>
  <c r="S47" i="17" s="1"/>
  <c r="N66" i="17"/>
  <c r="O66" i="17" s="1"/>
  <c r="S66" i="17" s="1"/>
  <c r="P55" i="17"/>
  <c r="S55" i="17" s="1"/>
  <c r="N53" i="17"/>
  <c r="P53" i="17" s="1"/>
  <c r="S53" i="17" s="1"/>
  <c r="M34" i="17"/>
  <c r="N70" i="17"/>
  <c r="O70" i="17" s="1"/>
  <c r="S70" i="17" s="1"/>
  <c r="N64" i="17"/>
  <c r="Q64" i="17" s="1"/>
  <c r="S64" i="17" s="1"/>
  <c r="S29" i="17"/>
  <c r="S30" i="17"/>
  <c r="S17" i="17"/>
  <c r="H19" i="17"/>
  <c r="H23" i="15"/>
  <c r="N44" i="17"/>
  <c r="P44" i="17" s="1"/>
  <c r="S44" i="17" s="1"/>
  <c r="H50" i="15"/>
  <c r="J28" i="17"/>
  <c r="J29" i="17"/>
  <c r="H29" i="17"/>
  <c r="K29" i="17" s="1"/>
  <c r="J30" i="17"/>
  <c r="N48" i="17"/>
  <c r="O48" i="17" s="1"/>
  <c r="S48" i="17" s="1"/>
  <c r="H38" i="17"/>
  <c r="H28" i="17"/>
  <c r="K28" i="17" s="1"/>
  <c r="H16" i="17"/>
  <c r="J16" i="17"/>
  <c r="J19" i="17"/>
  <c r="N59" i="17"/>
  <c r="Q59" i="17" s="1"/>
  <c r="S59" i="17" s="1"/>
  <c r="N61" i="17"/>
  <c r="Q61" i="17" s="1"/>
  <c r="S61" i="17" s="1"/>
  <c r="N65" i="17"/>
  <c r="Q65" i="17" s="1"/>
  <c r="S65" i="17" s="1"/>
  <c r="S28" i="17"/>
  <c r="H38" i="15"/>
  <c r="H31" i="15"/>
  <c r="H30" i="15"/>
  <c r="H29" i="15"/>
  <c r="H28" i="15"/>
  <c r="H49" i="15"/>
  <c r="H48" i="15"/>
  <c r="H39" i="15"/>
  <c r="H40" i="15"/>
  <c r="J11" i="17"/>
  <c r="H11" i="17"/>
  <c r="H13" i="17"/>
  <c r="R13" i="17" s="1"/>
  <c r="J13" i="17"/>
  <c r="J15" i="17"/>
  <c r="J18" i="17"/>
  <c r="H15" i="17"/>
  <c r="R15" i="17" s="1"/>
  <c r="H18" i="17"/>
  <c r="A6" i="17"/>
  <c r="S38" i="17"/>
  <c r="S41" i="17"/>
  <c r="N45" i="17"/>
  <c r="P45" i="17" s="1"/>
  <c r="N46" i="17"/>
  <c r="O46" i="17" s="1"/>
  <c r="S46" i="17" s="1"/>
  <c r="N52" i="17"/>
  <c r="O52" i="17" s="1"/>
  <c r="S52" i="17" s="1"/>
  <c r="N26" i="17"/>
  <c r="N27" i="17"/>
  <c r="N40" i="17"/>
  <c r="N55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N54" i="17"/>
  <c r="P54" i="17" s="1"/>
  <c r="S54" i="17" s="1"/>
  <c r="N58" i="17"/>
  <c r="Q58" i="17" s="1"/>
  <c r="N63" i="17"/>
  <c r="Q63" i="17" s="1"/>
  <c r="S63" i="17" s="1"/>
  <c r="M68" i="17"/>
  <c r="L69" i="17" s="1"/>
  <c r="J17" i="17"/>
  <c r="H34" i="17"/>
  <c r="N62" i="17"/>
  <c r="Q62" i="17" s="1"/>
  <c r="S62" i="17" s="1"/>
  <c r="H43" i="15"/>
  <c r="H33" i="17"/>
  <c r="H30" i="17"/>
  <c r="H24" i="17"/>
  <c r="N67" i="17" l="1"/>
  <c r="O67" i="17" s="1"/>
  <c r="S67" i="17" s="1"/>
  <c r="D57" i="11"/>
  <c r="D135" i="11"/>
  <c r="D34" i="11"/>
  <c r="M21" i="17"/>
  <c r="L21" i="17"/>
  <c r="L17" i="17"/>
  <c r="O56" i="17"/>
  <c r="S56" i="17" s="1"/>
  <c r="N68" i="17"/>
  <c r="O68" i="17" s="1"/>
  <c r="S68" i="17" s="1"/>
  <c r="K16" i="17"/>
  <c r="N16" i="17" s="1"/>
  <c r="P16" i="17" s="1"/>
  <c r="S45" i="17"/>
  <c r="H39" i="17"/>
  <c r="S58" i="17"/>
  <c r="E57" i="11"/>
  <c r="H53" i="15"/>
  <c r="N56" i="17"/>
  <c r="L33" i="17"/>
  <c r="K33" i="17"/>
  <c r="K36" i="17"/>
  <c r="N36" i="17" s="1"/>
  <c r="O36" i="17" s="1"/>
  <c r="S36" i="17" s="1"/>
  <c r="K31" i="17"/>
  <c r="N31" i="17" s="1"/>
  <c r="O31" i="17" s="1"/>
  <c r="S31" i="17" s="1"/>
  <c r="N28" i="17"/>
  <c r="K17" i="17"/>
  <c r="L49" i="17"/>
  <c r="H26" i="15"/>
  <c r="K38" i="17"/>
  <c r="K18" i="17"/>
  <c r="N18" i="17" s="1"/>
  <c r="K21" i="17"/>
  <c r="K30" i="17"/>
  <c r="N30" i="17" s="1"/>
  <c r="H47" i="15"/>
  <c r="J25" i="17"/>
  <c r="H51" i="15"/>
  <c r="J34" i="17"/>
  <c r="J39" i="17" s="1"/>
  <c r="K22" i="17"/>
  <c r="N22" i="17" s="1"/>
  <c r="O22" i="17" s="1"/>
  <c r="S22" i="17" s="1"/>
  <c r="K24" i="17"/>
  <c r="N24" i="17" s="1"/>
  <c r="O24" i="17" s="1"/>
  <c r="K19" i="17"/>
  <c r="N19" i="17" s="1"/>
  <c r="P19" i="17" s="1"/>
  <c r="S19" i="17" s="1"/>
  <c r="K37" i="17"/>
  <c r="N37" i="17" s="1"/>
  <c r="O37" i="17" s="1"/>
  <c r="S37" i="17" s="1"/>
  <c r="K35" i="17"/>
  <c r="N35" i="17" s="1"/>
  <c r="O35" i="17" s="1"/>
  <c r="S35" i="17" s="1"/>
  <c r="M33" i="17"/>
  <c r="N69" i="17"/>
  <c r="O69" i="17" s="1"/>
  <c r="S69" i="17" s="1"/>
  <c r="R71" i="17"/>
  <c r="H25" i="17"/>
  <c r="K15" i="17"/>
  <c r="K14" i="17"/>
  <c r="K13" i="17"/>
  <c r="N43" i="17"/>
  <c r="O43" i="17" s="1"/>
  <c r="S43" i="17" s="1"/>
  <c r="D137" i="11" l="1"/>
  <c r="D141" i="11" s="1"/>
  <c r="S24" i="17"/>
  <c r="K34" i="17"/>
  <c r="N34" i="17" s="1"/>
  <c r="Q34" i="17" s="1"/>
  <c r="S34" i="17" s="1"/>
  <c r="O57" i="17"/>
  <c r="S57" i="17" s="1"/>
  <c r="N21" i="17"/>
  <c r="O21" i="17" s="1"/>
  <c r="S21" i="17" s="1"/>
  <c r="N57" i="17"/>
  <c r="N33" i="17"/>
  <c r="O33" i="17" s="1"/>
  <c r="S33" i="17" s="1"/>
  <c r="J71" i="17"/>
  <c r="M17" i="17"/>
  <c r="N49" i="17"/>
  <c r="O49" i="17" s="1"/>
  <c r="S49" i="17" s="1"/>
  <c r="J41" i="17"/>
  <c r="K25" i="17"/>
  <c r="H41" i="17"/>
  <c r="H71" i="17"/>
  <c r="P71" i="17"/>
  <c r="S16" i="17"/>
  <c r="K39" i="17" l="1"/>
  <c r="K71" i="17" s="1"/>
  <c r="N17" i="17"/>
  <c r="M42" i="17" l="1"/>
  <c r="L38" i="17" s="1"/>
  <c r="N38" i="17" s="1"/>
  <c r="K41" i="17"/>
  <c r="N41" i="17" s="1"/>
  <c r="N42" i="17" l="1"/>
  <c r="O42" i="17"/>
  <c r="S42" i="17" s="1"/>
  <c r="O71" i="17" l="1"/>
  <c r="L71" i="17"/>
  <c r="M29" i="17"/>
  <c r="M71" i="17" s="1"/>
  <c r="N60" i="17"/>
  <c r="Q60" i="17" s="1"/>
  <c r="N29" i="17" l="1"/>
  <c r="N71" i="17" s="1"/>
  <c r="L72" i="17"/>
  <c r="S60" i="17"/>
  <c r="Q71" i="17"/>
  <c r="S71" i="17" l="1"/>
  <c r="S73" i="17" s="1"/>
  <c r="S74" i="17" s="1"/>
  <c r="S75" i="17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>
  <authors>
    <author>Bgallardo</author>
  </authors>
  <commentList>
    <comment ref="M57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9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<sst xmlns="http://schemas.openxmlformats.org/spreadsheetml/2006/main" count="866" uniqueCount="464">
  <si>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</si>
  <si>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</si>
  <si>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</si>
  <si>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</si>
  <si>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</si>
  <si>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</si>
  <si>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</si>
  <si>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</si>
  <si>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</si>
  <si>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</si>
  <si>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</si>
  <si>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</si>
  <si>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</si>
  <si>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</si>
  <si>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</si>
  <si>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</si>
  <si>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</si>
  <si>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</si>
  <si>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</si>
  <si>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</si>
  <si>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</si>
  <si>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</si>
  <si>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</si>
  <si>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</si>
  <si>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</si>
  <si>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</si>
  <si>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</si>
  <si>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</si>
  <si>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</si>
  <si>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</si>
  <si>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</si>
  <si>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</si>
  <si>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</si>
  <si>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</si>
  <si>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</si>
  <si>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</si>
  <si>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</si>
  <si>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</si>
  <si>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</si>
  <si>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</si>
  <si>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</si>
  <si>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</si>
  <si>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</si>
  <si>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</si>
  <si>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</si>
  <si>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</si>
  <si>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</si>
  <si>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</si>
  <si>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</si>
  <si>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</si>
  <si>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</si>
  <si>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</si>
  <si>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</si>
  <si>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</si>
  <si>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</si>
  <si>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</si>
  <si>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</si>
  <si>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</si>
  <si>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</si>
  <si>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</si>
  <si>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</si>
  <si>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</si>
  <si>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</si>
  <si>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</si>
  <si>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</si>
  <si>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</si>
  <si>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</si>
  <si>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</si>
  <si>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</si>
  <si>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</si>
  <si>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</si>
  <si>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</si>
  <si>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</si>
  <si>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</si>
  <si>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</si>
  <si>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</si>
  <si>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</si>
  <si>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</si>
  <si>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</si>
  <si>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</si>
  <si>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</si>
  <si>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</si>
  <si>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</si>
  <si>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</si>
  <si>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</si>
  <si>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</si>
  <si>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</si>
  <si>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</si>
  <si>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</si>
  <si>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</si>
  <si>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</si>
  <si>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</si>
  <si>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</si>
  <si>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</si>
  <si>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</si>
  <si>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</si>
  <si>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</si>
  <si>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</si>
  <si>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</si>
  <si>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</si>
  <si>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</si>
  <si>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</si>
  <si>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</si>
  <si>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</si>
  <si>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</si>
  <si>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</si>
  <si>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</si>
  <si>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</si>
  <si>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</si>
  <si>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</si>
  <si>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</si>
  <si>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</si>
  <si>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</si>
  <si>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</si>
  <si>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</si>
  <si>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</si>
  <si>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</si>
  <si>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</si>
  <si>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</si>
  <si>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</si>
  <si>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</si>
  <si>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</si>
  <si>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</si>
  <si>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</si>
  <si>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</si>
  <si>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</si>
  <si>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</si>
  <si>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</si>
  <si>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</si>
  <si>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</si>
  <si>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</si>
  <si>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</si>
  <si>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</si>
  <si>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</si>
  <si>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</si>
  <si>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</si>
  <si>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</si>
  <si>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</si>
  <si>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</si>
  <si>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</si>
  <si>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</si>
  <si>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</si>
  <si>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</si>
  <si>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</si>
  <si>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</si>
  <si>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</si>
  <si>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</si>
  <si>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</si>
  <si>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</si>
  <si>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</si>
  <si>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</si>
  <si>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</si>
  <si>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</si>
  <si>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</si>
  <si>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</si>
  <si>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</si>
  <si>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</si>
  <si>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</si>
  <si>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</si>
  <si>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</si>
  <si>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</si>
  <si>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</si>
  <si>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</si>
  <si>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</si>
  <si>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</si>
  <si>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</si>
  <si>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</si>
  <si>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</si>
  <si>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</si>
  <si>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</si>
  <si>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</si>
  <si>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</si>
  <si>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</si>
  <si>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</si>
  <si>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</si>
  <si>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</si>
  <si>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</si>
  <si>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</si>
  <si>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</si>
  <si>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</si>
  <si>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</si>
  <si>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</si>
  <si>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</si>
  <si>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</si>
  <si>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</si>
  <si>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</si>
  <si>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</si>
  <si>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</si>
  <si>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</si>
  <si>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</si>
  <si>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</si>
  <si>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</si>
  <si>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</si>
  <si>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</si>
  <si>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</si>
  <si>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</si>
  <si>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</si>
  <si>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</si>
  <si>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</si>
  <si>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</si>
  <si>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</si>
  <si>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</si>
  <si>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</si>
  <si>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</si>
  <si>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</si>
  <si>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</si>
  <si>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</si>
  <si>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</si>
  <si>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</si>
  <si>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Papel bursastil</t>
  </si>
  <si>
    <t>Capital social</t>
  </si>
  <si>
    <t>Producto de papel bursatil</t>
  </si>
  <si>
    <t>Cancelaciones de papel bursatil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</si>
  <si>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</si>
  <si>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</si>
  <si>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</si>
  <si>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</si>
  <si>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</si>
  <si>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</si>
  <si>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</si>
  <si>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</si>
  <si>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</si>
  <si>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</si>
  <si>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</si>
  <si>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</si>
  <si>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</si>
  <si>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</si>
  <si>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Sub total</t>
  </si>
  <si>
    <t>Estado de Situación Financiera</t>
  </si>
  <si>
    <t xml:space="preserve">   Inversión en afiliadas al costo</t>
  </si>
  <si>
    <t xml:space="preserve">   Préstamos </t>
  </si>
  <si>
    <t>Prestamos otorgados</t>
  </si>
  <si>
    <t>Pago de dividendos acciones comunes</t>
  </si>
  <si>
    <t>Impuesto de activo diferido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</si>
  <si>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</si>
  <si>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</si>
  <si>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</si>
  <si>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</si>
  <si>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</si>
  <si>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>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</si>
  <si>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</si>
  <si>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</si>
  <si>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</si>
  <si>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</si>
  <si>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</si>
  <si>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Redencion de inversiones en valores</t>
  </si>
  <si>
    <t>Total de otros ingresos</t>
  </si>
  <si>
    <t>Otras pérdidas integrales:</t>
  </si>
  <si>
    <t xml:space="preserve">   Depositos de Ahorro</t>
  </si>
  <si>
    <t>Depósitos a ¨Plazo</t>
  </si>
  <si>
    <t>3,10</t>
  </si>
  <si>
    <t>3,11</t>
  </si>
  <si>
    <t>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</si>
  <si>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</si>
  <si>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</si>
  <si>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</si>
  <si>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</si>
  <si>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</si>
  <si>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</si>
  <si>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</si>
  <si>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</si>
  <si>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</si>
  <si>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</si>
  <si>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</si>
  <si>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</si>
  <si>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</si>
  <si>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</si>
  <si>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</si>
  <si>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</si>
  <si>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</si>
  <si>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</si>
  <si>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</si>
  <si>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</si>
  <si>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</si>
  <si>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</si>
  <si>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</si>
  <si>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</si>
  <si>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</si>
  <si>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</si>
  <si>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</si>
  <si>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</si>
  <si>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</si>
  <si>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</si>
  <si>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</si>
  <si>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</si>
  <si>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</si>
  <si>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</si>
  <si>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</si>
  <si>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</si>
  <si>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</si>
  <si>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</si>
  <si>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</si>
  <si>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</si>
  <si>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</si>
  <si>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</si>
  <si>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</si>
  <si>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</si>
  <si>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</si>
  <si>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</si>
  <si>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</si>
  <si>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</si>
  <si>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</si>
  <si>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</si>
  <si>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</si>
  <si>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</si>
  <si>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</si>
  <si>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</si>
  <si>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</si>
  <si>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</si>
  <si>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</si>
  <si>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</si>
  <si>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</si>
  <si>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</si>
  <si>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</si>
  <si>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</si>
  <si>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</si>
  <si>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</si>
  <si>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</si>
  <si>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</si>
  <si>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</si>
  <si>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</si>
  <si>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</si>
  <si>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</si>
  <si>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</si>
  <si>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</si>
  <si>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</si>
  <si>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</si>
  <si>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</si>
  <si>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</si>
  <si>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</si>
  <si>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</si>
  <si>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</si>
  <si>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</si>
  <si>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</si>
  <si>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</si>
  <si>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</si>
  <si>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</si>
  <si>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</si>
  <si>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</si>
  <si>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</si>
  <si>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</si>
  <si>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</si>
  <si>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</si>
  <si>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</si>
  <si>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</si>
  <si>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</si>
  <si>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</si>
  <si>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</si>
  <si>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</si>
  <si>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</si>
  <si>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</si>
  <si>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</si>
  <si>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</si>
  <si>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</si>
  <si>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</si>
  <si>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</si>
  <si>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</si>
  <si>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</si>
  <si>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</si>
  <si>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</si>
  <si>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</si>
  <si>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</si>
  <si>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</si>
  <si>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</si>
  <si>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</si>
  <si>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</si>
  <si>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</si>
  <si>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</si>
  <si>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</si>
  <si>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</si>
  <si>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</si>
  <si>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</si>
  <si>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</si>
  <si>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</si>
  <si>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</si>
  <si>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</si>
  <si>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</si>
  <si>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</si>
  <si>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</si>
  <si>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</si>
  <si>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</si>
  <si>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</si>
  <si>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</si>
  <si>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</si>
  <si>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</si>
  <si>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</si>
  <si>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</si>
  <si>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</si>
  <si>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</si>
  <si>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</si>
  <si>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</si>
  <si>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</si>
  <si>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</si>
  <si>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</si>
  <si>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</si>
  <si>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</si>
  <si>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</si>
  <si>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</si>
  <si>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</si>
  <si>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</si>
  <si>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</si>
  <si>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</si>
  <si>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</si>
  <si>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</si>
  <si>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</si>
  <si>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</si>
  <si>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</si>
  <si>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</si>
  <si>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</si>
  <si>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</si>
  <si>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</si>
  <si>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</si>
  <si>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</si>
  <si>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</si>
  <si>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</si>
  <si>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</si>
  <si>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</si>
  <si>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</si>
  <si>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</si>
  <si>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</si>
  <si>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</si>
  <si>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</si>
  <si>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</si>
  <si>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</si>
  <si>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</si>
  <si>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</si>
  <si>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</si>
  <si>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</si>
  <si>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</si>
  <si>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</si>
  <si>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</si>
  <si>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</si>
  <si>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</si>
  <si>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</si>
  <si>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</si>
  <si>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</si>
  <si>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</si>
  <si>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</si>
  <si>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</si>
  <si>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Depósitos de ahorro</t>
  </si>
  <si>
    <t xml:space="preserve">   Préstamos neto</t>
  </si>
  <si>
    <t>Honorarios profesionales y legales</t>
  </si>
  <si>
    <t>Impuestos</t>
  </si>
  <si>
    <t>Contribución especial grandes contribuyentes</t>
  </si>
  <si>
    <t>Estado de Resultados y Otros Resultados Integrales</t>
  </si>
  <si>
    <t>(Compañía Salvadoreña Subsidiaria de Banco La Hipotecaria, S.A.)</t>
  </si>
  <si>
    <t>Otros ingresos:</t>
  </si>
  <si>
    <t>Cambios en resultado neto no realizado</t>
  </si>
  <si>
    <t>Total efectivo y equivalentes de efectivo</t>
  </si>
  <si>
    <t xml:space="preserve">   Cuentas por pagar a compañías relacionadas</t>
  </si>
  <si>
    <t>3,9</t>
  </si>
  <si>
    <t xml:space="preserve">     Comisión por administración y manejo, netos</t>
  </si>
  <si>
    <t xml:space="preserve">   Activos por derecho de uso, neto</t>
  </si>
  <si>
    <t>Activos por derecho de uso</t>
  </si>
  <si>
    <t xml:space="preserve">   Pasivos por arrendamiento</t>
  </si>
  <si>
    <t>Pasivos por arrendamiento</t>
  </si>
  <si>
    <t>Depreciación de activos por derecho de uso</t>
  </si>
  <si>
    <t xml:space="preserve">   Menos: reserva adicional para pérdidas en préstamos</t>
  </si>
  <si>
    <t>Al 31 de octubre  de 2020</t>
  </si>
  <si>
    <t>Por el periodo terminado el 31 de octubre de 2020</t>
  </si>
  <si>
    <t>John Raushkolb</t>
  </si>
  <si>
    <t>Roberto Romero</t>
  </si>
  <si>
    <t>Representante Legal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</si>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</sst>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99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1"/>
      <name val="Univers for KPMG"/>
      <family val="2"/>
    </font>
    <font>
      <sz val="11"/>
      <name val="Univers for KPMG"/>
      <family val="2"/>
    </font>
    <font>
      <b/>
      <sz val="10"/>
      <name val="Univers for KPMG"/>
      <family val="2"/>
    </font>
    <font>
      <sz val="10"/>
      <color indexed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i/>
      <sz val="10"/>
      <name val="Univers for KPMG"/>
      <family val="2"/>
    </font>
    <font>
      <i/>
      <sz val="11"/>
      <name val="Univers for KPMG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9.5"/>
      <name val="Arial"/>
      <family val="2"/>
    </font>
    <font>
      <u/>
      <sz val="9.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2" fontId="1" fillId="0" borderId="0"/>
    <xf numFmtId="0" fontId="38" fillId="0" borderId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8" borderId="0" applyNumberFormat="0" applyBorder="0" applyAlignment="0" applyProtection="0"/>
    <xf numFmtId="0" fontId="87" fillId="19" borderId="0" applyNumberFormat="0" applyBorder="0" applyAlignment="0" applyProtection="0"/>
    <xf numFmtId="0" fontId="87" fillId="20" borderId="0" applyNumberFormat="0" applyBorder="0" applyAlignment="0" applyProtection="0"/>
    <xf numFmtId="0" fontId="87" fillId="21" borderId="0" applyNumberFormat="0" applyBorder="0" applyAlignment="0" applyProtection="0"/>
    <xf numFmtId="0" fontId="87" fillId="16" borderId="0" applyNumberFormat="0" applyBorder="0" applyAlignment="0" applyProtection="0"/>
    <xf numFmtId="0" fontId="87" fillId="19" borderId="0" applyNumberFormat="0" applyBorder="0" applyAlignment="0" applyProtection="0"/>
    <xf numFmtId="0" fontId="87" fillId="22" borderId="0" applyNumberFormat="0" applyBorder="0" applyAlignment="0" applyProtection="0"/>
    <xf numFmtId="0" fontId="88" fillId="23" borderId="0" applyNumberFormat="0" applyBorder="0" applyAlignment="0" applyProtection="0"/>
    <xf numFmtId="0" fontId="88" fillId="20" borderId="0" applyNumberFormat="0" applyBorder="0" applyAlignment="0" applyProtection="0"/>
    <xf numFmtId="0" fontId="88" fillId="21" borderId="0" applyNumberFormat="0" applyBorder="0" applyAlignment="0" applyProtection="0"/>
    <xf numFmtId="0" fontId="88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26" borderId="0" applyNumberFormat="0" applyBorder="0" applyAlignment="0" applyProtection="0"/>
    <xf numFmtId="0" fontId="88" fillId="27" borderId="0" applyNumberFormat="0" applyBorder="0" applyAlignment="0" applyProtection="0"/>
    <xf numFmtId="0" fontId="88" fillId="28" borderId="0" applyNumberFormat="0" applyBorder="0" applyAlignment="0" applyProtection="0"/>
    <xf numFmtId="0" fontId="88" fillId="29" borderId="0" applyNumberFormat="0" applyBorder="0" applyAlignment="0" applyProtection="0"/>
    <xf numFmtId="0" fontId="88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30" borderId="0" applyNumberFormat="0" applyBorder="0" applyAlignment="0" applyProtection="0"/>
    <xf numFmtId="0" fontId="89" fillId="14" borderId="0" applyNumberFormat="0" applyBorder="0" applyAlignment="0" applyProtection="0"/>
    <xf numFmtId="0" fontId="90" fillId="31" borderId="13" applyNumberFormat="0" applyAlignment="0" applyProtection="0"/>
    <xf numFmtId="0" fontId="91" fillId="0" borderId="0" applyNumberFormat="0" applyFill="0" applyBorder="0" applyAlignment="0" applyProtection="0"/>
    <xf numFmtId="0" fontId="92" fillId="0" borderId="14" applyNumberFormat="0" applyFill="0" applyAlignment="0" applyProtection="0"/>
    <xf numFmtId="0" fontId="93" fillId="0" borderId="15" applyNumberFormat="0" applyFill="0" applyAlignment="0" applyProtection="0"/>
    <xf numFmtId="0" fontId="94" fillId="0" borderId="16" applyNumberFormat="0" applyFill="0" applyAlignment="0" applyProtection="0"/>
    <xf numFmtId="4" fontId="38" fillId="0" borderId="0" applyFont="0" applyFill="0" applyBorder="0" applyAlignment="0" applyProtection="0"/>
    <xf numFmtId="0" fontId="95" fillId="31" borderId="17" applyNumberFormat="0" applyAlignment="0" applyProtection="0"/>
    <xf numFmtId="0" fontId="96" fillId="0" borderId="0" applyNumberFormat="0" applyFill="0" applyBorder="0" applyAlignment="0" applyProtection="0"/>
  </cellStyleXfs>
  <cellXfs count="355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3" xfId="7" applyFont="1" applyFill="1" applyBorder="1" applyAlignment="1">
      <alignment horizontal="center" vertical="center" wrapText="1"/>
    </xf>
    <xf numFmtId="0" fontId="45" fillId="7" borderId="4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9" borderId="4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5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1" fontId="43" fillId="0" borderId="0" xfId="0" applyNumberFormat="1" applyFont="1" applyFill="1" applyBorder="1"/>
    <xf numFmtId="171" fontId="43" fillId="0" borderId="0" xfId="0" applyNumberFormat="1" applyFont="1" applyFill="1"/>
    <xf numFmtId="171" fontId="1" fillId="0" borderId="0" xfId="5" applyNumberFormat="1" applyFont="1" applyFill="1" applyBorder="1"/>
    <xf numFmtId="0" fontId="10" fillId="0" borderId="0" xfId="0" applyFont="1" applyFill="1"/>
    <xf numFmtId="171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1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1" fontId="48" fillId="0" borderId="0" xfId="0" applyNumberFormat="1" applyFont="1" applyFill="1"/>
    <xf numFmtId="171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1" fontId="47" fillId="0" borderId="0" xfId="0" applyNumberFormat="1" applyFont="1" applyFill="1"/>
    <xf numFmtId="171" fontId="47" fillId="0" borderId="0" xfId="0" applyNumberFormat="1" applyFont="1" applyFill="1" applyBorder="1"/>
    <xf numFmtId="171" fontId="53" fillId="0" borderId="0" xfId="0" applyNumberFormat="1" applyFont="1" applyFill="1"/>
    <xf numFmtId="0" fontId="52" fillId="0" borderId="0" xfId="6" applyFont="1" applyFill="1"/>
    <xf numFmtId="171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3" xfId="0" applyNumberFormat="1" applyFont="1" applyFill="1" applyBorder="1" applyAlignment="1">
      <alignment horizontal="center" vertical="center" wrapText="1"/>
    </xf>
    <xf numFmtId="39" fontId="55" fillId="0" borderId="3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6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8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9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7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6" xfId="0" applyNumberFormat="1" applyFont="1" applyFill="1" applyBorder="1" applyAlignment="1">
      <alignment horizontal="right"/>
    </xf>
    <xf numFmtId="49" fontId="39" fillId="0" borderId="10" xfId="0" applyNumberFormat="1" applyFont="1" applyFill="1" applyBorder="1" applyAlignment="1">
      <alignment horizontal="left"/>
    </xf>
    <xf numFmtId="39" fontId="39" fillId="0" borderId="11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3" xfId="0" applyNumberFormat="1" applyFont="1" applyFill="1" applyBorder="1" applyAlignment="1">
      <alignment horizontal="center" vertical="center" wrapText="1"/>
    </xf>
    <xf numFmtId="39" fontId="63" fillId="0" borderId="3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6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8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9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7" xfId="0" applyNumberFormat="1" applyFont="1" applyFill="1" applyBorder="1" applyAlignment="1">
      <alignment horizontal="right"/>
    </xf>
    <xf numFmtId="170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6" xfId="0" applyNumberFormat="1" applyFont="1" applyFill="1" applyBorder="1" applyAlignment="1">
      <alignment horizontal="right"/>
    </xf>
    <xf numFmtId="49" fontId="65" fillId="0" borderId="10" xfId="0" applyNumberFormat="1" applyFont="1" applyFill="1" applyBorder="1" applyAlignment="1">
      <alignment horizontal="left"/>
    </xf>
    <xf numFmtId="39" fontId="65" fillId="0" borderId="11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3" xfId="0" applyNumberFormat="1" applyFont="1" applyFill="1" applyBorder="1" applyAlignment="1">
      <alignment horizontal="center" wrapText="1"/>
    </xf>
    <xf numFmtId="40" fontId="55" fillId="0" borderId="3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6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8" xfId="0" applyNumberFormat="1" applyFill="1" applyBorder="1" applyAlignment="1">
      <alignment horizontal="right"/>
    </xf>
    <xf numFmtId="40" fontId="1" fillId="0" borderId="8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2" xfId="0" applyNumberFormat="1" applyFont="1" applyFill="1" applyBorder="1" applyAlignment="1">
      <alignment horizontal="right"/>
    </xf>
    <xf numFmtId="40" fontId="55" fillId="0" borderId="6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1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9" fontId="70" fillId="0" borderId="0" xfId="0" applyNumberFormat="1" applyFont="1" applyFill="1"/>
    <xf numFmtId="37" fontId="73" fillId="0" borderId="6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1" fontId="73" fillId="0" borderId="6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9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9" fontId="70" fillId="0" borderId="0" xfId="0" applyNumberFormat="1" applyFont="1" applyFill="1" applyBorder="1"/>
    <xf numFmtId="169" fontId="69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7" xfId="1" applyNumberFormat="1" applyFont="1" applyFill="1" applyBorder="1"/>
    <xf numFmtId="169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9" fontId="70" fillId="0" borderId="0" xfId="0" applyNumberFormat="1" applyFont="1" applyFill="1" applyBorder="1"/>
    <xf numFmtId="38" fontId="76" fillId="0" borderId="0" xfId="0" applyNumberFormat="1" applyFont="1" applyFill="1" applyBorder="1"/>
    <xf numFmtId="169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1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168" fontId="70" fillId="0" borderId="0" xfId="1" applyNumberFormat="1" applyFont="1" applyFill="1" applyBorder="1" applyAlignment="1">
      <alignment horizontal="left"/>
    </xf>
    <xf numFmtId="0" fontId="79" fillId="0" borderId="0" xfId="0" applyFont="1" applyFill="1"/>
    <xf numFmtId="0" fontId="80" fillId="0" borderId="0" xfId="0" applyFont="1" applyFill="1"/>
    <xf numFmtId="0" fontId="70" fillId="0" borderId="0" xfId="0" applyFont="1" applyFill="1" applyAlignment="1">
      <alignment horizontal="left" indent="1"/>
    </xf>
    <xf numFmtId="37" fontId="70" fillId="0" borderId="0" xfId="0" applyNumberFormat="1" applyFont="1" applyFill="1" applyBorder="1" applyAlignment="1">
      <alignment horizontal="left" indent="1"/>
    </xf>
    <xf numFmtId="0" fontId="70" fillId="0" borderId="0" xfId="0" applyFont="1" applyFill="1" applyBorder="1" applyAlignment="1">
      <alignment horizontal="left" indent="1"/>
    </xf>
    <xf numFmtId="0" fontId="82" fillId="0" borderId="0" xfId="0" applyFont="1" applyFill="1"/>
    <xf numFmtId="0" fontId="83" fillId="0" borderId="0" xfId="0" applyFont="1" applyFill="1"/>
    <xf numFmtId="168" fontId="83" fillId="0" borderId="0" xfId="1" applyNumberFormat="1" applyFont="1" applyFill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1" fillId="0" borderId="0" xfId="0" applyFont="1" applyFill="1" applyAlignment="1">
      <alignment horizontal="left"/>
    </xf>
    <xf numFmtId="0" fontId="81" fillId="0" borderId="0" xfId="0" applyFont="1" applyFill="1" applyBorder="1" applyAlignment="1">
      <alignment horizontal="left"/>
    </xf>
    <xf numFmtId="38" fontId="83" fillId="0" borderId="0" xfId="0" applyNumberFormat="1" applyFont="1" applyFill="1"/>
    <xf numFmtId="0" fontId="83" fillId="0" borderId="0" xfId="4" applyFont="1" applyFill="1" applyAlignment="1"/>
    <xf numFmtId="49" fontId="83" fillId="0" borderId="0" xfId="4" applyNumberFormat="1" applyFont="1" applyFill="1" applyAlignment="1">
      <alignment horizontal="center"/>
    </xf>
    <xf numFmtId="0" fontId="83" fillId="0" borderId="0" xfId="4" applyFont="1" applyFill="1" applyBorder="1" applyAlignment="1"/>
    <xf numFmtId="0" fontId="83" fillId="0" borderId="0" xfId="4" applyFont="1" applyFill="1"/>
    <xf numFmtId="0" fontId="83" fillId="0" borderId="2" xfId="4" applyFont="1" applyFill="1" applyBorder="1" applyAlignment="1"/>
    <xf numFmtId="49" fontId="83" fillId="0" borderId="2" xfId="4" applyNumberFormat="1" applyFont="1" applyFill="1" applyBorder="1" applyAlignment="1">
      <alignment horizontal="center"/>
    </xf>
    <xf numFmtId="0" fontId="83" fillId="0" borderId="2" xfId="4" applyFont="1" applyFill="1" applyBorder="1"/>
    <xf numFmtId="49" fontId="83" fillId="0" borderId="0" xfId="4" applyNumberFormat="1" applyFont="1" applyFill="1" applyBorder="1" applyAlignment="1">
      <alignment horizontal="center"/>
    </xf>
    <xf numFmtId="49" fontId="84" fillId="0" borderId="0" xfId="4" applyNumberFormat="1" applyFont="1" applyFill="1" applyBorder="1" applyAlignment="1">
      <alignment horizontal="center"/>
    </xf>
    <xf numFmtId="0" fontId="84" fillId="0" borderId="0" xfId="4" applyFont="1" applyFill="1" applyBorder="1" applyAlignment="1">
      <alignment horizontal="center"/>
    </xf>
    <xf numFmtId="169" fontId="83" fillId="0" borderId="0" xfId="0" applyNumberFormat="1" applyFont="1" applyFill="1"/>
    <xf numFmtId="169" fontId="83" fillId="0" borderId="0" xfId="0" applyNumberFormat="1" applyFont="1" applyFill="1" applyAlignment="1">
      <alignment horizontal="center"/>
    </xf>
    <xf numFmtId="171" fontId="83" fillId="0" borderId="0" xfId="1" applyNumberFormat="1" applyFont="1" applyFill="1"/>
    <xf numFmtId="171" fontId="83" fillId="0" borderId="0" xfId="1" applyNumberFormat="1" applyFont="1" applyFill="1" applyBorder="1"/>
    <xf numFmtId="37" fontId="83" fillId="0" borderId="0" xfId="1" applyNumberFormat="1" applyFont="1" applyFill="1"/>
    <xf numFmtId="4" fontId="83" fillId="0" borderId="0" xfId="0" applyNumberFormat="1" applyFont="1" applyFill="1"/>
    <xf numFmtId="37" fontId="83" fillId="0" borderId="0" xfId="1" applyNumberFormat="1" applyFont="1" applyFill="1" applyBorder="1"/>
    <xf numFmtId="0" fontId="81" fillId="0" borderId="0" xfId="0" applyFont="1" applyFill="1"/>
    <xf numFmtId="37" fontId="83" fillId="0" borderId="7" xfId="1" applyNumberFormat="1" applyFont="1" applyFill="1" applyBorder="1"/>
    <xf numFmtId="0" fontId="83" fillId="0" borderId="0" xfId="0" applyFont="1" applyFill="1" applyBorder="1"/>
    <xf numFmtId="169" fontId="83" fillId="0" borderId="0" xfId="0" applyNumberFormat="1" applyFont="1" applyFill="1" applyBorder="1"/>
    <xf numFmtId="169" fontId="83" fillId="0" borderId="0" xfId="0" applyNumberFormat="1" applyFont="1" applyFill="1" applyBorder="1" applyAlignment="1">
      <alignment horizontal="center"/>
    </xf>
    <xf numFmtId="37" fontId="83" fillId="0" borderId="6" xfId="1" applyNumberFormat="1" applyFont="1" applyFill="1" applyBorder="1"/>
    <xf numFmtId="171" fontId="83" fillId="0" borderId="6" xfId="1" applyNumberFormat="1" applyFont="1" applyFill="1" applyBorder="1"/>
    <xf numFmtId="40" fontId="83" fillId="0" borderId="0" xfId="0" applyNumberFormat="1" applyFont="1" applyFill="1"/>
    <xf numFmtId="0" fontId="81" fillId="0" borderId="0" xfId="0" applyFont="1" applyFill="1" applyBorder="1"/>
    <xf numFmtId="0" fontId="83" fillId="0" borderId="0" xfId="0" applyFont="1" applyFill="1" applyAlignment="1">
      <alignment horizontal="center"/>
    </xf>
    <xf numFmtId="171" fontId="81" fillId="0" borderId="0" xfId="1" applyNumberFormat="1" applyFont="1" applyFill="1" applyBorder="1"/>
    <xf numFmtId="37" fontId="81" fillId="0" borderId="0" xfId="0" applyNumberFormat="1" applyFont="1"/>
    <xf numFmtId="37" fontId="83" fillId="0" borderId="0" xfId="0" applyNumberFormat="1" applyFont="1"/>
    <xf numFmtId="0" fontId="83" fillId="0" borderId="0" xfId="0" applyFont="1"/>
    <xf numFmtId="171" fontId="83" fillId="0" borderId="0" xfId="0" applyNumberFormat="1" applyFont="1"/>
    <xf numFmtId="37" fontId="83" fillId="0" borderId="0" xfId="0" applyNumberFormat="1" applyFont="1" applyFill="1" applyBorder="1"/>
    <xf numFmtId="0" fontId="83" fillId="0" borderId="0" xfId="0" applyFont="1" applyAlignment="1">
      <alignment horizontal="center"/>
    </xf>
    <xf numFmtId="171" fontId="83" fillId="0" borderId="0" xfId="0" applyNumberFormat="1" applyFont="1" applyFill="1" applyBorder="1"/>
    <xf numFmtId="171" fontId="83" fillId="0" borderId="1" xfId="0" applyNumberFormat="1" applyFont="1" applyFill="1" applyBorder="1"/>
    <xf numFmtId="0" fontId="85" fillId="0" borderId="0" xfId="4" applyFont="1" applyFill="1" applyAlignment="1"/>
    <xf numFmtId="37" fontId="81" fillId="0" borderId="0" xfId="1" applyNumberFormat="1" applyFont="1" applyFill="1" applyBorder="1"/>
    <xf numFmtId="0" fontId="83" fillId="0" borderId="0" xfId="0" applyFont="1" applyFill="1" applyAlignment="1">
      <alignment horizontal="left" indent="1"/>
    </xf>
    <xf numFmtId="172" fontId="83" fillId="0" borderId="0" xfId="3" applyFont="1" applyFill="1" applyBorder="1" applyAlignment="1">
      <alignment horizontal="left" indent="1"/>
    </xf>
    <xf numFmtId="168" fontId="69" fillId="0" borderId="0" xfId="1" applyNumberFormat="1" applyFont="1" applyFill="1" applyAlignment="1">
      <alignment horizontal="left"/>
    </xf>
    <xf numFmtId="168" fontId="81" fillId="0" borderId="0" xfId="1" applyNumberFormat="1" applyFont="1" applyFill="1" applyAlignment="1">
      <alignment horizontal="left"/>
    </xf>
    <xf numFmtId="0" fontId="86" fillId="0" borderId="0" xfId="4" applyFont="1" applyFill="1" applyAlignment="1"/>
    <xf numFmtId="168" fontId="79" fillId="0" borderId="0" xfId="1" applyNumberFormat="1" applyFont="1" applyFill="1" applyAlignment="1">
      <alignment horizontal="left"/>
    </xf>
    <xf numFmtId="172" fontId="83" fillId="0" borderId="0" xfId="3" applyFont="1" applyFill="1" applyBorder="1" applyAlignment="1">
      <alignment horizontal="left" indent="2"/>
    </xf>
    <xf numFmtId="171" fontId="83" fillId="0" borderId="1" xfId="1" applyNumberFormat="1" applyFont="1" applyFill="1" applyBorder="1"/>
    <xf numFmtId="3" fontId="97" fillId="0" borderId="0" xfId="0" applyNumberFormat="1" applyFont="1" applyAlignment="1">
      <alignment horizontal="right" vertical="center" wrapText="1"/>
    </xf>
    <xf numFmtId="3" fontId="83" fillId="0" borderId="0" xfId="0" applyNumberFormat="1" applyFont="1" applyFill="1"/>
    <xf numFmtId="3" fontId="98" fillId="0" borderId="0" xfId="0" applyNumberFormat="1" applyFont="1" applyAlignment="1">
      <alignment horizontal="right" vertical="center" wrapText="1"/>
    </xf>
    <xf numFmtId="171" fontId="73" fillId="0" borderId="0" xfId="1" applyNumberFormat="1" applyFont="1" applyFill="1" applyBorder="1"/>
    <xf numFmtId="0" fontId="75" fillId="0" borderId="0" xfId="0" applyFont="1"/>
    <xf numFmtId="0" fontId="75" fillId="0" borderId="0" xfId="0" applyFont="1" applyFill="1"/>
    <xf numFmtId="171" fontId="69" fillId="0" borderId="0" xfId="0" applyNumberFormat="1" applyFont="1" applyFill="1" applyProtection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8" fontId="69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81" fillId="0" borderId="0" xfId="1" applyNumberFormat="1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3" fillId="0" borderId="0" xfId="0" applyFont="1" applyFill="1" applyBorder="1" applyAlignment="1">
      <alignment horizontal="center"/>
    </xf>
    <xf numFmtId="0" fontId="45" fillId="10" borderId="4" xfId="0" applyFont="1" applyFill="1" applyBorder="1" applyAlignment="1">
      <alignment horizontal="center" vertical="center" wrapText="1"/>
    </xf>
    <xf numFmtId="0" fontId="45" fillId="10" borderId="5" xfId="0" applyFont="1" applyFill="1" applyBorder="1" applyAlignment="1">
      <alignment horizontal="center" vertical="center" wrapText="1"/>
    </xf>
    <xf numFmtId="0" fontId="45" fillId="6" borderId="3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11" borderId="3" xfId="0" applyFont="1" applyFill="1" applyBorder="1" applyAlignment="1">
      <alignment horizontal="center" vertical="center" wrapText="1"/>
    </xf>
  </cellXfs>
  <cellStyles count="44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Explanatory Text" xfId="37"/>
    <cellStyle name="Heading 1" xfId="38"/>
    <cellStyle name="Heading 2" xfId="39"/>
    <cellStyle name="Heading 3" xfId="40"/>
    <cellStyle name="Millares" xfId="1" builtinId="3"/>
    <cellStyle name="Millares 2" xfId="41"/>
    <cellStyle name="Moneda" xfId="2" builtinId="4"/>
    <cellStyle name="Normal" xfId="0" builtinId="0"/>
    <cellStyle name="Normal 2" xfId="3"/>
    <cellStyle name="Normal 2 2" xfId="9"/>
    <cellStyle name="Normal 3" xfId="8"/>
    <cellStyle name="Normal 4" xfId="10"/>
    <cellStyle name="Normal_Bal, Utl, Fluj y anex" xfId="4"/>
    <cellStyle name="Normal_Detalle de flujo de efectivo - Panama" xfId="5"/>
    <cellStyle name="Normal_E-3 DESARROLLO Y SUBSIDIARIAS 30-jun-07" xfId="6"/>
    <cellStyle name="Normal_Hoja del Flujo" xfId="7"/>
    <cellStyle name="Output" xfId="42"/>
    <cellStyle name="Title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61</xdr:row>
      <xdr:rowOff>0</xdr:rowOff>
    </xdr:from>
    <xdr:to>
      <xdr:col>5</xdr:col>
      <xdr:colOff>846651</xdr:colOff>
      <xdr:row>61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118</v>
      </c>
      <c r="B21" s="5">
        <v>4923304</v>
      </c>
      <c r="D21" s="40">
        <v>14345.44</v>
      </c>
    </row>
    <row r="22" spans="1:4">
      <c r="A22" s="6" t="s">
        <v>121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122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124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117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119</v>
      </c>
      <c r="B42" s="5">
        <v>4636007</v>
      </c>
      <c r="D42" s="40">
        <v>60836.67</v>
      </c>
    </row>
    <row r="43" spans="1:4">
      <c r="A43" s="6" t="s">
        <v>127</v>
      </c>
      <c r="B43" s="5">
        <v>4936008</v>
      </c>
      <c r="D43" s="40">
        <v>189081.52</v>
      </c>
    </row>
    <row r="44" spans="1:4">
      <c r="A44" s="6" t="s">
        <v>126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125</v>
      </c>
      <c r="D46" s="40">
        <v>43436.639999999999</v>
      </c>
    </row>
    <row r="47" spans="1:4">
      <c r="A47" s="6" t="s">
        <v>123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116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120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115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113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40" t="s">
        <v>112</v>
      </c>
      <c r="B139" s="340"/>
      <c r="D139" s="55">
        <v>6777.07</v>
      </c>
    </row>
    <row r="140" spans="1:4">
      <c r="A140" s="33" t="s">
        <v>0</v>
      </c>
    </row>
    <row r="141" spans="1:4" s="48" customFormat="1" ht="18" customHeight="1">
      <c r="A141" s="341" t="s">
        <v>114</v>
      </c>
      <c r="B141" s="34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2"/>
  <sheetViews>
    <sheetView showGridLines="0" tabSelected="1" zoomScale="110" zoomScaleNormal="110" workbookViewId="0">
      <selection activeCell="A7" sqref="A7:G7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4" customWidth="1"/>
    <col min="7" max="7" width="4.85546875" style="237" customWidth="1"/>
    <col min="8" max="8" width="12.85546875" style="209" hidden="1" customWidth="1"/>
    <col min="9" max="9" width="10.28515625" style="210" bestFit="1" customWidth="1"/>
    <col min="10" max="10" width="14.140625" style="210" bestFit="1" customWidth="1"/>
    <col min="11" max="11" width="14.140625" style="210" customWidth="1"/>
    <col min="12" max="12" width="11.85546875" style="210" customWidth="1"/>
    <col min="13" max="16384" width="9.140625" style="210"/>
  </cols>
  <sheetData>
    <row r="1" spans="1:10" ht="17.25" customHeight="1">
      <c r="A1" s="344" t="s">
        <v>133</v>
      </c>
      <c r="B1" s="344"/>
      <c r="C1" s="344"/>
      <c r="D1" s="344"/>
      <c r="E1" s="344"/>
      <c r="F1" s="344"/>
      <c r="G1" s="344"/>
    </row>
    <row r="2" spans="1:10" ht="17.25" customHeight="1">
      <c r="A2" s="330" t="s">
        <v>445</v>
      </c>
      <c r="B2" s="327"/>
      <c r="C2" s="327"/>
      <c r="D2" s="327"/>
      <c r="E2" s="327"/>
      <c r="F2" s="327"/>
      <c r="G2" s="327"/>
    </row>
    <row r="3" spans="1:10" ht="15.75" customHeight="1">
      <c r="A3" s="211" t="s">
        <v>135</v>
      </c>
      <c r="B3" s="211"/>
      <c r="C3" s="211"/>
      <c r="D3" s="211"/>
      <c r="E3" s="211"/>
      <c r="F3" s="212"/>
      <c r="G3" s="213"/>
    </row>
    <row r="4" spans="1:10" ht="12" customHeight="1">
      <c r="A4" s="211"/>
      <c r="B4" s="211"/>
      <c r="C4" s="211"/>
      <c r="D4" s="211"/>
      <c r="E4" s="211"/>
      <c r="F4" s="212"/>
      <c r="G4" s="213"/>
    </row>
    <row r="5" spans="1:10" ht="15">
      <c r="A5" s="343" t="s">
        <v>228</v>
      </c>
      <c r="B5" s="343"/>
      <c r="C5" s="343"/>
      <c r="D5" s="343"/>
      <c r="E5" s="343"/>
      <c r="F5" s="343"/>
      <c r="G5" s="343"/>
    </row>
    <row r="6" spans="1:10" ht="12" customHeight="1">
      <c r="A6" s="214"/>
      <c r="B6" s="214"/>
      <c r="C6" s="214"/>
      <c r="D6" s="214"/>
      <c r="E6" s="214"/>
      <c r="F6" s="215"/>
      <c r="G6" s="216"/>
    </row>
    <row r="7" spans="1:10">
      <c r="A7" s="345" t="s">
        <v>458</v>
      </c>
      <c r="B7" s="345"/>
      <c r="C7" s="345"/>
      <c r="D7" s="345"/>
      <c r="E7" s="345"/>
      <c r="F7" s="345"/>
      <c r="G7" s="345"/>
    </row>
    <row r="8" spans="1:10">
      <c r="A8" s="217"/>
      <c r="B8" s="217"/>
      <c r="C8" s="217"/>
      <c r="D8" s="217"/>
      <c r="E8" s="217"/>
      <c r="F8" s="274"/>
      <c r="G8" s="217"/>
    </row>
    <row r="9" spans="1:10" ht="7.5" customHeight="1">
      <c r="A9" s="217"/>
      <c r="B9" s="217"/>
      <c r="C9" s="217"/>
      <c r="D9" s="217"/>
      <c r="E9" s="217"/>
      <c r="F9" s="213"/>
      <c r="G9" s="213"/>
    </row>
    <row r="10" spans="1:10" ht="14.25" customHeight="1">
      <c r="A10" s="218" t="s">
        <v>136</v>
      </c>
      <c r="B10" s="219"/>
      <c r="C10" s="219"/>
      <c r="D10" s="219"/>
      <c r="E10" s="219"/>
      <c r="F10" s="220"/>
      <c r="G10" s="221"/>
    </row>
    <row r="11" spans="1:10" ht="12" customHeight="1" thickBot="1">
      <c r="A11" s="218"/>
      <c r="B11" s="219"/>
      <c r="C11" s="219"/>
      <c r="D11" s="219"/>
      <c r="E11" s="219"/>
      <c r="F11" s="223"/>
      <c r="G11" s="223"/>
    </row>
    <row r="12" spans="1:10" ht="15" customHeight="1" thickTop="1">
      <c r="A12" s="224"/>
      <c r="B12" s="225"/>
      <c r="C12" s="225"/>
      <c r="D12" s="225"/>
      <c r="E12" s="225"/>
      <c r="F12" s="226"/>
      <c r="G12" s="226"/>
    </row>
    <row r="13" spans="1:10" ht="16.5" customHeight="1">
      <c r="A13" s="227"/>
      <c r="B13" s="228"/>
      <c r="C13" s="229"/>
      <c r="D13" s="230"/>
      <c r="E13" s="231" t="s">
        <v>108</v>
      </c>
      <c r="F13" s="232">
        <v>2020</v>
      </c>
      <c r="G13" s="233"/>
    </row>
    <row r="14" spans="1:10" ht="15" customHeight="1">
      <c r="A14" s="210" t="s">
        <v>138</v>
      </c>
      <c r="F14" s="236"/>
    </row>
    <row r="15" spans="1:10" ht="15" customHeight="1">
      <c r="A15" s="210" t="s">
        <v>208</v>
      </c>
      <c r="F15" s="236">
        <v>950</v>
      </c>
      <c r="J15" s="238"/>
    </row>
    <row r="16" spans="1:10" ht="15" customHeight="1">
      <c r="A16" s="210" t="s">
        <v>215</v>
      </c>
      <c r="F16" s="236">
        <v>5321671</v>
      </c>
      <c r="J16" s="238"/>
    </row>
    <row r="17" spans="1:11" ht="15" customHeight="1">
      <c r="A17" s="210" t="s">
        <v>439</v>
      </c>
      <c r="F17" s="239">
        <v>111016</v>
      </c>
      <c r="G17" s="240"/>
      <c r="J17" s="238"/>
    </row>
    <row r="18" spans="1:11" ht="15" hidden="1" customHeight="1">
      <c r="A18" s="210" t="s">
        <v>216</v>
      </c>
      <c r="F18" s="239">
        <v>0</v>
      </c>
    </row>
    <row r="19" spans="1:11" ht="17.649999999999999" customHeight="1">
      <c r="A19" s="275" t="s">
        <v>448</v>
      </c>
      <c r="E19" s="235">
        <v>6</v>
      </c>
      <c r="F19" s="236">
        <f>SUM(F15:F18)</f>
        <v>5433637</v>
      </c>
      <c r="H19" s="209" t="e">
        <f>-F19+#REF!</f>
        <v>#REF!</v>
      </c>
    </row>
    <row r="20" spans="1:11" ht="15" customHeight="1">
      <c r="F20" s="236"/>
    </row>
    <row r="21" spans="1:11" ht="15" hidden="1" customHeight="1">
      <c r="A21" s="210" t="s">
        <v>139</v>
      </c>
      <c r="E21" s="235">
        <v>8</v>
      </c>
      <c r="F21" s="236">
        <v>0</v>
      </c>
      <c r="I21" s="222"/>
    </row>
    <row r="22" spans="1:11" ht="15" customHeight="1">
      <c r="F22" s="236"/>
    </row>
    <row r="23" spans="1:11" ht="15" customHeight="1">
      <c r="A23" s="210" t="s">
        <v>230</v>
      </c>
      <c r="E23" s="235" t="s">
        <v>213</v>
      </c>
      <c r="F23" s="236">
        <v>118331799</v>
      </c>
      <c r="H23" s="209" t="e">
        <f>-F23+#REF!</f>
        <v>#REF!</v>
      </c>
      <c r="J23" s="238"/>
    </row>
    <row r="24" spans="1:11" ht="15" customHeight="1">
      <c r="A24" s="241" t="s">
        <v>243</v>
      </c>
      <c r="F24" s="336">
        <v>-276700</v>
      </c>
      <c r="J24" s="238"/>
    </row>
    <row r="25" spans="1:11" ht="15" customHeight="1">
      <c r="A25" s="241" t="s">
        <v>457</v>
      </c>
      <c r="E25" s="235">
        <v>7</v>
      </c>
      <c r="F25" s="242">
        <v>-497291</v>
      </c>
      <c r="J25" s="238"/>
    </row>
    <row r="26" spans="1:11" ht="15" customHeight="1">
      <c r="A26" s="276" t="s">
        <v>440</v>
      </c>
      <c r="F26" s="236">
        <f>SUM(F23:F25)</f>
        <v>117557808</v>
      </c>
      <c r="H26" s="209" t="e">
        <f>-F26+#REF!</f>
        <v>#REF!</v>
      </c>
      <c r="K26" s="222"/>
    </row>
    <row r="27" spans="1:11" ht="15" customHeight="1">
      <c r="F27" s="236"/>
    </row>
    <row r="28" spans="1:11" ht="15" customHeight="1">
      <c r="A28" s="210" t="s">
        <v>140</v>
      </c>
      <c r="E28" s="235">
        <v>8</v>
      </c>
      <c r="F28" s="243">
        <v>239433</v>
      </c>
      <c r="H28" s="209" t="e">
        <f>-F28+#REF!</f>
        <v>#REF!</v>
      </c>
      <c r="I28" s="222"/>
      <c r="J28" s="238"/>
    </row>
    <row r="29" spans="1:11" ht="15" customHeight="1">
      <c r="A29" s="210" t="s">
        <v>229</v>
      </c>
      <c r="E29" s="235">
        <v>4</v>
      </c>
      <c r="F29" s="243">
        <v>362260</v>
      </c>
      <c r="H29" s="209" t="e">
        <f>-F29+#REF!</f>
        <v>#REF!</v>
      </c>
      <c r="I29" s="222"/>
      <c r="J29" s="238"/>
    </row>
    <row r="30" spans="1:11" ht="15" customHeight="1">
      <c r="A30" s="210" t="s">
        <v>141</v>
      </c>
      <c r="E30" s="235">
        <v>5</v>
      </c>
      <c r="F30" s="243">
        <v>2591517</v>
      </c>
      <c r="H30" s="209" t="e">
        <f>-F30+#REF!</f>
        <v>#REF!</v>
      </c>
      <c r="J30" s="238"/>
    </row>
    <row r="31" spans="1:11" ht="15" customHeight="1">
      <c r="A31" s="210" t="s">
        <v>234</v>
      </c>
      <c r="E31" s="235">
        <v>16</v>
      </c>
      <c r="F31" s="243">
        <v>259518.9</v>
      </c>
      <c r="H31" s="209" t="e">
        <f>-F31+#REF!</f>
        <v>#REF!</v>
      </c>
      <c r="J31" s="238"/>
    </row>
    <row r="32" spans="1:11" ht="15" customHeight="1">
      <c r="A32" s="210" t="s">
        <v>452</v>
      </c>
      <c r="E32" s="235">
        <v>15</v>
      </c>
      <c r="F32" s="243">
        <f>307641-168553</f>
        <v>139088</v>
      </c>
      <c r="H32" s="209" t="e">
        <f>-F32+#REF!</f>
        <v>#REF!</v>
      </c>
      <c r="J32" s="238"/>
    </row>
    <row r="33" spans="1:12" ht="15" customHeight="1">
      <c r="A33" s="210" t="s">
        <v>142</v>
      </c>
      <c r="F33" s="243">
        <v>1176525</v>
      </c>
      <c r="H33" s="209" t="e">
        <f>-F33+#REF!</f>
        <v>#REF!</v>
      </c>
      <c r="J33" s="238"/>
    </row>
    <row r="34" spans="1:12" ht="18.2" customHeight="1" thickBot="1">
      <c r="A34" s="244" t="s">
        <v>143</v>
      </c>
      <c r="E34" s="245"/>
      <c r="F34" s="246">
        <f>SUM(F28:F33)+F26+F19</f>
        <v>127759786.90000001</v>
      </c>
    </row>
    <row r="35" spans="1:12" ht="15.75" thickTop="1">
      <c r="A35" s="247"/>
      <c r="B35" s="241"/>
      <c r="C35" s="248"/>
      <c r="D35" s="249"/>
      <c r="E35" s="250"/>
      <c r="F35" s="251"/>
      <c r="G35" s="252"/>
    </row>
    <row r="36" spans="1:12" ht="20.100000000000001" customHeight="1">
      <c r="A36" s="253" t="s">
        <v>152</v>
      </c>
      <c r="B36" s="253"/>
      <c r="C36" s="253"/>
      <c r="D36" s="253"/>
      <c r="E36" s="253"/>
      <c r="F36" s="254"/>
      <c r="G36" s="255"/>
    </row>
    <row r="37" spans="1:12" ht="19.149999999999999" customHeight="1">
      <c r="A37" s="210" t="s">
        <v>144</v>
      </c>
      <c r="F37" s="243"/>
    </row>
    <row r="38" spans="1:12">
      <c r="A38" s="210" t="s">
        <v>235</v>
      </c>
      <c r="D38" s="210"/>
      <c r="E38" s="235" t="s">
        <v>450</v>
      </c>
      <c r="F38" s="243">
        <v>39357000</v>
      </c>
      <c r="H38" s="209" t="e">
        <f>F38-#REF!</f>
        <v>#REF!</v>
      </c>
      <c r="J38" s="238"/>
      <c r="K38" s="243"/>
    </row>
    <row r="39" spans="1:12">
      <c r="A39" s="210" t="s">
        <v>145</v>
      </c>
      <c r="D39" s="210"/>
      <c r="E39" s="235" t="s">
        <v>250</v>
      </c>
      <c r="F39" s="243">
        <v>27935000</v>
      </c>
      <c r="H39" s="209" t="e">
        <f>F39-#REF!</f>
        <v>#REF!</v>
      </c>
      <c r="J39" s="238"/>
      <c r="L39" s="243"/>
    </row>
    <row r="40" spans="1:12">
      <c r="A40" s="210" t="s">
        <v>146</v>
      </c>
      <c r="D40" s="210"/>
      <c r="E40" s="235" t="s">
        <v>251</v>
      </c>
      <c r="F40" s="243">
        <f>34958566-150831</f>
        <v>34807735</v>
      </c>
      <c r="H40" s="209" t="e">
        <f>F40-#REF!</f>
        <v>#REF!</v>
      </c>
      <c r="J40" s="238"/>
      <c r="L40" s="243"/>
    </row>
    <row r="41" spans="1:12" ht="15" customHeight="1">
      <c r="A41" s="210" t="s">
        <v>449</v>
      </c>
      <c r="D41" s="210"/>
      <c r="E41" s="235">
        <v>4</v>
      </c>
      <c r="F41" s="243">
        <v>35248.79</v>
      </c>
    </row>
    <row r="42" spans="1:12" ht="15" customHeight="1">
      <c r="A42" s="210" t="s">
        <v>454</v>
      </c>
      <c r="D42" s="210"/>
      <c r="F42" s="243">
        <v>150831.10999999999</v>
      </c>
    </row>
    <row r="43" spans="1:12" ht="16.149999999999999" customHeight="1">
      <c r="A43" s="210" t="s">
        <v>147</v>
      </c>
      <c r="D43" s="210"/>
      <c r="E43" s="245"/>
      <c r="F43" s="243">
        <v>2523291</v>
      </c>
      <c r="H43" s="209" t="e">
        <f>F43-#REF!</f>
        <v>#REF!</v>
      </c>
      <c r="J43" s="238"/>
    </row>
    <row r="44" spans="1:12" ht="16.149999999999999" customHeight="1">
      <c r="A44" s="214" t="s">
        <v>148</v>
      </c>
      <c r="D44" s="210"/>
      <c r="E44" s="248"/>
      <c r="F44" s="256">
        <f>+F38+F39+F40+F41+F42+F43</f>
        <v>104809105.90000001</v>
      </c>
    </row>
    <row r="45" spans="1:12" ht="11.25" customHeight="1">
      <c r="A45" s="244"/>
      <c r="D45" s="210"/>
      <c r="E45" s="257"/>
      <c r="F45" s="251"/>
      <c r="G45" s="252"/>
    </row>
    <row r="46" spans="1:12">
      <c r="A46" s="210" t="s">
        <v>149</v>
      </c>
      <c r="D46" s="210"/>
      <c r="E46" s="245">
        <v>16</v>
      </c>
      <c r="F46" s="236"/>
    </row>
    <row r="47" spans="1:12" ht="16.149999999999999" customHeight="1">
      <c r="A47" s="277" t="s">
        <v>210</v>
      </c>
      <c r="D47" s="248"/>
      <c r="E47" s="245"/>
      <c r="F47" s="236">
        <v>5824874</v>
      </c>
      <c r="H47" s="209" t="e">
        <f>F47-#REF!</f>
        <v>#REF!</v>
      </c>
      <c r="J47" s="238"/>
    </row>
    <row r="48" spans="1:12" ht="16.149999999999999" customHeight="1">
      <c r="A48" s="277" t="s">
        <v>134</v>
      </c>
      <c r="D48" s="248"/>
      <c r="E48" s="245"/>
      <c r="F48" s="236">
        <v>1159800</v>
      </c>
      <c r="H48" s="209" t="e">
        <f>F48-#REF!</f>
        <v>#REF!</v>
      </c>
      <c r="J48" s="238"/>
    </row>
    <row r="49" spans="1:10" ht="16.149999999999999" customHeight="1">
      <c r="A49" s="277" t="s">
        <v>214</v>
      </c>
      <c r="D49" s="248"/>
      <c r="E49" s="245"/>
      <c r="F49" s="236">
        <v>1800000</v>
      </c>
      <c r="H49" s="209" t="e">
        <f>F49-#REF!</f>
        <v>#REF!</v>
      </c>
      <c r="J49" s="238"/>
    </row>
    <row r="50" spans="1:10" ht="16.149999999999999" hidden="1" customHeight="1">
      <c r="A50" s="278" t="s">
        <v>242</v>
      </c>
      <c r="D50" s="248"/>
      <c r="E50" s="245"/>
      <c r="F50" s="236">
        <v>0</v>
      </c>
      <c r="H50" s="209" t="e">
        <f>F50-#REF!</f>
        <v>#REF!</v>
      </c>
      <c r="I50" s="222" t="e">
        <f>+#REF!-F50</f>
        <v>#REF!</v>
      </c>
    </row>
    <row r="51" spans="1:10" s="241" customFormat="1" ht="16.149999999999999" customHeight="1">
      <c r="A51" s="279" t="s">
        <v>150</v>
      </c>
      <c r="C51" s="248"/>
      <c r="D51" s="248"/>
      <c r="E51" s="245"/>
      <c r="F51" s="259">
        <f>13732324-1159800+1468440+125043</f>
        <v>14166007</v>
      </c>
      <c r="G51" s="260"/>
      <c r="H51" s="209" t="e">
        <f>F51-#REF!</f>
        <v>#REF!</v>
      </c>
      <c r="I51" s="258"/>
      <c r="J51" s="261"/>
    </row>
    <row r="52" spans="1:10" ht="20.25" customHeight="1">
      <c r="A52" s="343" t="s">
        <v>153</v>
      </c>
      <c r="B52" s="343"/>
      <c r="D52" s="248"/>
      <c r="E52" s="245"/>
      <c r="F52" s="256">
        <f>SUM(F47:F51)</f>
        <v>22950681</v>
      </c>
      <c r="H52" s="262" t="e">
        <f>#REF!-#REF!-#REF!</f>
        <v>#REF!</v>
      </c>
      <c r="I52" s="241"/>
    </row>
    <row r="53" spans="1:10" s="241" customFormat="1" ht="20.25" customHeight="1" thickBot="1">
      <c r="A53" s="247" t="s">
        <v>151</v>
      </c>
      <c r="C53" s="248"/>
      <c r="E53" s="263" t="s">
        <v>0</v>
      </c>
      <c r="F53" s="246">
        <f>+F44+F52</f>
        <v>127759786.90000001</v>
      </c>
      <c r="G53" s="237"/>
      <c r="H53" s="262">
        <f>F34-F44-F52</f>
        <v>0</v>
      </c>
    </row>
    <row r="54" spans="1:10" ht="15" thickTop="1"/>
    <row r="55" spans="1:10" s="271" customFormat="1" ht="14.25" customHeight="1">
      <c r="A55" s="265"/>
      <c r="B55" s="266"/>
      <c r="C55" s="267"/>
      <c r="D55" s="267"/>
      <c r="E55" s="267"/>
      <c r="F55" s="264"/>
      <c r="G55" s="269"/>
      <c r="H55" s="270"/>
    </row>
    <row r="56" spans="1:10" s="271" customFormat="1" ht="14.25" customHeight="1">
      <c r="A56" s="315" t="s">
        <v>460</v>
      </c>
      <c r="B56" s="266"/>
      <c r="C56" s="339" t="s">
        <v>461</v>
      </c>
      <c r="D56" s="267"/>
      <c r="E56" s="267"/>
      <c r="F56" s="264"/>
      <c r="G56" s="269"/>
      <c r="H56" s="270"/>
    </row>
    <row r="57" spans="1:10" s="271" customFormat="1" ht="14.25" customHeight="1">
      <c r="A57" s="315" t="s">
        <v>462</v>
      </c>
      <c r="B57" s="266"/>
      <c r="C57" s="339" t="s">
        <v>463</v>
      </c>
      <c r="D57" s="267"/>
      <c r="E57" s="267"/>
      <c r="F57" s="268"/>
      <c r="G57" s="269"/>
      <c r="H57" s="270"/>
    </row>
    <row r="58" spans="1:10" s="271" customFormat="1" ht="14.25" customHeight="1">
      <c r="A58" s="329"/>
      <c r="B58" s="266"/>
      <c r="C58" s="267"/>
      <c r="D58" s="267"/>
      <c r="E58" s="267"/>
      <c r="F58" s="268"/>
      <c r="G58" s="269"/>
      <c r="H58" s="270"/>
    </row>
    <row r="59" spans="1:10" s="271" customFormat="1" ht="14.25" customHeight="1">
      <c r="A59" s="342">
        <v>5</v>
      </c>
      <c r="B59" s="342"/>
      <c r="C59" s="342"/>
      <c r="D59" s="342"/>
      <c r="E59" s="342"/>
      <c r="F59" s="342"/>
      <c r="G59" s="342"/>
      <c r="H59" s="270"/>
    </row>
    <row r="60" spans="1:10" s="271" customFormat="1" ht="14.25" customHeight="1" thickBot="1">
      <c r="A60" s="218"/>
      <c r="B60" s="219"/>
      <c r="C60" s="219"/>
      <c r="D60" s="219"/>
      <c r="E60" s="219"/>
      <c r="F60" s="268"/>
      <c r="G60" s="272"/>
      <c r="H60" s="270"/>
    </row>
    <row r="61" spans="1:10" s="271" customFormat="1" ht="14.25" customHeight="1" thickTop="1">
      <c r="A61" s="224"/>
      <c r="B61" s="225"/>
      <c r="C61" s="225"/>
      <c r="D61" s="225"/>
      <c r="E61" s="225"/>
      <c r="F61" s="226"/>
      <c r="G61" s="273"/>
      <c r="H61" s="270"/>
    </row>
    <row r="62" spans="1:10">
      <c r="F62" s="222"/>
    </row>
  </sheetData>
  <mergeCells count="5">
    <mergeCell ref="A59:G59"/>
    <mergeCell ref="A52:B52"/>
    <mergeCell ref="A1:G1"/>
    <mergeCell ref="A5:G5"/>
    <mergeCell ref="A7:G7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4"/>
  <sheetViews>
    <sheetView showGridLines="0" zoomScale="110" zoomScaleNormal="110" workbookViewId="0">
      <selection activeCell="E71" sqref="E71"/>
    </sheetView>
  </sheetViews>
  <sheetFormatPr baseColWidth="10" defaultColWidth="9.140625" defaultRowHeight="12.75"/>
  <cols>
    <col min="1" max="3" width="9.140625" style="281" customWidth="1"/>
    <col min="4" max="4" width="26.5703125" style="281" customWidth="1"/>
    <col min="5" max="5" width="11.28515625" style="281" customWidth="1"/>
    <col min="6" max="6" width="12.85546875" style="281" customWidth="1"/>
    <col min="7" max="7" width="5.140625" style="306" customWidth="1"/>
    <col min="8" max="8" width="9.140625" style="281"/>
    <col min="9" max="9" width="12.140625" style="281" bestFit="1" customWidth="1"/>
    <col min="10" max="16384" width="9.140625" style="281"/>
  </cols>
  <sheetData>
    <row r="1" spans="1:9" ht="17.25" customHeight="1">
      <c r="A1" s="346" t="s">
        <v>133</v>
      </c>
      <c r="B1" s="346"/>
      <c r="C1" s="346"/>
      <c r="D1" s="346"/>
      <c r="E1" s="346"/>
      <c r="F1" s="346"/>
      <c r="G1" s="346"/>
      <c r="H1" s="280"/>
    </row>
    <row r="2" spans="1:9" ht="14.45" customHeight="1">
      <c r="A2" s="328" t="str">
        <f>Balance!A2</f>
        <v>(Compañía Salvadoreña Subsidiaria de Banco La Hipotecaria, S.A.)</v>
      </c>
      <c r="B2" s="328"/>
      <c r="C2" s="328"/>
      <c r="D2" s="328"/>
      <c r="E2" s="328"/>
      <c r="F2" s="328"/>
      <c r="G2" s="328"/>
      <c r="H2" s="280"/>
    </row>
    <row r="3" spans="1:9" ht="15.75" customHeight="1">
      <c r="A3" s="282" t="s">
        <v>135</v>
      </c>
      <c r="B3" s="282"/>
      <c r="C3" s="282"/>
      <c r="D3" s="282"/>
      <c r="E3" s="282"/>
      <c r="F3" s="282"/>
      <c r="G3" s="283"/>
      <c r="H3" s="280"/>
    </row>
    <row r="4" spans="1:9" ht="15.75" customHeight="1">
      <c r="A4" s="282"/>
      <c r="B4" s="282"/>
      <c r="C4" s="282"/>
      <c r="D4" s="282"/>
      <c r="E4" s="282"/>
      <c r="F4" s="282"/>
      <c r="G4" s="283"/>
      <c r="H4" s="280"/>
    </row>
    <row r="5" spans="1:9">
      <c r="A5" s="347" t="s">
        <v>444</v>
      </c>
      <c r="B5" s="347"/>
      <c r="C5" s="347"/>
      <c r="D5" s="347"/>
      <c r="E5" s="347"/>
      <c r="F5" s="347"/>
      <c r="G5" s="347"/>
      <c r="H5" s="280"/>
    </row>
    <row r="6" spans="1:9">
      <c r="A6" s="284"/>
      <c r="B6" s="284"/>
      <c r="C6" s="284"/>
      <c r="D6" s="284"/>
      <c r="E6" s="284"/>
      <c r="F6" s="284"/>
      <c r="G6" s="285"/>
      <c r="H6" s="280"/>
    </row>
    <row r="7" spans="1:9">
      <c r="A7" s="348" t="s">
        <v>459</v>
      </c>
      <c r="B7" s="348"/>
      <c r="C7" s="348"/>
      <c r="D7" s="348"/>
      <c r="E7" s="348"/>
      <c r="F7" s="348"/>
      <c r="G7" s="348"/>
      <c r="H7" s="280"/>
    </row>
    <row r="8" spans="1:9">
      <c r="A8" s="283"/>
      <c r="B8" s="283"/>
      <c r="C8" s="283"/>
      <c r="D8" s="283"/>
      <c r="E8" s="283"/>
      <c r="F8" s="283"/>
      <c r="G8" s="283"/>
      <c r="H8" s="286"/>
    </row>
    <row r="9" spans="1:9" ht="6.75" customHeight="1">
      <c r="A9" s="283"/>
      <c r="B9" s="283"/>
      <c r="C9" s="283"/>
      <c r="D9" s="283"/>
      <c r="E9" s="283"/>
      <c r="F9" s="283"/>
      <c r="G9" s="283"/>
      <c r="H9" s="286"/>
    </row>
    <row r="10" spans="1:9" ht="14.25" customHeight="1">
      <c r="A10" s="287" t="s">
        <v>136</v>
      </c>
      <c r="B10" s="288"/>
      <c r="C10" s="288"/>
      <c r="D10" s="288"/>
      <c r="E10" s="288"/>
      <c r="F10" s="287"/>
      <c r="G10" s="289"/>
    </row>
    <row r="11" spans="1:9" ht="14.25" customHeight="1" thickBot="1">
      <c r="A11" s="287"/>
      <c r="B11" s="288"/>
      <c r="C11" s="288"/>
      <c r="D11" s="288"/>
      <c r="E11" s="288"/>
      <c r="F11" s="290"/>
      <c r="G11" s="290"/>
    </row>
    <row r="12" spans="1:9" ht="14.25" customHeight="1" thickTop="1">
      <c r="A12" s="291"/>
      <c r="B12" s="292"/>
      <c r="C12" s="292"/>
      <c r="D12" s="292"/>
      <c r="E12" s="292"/>
      <c r="F12" s="293"/>
      <c r="G12" s="293"/>
    </row>
    <row r="13" spans="1:9" ht="14.25" customHeight="1">
      <c r="A13" s="289"/>
      <c r="B13" s="294"/>
      <c r="C13" s="294"/>
      <c r="D13" s="294"/>
      <c r="E13" s="295" t="s">
        <v>108</v>
      </c>
      <c r="F13" s="296">
        <v>2020</v>
      </c>
      <c r="G13" s="296"/>
    </row>
    <row r="14" spans="1:9" ht="14.1" customHeight="1">
      <c r="A14" s="281" t="s">
        <v>5</v>
      </c>
      <c r="C14" s="297"/>
      <c r="E14" s="298"/>
      <c r="F14" s="299"/>
      <c r="G14" s="300"/>
    </row>
    <row r="15" spans="1:9" ht="14.1" customHeight="1">
      <c r="A15" s="281" t="s">
        <v>104</v>
      </c>
      <c r="C15" s="297"/>
      <c r="D15" s="297"/>
      <c r="E15" s="298"/>
      <c r="F15" s="299" t="s">
        <v>0</v>
      </c>
      <c r="G15" s="300"/>
    </row>
    <row r="16" spans="1:9" ht="14.1" customHeight="1">
      <c r="A16" s="281" t="s">
        <v>217</v>
      </c>
      <c r="C16" s="297"/>
      <c r="D16" s="297"/>
      <c r="E16" s="298" t="s">
        <v>0</v>
      </c>
      <c r="F16" s="301">
        <v>7580471</v>
      </c>
      <c r="G16" s="300"/>
      <c r="I16" s="302"/>
    </row>
    <row r="17" spans="1:9" ht="14.1" hidden="1" customHeight="1">
      <c r="A17" s="281" t="s">
        <v>218</v>
      </c>
      <c r="C17" s="297"/>
      <c r="D17" s="297"/>
      <c r="E17" s="298"/>
      <c r="F17" s="301">
        <v>0</v>
      </c>
      <c r="G17" s="300"/>
      <c r="I17" s="302"/>
    </row>
    <row r="18" spans="1:9" ht="14.1" customHeight="1">
      <c r="A18" s="281" t="s">
        <v>219</v>
      </c>
      <c r="C18" s="297"/>
      <c r="D18" s="297"/>
      <c r="E18" s="298"/>
      <c r="F18" s="301">
        <v>3978</v>
      </c>
      <c r="G18" s="300"/>
      <c r="I18" s="302"/>
    </row>
    <row r="19" spans="1:9" ht="14.1" customHeight="1">
      <c r="A19" s="281" t="s">
        <v>451</v>
      </c>
      <c r="C19" s="297"/>
      <c r="D19" s="297"/>
      <c r="E19" s="298"/>
      <c r="F19" s="303">
        <v>1102728.83</v>
      </c>
      <c r="G19" s="300"/>
      <c r="I19" s="302"/>
    </row>
    <row r="20" spans="1:9" ht="14.1" customHeight="1">
      <c r="A20" s="281" t="s">
        <v>220</v>
      </c>
      <c r="C20" s="297"/>
      <c r="D20" s="297"/>
      <c r="E20" s="298" t="s">
        <v>0</v>
      </c>
      <c r="F20" s="301">
        <v>186888</v>
      </c>
      <c r="G20" s="300"/>
      <c r="I20" s="302"/>
    </row>
    <row r="21" spans="1:9" ht="18.2" customHeight="1">
      <c r="A21" s="304" t="s">
        <v>129</v>
      </c>
      <c r="C21" s="297"/>
      <c r="D21" s="297"/>
      <c r="E21" s="298"/>
      <c r="F21" s="305">
        <f>SUM(F16:F20)</f>
        <v>8874065.8300000001</v>
      </c>
      <c r="G21" s="300"/>
      <c r="I21" s="302"/>
    </row>
    <row r="22" spans="1:9">
      <c r="C22" s="297"/>
      <c r="D22" s="297"/>
      <c r="E22" s="298"/>
      <c r="F22" s="301"/>
      <c r="G22" s="300"/>
      <c r="I22" s="302"/>
    </row>
    <row r="23" spans="1:9" ht="14.1" customHeight="1">
      <c r="A23" s="281" t="s">
        <v>111</v>
      </c>
      <c r="C23" s="297"/>
      <c r="D23" s="297"/>
      <c r="E23" s="298"/>
      <c r="F23" s="301"/>
      <c r="G23" s="300"/>
      <c r="I23" s="302"/>
    </row>
    <row r="24" spans="1:9" ht="14.1" customHeight="1">
      <c r="A24" s="281" t="s">
        <v>221</v>
      </c>
      <c r="C24" s="297"/>
      <c r="D24" s="297"/>
      <c r="E24" s="298" t="s">
        <v>0</v>
      </c>
      <c r="F24" s="301">
        <v>4570972.2300000004</v>
      </c>
      <c r="G24" s="300"/>
      <c r="I24" s="302"/>
    </row>
    <row r="25" spans="1:9" ht="14.1" customHeight="1">
      <c r="A25" s="306" t="s">
        <v>128</v>
      </c>
      <c r="B25" s="306"/>
      <c r="C25" s="307"/>
      <c r="D25" s="306"/>
      <c r="E25" s="308"/>
      <c r="F25" s="303">
        <v>202108.54</v>
      </c>
      <c r="G25" s="300"/>
      <c r="I25" s="302"/>
    </row>
    <row r="26" spans="1:9">
      <c r="A26" s="304" t="s">
        <v>130</v>
      </c>
      <c r="C26" s="297"/>
      <c r="D26" s="297"/>
      <c r="E26" s="298"/>
      <c r="F26" s="305">
        <f>SUM(F24:F25)</f>
        <v>4773080.7700000005</v>
      </c>
      <c r="G26" s="300"/>
    </row>
    <row r="27" spans="1:9" ht="12" customHeight="1">
      <c r="A27" s="304"/>
      <c r="C27" s="297"/>
      <c r="D27" s="297"/>
      <c r="E27" s="298"/>
      <c r="F27" s="303"/>
      <c r="G27" s="300"/>
    </row>
    <row r="28" spans="1:9">
      <c r="A28" s="304" t="s">
        <v>222</v>
      </c>
      <c r="C28" s="297"/>
      <c r="D28" s="297"/>
      <c r="E28" s="298"/>
      <c r="F28" s="303">
        <f>+F21-F26</f>
        <v>4100985.0599999996</v>
      </c>
      <c r="G28" s="300"/>
    </row>
    <row r="29" spans="1:9" ht="13.5" customHeight="1">
      <c r="A29" s="306"/>
      <c r="B29" s="306"/>
      <c r="C29" s="307"/>
      <c r="D29" s="306"/>
      <c r="E29" s="308"/>
      <c r="F29" s="303"/>
      <c r="G29" s="300"/>
    </row>
    <row r="30" spans="1:9">
      <c r="A30" s="281" t="s">
        <v>154</v>
      </c>
      <c r="C30" s="297"/>
      <c r="D30" s="297"/>
      <c r="E30" s="298">
        <v>7</v>
      </c>
      <c r="F30" s="310">
        <f>497291+86483</f>
        <v>583774</v>
      </c>
      <c r="G30" s="300"/>
    </row>
    <row r="31" spans="1:9" ht="15" customHeight="1">
      <c r="A31" s="281" t="s">
        <v>223</v>
      </c>
      <c r="C31" s="297"/>
      <c r="D31" s="297"/>
      <c r="E31" s="298"/>
      <c r="F31" s="303"/>
      <c r="G31" s="300"/>
    </row>
    <row r="32" spans="1:9">
      <c r="A32" s="281" t="s">
        <v>224</v>
      </c>
      <c r="C32" s="297"/>
      <c r="D32" s="297"/>
      <c r="E32" s="298"/>
      <c r="F32" s="309">
        <f>+F28-F30</f>
        <v>3517211.0599999996</v>
      </c>
      <c r="G32" s="300"/>
    </row>
    <row r="33" spans="1:10">
      <c r="A33" s="306"/>
      <c r="B33" s="306"/>
      <c r="C33" s="307"/>
      <c r="D33" s="306"/>
      <c r="E33" s="308"/>
      <c r="F33" s="303"/>
      <c r="G33" s="300"/>
    </row>
    <row r="34" spans="1:10">
      <c r="A34" s="304" t="s">
        <v>446</v>
      </c>
      <c r="C34" s="297"/>
      <c r="D34" s="297"/>
      <c r="E34" s="298"/>
      <c r="F34" s="301"/>
      <c r="G34" s="300"/>
    </row>
    <row r="35" spans="1:10" hidden="1">
      <c r="A35" s="281" t="s">
        <v>438</v>
      </c>
      <c r="C35" s="297"/>
      <c r="D35" s="297"/>
      <c r="E35" s="298"/>
      <c r="F35" s="301">
        <v>0</v>
      </c>
      <c r="G35" s="300"/>
    </row>
    <row r="36" spans="1:10">
      <c r="A36" s="325" t="s">
        <v>131</v>
      </c>
      <c r="C36" s="297"/>
      <c r="D36" s="297"/>
      <c r="E36" s="298"/>
      <c r="F36" s="242">
        <v>159437</v>
      </c>
      <c r="G36" s="300"/>
      <c r="I36" s="311"/>
    </row>
    <row r="37" spans="1:10" ht="14.1" customHeight="1">
      <c r="A37" s="304" t="s">
        <v>246</v>
      </c>
      <c r="C37" s="297"/>
      <c r="D37" s="297"/>
      <c r="E37" s="298"/>
      <c r="F37" s="242">
        <f>SUM(F35:F36)</f>
        <v>159437</v>
      </c>
      <c r="G37" s="300"/>
    </row>
    <row r="38" spans="1:10">
      <c r="C38" s="297"/>
      <c r="D38" s="297"/>
      <c r="E38" s="298"/>
      <c r="F38" s="303"/>
      <c r="G38" s="300"/>
    </row>
    <row r="39" spans="1:10">
      <c r="A39" s="281" t="s">
        <v>6</v>
      </c>
      <c r="C39" s="297"/>
      <c r="D39" s="297"/>
      <c r="E39" s="298"/>
      <c r="F39" s="301"/>
      <c r="G39" s="300"/>
    </row>
    <row r="40" spans="1:10">
      <c r="A40" s="325" t="s">
        <v>414</v>
      </c>
      <c r="C40" s="297"/>
      <c r="D40" s="297"/>
      <c r="E40" s="298">
        <v>13</v>
      </c>
      <c r="F40" s="301">
        <v>851120</v>
      </c>
      <c r="G40" s="300"/>
      <c r="I40" s="311"/>
    </row>
    <row r="41" spans="1:10">
      <c r="A41" s="325" t="s">
        <v>421</v>
      </c>
      <c r="C41" s="297"/>
      <c r="D41" s="297"/>
      <c r="E41" s="298">
        <v>8</v>
      </c>
      <c r="F41" s="301">
        <f>194931-76615</f>
        <v>118316</v>
      </c>
      <c r="G41" s="300"/>
      <c r="I41" s="311"/>
      <c r="J41" s="333"/>
    </row>
    <row r="42" spans="1:10">
      <c r="A42" s="325" t="s">
        <v>456</v>
      </c>
      <c r="C42" s="297"/>
      <c r="D42" s="297"/>
      <c r="E42" s="298"/>
      <c r="F42" s="301">
        <v>76615</v>
      </c>
      <c r="G42" s="300"/>
      <c r="I42" s="311"/>
      <c r="J42" s="333"/>
    </row>
    <row r="43" spans="1:10">
      <c r="A43" s="325" t="s">
        <v>441</v>
      </c>
      <c r="C43" s="297"/>
      <c r="D43" s="297"/>
      <c r="E43" s="298"/>
      <c r="F43" s="301">
        <v>429221</v>
      </c>
      <c r="G43" s="300"/>
      <c r="I43" s="311"/>
      <c r="J43" s="333"/>
    </row>
    <row r="44" spans="1:10">
      <c r="A44" s="325" t="s">
        <v>442</v>
      </c>
      <c r="C44" s="297"/>
      <c r="D44" s="297"/>
      <c r="E44" s="298"/>
      <c r="F44" s="301">
        <v>504224</v>
      </c>
      <c r="G44" s="300"/>
      <c r="I44" s="311"/>
      <c r="J44" s="333"/>
    </row>
    <row r="45" spans="1:10">
      <c r="A45" s="325" t="s">
        <v>430</v>
      </c>
      <c r="C45" s="297"/>
      <c r="D45" s="297"/>
      <c r="E45" s="298">
        <v>13</v>
      </c>
      <c r="F45" s="301">
        <f>325277+904</f>
        <v>326181</v>
      </c>
      <c r="G45" s="300"/>
      <c r="I45" s="311"/>
      <c r="J45" s="333"/>
    </row>
    <row r="46" spans="1:10" ht="18.2" customHeight="1">
      <c r="A46" s="304" t="s">
        <v>132</v>
      </c>
      <c r="C46" s="297"/>
      <c r="D46" s="297"/>
      <c r="E46" s="298"/>
      <c r="F46" s="305">
        <f>SUM(F40:F45)</f>
        <v>2305677</v>
      </c>
      <c r="G46" s="300"/>
      <c r="J46" s="333"/>
    </row>
    <row r="47" spans="1:10" ht="13.5" customHeight="1">
      <c r="A47" s="304"/>
      <c r="C47" s="297"/>
      <c r="D47" s="297"/>
      <c r="E47" s="298"/>
      <c r="F47" s="303"/>
      <c r="G47" s="300"/>
      <c r="J47" s="333"/>
    </row>
    <row r="48" spans="1:10">
      <c r="A48" s="304" t="s">
        <v>225</v>
      </c>
      <c r="C48" s="297"/>
      <c r="D48" s="297"/>
      <c r="E48" s="298"/>
      <c r="F48" s="301">
        <f>+F32+F37-F46</f>
        <v>1370971.0599999996</v>
      </c>
      <c r="G48" s="300"/>
      <c r="J48" s="335"/>
    </row>
    <row r="49" spans="1:10">
      <c r="A49" s="304"/>
      <c r="C49" s="297"/>
      <c r="D49" s="297"/>
      <c r="E49" s="298"/>
      <c r="F49" s="299"/>
      <c r="G49" s="300"/>
      <c r="J49" s="334"/>
    </row>
    <row r="50" spans="1:10">
      <c r="A50" s="281" t="s">
        <v>31</v>
      </c>
      <c r="C50" s="297"/>
      <c r="D50" s="297"/>
      <c r="E50" s="298">
        <v>15</v>
      </c>
      <c r="F50" s="300">
        <f>-648766+136801-82716-F51</f>
        <v>-511965</v>
      </c>
      <c r="G50" s="300"/>
      <c r="I50" s="311"/>
    </row>
    <row r="51" spans="1:10">
      <c r="A51" s="281" t="s">
        <v>443</v>
      </c>
      <c r="C51" s="297"/>
      <c r="D51" s="297"/>
      <c r="E51" s="298">
        <v>15</v>
      </c>
      <c r="F51" s="300">
        <v>-82716</v>
      </c>
      <c r="G51" s="300"/>
      <c r="I51" s="311"/>
    </row>
    <row r="52" spans="1:10" ht="19.7" customHeight="1" thickBot="1">
      <c r="A52" s="312" t="s">
        <v>137</v>
      </c>
      <c r="B52" s="306"/>
      <c r="C52" s="307"/>
      <c r="D52" s="297"/>
      <c r="E52" s="313"/>
      <c r="F52" s="332">
        <f>+F48+F50+F51</f>
        <v>776290.05999999959</v>
      </c>
      <c r="G52" s="300"/>
    </row>
    <row r="53" spans="1:10" ht="9.75" customHeight="1" thickTop="1">
      <c r="A53" s="312"/>
      <c r="B53" s="306"/>
      <c r="C53" s="307"/>
      <c r="D53" s="297"/>
      <c r="E53" s="313"/>
      <c r="F53" s="314"/>
      <c r="G53" s="314"/>
    </row>
    <row r="54" spans="1:10" s="316" customFormat="1" ht="14.1" hidden="1" customHeight="1">
      <c r="A54" s="315" t="s">
        <v>247</v>
      </c>
      <c r="E54" s="317"/>
      <c r="F54" s="318"/>
      <c r="G54" s="318"/>
      <c r="H54" s="319"/>
      <c r="I54" s="319"/>
      <c r="J54" s="319"/>
    </row>
    <row r="55" spans="1:10" s="316" customFormat="1" ht="14.1" hidden="1" customHeight="1">
      <c r="A55" s="326" t="s">
        <v>447</v>
      </c>
      <c r="F55" s="321"/>
      <c r="G55" s="321"/>
    </row>
    <row r="56" spans="1:10" s="316" customFormat="1" ht="14.1" hidden="1" customHeight="1">
      <c r="A56" s="331" t="s">
        <v>241</v>
      </c>
      <c r="E56" s="320"/>
      <c r="F56" s="321">
        <v>0</v>
      </c>
      <c r="G56" s="321"/>
    </row>
    <row r="57" spans="1:10" s="316" customFormat="1" ht="11.25" hidden="1" customHeight="1" thickBot="1">
      <c r="A57" s="315" t="s">
        <v>226</v>
      </c>
      <c r="E57" s="317"/>
      <c r="F57" s="322">
        <f>+F52+F56</f>
        <v>776290.05999999959</v>
      </c>
      <c r="G57" s="321"/>
    </row>
    <row r="58" spans="1:10" s="316" customFormat="1" ht="20.25" customHeight="1">
      <c r="E58" s="317"/>
      <c r="F58" s="321"/>
      <c r="G58" s="321"/>
    </row>
    <row r="59" spans="1:10" s="316" customFormat="1" ht="14.25" customHeight="1">
      <c r="A59" s="315" t="s">
        <v>460</v>
      </c>
      <c r="D59" s="337" t="s">
        <v>461</v>
      </c>
      <c r="F59" s="321"/>
      <c r="G59" s="321"/>
    </row>
    <row r="60" spans="1:10">
      <c r="A60" s="315" t="s">
        <v>462</v>
      </c>
      <c r="D60" s="338" t="s">
        <v>463</v>
      </c>
    </row>
    <row r="61" spans="1:10">
      <c r="A61" s="323"/>
      <c r="B61" s="306"/>
      <c r="C61" s="307"/>
      <c r="D61" s="297"/>
      <c r="E61" s="313"/>
      <c r="F61" s="324"/>
      <c r="G61" s="324"/>
    </row>
    <row r="62" spans="1:10">
      <c r="A62" s="349">
        <v>6</v>
      </c>
      <c r="B62" s="349"/>
      <c r="C62" s="349"/>
      <c r="D62" s="349"/>
      <c r="E62" s="349"/>
      <c r="F62" s="349"/>
      <c r="G62" s="349"/>
    </row>
    <row r="63" spans="1:10" ht="14.25" customHeight="1" thickBot="1">
      <c r="A63" s="287"/>
      <c r="B63" s="288"/>
      <c r="C63" s="288"/>
      <c r="D63" s="288"/>
      <c r="E63" s="288"/>
      <c r="F63" s="290"/>
      <c r="G63" s="290"/>
    </row>
    <row r="64" spans="1:10" ht="14.25" customHeight="1" thickTop="1">
      <c r="A64" s="291"/>
      <c r="B64" s="292"/>
      <c r="C64" s="292"/>
      <c r="D64" s="292"/>
      <c r="E64" s="292"/>
      <c r="F64" s="293"/>
      <c r="G64" s="293"/>
    </row>
  </sheetData>
  <mergeCells count="4">
    <mergeCell ref="A1:G1"/>
    <mergeCell ref="A5:G5"/>
    <mergeCell ref="A7:G7"/>
    <mergeCell ref="A62:G62"/>
  </mergeCells>
  <phoneticPr fontId="39" type="noConversion"/>
  <printOptions horizontalCentered="1" verticalCentered="1"/>
  <pageMargins left="0.49" right="0.27559055118110237" top="0.23622047244094491" bottom="0.19685039370078741" header="0.23622047244094491" footer="0.23622047244094491"/>
  <pageSetup scale="8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ColWidth="11.42578125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380</v>
      </c>
      <c r="B1" s="145" t="s">
        <v>254</v>
      </c>
      <c r="C1" s="145" t="s">
        <v>255</v>
      </c>
      <c r="D1" s="145" t="s">
        <v>227</v>
      </c>
      <c r="E1" s="145" t="s">
        <v>256</v>
      </c>
      <c r="F1" s="145" t="s">
        <v>257</v>
      </c>
      <c r="G1" s="145" t="s">
        <v>258</v>
      </c>
    </row>
    <row r="2" spans="1:8">
      <c r="A2" s="147" t="s">
        <v>259</v>
      </c>
    </row>
    <row r="3" spans="1:8">
      <c r="A3" s="149" t="s">
        <v>260</v>
      </c>
    </row>
    <row r="4" spans="1:8" s="152" customFormat="1">
      <c r="A4" s="150" t="s">
        <v>259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179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208</v>
      </c>
    </row>
    <row r="6" spans="1:8" s="152" customFormat="1" ht="15">
      <c r="A6" s="153" t="s">
        <v>261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215</v>
      </c>
    </row>
    <row r="7" spans="1:8" s="152" customFormat="1" ht="15">
      <c r="A7" s="153" t="s">
        <v>262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248</v>
      </c>
    </row>
    <row r="8" spans="1:8" s="152" customFormat="1">
      <c r="A8" s="153" t="s">
        <v>263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264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259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265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266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267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268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269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270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181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259</v>
      </c>
      <c r="B18" s="151"/>
      <c r="C18" s="151"/>
      <c r="D18" s="151"/>
      <c r="E18" s="151"/>
      <c r="F18" s="151"/>
      <c r="G18" s="151"/>
    </row>
    <row r="19" spans="1:8" ht="15">
      <c r="A19" s="149" t="s">
        <v>271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229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272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259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273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274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275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276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230</v>
      </c>
    </row>
    <row r="27" spans="1:8" s="152" customFormat="1" ht="15">
      <c r="A27" s="153" t="s">
        <v>277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243</v>
      </c>
    </row>
    <row r="28" spans="1:8">
      <c r="A28" s="149" t="s">
        <v>278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259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279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280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281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282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283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284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285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286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140</v>
      </c>
    </row>
    <row r="38" spans="1:9" s="152" customFormat="1">
      <c r="A38" s="150" t="s">
        <v>259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287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288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289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290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291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292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293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140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294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259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295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296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297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298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299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185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141</v>
      </c>
      <c r="I54" s="162"/>
    </row>
    <row r="55" spans="1:11">
      <c r="A55" s="147" t="s">
        <v>259</v>
      </c>
      <c r="I55" s="162"/>
    </row>
    <row r="56" spans="1:11">
      <c r="A56" s="149" t="s">
        <v>300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259</v>
      </c>
      <c r="I57" s="162"/>
    </row>
    <row r="58" spans="1:11">
      <c r="A58" s="149" t="s">
        <v>301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259</v>
      </c>
      <c r="E59" s="151"/>
    </row>
    <row r="60" spans="1:11" ht="15">
      <c r="A60" s="149" t="s">
        <v>302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234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303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142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304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305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306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307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308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309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310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309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142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311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312</v>
      </c>
      <c r="H77" s="170"/>
      <c r="I77" s="180"/>
    </row>
    <row r="78" spans="1:11" s="152" customFormat="1">
      <c r="A78" s="150" t="s">
        <v>259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313</v>
      </c>
      <c r="H79" s="162"/>
    </row>
    <row r="80" spans="1:11">
      <c r="A80" s="147" t="s">
        <v>259</v>
      </c>
    </row>
    <row r="81" spans="1:8" s="152" customFormat="1">
      <c r="A81" s="153" t="s">
        <v>314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315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316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145</v>
      </c>
    </row>
    <row r="84" spans="1:8" s="152" customFormat="1" ht="15">
      <c r="A84" s="153" t="s">
        <v>317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235</v>
      </c>
    </row>
    <row r="85" spans="1:8" s="152" customFormat="1">
      <c r="A85" s="153" t="s">
        <v>318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259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319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320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321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322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323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259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162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146</v>
      </c>
    </row>
    <row r="94" spans="1:8" s="152" customFormat="1">
      <c r="A94" s="150" t="s">
        <v>259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324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302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259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325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326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327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328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164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164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147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329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259</v>
      </c>
      <c r="B107" s="151"/>
      <c r="C107" s="151"/>
      <c r="D107" s="151"/>
      <c r="E107" s="151"/>
      <c r="F107" s="151"/>
      <c r="G107" s="151"/>
    </row>
    <row r="108" spans="1:8">
      <c r="A108" s="149" t="s">
        <v>330</v>
      </c>
    </row>
    <row r="109" spans="1:8" s="152" customFormat="1">
      <c r="A109" s="153" t="s">
        <v>331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332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333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210</v>
      </c>
    </row>
    <row r="113" spans="1:9" s="152" customFormat="1">
      <c r="A113" s="150" t="s">
        <v>259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334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214</v>
      </c>
    </row>
    <row r="115" spans="1:9" s="152" customFormat="1">
      <c r="A115" s="153" t="s">
        <v>335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336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381</v>
      </c>
      <c r="I116" s="151"/>
    </row>
    <row r="117" spans="1:9" s="152" customFormat="1">
      <c r="A117" s="153" t="s">
        <v>338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340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341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165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381</v>
      </c>
    </row>
    <row r="121" spans="1:9">
      <c r="A121" s="149" t="s">
        <v>342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343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344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345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346</v>
      </c>
      <c r="B130" s="175" t="s">
        <v>347</v>
      </c>
      <c r="C130" s="175" t="s">
        <v>348</v>
      </c>
      <c r="D130" s="175" t="s">
        <v>349</v>
      </c>
      <c r="M130" s="148"/>
    </row>
    <row r="131" spans="1:13" hidden="1">
      <c r="A131" s="146" t="s">
        <v>350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351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316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352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353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354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355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356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357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358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360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361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362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363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364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366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366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367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375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376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370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377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378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370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379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378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370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346</v>
      </c>
      <c r="B169" s="175" t="s">
        <v>347</v>
      </c>
      <c r="C169" s="175" t="s">
        <v>348</v>
      </c>
      <c r="D169" s="175" t="s">
        <v>349</v>
      </c>
    </row>
    <row r="170" spans="1:13" hidden="1">
      <c r="A170" s="146" t="s">
        <v>350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351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316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352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353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354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355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356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357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358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360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361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362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363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364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366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374</v>
      </c>
      <c r="B187" s="166">
        <v>857639.62</v>
      </c>
      <c r="C187" s="151">
        <v>362887.57</v>
      </c>
      <c r="D187" s="151"/>
    </row>
    <row r="188" spans="1:4" hidden="1">
      <c r="A188" s="146" t="s">
        <v>367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375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376</v>
      </c>
      <c r="B191" s="166">
        <v>627667.35</v>
      </c>
      <c r="C191" s="151">
        <v>274411.15999999997</v>
      </c>
      <c r="D191" s="151"/>
    </row>
    <row r="192" spans="1:4" hidden="1">
      <c r="A192" s="146" t="s">
        <v>370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377</v>
      </c>
      <c r="B194" s="176">
        <f>B170</f>
        <v>149481.75</v>
      </c>
      <c r="C194" s="148">
        <f>C173</f>
        <v>9959.74</v>
      </c>
    </row>
    <row r="195" spans="1:8" hidden="1">
      <c r="A195" s="152" t="s">
        <v>378</v>
      </c>
      <c r="B195" s="166">
        <v>138614.51999999999</v>
      </c>
      <c r="C195" s="151">
        <v>47881.24</v>
      </c>
      <c r="D195" s="151"/>
    </row>
    <row r="196" spans="1:8" hidden="1">
      <c r="A196" s="146" t="s">
        <v>370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379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378</v>
      </c>
      <c r="B199" s="166">
        <v>91357.75</v>
      </c>
      <c r="C199" s="151">
        <v>40595.17</v>
      </c>
      <c r="D199" s="151"/>
    </row>
    <row r="200" spans="1:8" hidden="1">
      <c r="A200" s="146" t="s">
        <v>370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382</v>
      </c>
      <c r="B205" s="182" t="s">
        <v>254</v>
      </c>
      <c r="C205" s="182" t="s">
        <v>383</v>
      </c>
      <c r="D205" s="182" t="s">
        <v>227</v>
      </c>
      <c r="E205" s="182" t="s">
        <v>384</v>
      </c>
      <c r="F205" s="183" t="s">
        <v>385</v>
      </c>
      <c r="G205" s="183" t="s">
        <v>258</v>
      </c>
    </row>
    <row r="206" spans="1:8" customFormat="1" ht="12.75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217</v>
      </c>
    </row>
    <row r="208" spans="1:8" customFormat="1" ht="15">
      <c r="A208" s="116" t="s">
        <v>181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218</v>
      </c>
    </row>
    <row r="209" spans="1:8" customFormat="1" ht="15">
      <c r="A209" s="116" t="s">
        <v>388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219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389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220</v>
      </c>
    </row>
    <row r="213" spans="1:8" customFormat="1" ht="15">
      <c r="A213" s="116" t="s">
        <v>390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244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391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111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392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393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221</v>
      </c>
    </row>
    <row r="220" spans="1:8" customFormat="1" ht="15">
      <c r="A220" s="116" t="s">
        <v>394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128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395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396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259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397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154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398</v>
      </c>
    </row>
    <row r="228" spans="1:8" customFormat="1" ht="12.75">
      <c r="A228" s="111" t="s">
        <v>399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400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402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131</v>
      </c>
    </row>
    <row r="233" spans="1:8" customFormat="1" ht="12.75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404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131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405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259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406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407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408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409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410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411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412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413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414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415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416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417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418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419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420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421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259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422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110</v>
      </c>
    </row>
    <row r="257" spans="1:8" customFormat="1" ht="12.75">
      <c r="A257" s="126" t="s">
        <v>259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423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424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425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426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427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428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429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430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431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432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433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259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434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435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436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437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253</v>
      </c>
      <c r="B1" s="106" t="s">
        <v>254</v>
      </c>
      <c r="C1" s="106" t="s">
        <v>255</v>
      </c>
      <c r="D1" s="106" t="s">
        <v>227</v>
      </c>
      <c r="E1" s="106" t="s">
        <v>256</v>
      </c>
      <c r="F1" s="106" t="s">
        <v>257</v>
      </c>
      <c r="G1" s="106" t="s">
        <v>258</v>
      </c>
      <c r="H1" s="201"/>
    </row>
    <row r="2" spans="1:8" s="110" customFormat="1" ht="12">
      <c r="A2" s="108" t="s">
        <v>259</v>
      </c>
      <c r="B2" s="109"/>
      <c r="C2" s="109"/>
      <c r="D2" s="109"/>
      <c r="E2" s="109"/>
      <c r="F2" s="109"/>
      <c r="G2" s="109"/>
      <c r="H2" s="201"/>
    </row>
    <row r="3" spans="1:8">
      <c r="A3" s="111" t="s">
        <v>260</v>
      </c>
      <c r="H3" s="201"/>
    </row>
    <row r="4" spans="1:8" s="115" customFormat="1" ht="12">
      <c r="A4" s="113" t="s">
        <v>259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179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208</v>
      </c>
    </row>
    <row r="6" spans="1:8" s="118" customFormat="1" ht="15">
      <c r="A6" s="116" t="s">
        <v>261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215</v>
      </c>
    </row>
    <row r="7" spans="1:8" s="118" customFormat="1" ht="15">
      <c r="A7" s="116" t="s">
        <v>262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248</v>
      </c>
    </row>
    <row r="8" spans="1:8" s="118" customFormat="1">
      <c r="A8" s="116" t="s">
        <v>263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264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259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265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266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267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268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269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270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181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259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271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229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272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259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273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274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275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276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230</v>
      </c>
    </row>
    <row r="27" spans="1:8" s="118" customFormat="1" ht="15">
      <c r="A27" s="116" t="s">
        <v>277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243</v>
      </c>
    </row>
    <row r="28" spans="1:8">
      <c r="A28" s="111" t="s">
        <v>278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259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279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280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281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282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283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284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285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286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140</v>
      </c>
    </row>
    <row r="38" spans="1:8" s="115" customFormat="1">
      <c r="A38" s="113" t="s">
        <v>259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287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288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289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290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291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292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293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140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294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259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295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296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297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298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299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185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141</v>
      </c>
    </row>
    <row r="55" spans="1:8" s="110" customFormat="1" ht="12">
      <c r="A55" s="108" t="s">
        <v>259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300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259</v>
      </c>
      <c r="H57" s="201"/>
    </row>
    <row r="58" spans="1:8">
      <c r="A58" s="111" t="s">
        <v>301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259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302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234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303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142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304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305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306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307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308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309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310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309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142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311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312</v>
      </c>
      <c r="H77" s="205"/>
    </row>
    <row r="78" spans="1:8" s="115" customFormat="1" ht="12">
      <c r="A78" s="113" t="s">
        <v>259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313</v>
      </c>
      <c r="H79" s="206"/>
    </row>
    <row r="80" spans="1:8" s="110" customFormat="1" ht="12">
      <c r="A80" s="108" t="s">
        <v>259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314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315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316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145</v>
      </c>
    </row>
    <row r="84" spans="1:8" s="118" customFormat="1" ht="15">
      <c r="A84" s="116" t="s">
        <v>317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235</v>
      </c>
    </row>
    <row r="85" spans="1:8" s="118" customFormat="1">
      <c r="A85" s="116" t="s">
        <v>318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259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319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320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321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322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323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259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162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146</v>
      </c>
    </row>
    <row r="94" spans="1:8" s="133" customFormat="1">
      <c r="A94" s="130" t="s">
        <v>259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324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302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259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325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326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327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328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164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164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147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329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259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330</v>
      </c>
      <c r="H108" s="201"/>
    </row>
    <row r="109" spans="1:8" s="118" customFormat="1">
      <c r="A109" s="116" t="s">
        <v>331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332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333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210</v>
      </c>
    </row>
    <row r="113" spans="1:9" s="115" customFormat="1" ht="12">
      <c r="A113" s="113" t="s">
        <v>259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334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214</v>
      </c>
    </row>
    <row r="115" spans="1:9" s="118" customFormat="1">
      <c r="A115" s="116" t="s">
        <v>335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336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381</v>
      </c>
      <c r="I116" s="118" t="s">
        <v>337</v>
      </c>
    </row>
    <row r="117" spans="1:9" s="118" customFormat="1">
      <c r="A117" s="116" t="s">
        <v>338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339</v>
      </c>
    </row>
    <row r="118" spans="1:9" s="118" customFormat="1">
      <c r="A118" s="116" t="s">
        <v>340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339</v>
      </c>
    </row>
    <row r="119" spans="1:9" s="118" customFormat="1">
      <c r="A119" s="116" t="s">
        <v>341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337</v>
      </c>
    </row>
    <row r="120" spans="1:9" s="118" customFormat="1" ht="15">
      <c r="A120" s="137" t="s">
        <v>165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381</v>
      </c>
    </row>
    <row r="121" spans="1:9">
      <c r="A121" s="111" t="s">
        <v>342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343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344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345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346</v>
      </c>
      <c r="B130" s="141" t="s">
        <v>347</v>
      </c>
      <c r="C130" s="141" t="s">
        <v>348</v>
      </c>
      <c r="D130" s="141" t="s">
        <v>349</v>
      </c>
    </row>
    <row r="131" spans="1:8" hidden="1">
      <c r="A131" s="107" t="s">
        <v>350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351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316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352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353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354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355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356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357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358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359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360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361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362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363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364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365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366</v>
      </c>
      <c r="B149" s="132">
        <v>857639.62</v>
      </c>
      <c r="C149" s="121">
        <v>354335.47</v>
      </c>
      <c r="D149" s="121"/>
    </row>
    <row r="150" spans="1:4" hidden="1">
      <c r="A150" s="107" t="s">
        <v>367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368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369</v>
      </c>
      <c r="B153" s="132">
        <v>627667.35</v>
      </c>
      <c r="C153" s="121">
        <v>274411.15999999997</v>
      </c>
      <c r="D153" s="121"/>
    </row>
    <row r="154" spans="1:4" hidden="1">
      <c r="A154" s="107" t="s">
        <v>370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371</v>
      </c>
      <c r="B156" s="142">
        <f>B131</f>
        <v>219475.28</v>
      </c>
      <c r="C156" s="112">
        <f>C134</f>
        <v>27386.3</v>
      </c>
    </row>
    <row r="157" spans="1:4" hidden="1">
      <c r="A157" s="118" t="s">
        <v>372</v>
      </c>
      <c r="B157" s="132">
        <v>138614.51999999999</v>
      </c>
      <c r="C157" s="121">
        <v>9959.74</v>
      </c>
      <c r="D157" s="121"/>
    </row>
    <row r="158" spans="1:4" hidden="1">
      <c r="A158" s="107" t="s">
        <v>370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373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372</v>
      </c>
      <c r="B161" s="132">
        <v>91357.75</v>
      </c>
      <c r="C161" s="121">
        <v>40595.17</v>
      </c>
      <c r="D161" s="121"/>
    </row>
    <row r="162" spans="1:8" hidden="1">
      <c r="A162" s="107" t="s">
        <v>370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346</v>
      </c>
      <c r="B170" s="141" t="s">
        <v>347</v>
      </c>
      <c r="C170" s="141" t="s">
        <v>348</v>
      </c>
      <c r="D170" s="141" t="s">
        <v>349</v>
      </c>
    </row>
    <row r="171" spans="1:8" hidden="1">
      <c r="A171" s="107" t="s">
        <v>350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351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316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352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353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354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355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356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357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358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360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361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362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363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364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366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374</v>
      </c>
      <c r="B188" s="132">
        <v>857639.62</v>
      </c>
      <c r="C188" s="121">
        <v>362887.57</v>
      </c>
      <c r="D188" s="121"/>
    </row>
    <row r="189" spans="1:4" hidden="1">
      <c r="A189" s="107" t="s">
        <v>367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375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376</v>
      </c>
      <c r="B192" s="132">
        <v>627667.35</v>
      </c>
      <c r="C192" s="121">
        <v>274411.15999999997</v>
      </c>
      <c r="D192" s="121"/>
    </row>
    <row r="193" spans="1:8" hidden="1">
      <c r="A193" s="107" t="s">
        <v>370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377</v>
      </c>
      <c r="B195" s="142">
        <f>B171</f>
        <v>149481.75</v>
      </c>
      <c r="C195" s="112">
        <f>C174</f>
        <v>9959.74</v>
      </c>
    </row>
    <row r="196" spans="1:8" hidden="1">
      <c r="A196" s="118" t="s">
        <v>378</v>
      </c>
      <c r="B196" s="132">
        <v>138614.51999999999</v>
      </c>
      <c r="C196" s="121">
        <v>47881.24</v>
      </c>
      <c r="D196" s="121"/>
    </row>
    <row r="197" spans="1:8" hidden="1">
      <c r="A197" s="107" t="s">
        <v>370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379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378</v>
      </c>
      <c r="B200" s="132">
        <v>91357.75</v>
      </c>
      <c r="C200" s="121">
        <v>40595.17</v>
      </c>
      <c r="D200" s="121"/>
    </row>
    <row r="201" spans="1:8" hidden="1">
      <c r="A201" s="107" t="s">
        <v>370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217</v>
      </c>
    </row>
    <row r="208" spans="1:8" customFormat="1" ht="15">
      <c r="A208" s="116" t="s">
        <v>181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218</v>
      </c>
    </row>
    <row r="209" spans="1:8" customFormat="1" ht="15">
      <c r="A209" s="116" t="s">
        <v>388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219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389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220</v>
      </c>
    </row>
    <row r="213" spans="1:8" customFormat="1" ht="15">
      <c r="A213" s="116" t="s">
        <v>390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244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391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111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392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393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221</v>
      </c>
    </row>
    <row r="220" spans="1:8" customFormat="1" ht="15">
      <c r="A220" s="116" t="s">
        <v>394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128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395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396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259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397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154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398</v>
      </c>
      <c r="H227" s="6"/>
    </row>
    <row r="228" spans="1:8" customFormat="1">
      <c r="A228" s="111" t="s">
        <v>399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400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402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131</v>
      </c>
    </row>
    <row r="233" spans="1:8" customFormat="1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404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131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405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259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406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407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408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409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410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411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412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413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414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415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416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417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418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419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420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421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259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422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110</v>
      </c>
    </row>
    <row r="257" spans="1:8" customFormat="1">
      <c r="A257" s="126" t="s">
        <v>259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423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424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425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426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427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428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429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430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431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432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433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259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434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435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436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437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8"/>
  <sheetViews>
    <sheetView zoomScale="9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L63" sqref="L63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206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207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169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Balance!A7</f>
        <v>Al 31 de octubre  de 2020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170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350" t="s">
        <v>158</v>
      </c>
      <c r="L10" s="352" t="s">
        <v>155</v>
      </c>
      <c r="M10" s="352"/>
      <c r="N10" s="69" t="s">
        <v>171</v>
      </c>
      <c r="O10" s="353" t="s">
        <v>172</v>
      </c>
      <c r="P10" s="353"/>
      <c r="Q10" s="353"/>
      <c r="R10" s="71" t="s">
        <v>173</v>
      </c>
      <c r="S10" s="354" t="s">
        <v>174</v>
      </c>
    </row>
    <row r="11" spans="1:19" s="72" customFormat="1" ht="13.9" customHeight="1">
      <c r="A11" s="73" t="s">
        <v>175</v>
      </c>
      <c r="B11" s="73"/>
      <c r="C11" s="73"/>
      <c r="D11" s="74"/>
      <c r="E11" s="75"/>
      <c r="F11" s="75"/>
      <c r="G11" s="75"/>
      <c r="H11" s="76">
        <f>Balance!F13</f>
        <v>2020</v>
      </c>
      <c r="I11" s="76"/>
      <c r="J11" s="76" t="e">
        <f>Balance!#REF!</f>
        <v>#REF!</v>
      </c>
      <c r="K11" s="351"/>
      <c r="L11" s="68" t="s">
        <v>176</v>
      </c>
      <c r="M11" s="68" t="s">
        <v>177</v>
      </c>
      <c r="N11" s="77" t="s">
        <v>156</v>
      </c>
      <c r="O11" s="70" t="s">
        <v>157</v>
      </c>
      <c r="P11" s="70" t="s">
        <v>159</v>
      </c>
      <c r="Q11" s="70" t="s">
        <v>178</v>
      </c>
      <c r="R11" s="78" t="s">
        <v>160</v>
      </c>
      <c r="S11" s="354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179</v>
      </c>
      <c r="B13" s="90"/>
      <c r="H13" s="85">
        <f>Balance!F15</f>
        <v>950</v>
      </c>
      <c r="I13" s="85"/>
      <c r="J13" s="85" t="e">
        <f>Balance!#REF!</f>
        <v>#REF!</v>
      </c>
      <c r="K13" s="85" t="e">
        <f>H13-J13</f>
        <v>#REF!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180</v>
      </c>
      <c r="B14" s="90"/>
      <c r="H14" s="85">
        <f>Balance!F16+Balance!F17</f>
        <v>5432687</v>
      </c>
      <c r="I14" s="85"/>
      <c r="J14" s="85" t="e">
        <f>Balance!#REF!+Balance!#REF!</f>
        <v>#REF!</v>
      </c>
      <c r="K14" s="85" t="e">
        <f>H14-J14</f>
        <v>#REF!</v>
      </c>
      <c r="L14" s="85"/>
      <c r="M14" s="85"/>
      <c r="N14" s="85"/>
      <c r="O14" s="85"/>
      <c r="P14" s="85"/>
      <c r="Q14" s="85"/>
      <c r="R14" s="85">
        <f>H14</f>
        <v>5432687</v>
      </c>
      <c r="S14" s="85"/>
    </row>
    <row r="15" spans="1:19" s="82" customFormat="1" ht="13.9" customHeight="1">
      <c r="A15" s="82" t="s">
        <v>249</v>
      </c>
      <c r="B15" s="90"/>
      <c r="H15" s="85">
        <f>Balance!F18</f>
        <v>0</v>
      </c>
      <c r="I15" s="85"/>
      <c r="J15" s="85" t="e">
        <f>Balance!#REF!</f>
        <v>#REF!</v>
      </c>
      <c r="K15" s="85" t="e">
        <f>H15-J15</f>
        <v>#REF!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181</v>
      </c>
      <c r="B16" s="90"/>
      <c r="H16" s="85">
        <f>Balance!F21</f>
        <v>0</v>
      </c>
      <c r="I16" s="85"/>
      <c r="J16" s="85" t="e">
        <f>Balance!#REF!</f>
        <v>#REF!</v>
      </c>
      <c r="K16" s="85" t="e">
        <f t="shared" ref="K16:K24" si="0">H16-J16</f>
        <v>#REF!</v>
      </c>
      <c r="L16" s="85">
        <f>M54+M53+M70+M36</f>
        <v>0</v>
      </c>
      <c r="M16" s="85">
        <f>+L52+L53+L55+L36</f>
        <v>0</v>
      </c>
      <c r="N16" s="85" t="e">
        <f t="shared" ref="N16:N24" si="1">K16+L16-M16</f>
        <v>#REF!</v>
      </c>
      <c r="O16" s="85"/>
      <c r="P16" s="85" t="e">
        <f>-N16</f>
        <v>#REF!</v>
      </c>
      <c r="Q16" s="85"/>
      <c r="R16" s="85"/>
      <c r="S16" s="85" t="e">
        <f t="shared" ref="S16:S23" si="2">SUM(O16:Q16)</f>
        <v>#REF!</v>
      </c>
    </row>
    <row r="17" spans="1:19" s="82" customFormat="1" ht="13.9" customHeight="1">
      <c r="A17" s="82" t="s">
        <v>183</v>
      </c>
      <c r="B17" s="90"/>
      <c r="H17" s="85">
        <f>Balance!F26</f>
        <v>117557808</v>
      </c>
      <c r="I17" s="85"/>
      <c r="J17" s="85" t="e">
        <f>Balance!#REF!</f>
        <v>#REF!</v>
      </c>
      <c r="K17" s="85" t="e">
        <f t="shared" si="0"/>
        <v>#REF!</v>
      </c>
      <c r="L17" s="85">
        <f>M50+M51</f>
        <v>583774</v>
      </c>
      <c r="M17" s="85" t="e">
        <f>L49</f>
        <v>#REF!</v>
      </c>
      <c r="N17" s="85" t="e">
        <f t="shared" si="1"/>
        <v>#REF!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184</v>
      </c>
      <c r="B18" s="90"/>
      <c r="H18" s="85">
        <f>Balance!F28</f>
        <v>239433</v>
      </c>
      <c r="I18" s="85"/>
      <c r="J18" s="85" t="e">
        <f>Balance!#REF!</f>
        <v>#REF!</v>
      </c>
      <c r="K18" s="85" t="e">
        <f t="shared" si="0"/>
        <v>#REF!</v>
      </c>
      <c r="L18" s="85">
        <f>M43+M45+M46+M47</f>
        <v>153807</v>
      </c>
      <c r="M18" s="85">
        <f>L44</f>
        <v>51862</v>
      </c>
      <c r="N18" s="85" t="e">
        <f t="shared" si="1"/>
        <v>#REF!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182</v>
      </c>
      <c r="B19" s="90"/>
      <c r="H19" s="85">
        <f>Balance!F29</f>
        <v>362260</v>
      </c>
      <c r="I19" s="85"/>
      <c r="J19" s="85" t="e">
        <f>Balance!#REF!</f>
        <v>#REF!</v>
      </c>
      <c r="K19" s="85" t="e">
        <f>H19-J19</f>
        <v>#REF!</v>
      </c>
      <c r="L19" s="85"/>
      <c r="M19" s="85"/>
      <c r="N19" s="85" t="e">
        <f t="shared" si="1"/>
        <v>#REF!</v>
      </c>
      <c r="O19" s="85"/>
      <c r="P19" s="85" t="e">
        <f>-N19</f>
        <v>#REF!</v>
      </c>
      <c r="Q19" s="85"/>
      <c r="R19" s="85"/>
      <c r="S19" s="85" t="e">
        <f t="shared" si="2"/>
        <v>#REF!</v>
      </c>
    </row>
    <row r="20" spans="1:19" s="82" customFormat="1" ht="13.9" customHeight="1">
      <c r="A20" s="82" t="s">
        <v>252</v>
      </c>
      <c r="B20" s="90"/>
      <c r="H20" s="85">
        <v>0</v>
      </c>
      <c r="I20" s="85"/>
      <c r="J20" s="85">
        <v>0</v>
      </c>
      <c r="K20" s="85">
        <f>H20-J20</f>
        <v>0</v>
      </c>
      <c r="L20" s="85"/>
      <c r="M20" s="85"/>
      <c r="N20" s="85">
        <f t="shared" si="1"/>
        <v>0</v>
      </c>
      <c r="O20" s="85"/>
      <c r="P20" s="85">
        <f>-N20</f>
        <v>0</v>
      </c>
      <c r="Q20" s="85"/>
      <c r="R20" s="85"/>
      <c r="S20" s="85">
        <f t="shared" si="2"/>
        <v>0</v>
      </c>
    </row>
    <row r="21" spans="1:19" s="82" customFormat="1" ht="13.9" customHeight="1">
      <c r="A21" s="82" t="s">
        <v>185</v>
      </c>
      <c r="H21" s="85">
        <f>Balance!F30</f>
        <v>2591517</v>
      </c>
      <c r="I21" s="85"/>
      <c r="J21" s="85" t="e">
        <f>Balance!#REF!</f>
        <v>#REF!</v>
      </c>
      <c r="K21" s="85" t="e">
        <f t="shared" si="0"/>
        <v>#REF!</v>
      </c>
      <c r="L21" s="85">
        <f>M57</f>
        <v>7695091.0599999996</v>
      </c>
      <c r="M21" s="85">
        <f>L56</f>
        <v>7584449</v>
      </c>
      <c r="N21" s="85" t="e">
        <f t="shared" si="1"/>
        <v>#REF!</v>
      </c>
      <c r="O21" s="85" t="e">
        <f>-N21</f>
        <v>#REF!</v>
      </c>
      <c r="P21" s="85"/>
      <c r="Q21" s="85"/>
      <c r="R21" s="85"/>
      <c r="S21" s="85" t="e">
        <f t="shared" si="2"/>
        <v>#REF!</v>
      </c>
    </row>
    <row r="22" spans="1:19" s="91" customFormat="1" ht="13.9" customHeight="1">
      <c r="A22" s="88" t="s">
        <v>233</v>
      </c>
      <c r="H22" s="89">
        <f>Balance!F31</f>
        <v>259518.9</v>
      </c>
      <c r="I22" s="89"/>
      <c r="J22" s="89" t="e">
        <f>Balance!#REF!</f>
        <v>#REF!</v>
      </c>
      <c r="K22" s="89" t="e">
        <f>H22-J22</f>
        <v>#REF!</v>
      </c>
      <c r="L22" s="89"/>
      <c r="M22" s="89"/>
      <c r="N22" s="89" t="e">
        <f>K22+L22-M22</f>
        <v>#REF!</v>
      </c>
      <c r="O22" s="89" t="e">
        <f>-N22</f>
        <v>#REF!</v>
      </c>
      <c r="P22" s="89"/>
      <c r="Q22" s="89"/>
      <c r="R22" s="89"/>
      <c r="S22" s="85" t="e">
        <f t="shared" si="2"/>
        <v>#REF!</v>
      </c>
    </row>
    <row r="23" spans="1:19" s="91" customFormat="1" ht="13.9" customHeight="1">
      <c r="A23" s="88" t="s">
        <v>453</v>
      </c>
      <c r="H23" s="89">
        <f>+Balance!F32</f>
        <v>139088</v>
      </c>
      <c r="I23" s="89"/>
      <c r="J23" s="89" t="e">
        <f>+Balance!#REF!</f>
        <v>#REF!</v>
      </c>
      <c r="K23" s="89" t="e">
        <f>H23-J23</f>
        <v>#REF!</v>
      </c>
      <c r="L23" s="89"/>
      <c r="M23" s="89"/>
      <c r="N23" s="89" t="e">
        <f>K23+L23-M23</f>
        <v>#REF!</v>
      </c>
      <c r="O23" s="89" t="e">
        <f>-N23</f>
        <v>#REF!</v>
      </c>
      <c r="P23" s="89"/>
      <c r="Q23" s="89"/>
      <c r="R23" s="89"/>
      <c r="S23" s="85" t="e">
        <f t="shared" si="2"/>
        <v>#REF!</v>
      </c>
    </row>
    <row r="24" spans="1:19" s="82" customFormat="1" ht="13.9" customHeight="1">
      <c r="A24" s="82" t="s">
        <v>161</v>
      </c>
      <c r="H24" s="85">
        <f>Balance!F33</f>
        <v>1176525</v>
      </c>
      <c r="I24" s="85"/>
      <c r="J24" s="85" t="e">
        <f>Balance!#REF!</f>
        <v>#REF!</v>
      </c>
      <c r="K24" s="85" t="e">
        <f t="shared" si="0"/>
        <v>#REF!</v>
      </c>
      <c r="L24" s="85"/>
      <c r="M24" s="85"/>
      <c r="N24" s="85" t="e">
        <f t="shared" si="1"/>
        <v>#REF!</v>
      </c>
      <c r="O24" s="85" t="e">
        <f>-N24</f>
        <v>#REF!</v>
      </c>
      <c r="P24" s="85"/>
      <c r="Q24" s="85"/>
      <c r="R24" s="85"/>
      <c r="S24" s="85" t="e">
        <f>SUM(O24:Q24)</f>
        <v>#REF!</v>
      </c>
    </row>
    <row r="25" spans="1:19" s="82" customFormat="1" ht="13.9" customHeight="1" thickBot="1">
      <c r="H25" s="92">
        <f>SUM(H13:H24)</f>
        <v>127759786.90000001</v>
      </c>
      <c r="I25" s="85"/>
      <c r="J25" s="92" t="e">
        <f>SUM(J13:J24)</f>
        <v>#REF!</v>
      </c>
      <c r="K25" s="92" t="e">
        <f>SUM(K13:K24)</f>
        <v>#REF!</v>
      </c>
      <c r="L25" s="85"/>
      <c r="M25" s="85"/>
      <c r="N25" s="85"/>
      <c r="O25" s="85"/>
      <c r="P25" s="85"/>
      <c r="Q25" s="85"/>
      <c r="R25" s="85"/>
      <c r="S25" s="85"/>
    </row>
    <row r="26" spans="1:19" s="82" customFormat="1" ht="13.9" customHeight="1" thickTop="1"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93" t="s">
        <v>186</v>
      </c>
      <c r="H27" s="85"/>
      <c r="I27" s="85"/>
      <c r="J27" s="85"/>
      <c r="K27" s="85"/>
      <c r="L27" s="85"/>
      <c r="M27" s="85"/>
      <c r="N27" s="85">
        <f>K27+L27-M27</f>
        <v>0</v>
      </c>
      <c r="O27" s="85"/>
      <c r="P27" s="85"/>
      <c r="Q27" s="85"/>
      <c r="R27" s="85"/>
      <c r="S27" s="85"/>
    </row>
    <row r="28" spans="1:19" s="82" customFormat="1" ht="13.9" customHeight="1">
      <c r="A28" s="82" t="s">
        <v>238</v>
      </c>
      <c r="H28" s="85">
        <f>Balance!F38</f>
        <v>39357000</v>
      </c>
      <c r="I28" s="85"/>
      <c r="J28" s="85" t="e">
        <f>Balance!#REF!</f>
        <v>#REF!</v>
      </c>
      <c r="K28" s="85" t="e">
        <f>H28-J28</f>
        <v>#REF!</v>
      </c>
      <c r="L28" s="85">
        <f>M59</f>
        <v>11550000</v>
      </c>
      <c r="M28" s="85">
        <f>L58</f>
        <v>9158992</v>
      </c>
      <c r="N28" s="85" t="e">
        <f t="shared" ref="N28:N38" si="3">-K28+L28-M28</f>
        <v>#REF!</v>
      </c>
      <c r="O28" s="85"/>
      <c r="P28" s="85"/>
      <c r="Q28" s="85"/>
      <c r="R28" s="85"/>
      <c r="S28" s="85">
        <f>SUM(O28:Q28)</f>
        <v>0</v>
      </c>
    </row>
    <row r="29" spans="1:19" s="82" customFormat="1" ht="13.9" customHeight="1">
      <c r="A29" s="82" t="s">
        <v>209</v>
      </c>
      <c r="H29" s="85">
        <f>Balance!F39</f>
        <v>27935000</v>
      </c>
      <c r="I29" s="85"/>
      <c r="J29" s="85" t="e">
        <f>Balance!#REF!</f>
        <v>#REF!</v>
      </c>
      <c r="K29" s="85" t="e">
        <f>H29-J29</f>
        <v>#REF!</v>
      </c>
      <c r="L29" s="85">
        <f>M61</f>
        <v>29001000</v>
      </c>
      <c r="M29" s="85">
        <f>L60</f>
        <v>26107844</v>
      </c>
      <c r="N29" s="85" t="e">
        <f t="shared" si="3"/>
        <v>#REF!</v>
      </c>
      <c r="O29" s="85"/>
      <c r="P29" s="85"/>
      <c r="Q29" s="85"/>
      <c r="R29" s="85"/>
      <c r="S29" s="85">
        <f t="shared" ref="S29:S37" si="4">SUM(O29:Q29)</f>
        <v>0</v>
      </c>
    </row>
    <row r="30" spans="1:19" s="82" customFormat="1" ht="13.9" customHeight="1">
      <c r="A30" s="82" t="s">
        <v>162</v>
      </c>
      <c r="H30" s="85">
        <f>Balance!F40</f>
        <v>34807735</v>
      </c>
      <c r="I30" s="85"/>
      <c r="J30" s="85" t="e">
        <f>Balance!#REF!</f>
        <v>#REF!</v>
      </c>
      <c r="K30" s="85" t="e">
        <f t="shared" ref="K30:K38" si="5">H30-J30</f>
        <v>#REF!</v>
      </c>
      <c r="L30" s="85">
        <f>M63</f>
        <v>24500000</v>
      </c>
      <c r="M30" s="85">
        <f>L62</f>
        <v>21035917</v>
      </c>
      <c r="N30" s="85" t="e">
        <f t="shared" si="3"/>
        <v>#REF!</v>
      </c>
      <c r="O30" s="85"/>
      <c r="P30" s="85"/>
      <c r="Q30" s="85"/>
      <c r="R30" s="85"/>
      <c r="S30" s="85">
        <f t="shared" si="4"/>
        <v>0</v>
      </c>
    </row>
    <row r="31" spans="1:19" s="82" customFormat="1" ht="13.9" customHeight="1">
      <c r="A31" s="82" t="s">
        <v>163</v>
      </c>
      <c r="H31" s="85">
        <f>Balance!F41</f>
        <v>35248.79</v>
      </c>
      <c r="I31" s="85"/>
      <c r="J31" s="85" t="e">
        <f>Balance!#REF!</f>
        <v>#REF!</v>
      </c>
      <c r="K31" s="85" t="e">
        <f t="shared" si="5"/>
        <v>#REF!</v>
      </c>
      <c r="L31" s="85"/>
      <c r="M31" s="85"/>
      <c r="N31" s="85" t="e">
        <f t="shared" si="3"/>
        <v>#REF!</v>
      </c>
      <c r="O31" s="85" t="e">
        <f>-N31</f>
        <v>#REF!</v>
      </c>
      <c r="P31" s="85"/>
      <c r="Q31" s="85"/>
      <c r="R31" s="85"/>
      <c r="S31" s="85" t="e">
        <f t="shared" si="4"/>
        <v>#REF!</v>
      </c>
    </row>
    <row r="32" spans="1:19" s="82" customFormat="1" ht="13.9" customHeight="1">
      <c r="A32" s="82" t="s">
        <v>455</v>
      </c>
      <c r="H32" s="85">
        <f>+Balance!F42</f>
        <v>150831.10999999999</v>
      </c>
      <c r="I32" s="85"/>
      <c r="J32" s="85" t="e">
        <f>+Balance!#REF!</f>
        <v>#REF!</v>
      </c>
      <c r="K32" s="85" t="e">
        <f t="shared" si="5"/>
        <v>#REF!</v>
      </c>
      <c r="L32" s="85"/>
      <c r="M32" s="85"/>
      <c r="N32" s="85" t="e">
        <f t="shared" si="3"/>
        <v>#REF!</v>
      </c>
      <c r="O32" s="85" t="e">
        <f>-N32</f>
        <v>#REF!</v>
      </c>
      <c r="P32" s="85"/>
      <c r="Q32" s="85"/>
      <c r="R32" s="85"/>
      <c r="S32" s="85" t="e">
        <f t="shared" si="4"/>
        <v>#REF!</v>
      </c>
    </row>
    <row r="33" spans="1:19" s="82" customFormat="1" ht="13.9" customHeight="1">
      <c r="A33" s="82" t="s">
        <v>164</v>
      </c>
      <c r="H33" s="85">
        <f>Balance!F43</f>
        <v>2523291</v>
      </c>
      <c r="I33" s="85"/>
      <c r="J33" s="85" t="e">
        <f>Balance!#REF!</f>
        <v>#REF!</v>
      </c>
      <c r="K33" s="85" t="e">
        <f t="shared" si="5"/>
        <v>#REF!</v>
      </c>
      <c r="L33" s="85">
        <f>M68+M67</f>
        <v>5082937.2300000004</v>
      </c>
      <c r="M33" s="85">
        <f>L66+L69</f>
        <v>4260302.5100000007</v>
      </c>
      <c r="N33" s="85" t="e">
        <f t="shared" si="3"/>
        <v>#REF!</v>
      </c>
      <c r="O33" s="85" t="e">
        <f>-N33</f>
        <v>#REF!</v>
      </c>
      <c r="P33" s="85"/>
      <c r="Q33" s="85"/>
      <c r="R33" s="85"/>
      <c r="S33" s="85" t="e">
        <f t="shared" si="4"/>
        <v>#REF!</v>
      </c>
    </row>
    <row r="34" spans="1:19" s="82" customFormat="1" ht="13.9" customHeight="1">
      <c r="A34" s="82" t="s">
        <v>210</v>
      </c>
      <c r="H34" s="85">
        <f>Balance!F47</f>
        <v>5824874</v>
      </c>
      <c r="I34" s="85"/>
      <c r="J34" s="85" t="e">
        <f>Balance!#REF!</f>
        <v>#REF!</v>
      </c>
      <c r="K34" s="85" t="e">
        <f t="shared" si="5"/>
        <v>#REF!</v>
      </c>
      <c r="L34" s="85">
        <v>0</v>
      </c>
      <c r="M34" s="85">
        <f>L64</f>
        <v>0</v>
      </c>
      <c r="N34" s="85" t="e">
        <f t="shared" si="3"/>
        <v>#REF!</v>
      </c>
      <c r="O34" s="85"/>
      <c r="P34" s="85"/>
      <c r="Q34" s="85" t="e">
        <f>-N34</f>
        <v>#REF!</v>
      </c>
      <c r="R34" s="85"/>
      <c r="S34" s="85" t="e">
        <f t="shared" si="4"/>
        <v>#REF!</v>
      </c>
    </row>
    <row r="35" spans="1:19" s="82" customFormat="1" ht="13.9" customHeight="1">
      <c r="A35" s="82" t="s">
        <v>134</v>
      </c>
      <c r="H35" s="85">
        <f>Balance!F48</f>
        <v>1159800</v>
      </c>
      <c r="I35" s="85"/>
      <c r="J35" s="85" t="e">
        <f>Balance!#REF!</f>
        <v>#REF!</v>
      </c>
      <c r="K35" s="85" t="e">
        <f>H35-J35</f>
        <v>#REF!</v>
      </c>
      <c r="L35" s="85">
        <v>0</v>
      </c>
      <c r="M35" s="85">
        <v>0</v>
      </c>
      <c r="N35" s="85" t="e">
        <f t="shared" si="3"/>
        <v>#REF!</v>
      </c>
      <c r="O35" s="85" t="e">
        <f>-N35</f>
        <v>#REF!</v>
      </c>
      <c r="P35" s="85"/>
      <c r="Q35" s="85"/>
      <c r="R35" s="85"/>
      <c r="S35" s="85" t="e">
        <f>SUM(O35:Q35)</f>
        <v>#REF!</v>
      </c>
    </row>
    <row r="36" spans="1:19" s="82" customFormat="1" ht="13.9" customHeight="1">
      <c r="A36" s="82" t="s">
        <v>240</v>
      </c>
      <c r="H36" s="85">
        <f>+Balance!F50</f>
        <v>0</v>
      </c>
      <c r="I36" s="85"/>
      <c r="J36" s="85" t="e">
        <f>+Balance!#REF!</f>
        <v>#REF!</v>
      </c>
      <c r="K36" s="85" t="e">
        <f>H36-J36</f>
        <v>#REF!</v>
      </c>
      <c r="L36" s="85">
        <v>0</v>
      </c>
      <c r="M36" s="85">
        <v>0</v>
      </c>
      <c r="N36" s="85" t="e">
        <f t="shared" si="3"/>
        <v>#REF!</v>
      </c>
      <c r="O36" s="85" t="e">
        <f>-N36</f>
        <v>#REF!</v>
      </c>
      <c r="P36" s="85"/>
      <c r="Q36" s="85"/>
      <c r="R36" s="85"/>
      <c r="S36" s="85" t="e">
        <f>SUM(O36:Q36)</f>
        <v>#REF!</v>
      </c>
    </row>
    <row r="37" spans="1:19" s="82" customFormat="1" ht="13.9" customHeight="1">
      <c r="A37" s="82" t="s">
        <v>214</v>
      </c>
      <c r="H37" s="85">
        <f>Balance!F49</f>
        <v>1800000</v>
      </c>
      <c r="I37" s="85"/>
      <c r="J37" s="85" t="e">
        <f>Balance!#REF!</f>
        <v>#REF!</v>
      </c>
      <c r="K37" s="85" t="e">
        <f>H37-J37</f>
        <v>#REF!</v>
      </c>
      <c r="L37" s="85" t="e">
        <f>#REF!</f>
        <v>#REF!</v>
      </c>
      <c r="M37" s="85">
        <v>0</v>
      </c>
      <c r="N37" s="85" t="e">
        <f t="shared" si="3"/>
        <v>#REF!</v>
      </c>
      <c r="O37" s="85" t="e">
        <f>-N37</f>
        <v>#REF!</v>
      </c>
      <c r="P37" s="85"/>
      <c r="Q37" s="85"/>
      <c r="R37" s="85"/>
      <c r="S37" s="85" t="e">
        <f t="shared" si="4"/>
        <v>#REF!</v>
      </c>
    </row>
    <row r="38" spans="1:19" s="82" customFormat="1" ht="13.9" customHeight="1">
      <c r="A38" s="82" t="s">
        <v>165</v>
      </c>
      <c r="H38" s="85">
        <f>Balance!F51</f>
        <v>14166007</v>
      </c>
      <c r="I38" s="85"/>
      <c r="J38" s="85" t="e">
        <f>Balance!#REF!</f>
        <v>#REF!</v>
      </c>
      <c r="K38" s="85" t="e">
        <f t="shared" si="5"/>
        <v>#REF!</v>
      </c>
      <c r="L38" s="85">
        <f>M35+M37+M42</f>
        <v>776290.05999999959</v>
      </c>
      <c r="M38" s="85">
        <v>0</v>
      </c>
      <c r="N38" s="85" t="e">
        <f t="shared" si="3"/>
        <v>#REF!</v>
      </c>
      <c r="O38" s="85"/>
      <c r="P38" s="85"/>
      <c r="Q38" s="85"/>
      <c r="R38" s="85"/>
      <c r="S38" s="85">
        <f t="shared" ref="S38:S70" si="6">SUM(O38:Q38)</f>
        <v>0</v>
      </c>
    </row>
    <row r="39" spans="1:19" s="83" customFormat="1" ht="13.9" customHeight="1" thickBot="1">
      <c r="H39" s="92">
        <f>SUM(H28:H38)</f>
        <v>127759786.90000001</v>
      </c>
      <c r="I39" s="86"/>
      <c r="J39" s="92" t="e">
        <f>SUM(J28:J38)</f>
        <v>#REF!</v>
      </c>
      <c r="K39" s="92" t="e">
        <f>SUM(K28:K38)</f>
        <v>#REF!</v>
      </c>
      <c r="L39" s="86"/>
      <c r="M39" s="86"/>
      <c r="N39" s="85"/>
      <c r="O39" s="86"/>
      <c r="P39" s="86"/>
      <c r="Q39" s="86"/>
      <c r="R39" s="86"/>
      <c r="S39" s="85"/>
    </row>
    <row r="40" spans="1:19" s="83" customFormat="1" ht="13.9" customHeight="1" thickTop="1">
      <c r="H40" s="86"/>
      <c r="I40" s="86"/>
      <c r="J40" s="86"/>
      <c r="K40" s="86"/>
      <c r="L40" s="86"/>
      <c r="M40" s="86"/>
      <c r="N40" s="85">
        <f t="shared" ref="N40:N64" si="7">SUM(K40:M40)</f>
        <v>0</v>
      </c>
      <c r="O40" s="86"/>
      <c r="P40" s="86"/>
      <c r="Q40" s="86"/>
      <c r="R40" s="86"/>
      <c r="S40" s="85"/>
    </row>
    <row r="41" spans="1:19" s="83" customFormat="1" ht="13.9" customHeight="1">
      <c r="A41" s="94" t="s">
        <v>188</v>
      </c>
      <c r="B41" s="94"/>
      <c r="H41" s="95">
        <f>H25-H39</f>
        <v>0</v>
      </c>
      <c r="I41" s="96"/>
      <c r="J41" s="95" t="e">
        <f>J25-J39</f>
        <v>#REF!</v>
      </c>
      <c r="K41" s="95" t="e">
        <f>K25-K39</f>
        <v>#REF!</v>
      </c>
      <c r="L41" s="86">
        <v>0</v>
      </c>
      <c r="M41" s="86">
        <v>0</v>
      </c>
      <c r="N41" s="85" t="e">
        <f t="shared" si="7"/>
        <v>#REF!</v>
      </c>
      <c r="O41" s="86"/>
      <c r="P41" s="86"/>
      <c r="Q41" s="86"/>
      <c r="R41" s="86"/>
      <c r="S41" s="85">
        <f t="shared" si="6"/>
        <v>0</v>
      </c>
    </row>
    <row r="42" spans="1:19" s="83" customFormat="1" ht="13.9" customHeight="1">
      <c r="A42" s="97" t="s">
        <v>189</v>
      </c>
      <c r="B42" s="97"/>
      <c r="H42" s="86"/>
      <c r="I42" s="86"/>
      <c r="J42" s="86"/>
      <c r="K42" s="86"/>
      <c r="M42" s="86">
        <f>ER!F52</f>
        <v>776290.05999999959</v>
      </c>
      <c r="N42" s="85">
        <f>SUM(K42:M42)</f>
        <v>776290.05999999959</v>
      </c>
      <c r="O42" s="86">
        <f>M42</f>
        <v>776290.05999999959</v>
      </c>
      <c r="P42" s="86"/>
      <c r="Q42" s="86"/>
      <c r="R42" s="86"/>
      <c r="S42" s="85">
        <f t="shared" si="6"/>
        <v>776290.05999999959</v>
      </c>
    </row>
    <row r="43" spans="1:19" s="83" customFormat="1" ht="13.9" customHeight="1">
      <c r="A43" s="97" t="s">
        <v>190</v>
      </c>
      <c r="B43" s="97"/>
      <c r="H43" s="86"/>
      <c r="I43" s="86"/>
      <c r="J43" s="86"/>
      <c r="K43" s="86"/>
      <c r="L43" s="86"/>
      <c r="M43" s="86">
        <f>ER!F41</f>
        <v>118316</v>
      </c>
      <c r="N43" s="85">
        <f t="shared" si="7"/>
        <v>118316</v>
      </c>
      <c r="O43" s="86">
        <f>N43</f>
        <v>118316</v>
      </c>
      <c r="P43" s="86"/>
      <c r="Q43" s="86"/>
      <c r="R43" s="86"/>
      <c r="S43" s="85">
        <f t="shared" si="6"/>
        <v>118316</v>
      </c>
    </row>
    <row r="44" spans="1:19" s="83" customFormat="1" ht="13.9" customHeight="1">
      <c r="A44" s="97" t="s">
        <v>191</v>
      </c>
      <c r="B44" s="97"/>
      <c r="H44" s="86"/>
      <c r="I44" s="86"/>
      <c r="J44" s="86"/>
      <c r="K44" s="86"/>
      <c r="L44" s="86">
        <f>33105+18757</f>
        <v>51862</v>
      </c>
      <c r="M44" s="86"/>
      <c r="N44" s="85">
        <f t="shared" si="7"/>
        <v>51862</v>
      </c>
      <c r="O44" s="86"/>
      <c r="P44" s="86">
        <f>-N44</f>
        <v>-51862</v>
      </c>
      <c r="Q44" s="86"/>
      <c r="R44" s="86"/>
      <c r="S44" s="85">
        <f t="shared" si="6"/>
        <v>-51862</v>
      </c>
    </row>
    <row r="45" spans="1:19" s="83" customFormat="1" ht="13.9" customHeight="1">
      <c r="A45" s="97" t="s">
        <v>192</v>
      </c>
      <c r="B45" s="97"/>
      <c r="H45" s="86"/>
      <c r="I45" s="86"/>
      <c r="J45" s="86"/>
      <c r="K45" s="86"/>
      <c r="L45" s="86">
        <v>0</v>
      </c>
      <c r="M45" s="86">
        <v>35491</v>
      </c>
      <c r="N45" s="85">
        <f t="shared" si="7"/>
        <v>35491</v>
      </c>
      <c r="O45" s="86"/>
      <c r="P45" s="86">
        <f>N45</f>
        <v>35491</v>
      </c>
      <c r="Q45" s="86"/>
      <c r="R45" s="86"/>
      <c r="S45" s="85">
        <f t="shared" si="6"/>
        <v>35491</v>
      </c>
    </row>
    <row r="46" spans="1:19" s="83" customFormat="1" ht="13.9" customHeight="1">
      <c r="A46" s="97" t="s">
        <v>193</v>
      </c>
      <c r="B46" s="97"/>
      <c r="H46" s="86"/>
      <c r="I46" s="86"/>
      <c r="J46" s="86"/>
      <c r="K46" s="86"/>
      <c r="L46" s="87"/>
      <c r="M46" s="86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97" t="s">
        <v>194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102" t="s">
        <v>239</v>
      </c>
      <c r="B48" s="97"/>
      <c r="H48" s="86"/>
      <c r="I48" s="86"/>
      <c r="J48" s="86"/>
      <c r="K48" s="86"/>
      <c r="L48" s="86"/>
      <c r="M48" s="87">
        <v>0</v>
      </c>
      <c r="N48" s="85">
        <f t="shared" si="7"/>
        <v>0</v>
      </c>
      <c r="O48" s="86">
        <f>N48</f>
        <v>0</v>
      </c>
      <c r="P48" s="86"/>
      <c r="Q48" s="86"/>
      <c r="R48" s="86"/>
      <c r="S48" s="85">
        <f t="shared" si="6"/>
        <v>0</v>
      </c>
    </row>
    <row r="49" spans="1:19" s="83" customFormat="1" ht="13.9" customHeight="1">
      <c r="A49" s="97" t="s">
        <v>231</v>
      </c>
      <c r="B49" s="97"/>
      <c r="H49" s="86"/>
      <c r="I49" s="86"/>
      <c r="J49" s="86"/>
      <c r="K49" s="86"/>
      <c r="L49" s="86" t="e">
        <f>Balance!F26-Balance!#REF!+M50+M51</f>
        <v>#REF!</v>
      </c>
      <c r="N49" s="85" t="e">
        <f>SUM(K49:L49)</f>
        <v>#REF!</v>
      </c>
      <c r="O49" s="86" t="e">
        <f>-N49</f>
        <v>#REF!</v>
      </c>
      <c r="P49" s="86"/>
      <c r="Q49" s="86"/>
      <c r="R49" s="86"/>
      <c r="S49" s="85" t="e">
        <f t="shared" si="6"/>
        <v>#REF!</v>
      </c>
    </row>
    <row r="50" spans="1:19" s="83" customFormat="1" ht="13.9" customHeight="1">
      <c r="A50" s="97" t="s">
        <v>195</v>
      </c>
      <c r="B50" s="97"/>
      <c r="H50" s="86"/>
      <c r="I50" s="86"/>
      <c r="J50" s="86"/>
      <c r="K50" s="86"/>
      <c r="L50" s="86"/>
      <c r="M50" s="86">
        <v>0</v>
      </c>
      <c r="N50" s="85">
        <f t="shared" si="7"/>
        <v>0</v>
      </c>
      <c r="O50" s="86">
        <f>N50</f>
        <v>0</v>
      </c>
      <c r="P50" s="86"/>
      <c r="Q50" s="86"/>
      <c r="R50" s="86"/>
      <c r="S50" s="85">
        <f t="shared" si="6"/>
        <v>0</v>
      </c>
    </row>
    <row r="51" spans="1:19" s="83" customFormat="1" ht="13.9" customHeight="1">
      <c r="A51" s="97" t="s">
        <v>196</v>
      </c>
      <c r="B51" s="97"/>
      <c r="H51" s="86"/>
      <c r="I51" s="86"/>
      <c r="J51" s="86"/>
      <c r="K51" s="86"/>
      <c r="L51" s="86"/>
      <c r="M51" s="86">
        <f>ER!F30</f>
        <v>583774</v>
      </c>
      <c r="N51" s="85">
        <f t="shared" si="7"/>
        <v>583774</v>
      </c>
      <c r="O51" s="86">
        <f>N51</f>
        <v>583774</v>
      </c>
      <c r="P51" s="86"/>
      <c r="Q51" s="86"/>
      <c r="R51" s="86"/>
      <c r="S51" s="85">
        <f t="shared" si="6"/>
        <v>583774</v>
      </c>
    </row>
    <row r="52" spans="1:19" s="83" customFormat="1" ht="13.9" customHeight="1">
      <c r="A52" s="97" t="s">
        <v>197</v>
      </c>
      <c r="B52" s="97"/>
      <c r="H52" s="86"/>
      <c r="I52" s="86"/>
      <c r="J52" s="86"/>
      <c r="K52" s="86"/>
      <c r="L52" s="86"/>
      <c r="M52" s="86">
        <v>0</v>
      </c>
      <c r="N52" s="85">
        <f t="shared" si="7"/>
        <v>0</v>
      </c>
      <c r="O52" s="86">
        <f>-N52</f>
        <v>0</v>
      </c>
      <c r="P52" s="86"/>
      <c r="Q52" s="86"/>
      <c r="R52" s="86"/>
      <c r="S52" s="85">
        <f t="shared" si="6"/>
        <v>0</v>
      </c>
    </row>
    <row r="53" spans="1:19" s="98" customFormat="1" ht="13.7" customHeight="1">
      <c r="A53" s="97" t="s">
        <v>245</v>
      </c>
      <c r="B53" s="97"/>
      <c r="H53" s="99"/>
      <c r="I53" s="100"/>
      <c r="J53" s="99"/>
      <c r="K53" s="99"/>
      <c r="L53" s="99"/>
      <c r="M53" s="99">
        <v>0</v>
      </c>
      <c r="N53" s="100">
        <f>SUM(K53:M53)</f>
        <v>0</v>
      </c>
      <c r="O53" s="99"/>
      <c r="P53" s="99">
        <f>+N53</f>
        <v>0</v>
      </c>
      <c r="Q53" s="99"/>
      <c r="R53" s="99"/>
      <c r="S53" s="100">
        <f>SUM(O53:Q53)</f>
        <v>0</v>
      </c>
    </row>
    <row r="54" spans="1:19" s="83" customFormat="1" ht="13.9" customHeight="1">
      <c r="A54" s="97" t="s">
        <v>198</v>
      </c>
      <c r="B54" s="97"/>
      <c r="H54" s="86"/>
      <c r="I54" s="86"/>
      <c r="J54" s="86"/>
      <c r="K54" s="86"/>
      <c r="L54" s="86">
        <v>0</v>
      </c>
      <c r="M54" s="86">
        <v>0</v>
      </c>
      <c r="N54" s="85">
        <f t="shared" si="7"/>
        <v>0</v>
      </c>
      <c r="O54" s="86"/>
      <c r="P54" s="86">
        <f>+N54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199</v>
      </c>
      <c r="B55" s="84"/>
      <c r="H55" s="86"/>
      <c r="I55" s="86"/>
      <c r="J55" s="86"/>
      <c r="K55" s="86"/>
      <c r="L55" s="86">
        <v>0</v>
      </c>
      <c r="M55" s="86"/>
      <c r="N55" s="85">
        <f t="shared" si="7"/>
        <v>0</v>
      </c>
      <c r="O55" s="86"/>
      <c r="P55" s="86">
        <f>-L55</f>
        <v>0</v>
      </c>
      <c r="Q55" s="86"/>
      <c r="R55" s="86"/>
      <c r="S55" s="85">
        <f t="shared" si="6"/>
        <v>0</v>
      </c>
    </row>
    <row r="56" spans="1:19" s="83" customFormat="1" ht="13.9" customHeight="1">
      <c r="A56" s="84" t="s">
        <v>200</v>
      </c>
      <c r="B56" s="84"/>
      <c r="H56" s="86"/>
      <c r="I56" s="86"/>
      <c r="J56" s="86"/>
      <c r="K56" s="86"/>
      <c r="L56" s="86">
        <f>ER!F16+ER!F17+ER!F18</f>
        <v>7584449</v>
      </c>
      <c r="M56" s="86"/>
      <c r="N56" s="85">
        <f t="shared" si="7"/>
        <v>7584449</v>
      </c>
      <c r="O56" s="86">
        <f>-L56</f>
        <v>-7584449</v>
      </c>
      <c r="P56" s="86"/>
      <c r="Q56" s="86"/>
      <c r="R56" s="86"/>
      <c r="S56" s="85">
        <f t="shared" si="6"/>
        <v>-7584449</v>
      </c>
    </row>
    <row r="57" spans="1:19" s="83" customFormat="1" ht="13.9" customHeight="1">
      <c r="A57" s="84" t="s">
        <v>201</v>
      </c>
      <c r="B57" s="84"/>
      <c r="H57" s="86"/>
      <c r="I57" s="86"/>
      <c r="J57" s="86"/>
      <c r="K57" s="86"/>
      <c r="L57" s="86"/>
      <c r="M57" s="86">
        <f>L56+(541527-430884.94)</f>
        <v>7695091.0599999996</v>
      </c>
      <c r="N57" s="85">
        <f>SUM(K57:M57)</f>
        <v>7695091.0599999996</v>
      </c>
      <c r="O57" s="86">
        <f>M57</f>
        <v>7695091.0599999996</v>
      </c>
      <c r="P57" s="86"/>
      <c r="Q57" s="86"/>
      <c r="R57" s="86"/>
      <c r="S57" s="85">
        <f t="shared" si="6"/>
        <v>7695091.0599999996</v>
      </c>
    </row>
    <row r="58" spans="1:19" s="83" customFormat="1" ht="13.9" customHeight="1">
      <c r="A58" s="84" t="s">
        <v>236</v>
      </c>
      <c r="B58" s="84"/>
      <c r="H58" s="86"/>
      <c r="I58" s="86"/>
      <c r="J58" s="86"/>
      <c r="K58" s="86"/>
      <c r="L58" s="208">
        <f>3000000+4166000+2000000-7008</f>
        <v>9158992</v>
      </c>
      <c r="M58" s="208"/>
      <c r="N58" s="85">
        <f>SUM(K58:M58)</f>
        <v>9158992</v>
      </c>
      <c r="O58" s="86"/>
      <c r="P58" s="86"/>
      <c r="Q58" s="86">
        <f>-N58</f>
        <v>-9158992</v>
      </c>
      <c r="R58" s="86"/>
      <c r="S58" s="85">
        <f t="shared" si="6"/>
        <v>-9158992</v>
      </c>
    </row>
    <row r="59" spans="1:19" s="83" customFormat="1" ht="13.9" customHeight="1">
      <c r="A59" s="84" t="s">
        <v>237</v>
      </c>
      <c r="B59" s="84"/>
      <c r="H59" s="86"/>
      <c r="I59" s="86"/>
      <c r="J59" s="86"/>
      <c r="K59" s="86"/>
      <c r="L59" s="208"/>
      <c r="M59" s="208">
        <f>2000000+2370000+7180000</f>
        <v>11550000</v>
      </c>
      <c r="N59" s="85">
        <f>SUM(K59:M59)</f>
        <v>11550000</v>
      </c>
      <c r="O59" s="86"/>
      <c r="P59" s="86"/>
      <c r="Q59" s="86">
        <f>N59</f>
        <v>11550000</v>
      </c>
      <c r="R59" s="86"/>
      <c r="S59" s="85">
        <f t="shared" si="6"/>
        <v>11550000</v>
      </c>
    </row>
    <row r="60" spans="1:19" s="83" customFormat="1" ht="13.9" customHeight="1">
      <c r="A60" s="84" t="s">
        <v>212</v>
      </c>
      <c r="B60" s="84"/>
      <c r="H60" s="86"/>
      <c r="I60" s="86"/>
      <c r="J60" s="86"/>
      <c r="K60" s="86"/>
      <c r="L60" s="208">
        <f>3000000+7595000+15521000-8156</f>
        <v>26107844</v>
      </c>
      <c r="M60" s="208"/>
      <c r="N60" s="85">
        <f>SUM(K60:M60)</f>
        <v>26107844</v>
      </c>
      <c r="O60" s="86"/>
      <c r="P60" s="86"/>
      <c r="Q60" s="86">
        <f>-N60</f>
        <v>-26107844</v>
      </c>
      <c r="R60" s="86"/>
      <c r="S60" s="85">
        <f t="shared" si="6"/>
        <v>-26107844</v>
      </c>
    </row>
    <row r="61" spans="1:19" s="83" customFormat="1" ht="13.9" customHeight="1">
      <c r="A61" s="84" t="s">
        <v>211</v>
      </c>
      <c r="B61" s="84"/>
      <c r="H61" s="86"/>
      <c r="I61" s="86"/>
      <c r="J61" s="86"/>
      <c r="K61" s="86"/>
      <c r="L61" s="208"/>
      <c r="M61" s="208">
        <f>9027000+6129000+13845000</f>
        <v>29001000</v>
      </c>
      <c r="N61" s="85">
        <f>SUM(K61:M61)</f>
        <v>29001000</v>
      </c>
      <c r="O61" s="86"/>
      <c r="P61" s="86"/>
      <c r="Q61" s="86">
        <f>N61</f>
        <v>29001000</v>
      </c>
      <c r="R61" s="86"/>
      <c r="S61" s="85">
        <f t="shared" si="6"/>
        <v>29001000</v>
      </c>
    </row>
    <row r="62" spans="1:19" s="83" customFormat="1" ht="13.9" customHeight="1">
      <c r="A62" s="84" t="s">
        <v>202</v>
      </c>
      <c r="B62" s="84"/>
      <c r="H62" s="86"/>
      <c r="I62" s="86"/>
      <c r="J62" s="86"/>
      <c r="K62" s="86"/>
      <c r="L62" s="86">
        <f>6785714+10471625+3785714-7136</f>
        <v>21035917</v>
      </c>
      <c r="M62" s="86"/>
      <c r="N62" s="85">
        <f t="shared" si="7"/>
        <v>21035917</v>
      </c>
      <c r="O62" s="86"/>
      <c r="P62" s="86"/>
      <c r="Q62" s="86">
        <f>-N62</f>
        <v>-21035917</v>
      </c>
      <c r="R62" s="86"/>
      <c r="S62" s="85">
        <f t="shared" si="6"/>
        <v>-21035917</v>
      </c>
    </row>
    <row r="63" spans="1:19" s="83" customFormat="1" ht="13.9" customHeight="1">
      <c r="A63" s="84" t="s">
        <v>167</v>
      </c>
      <c r="B63" s="84"/>
      <c r="H63" s="86"/>
      <c r="I63" s="86"/>
      <c r="J63" s="103"/>
      <c r="K63" s="86"/>
      <c r="L63" s="86"/>
      <c r="M63" s="86">
        <f>3500000+9000000+2000000+10000000</f>
        <v>24500000</v>
      </c>
      <c r="N63" s="85">
        <f t="shared" si="7"/>
        <v>24500000</v>
      </c>
      <c r="O63" s="86"/>
      <c r="P63" s="86"/>
      <c r="Q63" s="86">
        <f>+N63</f>
        <v>24500000</v>
      </c>
      <c r="R63" s="86"/>
      <c r="S63" s="85">
        <f t="shared" si="6"/>
        <v>24500000</v>
      </c>
    </row>
    <row r="64" spans="1:19" s="83" customFormat="1" ht="13.9" customHeight="1">
      <c r="A64" s="84" t="s">
        <v>203</v>
      </c>
      <c r="B64" s="84"/>
      <c r="H64" s="86"/>
      <c r="I64" s="86"/>
      <c r="J64" s="86"/>
      <c r="K64" s="86"/>
      <c r="L64" s="86">
        <v>0</v>
      </c>
      <c r="M64" s="86">
        <v>0</v>
      </c>
      <c r="N64" s="85">
        <f t="shared" si="7"/>
        <v>0</v>
      </c>
      <c r="O64" s="86"/>
      <c r="P64" s="86"/>
      <c r="Q64" s="86">
        <f>+N64</f>
        <v>0</v>
      </c>
      <c r="R64" s="86"/>
      <c r="S64" s="85">
        <f t="shared" si="6"/>
        <v>0</v>
      </c>
    </row>
    <row r="65" spans="1:19" s="83" customFormat="1" ht="13.5" customHeight="1">
      <c r="A65" s="84" t="s">
        <v>232</v>
      </c>
      <c r="B65" s="84"/>
      <c r="H65" s="86"/>
      <c r="I65" s="85"/>
      <c r="J65" s="86"/>
      <c r="K65" s="86"/>
      <c r="L65" s="86">
        <v>0</v>
      </c>
      <c r="M65" s="86"/>
      <c r="N65" s="85">
        <f t="shared" ref="N65:N70" si="8">SUM(K65:M65)</f>
        <v>0</v>
      </c>
      <c r="O65" s="86"/>
      <c r="P65" s="86"/>
      <c r="Q65" s="86">
        <f>-N65</f>
        <v>0</v>
      </c>
      <c r="R65" s="86"/>
      <c r="S65" s="85">
        <f t="shared" si="6"/>
        <v>0</v>
      </c>
    </row>
    <row r="66" spans="1:19" s="83" customFormat="1" ht="13.9" customHeight="1">
      <c r="A66" s="84" t="s">
        <v>168</v>
      </c>
      <c r="B66" s="84"/>
      <c r="H66" s="86"/>
      <c r="I66" s="86"/>
      <c r="J66" s="86"/>
      <c r="K66" s="86"/>
      <c r="L66" s="86">
        <v>123897</v>
      </c>
      <c r="M66" s="86"/>
      <c r="N66" s="85">
        <f t="shared" si="8"/>
        <v>123897</v>
      </c>
      <c r="O66" s="86">
        <f>-N66</f>
        <v>-123897</v>
      </c>
      <c r="P66" s="86"/>
      <c r="Q66" s="86"/>
      <c r="R66" s="86"/>
      <c r="S66" s="85">
        <f t="shared" si="6"/>
        <v>-123897</v>
      </c>
    </row>
    <row r="67" spans="1:19" s="83" customFormat="1" ht="13.9" customHeight="1">
      <c r="A67" s="84" t="s">
        <v>204</v>
      </c>
      <c r="B67" s="84"/>
      <c r="H67" s="86"/>
      <c r="I67" s="86"/>
      <c r="J67" s="86"/>
      <c r="K67" s="86"/>
      <c r="L67" s="86"/>
      <c r="M67" s="86">
        <f>-ER!F50</f>
        <v>511965</v>
      </c>
      <c r="N67" s="85">
        <f t="shared" si="8"/>
        <v>511965</v>
      </c>
      <c r="O67" s="86">
        <f>N67</f>
        <v>511965</v>
      </c>
      <c r="P67" s="86"/>
      <c r="Q67" s="86"/>
      <c r="R67" s="86"/>
      <c r="S67" s="85">
        <f t="shared" si="6"/>
        <v>511965</v>
      </c>
    </row>
    <row r="68" spans="1:19" s="83" customFormat="1" ht="13.9" customHeight="1">
      <c r="A68" s="84" t="s">
        <v>205</v>
      </c>
      <c r="B68" s="84"/>
      <c r="H68" s="86"/>
      <c r="I68" s="86"/>
      <c r="J68" s="86"/>
      <c r="K68" s="86"/>
      <c r="L68" s="86"/>
      <c r="M68" s="86">
        <f>ER!F24</f>
        <v>4570972.2300000004</v>
      </c>
      <c r="N68" s="85">
        <f t="shared" si="8"/>
        <v>4570972.2300000004</v>
      </c>
      <c r="O68" s="86">
        <f>+N68</f>
        <v>4570972.2300000004</v>
      </c>
      <c r="P68" s="86"/>
      <c r="Q68" s="86"/>
      <c r="R68" s="86"/>
      <c r="S68" s="85">
        <f t="shared" si="6"/>
        <v>4570972.2300000004</v>
      </c>
    </row>
    <row r="69" spans="1:19" s="83" customFormat="1" ht="13.9" customHeight="1">
      <c r="A69" s="84" t="s">
        <v>166</v>
      </c>
      <c r="B69" s="84"/>
      <c r="H69" s="86"/>
      <c r="I69" s="86"/>
      <c r="J69" s="86"/>
      <c r="K69" s="86"/>
      <c r="L69" s="86">
        <f>M68+(414350-848916.72)</f>
        <v>4136405.5100000007</v>
      </c>
      <c r="M69" s="86">
        <v>0</v>
      </c>
      <c r="N69" s="85">
        <f t="shared" si="8"/>
        <v>4136405.5100000007</v>
      </c>
      <c r="O69" s="86">
        <f>-N69</f>
        <v>-4136405.5100000007</v>
      </c>
      <c r="P69" s="86"/>
      <c r="Q69" s="86"/>
      <c r="R69" s="86"/>
      <c r="S69" s="85">
        <f t="shared" si="6"/>
        <v>-4136405.5100000007</v>
      </c>
    </row>
    <row r="70" spans="1:19" s="83" customFormat="1" ht="13.9" customHeight="1">
      <c r="A70" s="84" t="s">
        <v>187</v>
      </c>
      <c r="B70" s="84"/>
      <c r="H70" s="86"/>
      <c r="I70" s="86"/>
      <c r="J70" s="86"/>
      <c r="K70" s="86"/>
      <c r="L70" s="86">
        <v>0</v>
      </c>
      <c r="M70" s="86">
        <v>0</v>
      </c>
      <c r="N70" s="85">
        <f t="shared" si="8"/>
        <v>0</v>
      </c>
      <c r="O70" s="86">
        <f>+N70</f>
        <v>0</v>
      </c>
      <c r="P70" s="86"/>
      <c r="Q70" s="86"/>
      <c r="R70" s="86"/>
      <c r="S70" s="85">
        <f t="shared" si="6"/>
        <v>0</v>
      </c>
    </row>
    <row r="71" spans="1:19" s="83" customFormat="1" ht="13.9" customHeight="1" thickBot="1">
      <c r="H71" s="92">
        <f>H25-H39</f>
        <v>0</v>
      </c>
      <c r="I71" s="86"/>
      <c r="J71" s="92" t="e">
        <f>J25-J39</f>
        <v>#REF!</v>
      </c>
      <c r="K71" s="92" t="e">
        <f>K25-K39</f>
        <v>#REF!</v>
      </c>
      <c r="L71" s="92" t="e">
        <f>SUM(L13:L70)</f>
        <v>#REF!</v>
      </c>
      <c r="M71" s="92" t="e">
        <f>SUM(M13:M70)</f>
        <v>#REF!</v>
      </c>
      <c r="N71" s="92" t="e">
        <f t="shared" ref="N71:S71" si="9">SUM(N13:N70)</f>
        <v>#REF!</v>
      </c>
      <c r="O71" s="92" t="e">
        <f>SUM(O13:O70)</f>
        <v>#REF!</v>
      </c>
      <c r="P71" s="92" t="e">
        <f t="shared" si="9"/>
        <v>#REF!</v>
      </c>
      <c r="Q71" s="92" t="e">
        <f t="shared" si="9"/>
        <v>#REF!</v>
      </c>
      <c r="R71" s="92">
        <f t="shared" si="9"/>
        <v>5433637</v>
      </c>
      <c r="S71" s="92" t="e">
        <f t="shared" si="9"/>
        <v>#REF!</v>
      </c>
    </row>
    <row r="72" spans="1:19" s="83" customFormat="1" ht="13.9" customHeight="1" thickTop="1">
      <c r="A72" s="83" t="s">
        <v>86</v>
      </c>
      <c r="H72" s="86"/>
      <c r="I72" s="86"/>
      <c r="J72" s="86"/>
      <c r="K72" s="86"/>
      <c r="L72" s="86" t="e">
        <f>L71-M71</f>
        <v>#REF!</v>
      </c>
      <c r="M72" s="86"/>
      <c r="N72" s="86"/>
      <c r="O72" s="86"/>
      <c r="P72" s="86"/>
      <c r="Q72" s="86"/>
      <c r="R72" s="86"/>
      <c r="S72" s="86" t="e">
        <f>Balance!#REF!</f>
        <v>#REF!</v>
      </c>
    </row>
    <row r="73" spans="1:19" s="83" customFormat="1" ht="13.9" customHeight="1" thickBot="1">
      <c r="A73" s="83" t="s">
        <v>87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92" t="e">
        <f>S72+S71</f>
        <v>#REF!</v>
      </c>
    </row>
    <row r="74" spans="1:19" s="83" customFormat="1" ht="13.9" customHeight="1" thickTop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 t="e">
        <f>S73-R71</f>
        <v>#REF!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 t="e">
        <f>S74/2</f>
        <v>#REF!</v>
      </c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5"/>
      <c r="K81" s="85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H85" s="86"/>
      <c r="I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6"/>
      <c r="K88" s="86"/>
    </row>
    <row r="89" spans="8:19" s="83" customFormat="1" ht="13.9" customHeight="1">
      <c r="J89" s="87"/>
      <c r="K89" s="86"/>
    </row>
    <row r="90" spans="8:19" s="83" customFormat="1" ht="13.9" customHeight="1">
      <c r="J90" s="86"/>
      <c r="K90" s="87"/>
    </row>
    <row r="91" spans="8:19" s="83" customFormat="1" ht="13.9" customHeight="1">
      <c r="J91" s="86"/>
      <c r="K91" s="87"/>
    </row>
    <row r="92" spans="8:19" s="83" customFormat="1" ht="13.9" customHeight="1">
      <c r="J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86"/>
      <c r="K95" s="86"/>
    </row>
    <row r="96" spans="8:19" s="83" customFormat="1" ht="13.9" customHeight="1">
      <c r="J96" s="99"/>
      <c r="K96" s="99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86"/>
      <c r="K100" s="86"/>
    </row>
    <row r="101" spans="10:11" s="83" customFormat="1" ht="13.9" customHeight="1">
      <c r="J101" s="101"/>
      <c r="K101" s="101"/>
    </row>
    <row r="102" spans="10:11" s="83" customFormat="1" ht="13.9" customHeight="1">
      <c r="J102" s="101"/>
      <c r="K102" s="101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>
      <c r="J112" s="86"/>
      <c r="K112" s="86"/>
    </row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83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  <row r="228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Est. de Ingr. Trim</vt:lpstr>
      <vt:lpstr>Balance</vt:lpstr>
      <vt:lpstr>ER</vt:lpstr>
      <vt:lpstr>MARZO</vt:lpstr>
      <vt:lpstr>JUNIO</vt:lpstr>
      <vt:lpstr>Hoja de Trabajo - flujo</vt:lpstr>
      <vt:lpstr>Balance!Área_de_impresión</vt:lpstr>
      <vt:lpstr>ER!Área_de_impresión</vt:lpstr>
      <vt:lpstr>'Est. de Ingr. Trim'!Área_de_impresión</vt:lpstr>
      <vt:lpstr>'Hoja de Trabajo - flujo'!Área_de_impresión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2020-07-29T17:29:24Z</cp:lastPrinted>
  <dcterms:created xsi:type="dcterms:W3CDTF">1999-04-13T18:41:21Z</dcterms:created>
  <dcterms:modified xsi:type="dcterms:W3CDTF">2021-02-04T21:25:38Z</dcterms:modified>
</cp:coreProperties>
</file>