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Bolsa de Valores - Archivos\Estados Financieros para Bolsa de Valores\2020\"/>
    </mc:Choice>
  </mc:AlternateContent>
  <xr:revisionPtr revIDLastSave="0" documentId="13_ncr:1_{6E2A50F8-0BA6-49FC-B0AD-C773F911B2C4}" xr6:coauthVersionLast="36" xr6:coauthVersionMax="36" xr10:uidLastSave="{00000000-0000-0000-0000-000000000000}"/>
  <bookViews>
    <workbookView xWindow="0" yWindow="0" windowWidth="20490" windowHeight="7650" tabRatio="846" firstSheet="1" activeTab="1" xr2:uid="{00000000-000D-0000-FFFF-FFFF00000000}"/>
  </bookViews>
  <sheets>
    <sheet name="Est. de Ingr. Trim" sheetId="11" state="hidden" r:id="rId1"/>
    <sheet name="Balance" sheetId="15" r:id="rId2"/>
    <sheet name="ER" sheetId="14" r:id="rId3"/>
    <sheet name="MARZO" sheetId="19" state="hidden" r:id="rId4"/>
    <sheet name="JUNIO" sheetId="18" state="hidden" r:id="rId5"/>
  </sheets>
  <definedNames>
    <definedName name="_xlnm.Print_Area" localSheetId="1">Balance!$A$1:$G$59</definedName>
    <definedName name="_xlnm.Print_Area" localSheetId="2">ER!$A$1:$G$62</definedName>
    <definedName name="_xlnm.Print_Area" localSheetId="0">'Est. de Ingr. Trim'!$A$1:$E$142</definedName>
    <definedName name="_xlnm.Print_Titles" localSheetId="0">'Est. de Ingr. Trim'!$1:$3</definedName>
  </definedNames>
  <calcPr calcId="191029"/>
</workbook>
</file>

<file path=xl/calcChain.xml><?xml version="1.0" encoding="utf-8"?>
<calcChain xmlns="http://schemas.openxmlformats.org/spreadsheetml/2006/main">
  <c r="F18" i="14" l="1"/>
  <c r="F15" i="15"/>
  <c r="F41" i="15"/>
  <c r="F49" i="15"/>
  <c r="F44" i="14" l="1"/>
  <c r="F36" i="14"/>
  <c r="F25" i="14"/>
  <c r="F20" i="14"/>
  <c r="F18" i="15"/>
  <c r="F24" i="15"/>
  <c r="F42" i="15"/>
  <c r="F46" i="15"/>
  <c r="F50" i="15" s="1"/>
  <c r="F33" i="15" l="1"/>
  <c r="F27" i="14"/>
  <c r="F31" i="14" s="1"/>
  <c r="F46" i="14" s="1"/>
  <c r="F51" i="15"/>
  <c r="F50" i="14" l="1"/>
  <c r="F55" i="14" s="1"/>
  <c r="I48" i="15" l="1"/>
  <c r="G275" i="18" l="1"/>
  <c r="F275" i="18"/>
  <c r="E275" i="18"/>
  <c r="C275" i="18"/>
  <c r="D274" i="18"/>
  <c r="B274" i="18" s="1"/>
  <c r="D273" i="18"/>
  <c r="B273" i="18" s="1"/>
  <c r="G267" i="18"/>
  <c r="E267" i="18"/>
  <c r="C267" i="18"/>
  <c r="F266" i="18"/>
  <c r="D266" i="18" s="1"/>
  <c r="B266" i="18" s="1"/>
  <c r="D265" i="18"/>
  <c r="B265" i="18" s="1"/>
  <c r="D264" i="18"/>
  <c r="B264" i="18" s="1"/>
  <c r="D263" i="18"/>
  <c r="B263" i="18" s="1"/>
  <c r="D262" i="18"/>
  <c r="B262" i="18" s="1"/>
  <c r="D261" i="18"/>
  <c r="B261" i="18" s="1"/>
  <c r="D260" i="18"/>
  <c r="D258" i="18"/>
  <c r="B258" i="18" s="1"/>
  <c r="D256" i="18"/>
  <c r="B256" i="18" s="1"/>
  <c r="G254" i="18"/>
  <c r="F254" i="18"/>
  <c r="E254" i="18"/>
  <c r="C254" i="18"/>
  <c r="D253" i="18"/>
  <c r="B253" i="18" s="1"/>
  <c r="D252" i="18"/>
  <c r="B252" i="18" s="1"/>
  <c r="D251" i="18"/>
  <c r="B251" i="18" s="1"/>
  <c r="D250" i="18"/>
  <c r="B250" i="18" s="1"/>
  <c r="D249" i="18"/>
  <c r="B249" i="18" s="1"/>
  <c r="D248" i="18"/>
  <c r="G246" i="18"/>
  <c r="F246" i="18"/>
  <c r="E246" i="18"/>
  <c r="C246" i="18"/>
  <c r="D245" i="18"/>
  <c r="B245" i="18" s="1"/>
  <c r="D244" i="18"/>
  <c r="B244" i="18" s="1"/>
  <c r="D243" i="18"/>
  <c r="B243" i="18" s="1"/>
  <c r="D242" i="18"/>
  <c r="B242" i="18" s="1"/>
  <c r="D241" i="18"/>
  <c r="B241" i="18" s="1"/>
  <c r="D240" i="18"/>
  <c r="B240" i="18" s="1"/>
  <c r="D239" i="18"/>
  <c r="G236" i="18"/>
  <c r="F236" i="18"/>
  <c r="E236" i="18"/>
  <c r="C236" i="18"/>
  <c r="D234" i="18"/>
  <c r="B234" i="18" s="1"/>
  <c r="D233" i="18"/>
  <c r="B233" i="18" s="1"/>
  <c r="D232" i="18"/>
  <c r="D231" i="18"/>
  <c r="B231" i="18" s="1"/>
  <c r="F226" i="18"/>
  <c r="D226" i="18" s="1"/>
  <c r="B226" i="18" s="1"/>
  <c r="G222" i="18"/>
  <c r="F222" i="18"/>
  <c r="E222" i="18"/>
  <c r="D220" i="18"/>
  <c r="B220" i="18" s="1"/>
  <c r="D219" i="18"/>
  <c r="B219" i="18" s="1"/>
  <c r="D218" i="18"/>
  <c r="C218" i="18"/>
  <c r="C222" i="18" s="1"/>
  <c r="D213" i="18"/>
  <c r="B213" i="18" s="1"/>
  <c r="D212" i="18"/>
  <c r="B212" i="18" s="1"/>
  <c r="C210" i="18"/>
  <c r="C215" i="18" s="1"/>
  <c r="D209" i="18"/>
  <c r="B209" i="18" s="1"/>
  <c r="G208" i="18"/>
  <c r="G210" i="18" s="1"/>
  <c r="G215" i="18" s="1"/>
  <c r="G224" i="18" s="1"/>
  <c r="G228" i="18" s="1"/>
  <c r="F208" i="18"/>
  <c r="F210" i="18" s="1"/>
  <c r="F215" i="18" s="1"/>
  <c r="E208" i="18"/>
  <c r="E210" i="18" s="1"/>
  <c r="E215" i="18" s="1"/>
  <c r="D207" i="18"/>
  <c r="B207" i="18" s="1"/>
  <c r="D236" i="18" l="1"/>
  <c r="C224" i="18"/>
  <c r="C228" i="18" s="1"/>
  <c r="D222" i="18"/>
  <c r="E269" i="18"/>
  <c r="C269" i="18"/>
  <c r="D246" i="18"/>
  <c r="G269" i="18"/>
  <c r="G271" i="18" s="1"/>
  <c r="G277" i="18" s="1"/>
  <c r="F267" i="18"/>
  <c r="F269" i="18" s="1"/>
  <c r="E224" i="18"/>
  <c r="E228" i="18" s="1"/>
  <c r="D254" i="18"/>
  <c r="F224" i="18"/>
  <c r="F228" i="18" s="1"/>
  <c r="B275" i="18"/>
  <c r="D275" i="18"/>
  <c r="D267" i="18"/>
  <c r="D208" i="18"/>
  <c r="B232" i="18"/>
  <c r="B236" i="18" s="1"/>
  <c r="B239" i="18"/>
  <c r="B246" i="18" s="1"/>
  <c r="B248" i="18"/>
  <c r="B254" i="18" s="1"/>
  <c r="B218" i="18"/>
  <c r="B222" i="18" s="1"/>
  <c r="B260" i="18"/>
  <c r="B267" i="18" s="1"/>
  <c r="G275" i="19"/>
  <c r="F275" i="19"/>
  <c r="E275" i="19"/>
  <c r="C275" i="19"/>
  <c r="D274" i="19"/>
  <c r="B274" i="19" s="1"/>
  <c r="D273" i="19"/>
  <c r="B273" i="19" s="1"/>
  <c r="G267" i="19"/>
  <c r="C267" i="19"/>
  <c r="F266" i="19"/>
  <c r="F267" i="19" s="1"/>
  <c r="E266" i="19"/>
  <c r="D265" i="19"/>
  <c r="B265" i="19" s="1"/>
  <c r="D264" i="19"/>
  <c r="B264" i="19" s="1"/>
  <c r="D263" i="19"/>
  <c r="B263" i="19" s="1"/>
  <c r="D262" i="19"/>
  <c r="B262" i="19" s="1"/>
  <c r="D261" i="19"/>
  <c r="D260" i="19"/>
  <c r="B260" i="19" s="1"/>
  <c r="D258" i="19"/>
  <c r="B258" i="19" s="1"/>
  <c r="D256" i="19"/>
  <c r="B256" i="19" s="1"/>
  <c r="G254" i="19"/>
  <c r="F254" i="19"/>
  <c r="E254" i="19"/>
  <c r="C254" i="19"/>
  <c r="D253" i="19"/>
  <c r="B253" i="19" s="1"/>
  <c r="D252" i="19"/>
  <c r="B252" i="19" s="1"/>
  <c r="D251" i="19"/>
  <c r="B251" i="19" s="1"/>
  <c r="D250" i="19"/>
  <c r="B250" i="19" s="1"/>
  <c r="D249" i="19"/>
  <c r="B249" i="19" s="1"/>
  <c r="D248" i="19"/>
  <c r="B248" i="19" s="1"/>
  <c r="C246" i="19"/>
  <c r="G245" i="19"/>
  <c r="G246" i="19" s="1"/>
  <c r="F245" i="19"/>
  <c r="F246" i="19" s="1"/>
  <c r="E245" i="19"/>
  <c r="E246" i="19" s="1"/>
  <c r="D244" i="19"/>
  <c r="B244" i="19" s="1"/>
  <c r="D243" i="19"/>
  <c r="B243" i="19" s="1"/>
  <c r="D242" i="19"/>
  <c r="B242" i="19" s="1"/>
  <c r="D241" i="19"/>
  <c r="B241" i="19" s="1"/>
  <c r="D240" i="19"/>
  <c r="B240" i="19" s="1"/>
  <c r="D239" i="19"/>
  <c r="G236" i="19"/>
  <c r="F236" i="19"/>
  <c r="E236" i="19"/>
  <c r="C236" i="19"/>
  <c r="D234" i="19"/>
  <c r="B234" i="19" s="1"/>
  <c r="D233" i="19"/>
  <c r="B233" i="19" s="1"/>
  <c r="D232" i="19"/>
  <c r="D231" i="19"/>
  <c r="B231" i="19" s="1"/>
  <c r="F226" i="19"/>
  <c r="D226" i="19" s="1"/>
  <c r="B226" i="19" s="1"/>
  <c r="G222" i="19"/>
  <c r="F222" i="19"/>
  <c r="E222" i="19"/>
  <c r="D220" i="19"/>
  <c r="B220" i="19" s="1"/>
  <c r="D219" i="19"/>
  <c r="B219" i="19" s="1"/>
  <c r="D218" i="19"/>
  <c r="C218" i="19"/>
  <c r="C222" i="19" s="1"/>
  <c r="D213" i="19"/>
  <c r="B213" i="19" s="1"/>
  <c r="G212" i="19"/>
  <c r="E212" i="19"/>
  <c r="F210" i="19"/>
  <c r="F215" i="19" s="1"/>
  <c r="C210" i="19"/>
  <c r="C215" i="19" s="1"/>
  <c r="D209" i="19"/>
  <c r="B209" i="19" s="1"/>
  <c r="G208" i="19"/>
  <c r="G210" i="19" s="1"/>
  <c r="E208" i="19"/>
  <c r="E210" i="19" s="1"/>
  <c r="D207" i="19"/>
  <c r="D200" i="19"/>
  <c r="C198" i="19"/>
  <c r="C200" i="19" s="1"/>
  <c r="C194" i="19"/>
  <c r="C196" i="19" s="1"/>
  <c r="C190" i="19"/>
  <c r="C192" i="19" s="1"/>
  <c r="B190" i="19"/>
  <c r="B192" i="19" s="1"/>
  <c r="C186" i="19"/>
  <c r="C188" i="19" s="1"/>
  <c r="D184" i="19"/>
  <c r="D183" i="19"/>
  <c r="D182" i="19"/>
  <c r="D181" i="19"/>
  <c r="D180" i="19"/>
  <c r="B171" i="19"/>
  <c r="B198" i="19" s="1"/>
  <c r="B200" i="19" s="1"/>
  <c r="B170" i="19"/>
  <c r="B194" i="19" s="1"/>
  <c r="B196" i="19" s="1"/>
  <c r="D161" i="19"/>
  <c r="C159" i="19"/>
  <c r="C161" i="19" s="1"/>
  <c r="B159" i="19"/>
  <c r="B161" i="19" s="1"/>
  <c r="C155" i="19"/>
  <c r="C157" i="19" s="1"/>
  <c r="B155" i="19"/>
  <c r="B157" i="19" s="1"/>
  <c r="C151" i="19"/>
  <c r="C153" i="19" s="1"/>
  <c r="B151" i="19"/>
  <c r="B153" i="19" s="1"/>
  <c r="C147" i="19"/>
  <c r="C149" i="19" s="1"/>
  <c r="B147" i="19"/>
  <c r="B149" i="19" s="1"/>
  <c r="D145" i="19"/>
  <c r="D144" i="19"/>
  <c r="D143" i="19"/>
  <c r="D142" i="19"/>
  <c r="D141" i="19"/>
  <c r="D123" i="19"/>
  <c r="C123" i="19"/>
  <c r="G120" i="19"/>
  <c r="F120" i="19"/>
  <c r="E120" i="19"/>
  <c r="C120" i="19"/>
  <c r="F119" i="19"/>
  <c r="D119" i="19" s="1"/>
  <c r="B119" i="19" s="1"/>
  <c r="C119" i="19"/>
  <c r="E118" i="19"/>
  <c r="D118" i="19" s="1"/>
  <c r="B118" i="19" s="1"/>
  <c r="E117" i="19"/>
  <c r="D117" i="19" s="1"/>
  <c r="B117" i="19" s="1"/>
  <c r="F116" i="19"/>
  <c r="D116" i="19" s="1"/>
  <c r="B116" i="19" s="1"/>
  <c r="D115" i="19"/>
  <c r="B115" i="19" s="1"/>
  <c r="D114" i="19"/>
  <c r="B114" i="19" s="1"/>
  <c r="G112" i="19"/>
  <c r="E112" i="19"/>
  <c r="F111" i="19"/>
  <c r="F112" i="19" s="1"/>
  <c r="C111" i="19"/>
  <c r="C112" i="19" s="1"/>
  <c r="D110" i="19"/>
  <c r="B110" i="19" s="1"/>
  <c r="D109" i="19"/>
  <c r="B109" i="19" s="1"/>
  <c r="C104" i="19"/>
  <c r="G103" i="19"/>
  <c r="G104" i="19" s="1"/>
  <c r="E103" i="19"/>
  <c r="D102" i="19"/>
  <c r="B102" i="19" s="1"/>
  <c r="D101" i="19"/>
  <c r="B101" i="19" s="1"/>
  <c r="F100" i="19"/>
  <c r="F104" i="19" s="1"/>
  <c r="F106" i="19" s="1"/>
  <c r="E100" i="19"/>
  <c r="D99" i="19"/>
  <c r="D97" i="19"/>
  <c r="B97" i="19" s="1"/>
  <c r="D95" i="19"/>
  <c r="B95" i="19" s="1"/>
  <c r="G93" i="19"/>
  <c r="E93" i="19"/>
  <c r="D91" i="19"/>
  <c r="C91" i="19"/>
  <c r="D90" i="19"/>
  <c r="B90" i="19" s="1"/>
  <c r="D89" i="19"/>
  <c r="B89" i="19" s="1"/>
  <c r="D88" i="19"/>
  <c r="B88" i="19" s="1"/>
  <c r="D85" i="19"/>
  <c r="B85" i="19" s="1"/>
  <c r="G84" i="19"/>
  <c r="D84" i="19" s="1"/>
  <c r="B84" i="19" s="1"/>
  <c r="G83" i="19"/>
  <c r="D83" i="19" s="1"/>
  <c r="B83" i="19" s="1"/>
  <c r="E82" i="19"/>
  <c r="D82" i="19" s="1"/>
  <c r="B82" i="19" s="1"/>
  <c r="E81" i="19"/>
  <c r="D81" i="19" s="1"/>
  <c r="B81" i="19" s="1"/>
  <c r="F72" i="19"/>
  <c r="C72" i="19"/>
  <c r="D71" i="19"/>
  <c r="B71" i="19" s="1"/>
  <c r="D70" i="19"/>
  <c r="B70" i="19" s="1"/>
  <c r="G69" i="19"/>
  <c r="G72" i="19" s="1"/>
  <c r="E69" i="19"/>
  <c r="E72" i="19" s="1"/>
  <c r="D68" i="19"/>
  <c r="B68" i="19" s="1"/>
  <c r="D67" i="19"/>
  <c r="B67" i="19" s="1"/>
  <c r="D66" i="19"/>
  <c r="B66" i="19" s="1"/>
  <c r="D65" i="19"/>
  <c r="B65" i="19" s="1"/>
  <c r="D62" i="19"/>
  <c r="B62" i="19" s="1"/>
  <c r="D60" i="19"/>
  <c r="B60" i="19" s="1"/>
  <c r="D58" i="19"/>
  <c r="B58" i="19" s="1"/>
  <c r="D56" i="19"/>
  <c r="B56" i="19" s="1"/>
  <c r="C54" i="19"/>
  <c r="D53" i="19"/>
  <c r="B53" i="19" s="1"/>
  <c r="E52" i="19"/>
  <c r="D52" i="19" s="1"/>
  <c r="B52" i="19" s="1"/>
  <c r="G51" i="19"/>
  <c r="G54" i="19" s="1"/>
  <c r="F51" i="19"/>
  <c r="F54" i="19" s="1"/>
  <c r="E51" i="19"/>
  <c r="E50" i="19"/>
  <c r="D50" i="19" s="1"/>
  <c r="B50" i="19" s="1"/>
  <c r="D49" i="19"/>
  <c r="B49" i="19" s="1"/>
  <c r="G45" i="19"/>
  <c r="F45" i="19"/>
  <c r="E45" i="19"/>
  <c r="C45" i="19"/>
  <c r="D44" i="19"/>
  <c r="B44" i="19" s="1"/>
  <c r="D43" i="19"/>
  <c r="B43" i="19" s="1"/>
  <c r="D42" i="19"/>
  <c r="B42" i="19" s="1"/>
  <c r="D41" i="19"/>
  <c r="B41" i="19" s="1"/>
  <c r="D40" i="19"/>
  <c r="D39" i="19"/>
  <c r="B39" i="19" s="1"/>
  <c r="G37" i="19"/>
  <c r="F37" i="19"/>
  <c r="E37" i="19"/>
  <c r="C37" i="19"/>
  <c r="D36" i="19"/>
  <c r="B36" i="19" s="1"/>
  <c r="D35" i="19"/>
  <c r="B35" i="19" s="1"/>
  <c r="D34" i="19"/>
  <c r="B34" i="19" s="1"/>
  <c r="D33" i="19"/>
  <c r="B33" i="19" s="1"/>
  <c r="D32" i="19"/>
  <c r="B32" i="19" s="1"/>
  <c r="D31" i="19"/>
  <c r="B31" i="19" s="1"/>
  <c r="D30" i="19"/>
  <c r="F27" i="19"/>
  <c r="D27" i="19" s="1"/>
  <c r="B27" i="19" s="1"/>
  <c r="G26" i="19"/>
  <c r="G28" i="19" s="1"/>
  <c r="F26" i="19"/>
  <c r="E26" i="19"/>
  <c r="E28" i="19" s="1"/>
  <c r="C26" i="19"/>
  <c r="C28" i="19" s="1"/>
  <c r="D25" i="19"/>
  <c r="B25" i="19" s="1"/>
  <c r="D24" i="19"/>
  <c r="B24" i="19" s="1"/>
  <c r="D23" i="19"/>
  <c r="B23" i="19" s="1"/>
  <c r="D21" i="19"/>
  <c r="B21" i="19" s="1"/>
  <c r="D19" i="19"/>
  <c r="B19" i="19" s="1"/>
  <c r="G17" i="19"/>
  <c r="F17" i="19"/>
  <c r="E17" i="19"/>
  <c r="C17" i="19"/>
  <c r="D16" i="19"/>
  <c r="B16" i="19" s="1"/>
  <c r="D15" i="19"/>
  <c r="B15" i="19" s="1"/>
  <c r="D14" i="19"/>
  <c r="B14" i="19" s="1"/>
  <c r="D13" i="19"/>
  <c r="B13" i="19" s="1"/>
  <c r="D12" i="19"/>
  <c r="B12" i="19" s="1"/>
  <c r="D11" i="19"/>
  <c r="G9" i="19"/>
  <c r="F9" i="19"/>
  <c r="C9" i="19"/>
  <c r="D8" i="19"/>
  <c r="B8" i="19" s="1"/>
  <c r="D7" i="19"/>
  <c r="B7" i="19" s="1"/>
  <c r="E6" i="19"/>
  <c r="E9" i="19" s="1"/>
  <c r="D5" i="19"/>
  <c r="B5" i="19" s="1"/>
  <c r="D201" i="18"/>
  <c r="C199" i="18"/>
  <c r="C201" i="18" s="1"/>
  <c r="C195" i="18"/>
  <c r="C197" i="18" s="1"/>
  <c r="C191" i="18"/>
  <c r="C193" i="18" s="1"/>
  <c r="B191" i="18"/>
  <c r="B193" i="18" s="1"/>
  <c r="C187" i="18"/>
  <c r="C189" i="18" s="1"/>
  <c r="D185" i="18"/>
  <c r="D184" i="18"/>
  <c r="D183" i="18"/>
  <c r="D182" i="18"/>
  <c r="D181" i="18"/>
  <c r="B172" i="18"/>
  <c r="B199" i="18" s="1"/>
  <c r="B201" i="18" s="1"/>
  <c r="B171" i="18"/>
  <c r="D162" i="18"/>
  <c r="C160" i="18"/>
  <c r="C162" i="18" s="1"/>
  <c r="B160" i="18"/>
  <c r="B162" i="18" s="1"/>
  <c r="C156" i="18"/>
  <c r="C158" i="18" s="1"/>
  <c r="B156" i="18"/>
  <c r="B158" i="18" s="1"/>
  <c r="C152" i="18"/>
  <c r="C154" i="18" s="1"/>
  <c r="C148" i="18"/>
  <c r="C150" i="18" s="1"/>
  <c r="D146" i="18"/>
  <c r="D145" i="18"/>
  <c r="D144" i="18"/>
  <c r="B143" i="18"/>
  <c r="B152" i="18" s="1"/>
  <c r="B154" i="18" s="1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23" i="18"/>
  <c r="C123" i="18"/>
  <c r="G120" i="18"/>
  <c r="F120" i="18"/>
  <c r="E120" i="18"/>
  <c r="C120" i="18"/>
  <c r="F119" i="18"/>
  <c r="D119" i="18" s="1"/>
  <c r="C119" i="18"/>
  <c r="D118" i="18"/>
  <c r="B118" i="18" s="1"/>
  <c r="D117" i="18"/>
  <c r="B117" i="18" s="1"/>
  <c r="D116" i="18"/>
  <c r="B116" i="18" s="1"/>
  <c r="D115" i="18"/>
  <c r="B115" i="18" s="1"/>
  <c r="D114" i="18"/>
  <c r="B114" i="18" s="1"/>
  <c r="G112" i="18"/>
  <c r="E112" i="18"/>
  <c r="F111" i="18"/>
  <c r="F112" i="18" s="1"/>
  <c r="C111" i="18"/>
  <c r="C112" i="18" s="1"/>
  <c r="D110" i="18"/>
  <c r="B110" i="18" s="1"/>
  <c r="D109" i="18"/>
  <c r="B109" i="18" s="1"/>
  <c r="F104" i="18"/>
  <c r="F106" i="18" s="1"/>
  <c r="C104" i="18"/>
  <c r="C106" i="18" s="1"/>
  <c r="G103" i="18"/>
  <c r="G104" i="18" s="1"/>
  <c r="E103" i="18"/>
  <c r="D102" i="18"/>
  <c r="B102" i="18" s="1"/>
  <c r="D101" i="18"/>
  <c r="B101" i="18" s="1"/>
  <c r="E100" i="18"/>
  <c r="D99" i="18"/>
  <c r="B99" i="18" s="1"/>
  <c r="D97" i="18"/>
  <c r="B97" i="18" s="1"/>
  <c r="D95" i="18"/>
  <c r="B95" i="18" s="1"/>
  <c r="G93" i="18"/>
  <c r="E93" i="18"/>
  <c r="D91" i="18"/>
  <c r="B91" i="18" s="1"/>
  <c r="D90" i="18"/>
  <c r="B90" i="18" s="1"/>
  <c r="D89" i="18"/>
  <c r="B89" i="18" s="1"/>
  <c r="D88" i="18"/>
  <c r="B88" i="18" s="1"/>
  <c r="D85" i="18"/>
  <c r="B85" i="18" s="1"/>
  <c r="G84" i="18"/>
  <c r="G83" i="18"/>
  <c r="D83" i="18" s="1"/>
  <c r="B83" i="18" s="1"/>
  <c r="E82" i="18"/>
  <c r="D82" i="18" s="1"/>
  <c r="B82" i="18" s="1"/>
  <c r="E81" i="18"/>
  <c r="F72" i="18"/>
  <c r="C72" i="18"/>
  <c r="D71" i="18"/>
  <c r="B71" i="18" s="1"/>
  <c r="D70" i="18"/>
  <c r="B70" i="18" s="1"/>
  <c r="G69" i="18"/>
  <c r="G72" i="18" s="1"/>
  <c r="E69" i="18"/>
  <c r="D68" i="18"/>
  <c r="B68" i="18" s="1"/>
  <c r="D67" i="18"/>
  <c r="B67" i="18" s="1"/>
  <c r="D66" i="18"/>
  <c r="D65" i="18"/>
  <c r="B65" i="18" s="1"/>
  <c r="D62" i="18"/>
  <c r="B62" i="18" s="1"/>
  <c r="D60" i="18"/>
  <c r="B60" i="18" s="1"/>
  <c r="D58" i="18"/>
  <c r="B58" i="18" s="1"/>
  <c r="D56" i="18"/>
  <c r="B56" i="18" s="1"/>
  <c r="G54" i="18"/>
  <c r="E54" i="18"/>
  <c r="C54" i="18"/>
  <c r="D53" i="18"/>
  <c r="B53" i="18" s="1"/>
  <c r="F52" i="18"/>
  <c r="F54" i="18" s="1"/>
  <c r="D51" i="18"/>
  <c r="B51" i="18" s="1"/>
  <c r="D50" i="18"/>
  <c r="B50" i="18" s="1"/>
  <c r="D49" i="18"/>
  <c r="B49" i="18" s="1"/>
  <c r="G45" i="18"/>
  <c r="F45" i="18"/>
  <c r="E45" i="18"/>
  <c r="C45" i="18"/>
  <c r="D44" i="18"/>
  <c r="B44" i="18" s="1"/>
  <c r="D43" i="18"/>
  <c r="B43" i="18" s="1"/>
  <c r="D42" i="18"/>
  <c r="B42" i="18" s="1"/>
  <c r="D41" i="18"/>
  <c r="B41" i="18" s="1"/>
  <c r="D40" i="18"/>
  <c r="B40" i="18" s="1"/>
  <c r="D39" i="18"/>
  <c r="G37" i="18"/>
  <c r="F37" i="18"/>
  <c r="E37" i="18"/>
  <c r="C37" i="18"/>
  <c r="D36" i="18"/>
  <c r="B36" i="18" s="1"/>
  <c r="D35" i="18"/>
  <c r="B35" i="18" s="1"/>
  <c r="D34" i="18"/>
  <c r="B34" i="18" s="1"/>
  <c r="D33" i="18"/>
  <c r="B33" i="18" s="1"/>
  <c r="D32" i="18"/>
  <c r="B32" i="18" s="1"/>
  <c r="D31" i="18"/>
  <c r="B31" i="18" s="1"/>
  <c r="D30" i="18"/>
  <c r="F27" i="18"/>
  <c r="D27" i="18" s="1"/>
  <c r="B27" i="18" s="1"/>
  <c r="G26" i="18"/>
  <c r="G28" i="18" s="1"/>
  <c r="F26" i="18"/>
  <c r="E26" i="18"/>
  <c r="E28" i="18" s="1"/>
  <c r="C26" i="18"/>
  <c r="C28" i="18" s="1"/>
  <c r="D25" i="18"/>
  <c r="B25" i="18" s="1"/>
  <c r="D24" i="18"/>
  <c r="B24" i="18" s="1"/>
  <c r="D23" i="18"/>
  <c r="D21" i="18"/>
  <c r="B21" i="18" s="1"/>
  <c r="D19" i="18"/>
  <c r="B19" i="18" s="1"/>
  <c r="G17" i="18"/>
  <c r="F17" i="18"/>
  <c r="C17" i="18"/>
  <c r="D16" i="18"/>
  <c r="B16" i="18" s="1"/>
  <c r="D15" i="18"/>
  <c r="B15" i="18" s="1"/>
  <c r="D14" i="18"/>
  <c r="B14" i="18" s="1"/>
  <c r="D13" i="18"/>
  <c r="B13" i="18" s="1"/>
  <c r="D12" i="18"/>
  <c r="B12" i="18" s="1"/>
  <c r="E11" i="18"/>
  <c r="D11" i="18" s="1"/>
  <c r="B11" i="18" s="1"/>
  <c r="G9" i="18"/>
  <c r="F9" i="18"/>
  <c r="E9" i="18"/>
  <c r="C9" i="18"/>
  <c r="D8" i="18"/>
  <c r="B8" i="18" s="1"/>
  <c r="D7" i="18"/>
  <c r="B7" i="18" s="1"/>
  <c r="D6" i="18"/>
  <c r="D5" i="18"/>
  <c r="B5" i="18" s="1"/>
  <c r="F28" i="19" l="1"/>
  <c r="C271" i="18"/>
  <c r="C277" i="18" s="1"/>
  <c r="D269" i="18"/>
  <c r="D120" i="19"/>
  <c r="B120" i="19" s="1"/>
  <c r="C121" i="18"/>
  <c r="C125" i="18" s="1"/>
  <c r="C121" i="19"/>
  <c r="C125" i="19" s="1"/>
  <c r="B123" i="19"/>
  <c r="D236" i="19"/>
  <c r="D266" i="19"/>
  <c r="B266" i="19" s="1"/>
  <c r="D69" i="18"/>
  <c r="B69" i="18" s="1"/>
  <c r="E215" i="19"/>
  <c r="E224" i="19" s="1"/>
  <c r="E228" i="19" s="1"/>
  <c r="E271" i="18"/>
  <c r="E277" i="18" s="1"/>
  <c r="F269" i="19"/>
  <c r="G47" i="19"/>
  <c r="D45" i="19"/>
  <c r="D51" i="19"/>
  <c r="B51" i="19" s="1"/>
  <c r="B54" i="19" s="1"/>
  <c r="C106" i="19"/>
  <c r="C127" i="19" s="1"/>
  <c r="D93" i="19"/>
  <c r="B93" i="19" s="1"/>
  <c r="F121" i="19"/>
  <c r="F125" i="19" s="1"/>
  <c r="F127" i="19" s="1"/>
  <c r="G269" i="19"/>
  <c r="B275" i="19"/>
  <c r="D275" i="19"/>
  <c r="D26" i="18"/>
  <c r="D28" i="18" s="1"/>
  <c r="G121" i="18"/>
  <c r="G125" i="18" s="1"/>
  <c r="C47" i="19"/>
  <c r="C74" i="19" s="1"/>
  <c r="B91" i="19"/>
  <c r="D245" i="19"/>
  <c r="B245" i="19" s="1"/>
  <c r="C269" i="19"/>
  <c r="E267" i="19"/>
  <c r="E269" i="19" s="1"/>
  <c r="F224" i="19"/>
  <c r="F228" i="19" s="1"/>
  <c r="D254" i="19"/>
  <c r="D9" i="18"/>
  <c r="D93" i="18"/>
  <c r="B93" i="18" s="1"/>
  <c r="D103" i="18"/>
  <c r="B103" i="18" s="1"/>
  <c r="F47" i="19"/>
  <c r="F74" i="19" s="1"/>
  <c r="E121" i="19"/>
  <c r="E125" i="19" s="1"/>
  <c r="G215" i="19"/>
  <c r="G224" i="19" s="1"/>
  <c r="G228" i="19" s="1"/>
  <c r="D212" i="19"/>
  <c r="B212" i="19" s="1"/>
  <c r="D222" i="19"/>
  <c r="D267" i="19"/>
  <c r="B269" i="18"/>
  <c r="F47" i="18"/>
  <c r="C127" i="18"/>
  <c r="F121" i="18"/>
  <c r="F125" i="18" s="1"/>
  <c r="F127" i="18" s="1"/>
  <c r="D120" i="18"/>
  <c r="B120" i="18" s="1"/>
  <c r="E47" i="18"/>
  <c r="E72" i="18"/>
  <c r="E104" i="18"/>
  <c r="B119" i="18"/>
  <c r="D143" i="18"/>
  <c r="B148" i="18"/>
  <c r="B150" i="18" s="1"/>
  <c r="F271" i="18"/>
  <c r="F277" i="18" s="1"/>
  <c r="B208" i="18"/>
  <c r="B210" i="18" s="1"/>
  <c r="B215" i="18" s="1"/>
  <c r="B224" i="18" s="1"/>
  <c r="B228" i="18" s="1"/>
  <c r="B271" i="18" s="1"/>
  <c r="B277" i="18" s="1"/>
  <c r="D210" i="18"/>
  <c r="D215" i="18" s="1"/>
  <c r="D224" i="18" s="1"/>
  <c r="D228" i="18" s="1"/>
  <c r="D271" i="18" s="1"/>
  <c r="D277" i="18" s="1"/>
  <c r="B187" i="18"/>
  <c r="B189" i="18" s="1"/>
  <c r="E17" i="18"/>
  <c r="F28" i="18"/>
  <c r="G47" i="18"/>
  <c r="G74" i="18" s="1"/>
  <c r="D72" i="18"/>
  <c r="E106" i="18"/>
  <c r="G106" i="18"/>
  <c r="E121" i="18"/>
  <c r="E125" i="18" s="1"/>
  <c r="D187" i="18"/>
  <c r="D37" i="18"/>
  <c r="C47" i="18"/>
  <c r="C74" i="18" s="1"/>
  <c r="D45" i="18"/>
  <c r="B123" i="18"/>
  <c r="D186" i="19"/>
  <c r="F271" i="19"/>
  <c r="F277" i="19" s="1"/>
  <c r="C224" i="19"/>
  <c r="C228" i="19" s="1"/>
  <c r="B254" i="19"/>
  <c r="B207" i="19"/>
  <c r="B232" i="19"/>
  <c r="B236" i="19" s="1"/>
  <c r="B218" i="19"/>
  <c r="B222" i="19" s="1"/>
  <c r="B239" i="19"/>
  <c r="D208" i="19"/>
  <c r="B208" i="19" s="1"/>
  <c r="B261" i="19"/>
  <c r="B267" i="19" s="1"/>
  <c r="D148" i="18"/>
  <c r="E54" i="19"/>
  <c r="D17" i="19"/>
  <c r="D37" i="19"/>
  <c r="G74" i="19"/>
  <c r="E47" i="19"/>
  <c r="B40" i="19"/>
  <c r="B45" i="19" s="1"/>
  <c r="D69" i="19"/>
  <c r="B69" i="19" s="1"/>
  <c r="B72" i="19" s="1"/>
  <c r="D100" i="19"/>
  <c r="B100" i="19" s="1"/>
  <c r="E104" i="19"/>
  <c r="E106" i="19" s="1"/>
  <c r="E127" i="19" s="1"/>
  <c r="D147" i="19"/>
  <c r="D103" i="19"/>
  <c r="B103" i="19" s="1"/>
  <c r="G121" i="19"/>
  <c r="G125" i="19" s="1"/>
  <c r="B26" i="19"/>
  <c r="B28" i="19" s="1"/>
  <c r="B186" i="19"/>
  <c r="B188" i="19" s="1"/>
  <c r="D6" i="19"/>
  <c r="B11" i="19"/>
  <c r="B17" i="19" s="1"/>
  <c r="B99" i="19"/>
  <c r="D111" i="19"/>
  <c r="B111" i="19" s="1"/>
  <c r="B112" i="19" s="1"/>
  <c r="D26" i="19"/>
  <c r="D28" i="19" s="1"/>
  <c r="G106" i="19"/>
  <c r="B30" i="19"/>
  <c r="B37" i="19" s="1"/>
  <c r="B17" i="18"/>
  <c r="B6" i="18"/>
  <c r="B9" i="18" s="1"/>
  <c r="B30" i="18"/>
  <c r="B37" i="18" s="1"/>
  <c r="D17" i="18"/>
  <c r="B23" i="18"/>
  <c r="B26" i="18" s="1"/>
  <c r="B28" i="18" s="1"/>
  <c r="D52" i="18"/>
  <c r="B52" i="18" s="1"/>
  <c r="B54" i="18" s="1"/>
  <c r="B66" i="18"/>
  <c r="B72" i="18" s="1"/>
  <c r="D81" i="18"/>
  <c r="D100" i="18"/>
  <c r="B100" i="18" s="1"/>
  <c r="B104" i="18" s="1"/>
  <c r="D111" i="18"/>
  <c r="B195" i="18"/>
  <c r="B197" i="18" s="1"/>
  <c r="B39" i="18"/>
  <c r="B45" i="18" s="1"/>
  <c r="D84" i="18"/>
  <c r="B84" i="18" s="1"/>
  <c r="B121" i="19" l="1"/>
  <c r="D54" i="18"/>
  <c r="F128" i="19"/>
  <c r="D47" i="19"/>
  <c r="D72" i="19"/>
  <c r="E271" i="19"/>
  <c r="E277" i="19" s="1"/>
  <c r="B125" i="19"/>
  <c r="B246" i="19"/>
  <c r="D246" i="19"/>
  <c r="D269" i="19" s="1"/>
  <c r="C271" i="19"/>
  <c r="C277" i="19" s="1"/>
  <c r="D54" i="19"/>
  <c r="C128" i="18"/>
  <c r="G127" i="18"/>
  <c r="G128" i="18" s="1"/>
  <c r="G271" i="19"/>
  <c r="G277" i="19" s="1"/>
  <c r="C128" i="19"/>
  <c r="E74" i="19"/>
  <c r="E128" i="19" s="1"/>
  <c r="D112" i="19"/>
  <c r="D121" i="19" s="1"/>
  <c r="D125" i="19" s="1"/>
  <c r="F74" i="18"/>
  <c r="F128" i="18" s="1"/>
  <c r="D47" i="18"/>
  <c r="E127" i="18"/>
  <c r="E74" i="18"/>
  <c r="B269" i="19"/>
  <c r="B210" i="19"/>
  <c r="B215" i="19" s="1"/>
  <c r="B224" i="19" s="1"/>
  <c r="B228" i="19" s="1"/>
  <c r="D210" i="19"/>
  <c r="D215" i="19" s="1"/>
  <c r="D224" i="19" s="1"/>
  <c r="D228" i="19" s="1"/>
  <c r="B47" i="19"/>
  <c r="B104" i="19"/>
  <c r="B106" i="19" s="1"/>
  <c r="B127" i="19" s="1"/>
  <c r="G127" i="19"/>
  <c r="G128" i="19" s="1"/>
  <c r="D104" i="19"/>
  <c r="D106" i="19" s="1"/>
  <c r="B6" i="19"/>
  <c r="B9" i="19" s="1"/>
  <c r="B74" i="19" s="1"/>
  <c r="D9" i="19"/>
  <c r="D74" i="19" s="1"/>
  <c r="D112" i="18"/>
  <c r="D121" i="18" s="1"/>
  <c r="D125" i="18" s="1"/>
  <c r="B111" i="18"/>
  <c r="B112" i="18" s="1"/>
  <c r="B121" i="18" s="1"/>
  <c r="B125" i="18" s="1"/>
  <c r="B81" i="18"/>
  <c r="B106" i="18" s="1"/>
  <c r="D104" i="18"/>
  <c r="D106" i="18" s="1"/>
  <c r="B47" i="18"/>
  <c r="B74" i="18" s="1"/>
  <c r="E128" i="18" l="1"/>
  <c r="D74" i="18"/>
  <c r="D271" i="19"/>
  <c r="D277" i="19" s="1"/>
  <c r="B128" i="19"/>
  <c r="B271" i="19"/>
  <c r="B277" i="19" s="1"/>
  <c r="D127" i="19"/>
  <c r="D128" i="19" s="1"/>
  <c r="D127" i="18"/>
  <c r="B127" i="18"/>
  <c r="B128" i="18" s="1"/>
  <c r="D128" i="18" l="1"/>
  <c r="H29" i="15"/>
  <c r="H50" i="15"/>
  <c r="H32" i="15"/>
  <c r="H18" i="15"/>
  <c r="H22" i="15"/>
  <c r="H48" i="15"/>
  <c r="H37" i="15"/>
  <c r="H30" i="15"/>
  <c r="H28" i="15"/>
  <c r="H27" i="15"/>
  <c r="H26" i="15"/>
  <c r="H47" i="15"/>
  <c r="H46" i="15"/>
  <c r="H38" i="15"/>
  <c r="H39" i="15"/>
  <c r="D48" i="11"/>
  <c r="D51" i="11"/>
  <c r="D55" i="11"/>
  <c r="D32" i="11"/>
  <c r="D72" i="11"/>
  <c r="D76" i="11"/>
  <c r="D80" i="11"/>
  <c r="D88" i="11"/>
  <c r="D95" i="11"/>
  <c r="D101" i="11"/>
  <c r="D104" i="11"/>
  <c r="D109" i="11"/>
  <c r="D117" i="11"/>
  <c r="D121" i="11"/>
  <c r="D132" i="11"/>
  <c r="D28" i="11"/>
  <c r="D13" i="11"/>
  <c r="D8" i="11"/>
  <c r="D3" i="11"/>
  <c r="H41" i="15"/>
  <c r="D57" i="11" l="1"/>
  <c r="D135" i="11"/>
  <c r="D34" i="11"/>
  <c r="H51" i="15"/>
  <c r="H24" i="15"/>
  <c r="H45" i="15"/>
  <c r="H49" i="15"/>
  <c r="E57" i="11" l="1"/>
  <c r="D137" i="11"/>
  <c r="D141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rromero</author>
    <author>coro</author>
    <author>Miguel Padilla</author>
    <author>La Hipotecaria</author>
    <author>mrivera</author>
  </authors>
  <commentList>
    <comment ref="C1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 xr:uid="{00000000-0006-0000-0300-00000D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3.76% de la participación no controlada de la ganancia en conversión de moneda </t>
        </r>
      </text>
    </comment>
    <comment ref="G119" authorId="1" shapeId="0" xr:uid="{00000000-0006-0000-0300-00000E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 xr:uid="{00000000-0006-0000-0300-000010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 xr:uid="{00000000-0006-0000-0300-000011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 xr:uid="{00000000-0006-0000-0300-000012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G205" authorId="1" shapeId="0" xr:uid="{00000000-0006-0000-0300-000013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Los ingresos se completan con el estado de resultados integrales reporte 111, los gastos pueden completarse con el reporte Estados Financieros Auditoría</t>
        </r>
      </text>
    </comment>
    <comment ref="E208" authorId="0" shapeId="0" xr:uid="{00000000-0006-0000-0300-000014000000}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RESTARLE INV POR REVALUAION DE FIDEICOMIISO CELDA E159</t>
        </r>
      </text>
    </comment>
    <comment ref="E212" authorId="0" shapeId="0" xr:uid="{00000000-0006-0000-0300-000015000000}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 xr:uid="{00000000-0006-0000-0300-000016000000}">
      <text>
        <r>
          <rPr>
            <b/>
            <sz val="8"/>
            <color indexed="81"/>
            <rFont val="Tahoma"/>
            <family val="2"/>
          </rPr>
          <t>Miguel Padilla
111 (E/R)</t>
        </r>
        <r>
          <rPr>
            <sz val="8"/>
            <color indexed="81"/>
            <rFont val="Tahoma"/>
            <family val="2"/>
          </rPr>
          <t xml:space="preserve">
Total de Asesoria y Adm Hipotecas  menos o mas Miscelaneos Hipotecas menos comisiones de ventas de hipotecas.
</t>
        </r>
      </text>
    </comment>
    <comment ref="E226" authorId="0" shapeId="0" xr:uid="{00000000-0006-0000-0300-000017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28" authorId="0" shapeId="0" xr:uid="{00000000-0006-0000-0300-000018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COMENTARIOS EN CELDA E163</t>
        </r>
      </text>
    </comment>
    <comment ref="E232" authorId="0" shapeId="0" xr:uid="{00000000-0006-0000-0300-000019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E234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 xr:uid="{00000000-0006-0000-0300-00001B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 xr:uid="{00000000-0006-0000-0300-00001C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 xr:uid="{00000000-0006-0000-0300-00001D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A242" authorId="4" shapeId="0" xr:uid="{00000000-0006-0000-0300-00001E000000}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 xr:uid="{00000000-0006-0000-0300-00001F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 xr:uid="{00000000-0006-0000-0300-000020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 xr:uid="{00000000-0006-0000-0300-000021000000}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 xr:uid="{00000000-0006-0000-0300-000022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 xr:uid="{00000000-0006-0000-0300-000023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 xr:uid="{00000000-0006-0000-0300-000024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 xr:uid="{00000000-0006-0000-0300-000025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rromero</author>
    <author>coro</author>
    <author>Miguel Padilla</author>
    <author>La Hipotecaria</author>
    <author>mrivera</author>
  </authors>
  <commentList>
    <comment ref="C1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 xr:uid="{00000000-0006-0000-0400-00000D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3.756% de la participación no controlada de la ganancia en conversión de moneda </t>
        </r>
      </text>
    </comment>
    <comment ref="G119" authorId="1" shapeId="0" xr:uid="{00000000-0006-0000-0400-00000E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 xr:uid="{00000000-0006-0000-0400-000010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 xr:uid="{00000000-0006-0000-0400-000011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E208" authorId="0" shapeId="0" xr:uid="{00000000-0006-0000-0400-000013000000}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linea total de inversiones en valores y despues RESTARLE INV POR REVALUAION DE FIDEICOMIISO CELDA E28</t>
        </r>
      </text>
    </comment>
    <comment ref="G208" authorId="0" shapeId="0" xr:uid="{00000000-0006-0000-0400-000014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inversiones en valores menos ver formula</t>
        </r>
      </text>
    </comment>
    <comment ref="E212" authorId="0" shapeId="0" xr:uid="{00000000-0006-0000-0400-000015000000}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 xr:uid="{00000000-0006-0000-0400-000016000000}">
      <text>
        <r>
          <rPr>
            <b/>
            <sz val="8"/>
            <color indexed="81"/>
            <rFont val="Tahoma"/>
            <family val="2"/>
          </rPr>
          <t>roberto:
linea de comisión por administracion y manejo menos linea de gastos de comisiones colocar el neto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3" authorId="0" shapeId="0" xr:uid="{00000000-0006-0000-0400-000017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comisiones por otorgamiento de préstamos</t>
        </r>
      </text>
    </comment>
    <comment ref="E226" authorId="0" shapeId="0" xr:uid="{00000000-0006-0000-0400-000018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32" authorId="0" shapeId="0" xr:uid="{00000000-0006-0000-0400-000019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G232" authorId="0" shapeId="0" xr:uid="{00000000-0006-0000-0400-00001A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por revaluacion en fideicomisos</t>
        </r>
      </text>
    </comment>
    <comment ref="E234" authorId="0" shapeId="0" xr:uid="{00000000-0006-0000-0400-00001B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 xr:uid="{00000000-0006-0000-0400-00001C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 xr:uid="{00000000-0006-0000-0400-00001D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 xr:uid="{00000000-0006-0000-0400-00001E000000}">
      <text>
        <r>
          <rPr>
            <b/>
            <sz val="8"/>
            <color indexed="81"/>
            <rFont val="Tahoma"/>
            <family val="2"/>
          </rPr>
          <t>incluye salarios, vacaciones xiii mes, desarrollo del personal, otros beneficios del personal, seguro del personal</t>
        </r>
      </text>
    </comment>
    <comment ref="A242" authorId="4" shapeId="0" xr:uid="{00000000-0006-0000-0400-00001F000000}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 xr:uid="{00000000-0006-0000-0400-000020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 xr:uid="{00000000-0006-0000-0400-000021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 xr:uid="{00000000-0006-0000-0400-000022000000}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 xr:uid="{00000000-0006-0000-0400-000023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 xr:uid="{00000000-0006-0000-0400-000024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 xr:uid="{00000000-0006-0000-0400-000025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 xr:uid="{00000000-0006-0000-0400-000026000000}">
      <text>
        <r>
          <rPr>
            <b/>
            <sz val="8"/>
            <color indexed="81"/>
            <rFont val="Tahoma"/>
            <family val="2"/>
          </rPr>
          <t>otros se coloca solito</t>
        </r>
      </text>
    </comment>
  </commentList>
</comments>
</file>

<file path=xl/sharedStrings.xml><?xml version="1.0" encoding="utf-8"?>
<sst xmlns="http://schemas.openxmlformats.org/spreadsheetml/2006/main" count="780" uniqueCount="388">
  <si>
    <t xml:space="preserve"> </t>
  </si>
  <si>
    <t>HIPOTECARIA</t>
  </si>
  <si>
    <t>cuenta no.</t>
  </si>
  <si>
    <t>Capital adicional pagado</t>
  </si>
  <si>
    <t>ESTADO DE UTILIDADES</t>
  </si>
  <si>
    <t>Ingresos de operaciones: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</si>
  <si>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</si>
  <si>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</si>
  <si>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</si>
  <si>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Impuestos</t>
  </si>
  <si>
    <t xml:space="preserve">     Otros gastos</t>
  </si>
  <si>
    <t>INVERSIONES EN VALORES</t>
  </si>
  <si>
    <t>INGRESOS DE OPERACIONES</t>
  </si>
  <si>
    <t>PRESTAMOS</t>
  </si>
  <si>
    <t>COMISIONES</t>
  </si>
  <si>
    <t>OTROS INGRESOS</t>
  </si>
  <si>
    <t>TOTAL ING.OPERACIONES</t>
  </si>
  <si>
    <t>GASTOS DE OPERACIONES</t>
  </si>
  <si>
    <t>INTERESES</t>
  </si>
  <si>
    <t>TOTAL GTOS.OPERACIONES</t>
  </si>
  <si>
    <t>GASTOS GENERALES Y ADMINISTRATIVOS</t>
  </si>
  <si>
    <t>salarios y otros gastos de personal</t>
  </si>
  <si>
    <t>alquileres</t>
  </si>
  <si>
    <t>publicidad y propaganda</t>
  </si>
  <si>
    <t>depreciacion y amortizacion</t>
  </si>
  <si>
    <t>impuestos</t>
  </si>
  <si>
    <t>mantenimiento de equipo</t>
  </si>
  <si>
    <t>utiles de oficina</t>
  </si>
  <si>
    <t>luz, agua y telefono</t>
  </si>
  <si>
    <t>honorarios</t>
  </si>
  <si>
    <t>otros gastos</t>
  </si>
  <si>
    <t>Impuesto sobre la renta, estimado</t>
  </si>
  <si>
    <t>TOTAL GTOS.GRALES Y ADM-</t>
  </si>
  <si>
    <t>Cargos bancarios</t>
  </si>
  <si>
    <t>Deprec. Equipo de Oficina</t>
  </si>
  <si>
    <t>Deprec. Software</t>
  </si>
  <si>
    <t>Intereses Cliente prest. Hipot.</t>
  </si>
  <si>
    <t>Intereses Gob. Prest.  Hipot.</t>
  </si>
  <si>
    <t>Manejo cobranzas de Hipotecas</t>
  </si>
  <si>
    <t>Comision de Cierre</t>
  </si>
  <si>
    <t>Intereses Bono Estatal</t>
  </si>
  <si>
    <t>Venta de Compromisos Hipotecarios</t>
  </si>
  <si>
    <t>Comision por venta de Hipotecas</t>
  </si>
  <si>
    <t xml:space="preserve">Salarios </t>
  </si>
  <si>
    <t>XIII Mes</t>
  </si>
  <si>
    <t xml:space="preserve">Seguro Social </t>
  </si>
  <si>
    <t>Seguro Educativo</t>
  </si>
  <si>
    <t>Riesgo Profesional</t>
  </si>
  <si>
    <t>Entrenamiento de personal</t>
  </si>
  <si>
    <t>Prima de Antigüedad y Cesantia</t>
  </si>
  <si>
    <t>Servicios Profesionales</t>
  </si>
  <si>
    <t xml:space="preserve">Alquiler de locales </t>
  </si>
  <si>
    <t>Alquiler de Estacionamiento</t>
  </si>
  <si>
    <t>Atencion a clientes</t>
  </si>
  <si>
    <t>Publicidad</t>
  </si>
  <si>
    <t>Deprec. Mejoras a la Propiedad</t>
  </si>
  <si>
    <t>Deprec. Computadoras</t>
  </si>
  <si>
    <t>Deprec.  Mobiliario de Oficina</t>
  </si>
  <si>
    <t>Deprec. Automoviles</t>
  </si>
  <si>
    <t>Impuesto  Miscelaneos</t>
  </si>
  <si>
    <t>Impuesto Municipal</t>
  </si>
  <si>
    <t>Licencia comercial</t>
  </si>
  <si>
    <t xml:space="preserve">Mantenimiento de computadora y software </t>
  </si>
  <si>
    <t>mantenimiento de Equipo de Oficina</t>
  </si>
  <si>
    <t>Mantenimiento General</t>
  </si>
  <si>
    <t>mantenimiento de Automoviles</t>
  </si>
  <si>
    <t>Utiles de Oficina</t>
  </si>
  <si>
    <t>Luz de Locales</t>
  </si>
  <si>
    <t>Telefonos</t>
  </si>
  <si>
    <t>Mantenimiento de Telef, y copiadora</t>
  </si>
  <si>
    <t>Honorarios de Auditoria</t>
  </si>
  <si>
    <t>Cargo Bancario</t>
  </si>
  <si>
    <t>Miscelaneos Varios</t>
  </si>
  <si>
    <t>Seguros Varios</t>
  </si>
  <si>
    <t>Apartado Postal</t>
  </si>
  <si>
    <t xml:space="preserve">Viajes </t>
  </si>
  <si>
    <t>Membresia</t>
  </si>
  <si>
    <t>Periodicos y Revistas</t>
  </si>
  <si>
    <t>Donacion</t>
  </si>
  <si>
    <t>combustibles</t>
  </si>
  <si>
    <t xml:space="preserve">Miscelaneos </t>
  </si>
  <si>
    <t>Honorarios Legales</t>
  </si>
  <si>
    <t>Honorarios Varios</t>
  </si>
  <si>
    <t>Honorarios de Fiduciarios</t>
  </si>
  <si>
    <t>Dietas</t>
  </si>
  <si>
    <t xml:space="preserve">Gastos de representacion </t>
  </si>
  <si>
    <t>Gasto de Prestamos Incobrables</t>
  </si>
  <si>
    <t>Intereses Bono Hipotecario</t>
  </si>
  <si>
    <t>Linea de credito Citibank</t>
  </si>
  <si>
    <t>Linea de credito Banco Nova Scotia</t>
  </si>
  <si>
    <t>Intereses (Repo) Citibank</t>
  </si>
  <si>
    <t>Amotizacion Bono Estatal</t>
  </si>
  <si>
    <t>Intereses de VCNs</t>
  </si>
  <si>
    <t>Miscelaneos Hipotecas</t>
  </si>
  <si>
    <t>Manejo de Hipot. Bco. Continental</t>
  </si>
  <si>
    <t>Manejo Hipot. Primer Fideicomiso</t>
  </si>
  <si>
    <t>Manejo Hipot. IIdo.  Fideicomiso</t>
  </si>
  <si>
    <t>Manejo de Seguro de Hipotecas</t>
  </si>
  <si>
    <t>Gan./Perd. Venta Activos Fijos</t>
  </si>
  <si>
    <t>Ingreso por Asesoria Financiera</t>
  </si>
  <si>
    <t>COMISIONES POR MANEJO DE HIPOT.</t>
  </si>
  <si>
    <t>PROVISIONES</t>
  </si>
  <si>
    <t xml:space="preserve">     Intereses: </t>
  </si>
  <si>
    <t>Impuesto Entidades Financieras</t>
  </si>
  <si>
    <t>Ahorro de Jubilacion de Empleados</t>
  </si>
  <si>
    <t>Manejo Hipot. IIIer.  Fideicomiso</t>
  </si>
  <si>
    <t>Nota</t>
  </si>
  <si>
    <t>Servicios de Asesoria</t>
  </si>
  <si>
    <t xml:space="preserve">     Honorarios profesionales y legales</t>
  </si>
  <si>
    <t>Gastos de intereses y comisiones:</t>
  </si>
  <si>
    <t xml:space="preserve">Impuesto sobre la Renta </t>
  </si>
  <si>
    <t>UTILIDAD ANTES de Imp./Renta</t>
  </si>
  <si>
    <t>UTILIDAD NETA despues de I/R</t>
  </si>
  <si>
    <t>Tesoro Nacional ITBMS</t>
  </si>
  <si>
    <t>Viaticos</t>
  </si>
  <si>
    <t>Intereses prest. cía. Extranjera</t>
  </si>
  <si>
    <t>Manejo Hipot. IVto.  Fideicomiso</t>
  </si>
  <si>
    <t>Linea de credito de Banco Continental</t>
  </si>
  <si>
    <t>Gasto de fin de año</t>
  </si>
  <si>
    <t>Manejo Hipot. Vto.  Fideicomiso</t>
  </si>
  <si>
    <t>Avaluo por Inmueble</t>
  </si>
  <si>
    <t>Comision y cargos financieros</t>
  </si>
  <si>
    <t>Intereses sobre cuenta a Plazo</t>
  </si>
  <si>
    <t>Honorarios de Garantía Financiera</t>
  </si>
  <si>
    <t>Línea de BICSA</t>
  </si>
  <si>
    <t>Linea de credito de Banco mundial</t>
  </si>
  <si>
    <t xml:space="preserve">     Comisiones </t>
  </si>
  <si>
    <t>Total de ingresos por intereses y comisiones</t>
  </si>
  <si>
    <t>Total de gastos por intereses y comisiones</t>
  </si>
  <si>
    <t>Otros ingresos (gastos)</t>
  </si>
  <si>
    <t>Otros ingresos</t>
  </si>
  <si>
    <t>Total de gastos de operaciones</t>
  </si>
  <si>
    <t>LA HIPOTECARIA, S.A. DE C.V.</t>
  </si>
  <si>
    <t>Reserva legal</t>
  </si>
  <si>
    <t>(San Salvador, República de El Salvador)</t>
  </si>
  <si>
    <t>(Cifras en Dólares de los Estados Unidos de América)</t>
  </si>
  <si>
    <t>Utilidad neta</t>
  </si>
  <si>
    <t>Activos:</t>
  </si>
  <si>
    <t xml:space="preserve">   Inversiones en valores</t>
  </si>
  <si>
    <t xml:space="preserve">   Mobiliario, equipo y mejoras, neto</t>
  </si>
  <si>
    <t xml:space="preserve">   Cuentas e intereses por cobrar</t>
  </si>
  <si>
    <t xml:space="preserve">   Otros activos</t>
  </si>
  <si>
    <t>Total del activo</t>
  </si>
  <si>
    <t>Pasivos: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</si>
  <si>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</si>
  <si>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</si>
  <si>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</si>
  <si>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</si>
  <si>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</si>
  <si>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</si>
  <si>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Resultados acumulados</t>
  </si>
  <si>
    <t>Total del pasivo y patrimonio de los accionistas</t>
  </si>
  <si>
    <t>Pasivo y Patrimonio de los Accionistas</t>
  </si>
  <si>
    <t>Total del patrimonio de los accionistas</t>
  </si>
  <si>
    <t>Provisión para pérdidas en préstamos</t>
  </si>
  <si>
    <t>Préstamos por pagar</t>
  </si>
  <si>
    <t>Otros pasivos</t>
  </si>
  <si>
    <t>Utilidades no distribuidas</t>
  </si>
  <si>
    <t>Efectivo</t>
  </si>
  <si>
    <t>Inversiones en valores</t>
  </si>
  <si>
    <t>Cuentas e intereses por cobrar</t>
  </si>
  <si>
    <t xml:space="preserve">   Efectivo </t>
  </si>
  <si>
    <t>Capital social</t>
  </si>
  <si>
    <t>3, 7</t>
  </si>
  <si>
    <t>Reserva de capital</t>
  </si>
  <si>
    <t xml:space="preserve">   Depósitos a la vista</t>
  </si>
  <si>
    <t xml:space="preserve">   Depósitos a plazo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</si>
  <si>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</si>
  <si>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</si>
  <si>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</si>
  <si>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Comisiones de préstamos por cobrar</t>
  </si>
  <si>
    <t xml:space="preserve">     Intereses  de préstamos por pagar</t>
  </si>
  <si>
    <t>Ingreso neto por intereses y comisiones</t>
  </si>
  <si>
    <t>Ingreso neto por intereses y comisiones, después</t>
  </si>
  <si>
    <t xml:space="preserve"> de provisión para pérdidas en préstamos</t>
  </si>
  <si>
    <t>Utilidad antes de impuesto sobre la renta</t>
  </si>
  <si>
    <t>Total de utilidades integrales del período</t>
  </si>
  <si>
    <t>Estado de Resultados Integral</t>
  </si>
  <si>
    <t>Sub total</t>
  </si>
  <si>
    <t>Estado de Situación Financiera</t>
  </si>
  <si>
    <t xml:space="preserve">   Inversión en afiliadas al costo</t>
  </si>
  <si>
    <t xml:space="preserve">   Préstamos </t>
  </si>
  <si>
    <t xml:space="preserve">   Préstamos Neto</t>
  </si>
  <si>
    <t xml:space="preserve">   Impuesto sobre la renta diferido</t>
  </si>
  <si>
    <t xml:space="preserve">   Certificado de inversión </t>
  </si>
  <si>
    <t>en valores disponibles para la venta</t>
  </si>
  <si>
    <t>Ganancia (pérdida) no realizada en instrumentos financieros</t>
  </si>
  <si>
    <t xml:space="preserve">   Menos: reserva para pérdidas en préstamos</t>
  </si>
  <si>
    <t xml:space="preserve">          Comisión por administración y manejo, netos</t>
  </si>
  <si>
    <t>Otras pérdidas integrales:</t>
  </si>
  <si>
    <t>Cambios a resultados de ganancia neta no realizada</t>
  </si>
  <si>
    <t xml:space="preserve">   Depositos de Ahorro</t>
  </si>
  <si>
    <t>3,10</t>
  </si>
  <si>
    <t>3,11</t>
  </si>
  <si>
    <t>3,12</t>
  </si>
  <si>
    <t xml:space="preserve">   Cuentas por cobrar compañías relacionadas</t>
  </si>
  <si>
    <t>JUNIO 2016</t>
  </si>
  <si>
    <t>Banco La Hipotecaria y Subsidiaria</t>
  </si>
  <si>
    <t>Eliminación/ ajustes</t>
  </si>
  <si>
    <t xml:space="preserve">Banco La Hipotecaria </t>
  </si>
  <si>
    <t>La Hipot- CF</t>
  </si>
  <si>
    <t>La Hipotecaria El Salvador</t>
  </si>
  <si>
    <t/>
  </si>
  <si>
    <t>ACTIVOS</t>
  </si>
  <si>
    <t>Depositos a la vista</t>
  </si>
  <si>
    <t>Depositos de ahorro</t>
  </si>
  <si>
    <t>Depositos a plazo</t>
  </si>
  <si>
    <t>Efectivo en Caja y Bancos</t>
  </si>
  <si>
    <t>Bonos hip y personales para la venta</t>
  </si>
  <si>
    <t>Bonos estatal disponible para la venta</t>
  </si>
  <si>
    <t>Bono estatal</t>
  </si>
  <si>
    <t>Inversiones disponible para la venta</t>
  </si>
  <si>
    <t>Inversion permanente</t>
  </si>
  <si>
    <t>Inversion en fideicomisos</t>
  </si>
  <si>
    <t>Inversion en afiliadas</t>
  </si>
  <si>
    <t>Valor razonable de préstamos</t>
  </si>
  <si>
    <t>Préstamos hipotecarios</t>
  </si>
  <si>
    <t>Prestamos personales(garantía hipotecaria)</t>
  </si>
  <si>
    <t>Prestamos prendarios(garantía plazo fijos)</t>
  </si>
  <si>
    <t>Total  de Prestamos Hipotecarios</t>
  </si>
  <si>
    <t>Reserva préstamos incobrables</t>
  </si>
  <si>
    <t>Total  de Prestamos Hipotecarios, neto</t>
  </si>
  <si>
    <t>Mejoras a la propiedad</t>
  </si>
  <si>
    <t>Mobiliario de oficina</t>
  </si>
  <si>
    <t>Equipos de oficina</t>
  </si>
  <si>
    <t>Computadora</t>
  </si>
  <si>
    <t>Software</t>
  </si>
  <si>
    <t>Automovil</t>
  </si>
  <si>
    <t>Inmuebles</t>
  </si>
  <si>
    <t>Equipos y mejoras</t>
  </si>
  <si>
    <t>Depreciación mejoras a la propiedad</t>
  </si>
  <si>
    <t>Depreciación mob. de oficina</t>
  </si>
  <si>
    <t>Depreciación equipo de oficina</t>
  </si>
  <si>
    <t>Depreciación computadora</t>
  </si>
  <si>
    <t>Depreciación software</t>
  </si>
  <si>
    <t>Depreciación automovil</t>
  </si>
  <si>
    <t>Depreciacion y amortización</t>
  </si>
  <si>
    <t>TOTAL DE PROPIEDAD Y EQUIPOS</t>
  </si>
  <si>
    <t>Cuenta por cobrar clientes appx</t>
  </si>
  <si>
    <t>Cuenta por cobrar empleados</t>
  </si>
  <si>
    <t>Cuenta por cobrar varios</t>
  </si>
  <si>
    <t>Cuenta por cobrar int. clientes</t>
  </si>
  <si>
    <t>Cuenta por cobrar int. bonos</t>
  </si>
  <si>
    <t>Cuentas por cobrar - relacionadas</t>
  </si>
  <si>
    <t>Crédito fiscal por realizar</t>
  </si>
  <si>
    <t>Impuesto sobre la renta diferido</t>
  </si>
  <si>
    <t>Activos Adjudicados</t>
  </si>
  <si>
    <t>Depositos en Garantía</t>
  </si>
  <si>
    <t>Fianza de licencia financiera</t>
  </si>
  <si>
    <t>Hipotecas no desembolsada</t>
  </si>
  <si>
    <t>Fondo de cesantía</t>
  </si>
  <si>
    <t>Prepago varios</t>
  </si>
  <si>
    <t>Otros Activos</t>
  </si>
  <si>
    <t>Constitucion de Nuevo Fideicomiso</t>
  </si>
  <si>
    <t>TOTAL DE ACTIVOS</t>
  </si>
  <si>
    <t>PASIVOS Y CAPITAL</t>
  </si>
  <si>
    <t>PASIVOS</t>
  </si>
  <si>
    <t>Valores comerciales negociables</t>
  </si>
  <si>
    <t>Notas comerciales</t>
  </si>
  <si>
    <t>Papel Bursatil</t>
  </si>
  <si>
    <t xml:space="preserve">Certificado de inversion </t>
  </si>
  <si>
    <t>Bonos Ordinarios</t>
  </si>
  <si>
    <t>Depositos de clientes:</t>
  </si>
  <si>
    <t>Ahorros locales</t>
  </si>
  <si>
    <t>Ahorros extranjeros</t>
  </si>
  <si>
    <t>A Plazo locales</t>
  </si>
  <si>
    <t>A Plazo extranjeros</t>
  </si>
  <si>
    <t>Cuenta por pagar - relacionadas</t>
  </si>
  <si>
    <t>Impuesto sobre la renta por pagar</t>
  </si>
  <si>
    <t>Intereses prestamos, vcn's, PB, notas</t>
  </si>
  <si>
    <t>Cuenta por pagar - fideicomisos</t>
  </si>
  <si>
    <t>Reserva para prestaciones laborales</t>
  </si>
  <si>
    <t>TOTAL DE PASIVOS</t>
  </si>
  <si>
    <t>CAPITAL</t>
  </si>
  <si>
    <t>Acciones comunes</t>
  </si>
  <si>
    <t>Acciones preferidas</t>
  </si>
  <si>
    <t>Total de capital pagado</t>
  </si>
  <si>
    <t xml:space="preserve">Reserva de capital </t>
  </si>
  <si>
    <t>Reserva NIIF (Regulatoria)</t>
  </si>
  <si>
    <t>Reserva Dinamica</t>
  </si>
  <si>
    <t>Utilidad</t>
  </si>
  <si>
    <t>Reserva de valuacion para valor razonable</t>
  </si>
  <si>
    <t>Conversio</t>
  </si>
  <si>
    <t>Reserva de valuación de préstamos</t>
  </si>
  <si>
    <t>Utilidad (pérdida) por conversion de moneda</t>
  </si>
  <si>
    <t>Total de patrimonio de la participacion  controladora</t>
  </si>
  <si>
    <t>Participación no controladora</t>
  </si>
  <si>
    <t>TOTAL DE CAPITAL</t>
  </si>
  <si>
    <t>TOTAL DE PASIVOS Y CAPITAL</t>
  </si>
  <si>
    <t>Prepagos de Deudas</t>
  </si>
  <si>
    <t>Panamá</t>
  </si>
  <si>
    <t>El Salvador</t>
  </si>
  <si>
    <t>Holding</t>
  </si>
  <si>
    <t xml:space="preserve">Notas </t>
  </si>
  <si>
    <t>VCN's</t>
  </si>
  <si>
    <t>Certificado de Inversion</t>
  </si>
  <si>
    <t>IFC</t>
  </si>
  <si>
    <t>DEG</t>
  </si>
  <si>
    <t>IIC</t>
  </si>
  <si>
    <t>FMO</t>
  </si>
  <si>
    <t>BID</t>
  </si>
  <si>
    <t>CAF</t>
  </si>
  <si>
    <t>BICSA</t>
  </si>
  <si>
    <t>Banco General</t>
  </si>
  <si>
    <t>HSBC</t>
  </si>
  <si>
    <t>Banco Nacional</t>
  </si>
  <si>
    <t>Banco Aliado</t>
  </si>
  <si>
    <t>Towerbank</t>
  </si>
  <si>
    <t>Total Prepagos 2016</t>
  </si>
  <si>
    <t>Total Prepagos 2015</t>
  </si>
  <si>
    <t xml:space="preserve">Diferencia </t>
  </si>
  <si>
    <t>Total de Prestamos 2016</t>
  </si>
  <si>
    <t>Total de Prestamos Dic 2015</t>
  </si>
  <si>
    <t>Diferencia</t>
  </si>
  <si>
    <t>Total de Notas y Certificados 2016</t>
  </si>
  <si>
    <t>Total de Notas Dic 2015</t>
  </si>
  <si>
    <t>Total de VCNs y Papel Bursatil 2016</t>
  </si>
  <si>
    <t>Total Prepagos 2014</t>
  </si>
  <si>
    <t>Total de Prestamos 2015</t>
  </si>
  <si>
    <t>Total de Prestamos Dic 2014</t>
  </si>
  <si>
    <t>Total de Notas y Certificados 2015</t>
  </si>
  <si>
    <t>Total de Notas Dic 2014</t>
  </si>
  <si>
    <t>Total de VCNs y Papel Bursatil 2015</t>
  </si>
  <si>
    <t>MARZO 2015</t>
  </si>
  <si>
    <t xml:space="preserve">Reserva legal / resultados acumulados </t>
  </si>
  <si>
    <t>MARZO 2016</t>
  </si>
  <si>
    <t>Eliminación/ Ajustes</t>
  </si>
  <si>
    <t>Banco La Hipotecaria</t>
  </si>
  <si>
    <t>La Hipotecaria Cia de Financiamiento</t>
  </si>
  <si>
    <t>Ingreso por intereses y comisiones:</t>
  </si>
  <si>
    <t>Préstamos</t>
  </si>
  <si>
    <t>Depositos en bancos</t>
  </si>
  <si>
    <t>Comision por administración y manejo, netas</t>
  </si>
  <si>
    <t>Comisiones de préstamos</t>
  </si>
  <si>
    <t>Total de ingreso por int. y comisiones</t>
  </si>
  <si>
    <t xml:space="preserve">Depósitos </t>
  </si>
  <si>
    <t>Financiamientos recibidos</t>
  </si>
  <si>
    <t>Comisiones sobre prestamos</t>
  </si>
  <si>
    <t>Total de gastos intereses y comisiones</t>
  </si>
  <si>
    <t>Ingreso neto de intereses y comisiones</t>
  </si>
  <si>
    <t>Provisión para préstamos Incobrables</t>
  </si>
  <si>
    <t>.</t>
  </si>
  <si>
    <t>Ing.neto de int. y comision despues prov.</t>
  </si>
  <si>
    <t>Otros Ingresos (gastos)</t>
  </si>
  <si>
    <t>Ganancia (perdida) en instrumentos financ.</t>
  </si>
  <si>
    <t>Ganancia realizada en invers a valor razonable</t>
  </si>
  <si>
    <t>Perdida en inversiones en afiliadas</t>
  </si>
  <si>
    <t>Otros Ingresos</t>
  </si>
  <si>
    <t>Total de otros ingresos, neto</t>
  </si>
  <si>
    <t>Gastos de operaciones:</t>
  </si>
  <si>
    <t>Salarios, XIII mes y vacaciones</t>
  </si>
  <si>
    <t>Gasto de Representacion</t>
  </si>
  <si>
    <t>Bonificaciones</t>
  </si>
  <si>
    <t>Cuotas patronales</t>
  </si>
  <si>
    <t>Prestaciones laborales</t>
  </si>
  <si>
    <t>Viajes, viaticos y combustible</t>
  </si>
  <si>
    <t>Otros</t>
  </si>
  <si>
    <t>Salarios y otros gastos de personal</t>
  </si>
  <si>
    <t>Depreciacion de Automoviles</t>
  </si>
  <si>
    <t>Depreciacion Equipo Computo</t>
  </si>
  <si>
    <t>Depreciacion de Mobiliario de Oficina</t>
  </si>
  <si>
    <t>Depreciacion de Equipo de Oficina</t>
  </si>
  <si>
    <t>Amortizacion de Mejoras a la Propiedad</t>
  </si>
  <si>
    <t>Amortizacion de Software</t>
  </si>
  <si>
    <t>Depreciación y amortización</t>
  </si>
  <si>
    <t>Gastos de Honorarios</t>
  </si>
  <si>
    <t>Gastos de Impuestos</t>
  </si>
  <si>
    <t>Alquiler</t>
  </si>
  <si>
    <t>Publicidad y propaganda</t>
  </si>
  <si>
    <t>Mantenimiento de equipo</t>
  </si>
  <si>
    <t>Suministros de Oficina</t>
  </si>
  <si>
    <t>Luz, agua y teléfono</t>
  </si>
  <si>
    <t>Cargo Bancarios</t>
  </si>
  <si>
    <t>Otros gastos</t>
  </si>
  <si>
    <t>Otros Gastos</t>
  </si>
  <si>
    <t>Total de Gastos antes de Impuesto/Renta</t>
  </si>
  <si>
    <t>Utilidad antes de Impuesto/Renta</t>
  </si>
  <si>
    <t>Impuesto sobre la Renta</t>
  </si>
  <si>
    <t>Impuesto diferido de renta</t>
  </si>
  <si>
    <t>Total Impuesto sobre la Renta</t>
  </si>
  <si>
    <t>UTILIDAD NETA</t>
  </si>
  <si>
    <t>Pérdida realizada en inversiones a valor razonable</t>
  </si>
  <si>
    <t>Total de Depositos</t>
  </si>
  <si>
    <t>Contribución Especial grandes contribuyentes</t>
  </si>
  <si>
    <t xml:space="preserve">   Activos por derecho de uso, neto</t>
  </si>
  <si>
    <t xml:space="preserve">     Comisiones de préstamos </t>
  </si>
  <si>
    <t>Al 31 de enero de 2020</t>
  </si>
  <si>
    <t>Para el mes terminado el 31 de enero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</si>
</sst>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 &quot;$&quot;\ * #,##0.00_ ;_ &quot;$&quot;\ * \-#,##0.00_ ;_ &quot;$&quot;\ * &quot;-&quot;??_ ;_ @_ "/>
    <numFmt numFmtId="166" formatCode="#,##0.00_ ;\(\-#,##0.00\)\ "/>
    <numFmt numFmtId="167" formatCode="&quot;$&quot;\ #,##0.00;[Red]\(&quot;$&quot;\-#,##0.00\)"/>
    <numFmt numFmtId="168" formatCode="#,##0_ ;\(#,##0\)\ "/>
    <numFmt numFmtId="169" formatCode="#,##0;[Red]#,##0"/>
    <numFmt numFmtId="170" formatCode="#,##0.00;\(#,##0.00\)"/>
    <numFmt numFmtId="171" formatCode="#,##0;\(#,##0\)"/>
    <numFmt numFmtId="172" formatCode="[$€]#,##0.00_);[Red]\([$€]#,##0.00\)"/>
  </numFmts>
  <fonts count="73">
    <font>
      <sz val="10"/>
      <name val="Arial"/>
    </font>
    <font>
      <sz val="10"/>
      <name val="Arial"/>
      <family val="2"/>
    </font>
    <font>
      <sz val="12"/>
      <name val="Comic Sans MS"/>
      <family val="4"/>
    </font>
    <font>
      <sz val="12"/>
      <name val="Garamond"/>
      <family val="1"/>
    </font>
    <font>
      <sz val="11"/>
      <color indexed="42"/>
      <name val="Garamond"/>
      <family val="1"/>
    </font>
    <font>
      <sz val="11"/>
      <name val="Garamond"/>
      <family val="1"/>
    </font>
    <font>
      <sz val="11"/>
      <name val="Comic Sans MS"/>
      <family val="4"/>
    </font>
    <font>
      <b/>
      <sz val="10"/>
      <name val="Arial"/>
      <family val="2"/>
    </font>
    <font>
      <i/>
      <sz val="11"/>
      <color indexed="42"/>
      <name val="Garamond"/>
      <family val="1"/>
    </font>
    <font>
      <sz val="10"/>
      <name val="Garamond"/>
      <family val="1"/>
    </font>
    <font>
      <sz val="11"/>
      <name val="Arial"/>
      <family val="2"/>
    </font>
    <font>
      <b/>
      <sz val="11"/>
      <color indexed="42"/>
      <name val="Garamond"/>
      <family val="1"/>
    </font>
    <font>
      <b/>
      <sz val="11"/>
      <name val="Arial"/>
      <family val="2"/>
    </font>
    <font>
      <b/>
      <sz val="10"/>
      <color indexed="42"/>
      <name val="Arial"/>
      <family val="2"/>
    </font>
    <font>
      <b/>
      <sz val="14"/>
      <name val="Garamond"/>
      <family val="1"/>
    </font>
    <font>
      <sz val="16"/>
      <name val="Arial"/>
      <family val="2"/>
    </font>
    <font>
      <sz val="10"/>
      <name val="Comic Sans MS"/>
      <family val="4"/>
    </font>
    <font>
      <sz val="11"/>
      <color indexed="42"/>
      <name val="Comic Sans MS"/>
      <family val="4"/>
    </font>
    <font>
      <i/>
      <sz val="18"/>
      <name val="Arial"/>
      <family val="2"/>
    </font>
    <font>
      <i/>
      <sz val="11"/>
      <name val="Garamond"/>
      <family val="1"/>
    </font>
    <font>
      <b/>
      <sz val="12"/>
      <color indexed="12"/>
      <name val="Garamond"/>
      <family val="1"/>
    </font>
    <font>
      <sz val="18"/>
      <name val="Arial"/>
      <family val="2"/>
    </font>
    <font>
      <sz val="12"/>
      <name val="Arial"/>
      <family val="2"/>
    </font>
    <font>
      <sz val="16"/>
      <color indexed="48"/>
      <name val="Arial"/>
      <family val="2"/>
    </font>
    <font>
      <sz val="14"/>
      <color indexed="48"/>
      <name val="Arial"/>
      <family val="2"/>
    </font>
    <font>
      <sz val="16"/>
      <name val="Comic Sans MS"/>
      <family val="4"/>
    </font>
    <font>
      <sz val="8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4"/>
      <color indexed="42"/>
      <name val="Garamond"/>
      <family val="1"/>
    </font>
    <font>
      <sz val="14"/>
      <name val="Garamond"/>
      <family val="1"/>
    </font>
    <font>
      <b/>
      <sz val="16"/>
      <name val="Arial"/>
      <family val="2"/>
    </font>
    <font>
      <b/>
      <sz val="16"/>
      <color indexed="42"/>
      <name val="Garamond"/>
      <family val="1"/>
    </font>
    <font>
      <b/>
      <sz val="16"/>
      <name val="Garamond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Geneva"/>
    </font>
    <font>
      <sz val="8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6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20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name val="Univers for KPMG"/>
    </font>
    <font>
      <sz val="11"/>
      <name val="Univers for KPMG"/>
    </font>
    <font>
      <b/>
      <u/>
      <sz val="11"/>
      <name val="Univers for KPMG"/>
    </font>
    <font>
      <b/>
      <u/>
      <sz val="10"/>
      <name val="Univers for KPMG"/>
    </font>
    <font>
      <sz val="10"/>
      <name val="Univers for KPMG"/>
    </font>
    <font>
      <u/>
      <sz val="11"/>
      <name val="Univers for KPMG"/>
    </font>
    <font>
      <b/>
      <sz val="10"/>
      <name val="Univers for KPMG"/>
    </font>
    <font>
      <b/>
      <sz val="10"/>
      <color indexed="12"/>
      <name val="Univers for KPMG"/>
    </font>
    <font>
      <i/>
      <sz val="11"/>
      <name val="Univers for KPMG"/>
    </font>
    <font>
      <sz val="12"/>
      <name val="Univers for KPMG"/>
    </font>
    <font>
      <b/>
      <sz val="10"/>
      <name val="Universe for KPMG"/>
    </font>
    <font>
      <sz val="10"/>
      <color indexed="10"/>
      <name val="Universe for KPMG"/>
    </font>
    <font>
      <sz val="10"/>
      <name val="Universe for KPMG"/>
    </font>
    <font>
      <b/>
      <u/>
      <sz val="10"/>
      <name val="Universe for KPMG"/>
    </font>
    <font>
      <i/>
      <sz val="10"/>
      <name val="Universe for KPMG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27" fillId="0" borderId="0"/>
    <xf numFmtId="0" fontId="38" fillId="0" borderId="0"/>
    <xf numFmtId="0" fontId="1" fillId="0" borderId="0"/>
    <xf numFmtId="172" fontId="1" fillId="0" borderId="0"/>
  </cellStyleXfs>
  <cellXfs count="290">
    <xf numFmtId="0" fontId="0" fillId="0" borderId="0" xfId="0"/>
    <xf numFmtId="166" fontId="4" fillId="2" borderId="0" xfId="0" applyNumberFormat="1" applyFont="1" applyFill="1" applyBorder="1"/>
    <xf numFmtId="166" fontId="6" fillId="2" borderId="0" xfId="0" applyNumberFormat="1" applyFont="1" applyFill="1" applyBorder="1"/>
    <xf numFmtId="165" fontId="2" fillId="0" borderId="0" xfId="2" applyFont="1"/>
    <xf numFmtId="166" fontId="8" fillId="2" borderId="0" xfId="0" applyNumberFormat="1" applyFont="1" applyFill="1" applyBorder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6" fontId="4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6" fontId="17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167" fontId="9" fillId="0" borderId="0" xfId="0" applyNumberFormat="1" applyFont="1"/>
    <xf numFmtId="167" fontId="3" fillId="2" borderId="0" xfId="2" applyNumberFormat="1" applyFont="1" applyFill="1"/>
    <xf numFmtId="165" fontId="12" fillId="0" borderId="0" xfId="2" applyFont="1" applyAlignment="1">
      <alignment horizontal="right"/>
    </xf>
    <xf numFmtId="165" fontId="7" fillId="0" borderId="0" xfId="2" applyFont="1"/>
    <xf numFmtId="165" fontId="13" fillId="2" borderId="0" xfId="2" applyFont="1" applyFill="1" applyBorder="1"/>
    <xf numFmtId="165" fontId="11" fillId="2" borderId="0" xfId="2" applyFont="1" applyFill="1" applyBorder="1"/>
    <xf numFmtId="1" fontId="10" fillId="0" borderId="0" xfId="1" applyNumberFormat="1" applyFont="1" applyFill="1" applyAlignment="1">
      <alignment horizontal="right"/>
    </xf>
    <xf numFmtId="165" fontId="12" fillId="0" borderId="0" xfId="2" applyFont="1" applyFill="1" applyAlignment="1">
      <alignment horizontal="right"/>
    </xf>
    <xf numFmtId="165" fontId="7" fillId="0" borderId="0" xfId="2" applyFont="1" applyFill="1"/>
    <xf numFmtId="165" fontId="16" fillId="0" borderId="0" xfId="2" applyFont="1"/>
    <xf numFmtId="0" fontId="21" fillId="0" borderId="0" xfId="0" applyFont="1" applyAlignment="1">
      <alignment horizontal="center"/>
    </xf>
    <xf numFmtId="167" fontId="20" fillId="0" borderId="0" xfId="2" applyNumberFormat="1" applyFont="1" applyFill="1"/>
    <xf numFmtId="0" fontId="15" fillId="0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5" fontId="25" fillId="0" borderId="0" xfId="2" applyFont="1"/>
    <xf numFmtId="0" fontId="0" fillId="0" borderId="0" xfId="0" applyAlignment="1">
      <alignment horizontal="left"/>
    </xf>
    <xf numFmtId="165" fontId="26" fillId="0" borderId="0" xfId="2" applyFont="1"/>
    <xf numFmtId="165" fontId="1" fillId="0" borderId="0" xfId="2" applyFill="1"/>
    <xf numFmtId="0" fontId="27" fillId="3" borderId="0" xfId="0" applyFont="1" applyFill="1" applyAlignment="1">
      <alignment horizontal="right"/>
    </xf>
    <xf numFmtId="170" fontId="19" fillId="0" borderId="0" xfId="1" applyNumberFormat="1" applyFont="1"/>
    <xf numFmtId="170" fontId="6" fillId="0" borderId="0" xfId="1" applyNumberFormat="1" applyFont="1" applyAlignment="1">
      <alignment horizontal="center"/>
    </xf>
    <xf numFmtId="170" fontId="5" fillId="0" borderId="0" xfId="1" applyNumberFormat="1" applyFont="1" applyAlignment="1">
      <alignment horizontal="center"/>
    </xf>
    <xf numFmtId="170" fontId="5" fillId="0" borderId="0" xfId="1" applyNumberFormat="1" applyFont="1"/>
    <xf numFmtId="170" fontId="22" fillId="4" borderId="1" xfId="2" applyNumberFormat="1" applyFont="1" applyFill="1" applyBorder="1"/>
    <xf numFmtId="170" fontId="22" fillId="0" borderId="0" xfId="2" applyNumberFormat="1" applyFont="1" applyFill="1" applyBorder="1"/>
    <xf numFmtId="170" fontId="14" fillId="5" borderId="1" xfId="2" applyNumberFormat="1" applyFont="1" applyFill="1" applyBorder="1"/>
    <xf numFmtId="0" fontId="23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170" fontId="5" fillId="0" borderId="0" xfId="2" applyNumberFormat="1" applyFont="1" applyFill="1" applyBorder="1"/>
    <xf numFmtId="170" fontId="35" fillId="0" borderId="0" xfId="1" applyNumberFormat="1" applyFont="1"/>
    <xf numFmtId="0" fontId="33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166" fontId="31" fillId="2" borderId="0" xfId="0" applyNumberFormat="1" applyFont="1" applyFill="1" applyBorder="1"/>
    <xf numFmtId="0" fontId="29" fillId="0" borderId="0" xfId="0" applyFont="1"/>
    <xf numFmtId="0" fontId="30" fillId="0" borderId="0" xfId="0" applyFont="1" applyAlignment="1">
      <alignment horizontal="left"/>
    </xf>
    <xf numFmtId="170" fontId="32" fillId="0" borderId="0" xfId="1" applyNumberFormat="1" applyFont="1"/>
    <xf numFmtId="170" fontId="3" fillId="0" borderId="0" xfId="1" applyNumberFormat="1" applyFont="1"/>
    <xf numFmtId="166" fontId="34" fillId="2" borderId="0" xfId="0" applyNumberFormat="1" applyFont="1" applyFill="1" applyBorder="1"/>
    <xf numFmtId="170" fontId="14" fillId="2" borderId="0" xfId="2" applyNumberFormat="1" applyFont="1" applyFill="1"/>
    <xf numFmtId="170" fontId="10" fillId="0" borderId="0" xfId="2" applyNumberFormat="1" applyFont="1" applyFill="1" applyBorder="1"/>
    <xf numFmtId="165" fontId="36" fillId="0" borderId="0" xfId="2" applyFont="1" applyFill="1"/>
    <xf numFmtId="0" fontId="37" fillId="0" borderId="0" xfId="0" applyFont="1" applyFill="1"/>
    <xf numFmtId="0" fontId="37" fillId="0" borderId="0" xfId="0" applyFont="1" applyFill="1" applyBorder="1"/>
    <xf numFmtId="0" fontId="37" fillId="0" borderId="0" xfId="0" applyFont="1" applyFill="1" applyAlignment="1">
      <alignment horizontal="left"/>
    </xf>
    <xf numFmtId="49" fontId="43" fillId="0" borderId="3" xfId="0" applyNumberFormat="1" applyFont="1" applyFill="1" applyBorder="1" applyAlignment="1">
      <alignment horizontal="center" vertical="center" wrapText="1"/>
    </xf>
    <xf numFmtId="39" fontId="44" fillId="0" borderId="3" xfId="0" applyNumberFormat="1" applyFont="1" applyFill="1" applyBorder="1" applyAlignment="1">
      <alignment horizontal="center" wrapText="1"/>
    </xf>
    <xf numFmtId="0" fontId="44" fillId="0" borderId="0" xfId="0" applyFont="1" applyFill="1"/>
    <xf numFmtId="49" fontId="45" fillId="0" borderId="0" xfId="0" applyNumberFormat="1" applyFont="1" applyFill="1" applyAlignment="1">
      <alignment horizontal="center"/>
    </xf>
    <xf numFmtId="39" fontId="45" fillId="0" borderId="0" xfId="0" applyNumberFormat="1" applyFont="1" applyFill="1"/>
    <xf numFmtId="0" fontId="45" fillId="0" borderId="0" xfId="0" applyFont="1" applyFill="1"/>
    <xf numFmtId="49" fontId="44" fillId="0" borderId="0" xfId="0" applyNumberFormat="1" applyFont="1" applyFill="1" applyAlignment="1">
      <alignment horizontal="left"/>
    </xf>
    <xf numFmtId="39" fontId="44" fillId="0" borderId="0" xfId="0" applyNumberFormat="1" applyFont="1" applyFill="1"/>
    <xf numFmtId="49" fontId="46" fillId="0" borderId="0" xfId="0" applyNumberFormat="1" applyFont="1" applyFill="1" applyAlignment="1">
      <alignment horizontal="center"/>
    </xf>
    <xf numFmtId="39" fontId="46" fillId="0" borderId="0" xfId="0" applyNumberFormat="1" applyFont="1" applyFill="1"/>
    <xf numFmtId="0" fontId="46" fillId="0" borderId="0" xfId="0" applyFont="1" applyFill="1"/>
    <xf numFmtId="49" fontId="47" fillId="0" borderId="0" xfId="0" applyNumberFormat="1" applyFont="1" applyFill="1" applyAlignment="1">
      <alignment horizontal="left"/>
    </xf>
    <xf numFmtId="39" fontId="47" fillId="0" borderId="0" xfId="0" applyNumberFormat="1" applyFont="1" applyFill="1" applyAlignment="1">
      <alignment horizontal="right"/>
    </xf>
    <xf numFmtId="0" fontId="47" fillId="0" borderId="0" xfId="0" applyFont="1" applyFill="1"/>
    <xf numFmtId="39" fontId="44" fillId="0" borderId="0" xfId="0" applyNumberFormat="1" applyFont="1" applyFill="1" applyAlignment="1">
      <alignment horizontal="right"/>
    </xf>
    <xf numFmtId="39" fontId="47" fillId="0" borderId="4" xfId="0" applyNumberFormat="1" applyFont="1" applyFill="1" applyBorder="1" applyAlignment="1">
      <alignment horizontal="right"/>
    </xf>
    <xf numFmtId="39" fontId="47" fillId="0" borderId="0" xfId="0" applyNumberFormat="1" applyFont="1" applyFill="1"/>
    <xf numFmtId="49" fontId="39" fillId="0" borderId="0" xfId="0" applyNumberFormat="1" applyFont="1" applyFill="1" applyAlignment="1">
      <alignment horizontal="left"/>
    </xf>
    <xf numFmtId="39" fontId="39" fillId="0" borderId="6" xfId="0" applyNumberFormat="1" applyFont="1" applyFill="1" applyBorder="1" applyAlignment="1">
      <alignment horizontal="right"/>
    </xf>
    <xf numFmtId="0" fontId="39" fillId="0" borderId="0" xfId="0" applyFont="1" applyFill="1"/>
    <xf numFmtId="49" fontId="47" fillId="0" borderId="0" xfId="0" applyNumberFormat="1" applyFont="1" applyFill="1" applyAlignment="1">
      <alignment horizontal="center"/>
    </xf>
    <xf numFmtId="49" fontId="44" fillId="0" borderId="0" xfId="0" applyNumberFormat="1" applyFont="1" applyFill="1" applyAlignment="1">
      <alignment horizontal="center"/>
    </xf>
    <xf numFmtId="39" fontId="39" fillId="0" borderId="7" xfId="0" applyNumberFormat="1" applyFont="1" applyFill="1" applyBorder="1" applyAlignment="1">
      <alignment horizontal="right"/>
    </xf>
    <xf numFmtId="39" fontId="39" fillId="0" borderId="0" xfId="0" applyNumberFormat="1" applyFont="1" applyFill="1" applyBorder="1" applyAlignment="1">
      <alignment horizontal="right"/>
    </xf>
    <xf numFmtId="39" fontId="47" fillId="0" borderId="0" xfId="0" applyNumberFormat="1" applyFont="1" applyFill="1" applyBorder="1" applyAlignment="1">
      <alignment horizontal="right"/>
    </xf>
    <xf numFmtId="49" fontId="48" fillId="0" borderId="0" xfId="0" applyNumberFormat="1" applyFont="1" applyFill="1" applyAlignment="1">
      <alignment horizontal="center"/>
    </xf>
    <xf numFmtId="39" fontId="48" fillId="0" borderId="0" xfId="0" applyNumberFormat="1" applyFont="1" applyFill="1"/>
    <xf numFmtId="39" fontId="47" fillId="0" borderId="0" xfId="0" applyNumberFormat="1" applyFont="1" applyFill="1" applyBorder="1"/>
    <xf numFmtId="0" fontId="48" fillId="0" borderId="0" xfId="0" applyFont="1" applyFill="1"/>
    <xf numFmtId="39" fontId="48" fillId="0" borderId="0" xfId="0" applyNumberFormat="1" applyFont="1" applyFill="1" applyAlignment="1">
      <alignment horizontal="right"/>
    </xf>
    <xf numFmtId="39" fontId="44" fillId="0" borderId="5" xfId="0" applyNumberFormat="1" applyFont="1" applyFill="1" applyBorder="1" applyAlignment="1">
      <alignment horizontal="right"/>
    </xf>
    <xf numFmtId="39" fontId="40" fillId="0" borderId="0" xfId="0" applyNumberFormat="1" applyFont="1" applyFill="1" applyAlignment="1">
      <alignment horizontal="right"/>
    </xf>
    <xf numFmtId="49" fontId="47" fillId="6" borderId="0" xfId="0" applyNumberFormat="1" applyFont="1" applyFill="1" applyAlignment="1">
      <alignment horizontal="left"/>
    </xf>
    <xf numFmtId="39" fontId="40" fillId="0" borderId="4" xfId="0" applyNumberFormat="1" applyFont="1" applyFill="1" applyBorder="1" applyAlignment="1">
      <alignment horizontal="right"/>
    </xf>
    <xf numFmtId="49" fontId="39" fillId="0" borderId="8" xfId="0" applyNumberFormat="1" applyFont="1" applyFill="1" applyBorder="1" applyAlignment="1">
      <alignment horizontal="left"/>
    </xf>
    <xf numFmtId="39" fontId="39" fillId="0" borderId="9" xfId="0" applyNumberFormat="1" applyFont="1" applyFill="1" applyBorder="1" applyAlignment="1">
      <alignment horizontal="right"/>
    </xf>
    <xf numFmtId="39" fontId="44" fillId="0" borderId="0" xfId="0" applyNumberFormat="1" applyFont="1" applyFill="1" applyAlignment="1">
      <alignment horizontal="center"/>
    </xf>
    <xf numFmtId="39" fontId="44" fillId="0" borderId="0" xfId="0" applyNumberFormat="1" applyFont="1" applyFill="1" applyBorder="1"/>
    <xf numFmtId="40" fontId="44" fillId="0" borderId="0" xfId="0" applyNumberFormat="1" applyFont="1" applyFill="1"/>
    <xf numFmtId="49" fontId="51" fillId="0" borderId="3" xfId="0" applyNumberFormat="1" applyFont="1" applyFill="1" applyBorder="1" applyAlignment="1">
      <alignment horizontal="center" vertical="center" wrapText="1"/>
    </xf>
    <xf numFmtId="39" fontId="52" fillId="0" borderId="3" xfId="0" applyNumberFormat="1" applyFont="1" applyFill="1" applyBorder="1" applyAlignment="1">
      <alignment horizontal="center" wrapText="1"/>
    </xf>
    <xf numFmtId="0" fontId="52" fillId="0" borderId="0" xfId="0" applyFont="1" applyFill="1"/>
    <xf numFmtId="4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/>
    <xf numFmtId="49" fontId="52" fillId="0" borderId="0" xfId="0" applyNumberFormat="1" applyFont="1" applyFill="1" applyAlignment="1">
      <alignment horizontal="left"/>
    </xf>
    <xf numFmtId="49" fontId="53" fillId="0" borderId="0" xfId="0" applyNumberFormat="1" applyFont="1" applyFill="1" applyAlignment="1">
      <alignment horizontal="center"/>
    </xf>
    <xf numFmtId="39" fontId="53" fillId="0" borderId="0" xfId="0" applyNumberFormat="1" applyFont="1" applyFill="1"/>
    <xf numFmtId="0" fontId="53" fillId="0" borderId="0" xfId="0" applyFont="1" applyFill="1"/>
    <xf numFmtId="49" fontId="53" fillId="0" borderId="0" xfId="0" applyNumberFormat="1" applyFont="1" applyFill="1" applyAlignment="1">
      <alignment horizontal="left"/>
    </xf>
    <xf numFmtId="39" fontId="53" fillId="0" borderId="0" xfId="0" applyNumberFormat="1" applyFont="1" applyFill="1" applyAlignment="1">
      <alignment horizontal="right"/>
    </xf>
    <xf numFmtId="39" fontId="52" fillId="0" borderId="0" xfId="0" applyNumberFormat="1" applyFont="1" applyFill="1" applyAlignment="1">
      <alignment horizontal="right"/>
    </xf>
    <xf numFmtId="39" fontId="53" fillId="0" borderId="4" xfId="0" applyNumberFormat="1" applyFont="1" applyFill="1" applyBorder="1" applyAlignment="1">
      <alignment horizontal="right"/>
    </xf>
    <xf numFmtId="4" fontId="53" fillId="0" borderId="0" xfId="0" applyNumberFormat="1" applyFont="1" applyFill="1"/>
    <xf numFmtId="49" fontId="54" fillId="0" borderId="0" xfId="0" applyNumberFormat="1" applyFont="1" applyFill="1" applyAlignment="1">
      <alignment horizontal="left"/>
    </xf>
    <xf numFmtId="39" fontId="54" fillId="0" borderId="6" xfId="0" applyNumberFormat="1" applyFont="1" applyFill="1" applyBorder="1" applyAlignment="1">
      <alignment horizontal="right"/>
    </xf>
    <xf numFmtId="0" fontId="54" fillId="0" borderId="0" xfId="0" applyFont="1" applyFill="1"/>
    <xf numFmtId="4" fontId="54" fillId="0" borderId="0" xfId="0" applyNumberFormat="1" applyFont="1" applyFill="1"/>
    <xf numFmtId="4" fontId="52" fillId="0" borderId="0" xfId="0" applyNumberFormat="1" applyFont="1" applyFill="1"/>
    <xf numFmtId="39" fontId="54" fillId="0" borderId="7" xfId="0" applyNumberFormat="1" applyFont="1" applyFill="1" applyBorder="1" applyAlignment="1">
      <alignment horizontal="right"/>
    </xf>
    <xf numFmtId="39" fontId="54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/>
    <xf numFmtId="39" fontId="52" fillId="0" borderId="5" xfId="0" applyNumberFormat="1" applyFont="1" applyFill="1" applyBorder="1" applyAlignment="1">
      <alignment horizontal="right"/>
    </xf>
    <xf numFmtId="170" fontId="53" fillId="0" borderId="0" xfId="0" applyNumberFormat="1" applyFont="1" applyFill="1" applyAlignment="1">
      <alignment horizontal="right"/>
    </xf>
    <xf numFmtId="39" fontId="55" fillId="0" borderId="0" xfId="0" applyNumberFormat="1" applyFont="1" applyFill="1" applyAlignment="1">
      <alignment horizontal="right"/>
    </xf>
    <xf numFmtId="4" fontId="53" fillId="0" borderId="0" xfId="0" applyNumberFormat="1" applyFont="1" applyFill="1" applyBorder="1"/>
    <xf numFmtId="49" fontId="53" fillId="6" borderId="0" xfId="0" applyNumberFormat="1" applyFont="1" applyFill="1" applyAlignment="1">
      <alignment horizontal="left"/>
    </xf>
    <xf numFmtId="39" fontId="55" fillId="0" borderId="4" xfId="0" applyNumberFormat="1" applyFont="1" applyFill="1" applyBorder="1" applyAlignment="1">
      <alignment horizontal="right"/>
    </xf>
    <xf numFmtId="49" fontId="54" fillId="0" borderId="8" xfId="0" applyNumberFormat="1" applyFont="1" applyFill="1" applyBorder="1" applyAlignment="1">
      <alignment horizontal="left"/>
    </xf>
    <xf numFmtId="39" fontId="54" fillId="0" borderId="9" xfId="0" applyNumberFormat="1" applyFont="1" applyFill="1" applyBorder="1" applyAlignment="1">
      <alignment horizontal="right"/>
    </xf>
    <xf numFmtId="3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 applyBorder="1"/>
    <xf numFmtId="40" fontId="52" fillId="0" borderId="0" xfId="0" applyNumberFormat="1" applyFont="1" applyFill="1"/>
    <xf numFmtId="0" fontId="54" fillId="0" borderId="0" xfId="0" applyFont="1" applyFill="1" applyBorder="1"/>
    <xf numFmtId="4" fontId="54" fillId="0" borderId="0" xfId="0" applyNumberFormat="1" applyFont="1" applyFill="1" applyBorder="1"/>
    <xf numFmtId="4" fontId="52" fillId="0" borderId="0" xfId="0" applyNumberFormat="1" applyFont="1" applyFill="1" applyBorder="1"/>
    <xf numFmtId="0" fontId="53" fillId="0" borderId="0" xfId="0" applyFont="1" applyFill="1" applyBorder="1"/>
    <xf numFmtId="40" fontId="44" fillId="0" borderId="3" xfId="0" applyNumberFormat="1" applyFont="1" applyFill="1" applyBorder="1" applyAlignment="1">
      <alignment horizontal="center" wrapText="1"/>
    </xf>
    <xf numFmtId="40" fontId="44" fillId="0" borderId="3" xfId="0" applyNumberFormat="1" applyFont="1" applyFill="1" applyBorder="1" applyAlignment="1">
      <alignment horizontal="right" wrapText="1"/>
    </xf>
    <xf numFmtId="40" fontId="47" fillId="0" borderId="0" xfId="0" applyNumberFormat="1" applyFont="1" applyFill="1" applyAlignment="1">
      <alignment horizontal="right"/>
    </xf>
    <xf numFmtId="40" fontId="47" fillId="0" borderId="4" xfId="0" applyNumberFormat="1" applyFont="1" applyFill="1" applyBorder="1" applyAlignment="1">
      <alignment horizontal="right"/>
    </xf>
    <xf numFmtId="40" fontId="44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left"/>
    </xf>
    <xf numFmtId="40" fontId="0" fillId="0" borderId="6" xfId="0" applyNumberFormat="1" applyFill="1" applyBorder="1" applyAlignment="1">
      <alignment horizontal="right"/>
    </xf>
    <xf numFmtId="40" fontId="1" fillId="0" borderId="6" xfId="0" applyNumberFormat="1" applyFont="1" applyFill="1" applyBorder="1" applyAlignment="1">
      <alignment horizontal="right"/>
    </xf>
    <xf numFmtId="40" fontId="43" fillId="0" borderId="0" xfId="0" applyNumberFormat="1" applyFont="1" applyFill="1" applyAlignment="1">
      <alignment horizontal="right"/>
    </xf>
    <xf numFmtId="40" fontId="47" fillId="0" borderId="0" xfId="0" applyNumberFormat="1" applyFont="1" applyFill="1"/>
    <xf numFmtId="49" fontId="56" fillId="0" borderId="0" xfId="0" applyNumberFormat="1" applyFont="1" applyFill="1" applyAlignment="1">
      <alignment horizontal="center"/>
    </xf>
    <xf numFmtId="40" fontId="56" fillId="0" borderId="0" xfId="0" applyNumberFormat="1" applyFont="1" applyFill="1"/>
    <xf numFmtId="49" fontId="57" fillId="0" borderId="0" xfId="0" applyNumberFormat="1" applyFont="1" applyFill="1" applyAlignment="1">
      <alignment horizontal="center"/>
    </xf>
    <xf numFmtId="40" fontId="57" fillId="0" borderId="0" xfId="0" applyNumberFormat="1" applyFont="1" applyFill="1"/>
    <xf numFmtId="49" fontId="47" fillId="0" borderId="0" xfId="0" applyNumberFormat="1" applyFont="1" applyAlignment="1">
      <alignment horizontal="left"/>
    </xf>
    <xf numFmtId="40" fontId="44" fillId="0" borderId="10" xfId="0" applyNumberFormat="1" applyFont="1" applyFill="1" applyBorder="1" applyAlignment="1">
      <alignment horizontal="right"/>
    </xf>
    <xf numFmtId="40" fontId="44" fillId="0" borderId="4" xfId="0" applyNumberFormat="1" applyFont="1" applyFill="1" applyBorder="1" applyAlignment="1">
      <alignment horizontal="right"/>
    </xf>
    <xf numFmtId="0" fontId="37" fillId="0" borderId="0" xfId="0" applyFont="1" applyFill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52" fillId="0" borderId="0" xfId="0" applyFont="1" applyFill="1" applyAlignment="1">
      <alignment horizontal="right"/>
    </xf>
    <xf numFmtId="0" fontId="53" fillId="0" borderId="0" xfId="0" applyFont="1" applyFill="1" applyAlignment="1">
      <alignment horizontal="right"/>
    </xf>
    <xf numFmtId="0" fontId="54" fillId="0" borderId="0" xfId="0" applyFont="1" applyFill="1" applyAlignment="1">
      <alignment horizontal="right"/>
    </xf>
    <xf numFmtId="0" fontId="54" fillId="0" borderId="0" xfId="0" applyFont="1" applyFill="1" applyBorder="1" applyAlignment="1">
      <alignment horizontal="right"/>
    </xf>
    <xf numFmtId="4" fontId="53" fillId="0" borderId="0" xfId="0" applyNumberFormat="1" applyFont="1" applyFill="1" applyBorder="1" applyAlignment="1">
      <alignment horizontal="right"/>
    </xf>
    <xf numFmtId="4" fontId="52" fillId="0" borderId="0" xfId="0" applyNumberFormat="1" applyFont="1" applyFill="1" applyAlignment="1">
      <alignment horizontal="right"/>
    </xf>
    <xf numFmtId="4" fontId="53" fillId="0" borderId="0" xfId="0" applyNumberFormat="1" applyFont="1" applyFill="1" applyAlignment="1">
      <alignment horizontal="right"/>
    </xf>
    <xf numFmtId="38" fontId="59" fillId="0" borderId="0" xfId="0" applyNumberFormat="1" applyFont="1" applyFill="1"/>
    <xf numFmtId="0" fontId="59" fillId="0" borderId="0" xfId="0" applyFont="1" applyFill="1"/>
    <xf numFmtId="168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Border="1" applyAlignment="1">
      <alignment horizontal="left"/>
    </xf>
    <xf numFmtId="0" fontId="58" fillId="0" borderId="0" xfId="0" applyFont="1" applyFill="1" applyAlignment="1">
      <alignment horizontal="left"/>
    </xf>
    <xf numFmtId="37" fontId="58" fillId="0" borderId="0" xfId="0" applyNumberFormat="1" applyFont="1" applyFill="1" applyAlignment="1">
      <alignment horizontal="left"/>
    </xf>
    <xf numFmtId="37" fontId="58" fillId="0" borderId="0" xfId="0" applyNumberFormat="1" applyFont="1" applyFill="1" applyBorder="1" applyAlignment="1">
      <alignment horizontal="left"/>
    </xf>
    <xf numFmtId="168" fontId="59" fillId="0" borderId="0" xfId="1" applyNumberFormat="1" applyFont="1" applyFill="1" applyBorder="1" applyAlignment="1">
      <alignment horizontal="left"/>
    </xf>
    <xf numFmtId="0" fontId="59" fillId="0" borderId="0" xfId="4" applyFont="1" applyFill="1" applyAlignment="1"/>
    <xf numFmtId="49" fontId="59" fillId="0" borderId="0" xfId="4" applyNumberFormat="1" applyFont="1" applyFill="1" applyAlignment="1">
      <alignment horizontal="center"/>
    </xf>
    <xf numFmtId="37" fontId="59" fillId="0" borderId="0" xfId="4" applyNumberFormat="1" applyFont="1" applyFill="1" applyAlignment="1"/>
    <xf numFmtId="37" fontId="59" fillId="0" borderId="0" xfId="4" applyNumberFormat="1" applyFont="1" applyFill="1" applyBorder="1" applyAlignment="1"/>
    <xf numFmtId="37" fontId="59" fillId="0" borderId="0" xfId="0" applyNumberFormat="1" applyFont="1" applyFill="1"/>
    <xf numFmtId="37" fontId="59" fillId="0" borderId="0" xfId="4" applyNumberFormat="1" applyFont="1" applyFill="1"/>
    <xf numFmtId="0" fontId="59" fillId="0" borderId="2" xfId="4" applyFont="1" applyFill="1" applyBorder="1" applyAlignment="1"/>
    <xf numFmtId="49" fontId="59" fillId="0" borderId="2" xfId="4" applyNumberFormat="1" applyFont="1" applyFill="1" applyBorder="1" applyAlignment="1">
      <alignment horizontal="center"/>
    </xf>
    <xf numFmtId="37" fontId="59" fillId="0" borderId="2" xfId="4" applyNumberFormat="1" applyFont="1" applyFill="1" applyBorder="1"/>
    <xf numFmtId="37" fontId="59" fillId="0" borderId="0" xfId="0" quotePrefix="1" applyNumberFormat="1" applyFont="1" applyFill="1" applyAlignment="1" applyProtection="1"/>
    <xf numFmtId="49" fontId="60" fillId="0" borderId="0" xfId="0" applyNumberFormat="1" applyFont="1" applyFill="1" applyAlignment="1" applyProtection="1">
      <alignment horizontal="center"/>
    </xf>
    <xf numFmtId="37" fontId="60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Alignment="1" applyProtection="1">
      <alignment horizontal="center"/>
    </xf>
    <xf numFmtId="37" fontId="60" fillId="0" borderId="0" xfId="0" applyNumberFormat="1" applyFont="1" applyFill="1" applyAlignment="1" applyProtection="1">
      <alignment horizontal="center"/>
    </xf>
    <xf numFmtId="0" fontId="61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Border="1" applyAlignment="1" applyProtection="1">
      <alignment horizontal="center"/>
    </xf>
    <xf numFmtId="169" fontId="59" fillId="0" borderId="0" xfId="0" applyNumberFormat="1" applyFont="1" applyFill="1"/>
    <xf numFmtId="169" fontId="59" fillId="0" borderId="0" xfId="0" applyNumberFormat="1" applyFont="1" applyFill="1" applyAlignment="1">
      <alignment horizontal="center"/>
    </xf>
    <xf numFmtId="37" fontId="62" fillId="0" borderId="0" xfId="1" applyNumberFormat="1" applyFont="1" applyFill="1" applyBorder="1"/>
    <xf numFmtId="37" fontId="59" fillId="0" borderId="0" xfId="1" applyNumberFormat="1" applyFont="1" applyFill="1" applyBorder="1"/>
    <xf numFmtId="39" fontId="59" fillId="0" borderId="0" xfId="0" applyNumberFormat="1" applyFont="1" applyFill="1"/>
    <xf numFmtId="37" fontId="62" fillId="0" borderId="4" xfId="1" applyNumberFormat="1" applyFont="1" applyFill="1" applyBorder="1"/>
    <xf numFmtId="37" fontId="63" fillId="0" borderId="0" xfId="1" applyNumberFormat="1" applyFont="1" applyFill="1" applyBorder="1"/>
    <xf numFmtId="0" fontId="59" fillId="0" borderId="0" xfId="0" applyFont="1" applyFill="1" applyBorder="1"/>
    <xf numFmtId="171" fontId="62" fillId="0" borderId="4" xfId="1" applyNumberFormat="1" applyFont="1" applyFill="1" applyBorder="1"/>
    <xf numFmtId="37" fontId="62" fillId="0" borderId="0" xfId="1" applyNumberFormat="1" applyFont="1" applyFill="1"/>
    <xf numFmtId="0" fontId="58" fillId="0" borderId="0" xfId="0" applyFont="1" applyFill="1"/>
    <xf numFmtId="169" fontId="59" fillId="0" borderId="0" xfId="0" applyNumberFormat="1" applyFont="1" applyFill="1" applyBorder="1" applyAlignment="1">
      <alignment horizontal="center"/>
    </xf>
    <xf numFmtId="37" fontId="62" fillId="0" borderId="1" xfId="1" applyNumberFormat="1" applyFont="1" applyFill="1" applyBorder="1"/>
    <xf numFmtId="0" fontId="58" fillId="0" borderId="0" xfId="0" applyFont="1" applyFill="1" applyBorder="1"/>
    <xf numFmtId="169" fontId="59" fillId="0" borderId="0" xfId="0" applyNumberFormat="1" applyFont="1" applyFill="1" applyBorder="1"/>
    <xf numFmtId="169" fontId="58" fillId="0" borderId="0" xfId="2" applyNumberFormat="1" applyFont="1" applyFill="1" applyBorder="1" applyAlignment="1">
      <alignment horizontal="right"/>
    </xf>
    <xf numFmtId="169" fontId="58" fillId="0" borderId="0" xfId="2" applyNumberFormat="1" applyFont="1" applyFill="1" applyBorder="1" applyAlignment="1">
      <alignment horizontal="center"/>
    </xf>
    <xf numFmtId="37" fontId="64" fillId="0" borderId="0" xfId="1" applyNumberFormat="1" applyFont="1" applyFill="1" applyBorder="1"/>
    <xf numFmtId="37" fontId="58" fillId="0" borderId="0" xfId="1" applyNumberFormat="1" applyFont="1" applyFill="1" applyBorder="1"/>
    <xf numFmtId="0" fontId="60" fillId="0" borderId="0" xfId="0" applyFont="1" applyFill="1" applyBorder="1" applyAlignment="1"/>
    <xf numFmtId="37" fontId="61" fillId="0" borderId="0" xfId="0" applyNumberFormat="1" applyFont="1" applyFill="1" applyBorder="1" applyAlignment="1"/>
    <xf numFmtId="37" fontId="60" fillId="0" borderId="0" xfId="0" applyNumberFormat="1" applyFont="1" applyFill="1" applyBorder="1" applyAlignment="1"/>
    <xf numFmtId="37" fontId="62" fillId="0" borderId="5" xfId="1" applyNumberFormat="1" applyFont="1" applyFill="1" applyBorder="1"/>
    <xf numFmtId="169" fontId="58" fillId="0" borderId="0" xfId="0" applyNumberFormat="1" applyFont="1" applyFill="1" applyBorder="1"/>
    <xf numFmtId="37" fontId="59" fillId="0" borderId="0" xfId="0" applyNumberFormat="1" applyFont="1" applyFill="1" applyBorder="1"/>
    <xf numFmtId="37" fontId="62" fillId="0" borderId="0" xfId="1" applyNumberFormat="1" applyFont="1" applyFill="1" applyBorder="1" applyAlignment="1"/>
    <xf numFmtId="37" fontId="59" fillId="0" borderId="0" xfId="1" applyNumberFormat="1" applyFont="1" applyFill="1" applyBorder="1" applyAlignment="1"/>
    <xf numFmtId="39" fontId="59" fillId="0" borderId="0" xfId="0" applyNumberFormat="1" applyFont="1" applyFill="1" applyBorder="1"/>
    <xf numFmtId="38" fontId="65" fillId="0" borderId="0" xfId="0" applyNumberFormat="1" applyFont="1" applyFill="1" applyBorder="1"/>
    <xf numFmtId="169" fontId="58" fillId="0" borderId="0" xfId="0" applyNumberFormat="1" applyFont="1" applyFill="1" applyAlignment="1">
      <alignment horizontal="center"/>
    </xf>
    <xf numFmtId="37" fontId="59" fillId="0" borderId="0" xfId="1" applyNumberFormat="1" applyFont="1" applyFill="1"/>
    <xf numFmtId="0" fontId="66" fillId="0" borderId="0" xfId="4" applyFont="1" applyFill="1" applyAlignment="1"/>
    <xf numFmtId="49" fontId="59" fillId="0" borderId="0" xfId="0" applyNumberFormat="1" applyFont="1" applyFill="1" applyAlignment="1" applyProtection="1">
      <alignment horizontal="center"/>
    </xf>
    <xf numFmtId="171" fontId="59" fillId="0" borderId="0" xfId="0" applyNumberFormat="1" applyFont="1" applyFill="1" applyProtection="1"/>
    <xf numFmtId="37" fontId="59" fillId="0" borderId="0" xfId="0" applyNumberFormat="1" applyFont="1" applyFill="1" applyProtection="1"/>
    <xf numFmtId="37" fontId="67" fillId="0" borderId="0" xfId="0" applyNumberFormat="1" applyFont="1" applyFill="1"/>
    <xf numFmtId="38" fontId="67" fillId="0" borderId="0" xfId="0" applyNumberFormat="1" applyFont="1" applyFill="1"/>
    <xf numFmtId="0" fontId="67" fillId="0" borderId="0" xfId="0" applyFont="1" applyFill="1"/>
    <xf numFmtId="37" fontId="59" fillId="0" borderId="0" xfId="4" applyNumberFormat="1" applyFont="1" applyFill="1" applyAlignment="1">
      <alignment horizontal="center"/>
    </xf>
    <xf numFmtId="37" fontId="59" fillId="0" borderId="2" xfId="4" applyNumberFormat="1" applyFont="1" applyFill="1" applyBorder="1" applyAlignment="1">
      <alignment horizontal="center"/>
    </xf>
    <xf numFmtId="0" fontId="69" fillId="0" borderId="0" xfId="0" applyFont="1" applyFill="1"/>
    <xf numFmtId="0" fontId="70" fillId="0" borderId="0" xfId="0" applyFont="1" applyFill="1"/>
    <xf numFmtId="168" fontId="70" fillId="0" borderId="0" xfId="1" applyNumberFormat="1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68" fillId="0" borderId="0" xfId="0" applyFont="1" applyFill="1" applyAlignment="1">
      <alignment horizontal="left"/>
    </xf>
    <xf numFmtId="0" fontId="68" fillId="0" borderId="0" xfId="0" applyFont="1" applyFill="1" applyBorder="1" applyAlignment="1">
      <alignment horizontal="left"/>
    </xf>
    <xf numFmtId="38" fontId="70" fillId="0" borderId="0" xfId="0" applyNumberFormat="1" applyFont="1" applyFill="1"/>
    <xf numFmtId="0" fontId="70" fillId="0" borderId="0" xfId="4" applyFont="1" applyFill="1" applyAlignment="1"/>
    <xf numFmtId="49" fontId="70" fillId="0" borderId="0" xfId="4" applyNumberFormat="1" applyFont="1" applyFill="1" applyAlignment="1">
      <alignment horizontal="center"/>
    </xf>
    <xf numFmtId="0" fontId="70" fillId="0" borderId="0" xfId="4" applyFont="1" applyFill="1" applyBorder="1" applyAlignment="1"/>
    <xf numFmtId="0" fontId="70" fillId="0" borderId="0" xfId="4" applyFont="1" applyFill="1"/>
    <xf numFmtId="0" fontId="70" fillId="0" borderId="2" xfId="4" applyFont="1" applyFill="1" applyBorder="1" applyAlignment="1"/>
    <xf numFmtId="49" fontId="70" fillId="0" borderId="2" xfId="4" applyNumberFormat="1" applyFont="1" applyFill="1" applyBorder="1" applyAlignment="1">
      <alignment horizontal="center"/>
    </xf>
    <xf numFmtId="0" fontId="70" fillId="0" borderId="2" xfId="4" applyFont="1" applyFill="1" applyBorder="1"/>
    <xf numFmtId="49" fontId="70" fillId="0" borderId="0" xfId="4" applyNumberFormat="1" applyFont="1" applyFill="1" applyBorder="1" applyAlignment="1">
      <alignment horizontal="center"/>
    </xf>
    <xf numFmtId="49" fontId="71" fillId="0" borderId="0" xfId="4" applyNumberFormat="1" applyFont="1" applyFill="1" applyBorder="1" applyAlignment="1">
      <alignment horizontal="center"/>
    </xf>
    <xf numFmtId="0" fontId="71" fillId="0" borderId="0" xfId="4" applyFont="1" applyFill="1" applyBorder="1" applyAlignment="1">
      <alignment horizontal="center"/>
    </xf>
    <xf numFmtId="169" fontId="70" fillId="0" borderId="0" xfId="0" applyNumberFormat="1" applyFont="1" applyFill="1"/>
    <xf numFmtId="169" fontId="70" fillId="0" borderId="0" xfId="0" applyNumberFormat="1" applyFont="1" applyFill="1" applyAlignment="1">
      <alignment horizontal="center"/>
    </xf>
    <xf numFmtId="171" fontId="70" fillId="0" borderId="0" xfId="1" applyNumberFormat="1" applyFont="1" applyFill="1"/>
    <xf numFmtId="171" fontId="70" fillId="0" borderId="0" xfId="1" applyNumberFormat="1" applyFont="1" applyFill="1" applyBorder="1"/>
    <xf numFmtId="37" fontId="70" fillId="0" borderId="0" xfId="1" applyNumberFormat="1" applyFont="1" applyFill="1"/>
    <xf numFmtId="4" fontId="70" fillId="0" borderId="0" xfId="0" applyNumberFormat="1" applyFont="1" applyFill="1"/>
    <xf numFmtId="37" fontId="70" fillId="0" borderId="0" xfId="1" applyNumberFormat="1" applyFont="1" applyFill="1" applyBorder="1"/>
    <xf numFmtId="0" fontId="68" fillId="0" borderId="0" xfId="0" applyFont="1" applyFill="1"/>
    <xf numFmtId="37" fontId="70" fillId="0" borderId="5" xfId="1" applyNumberFormat="1" applyFont="1" applyFill="1" applyBorder="1"/>
    <xf numFmtId="0" fontId="70" fillId="0" borderId="0" xfId="0" applyFont="1" applyFill="1" applyBorder="1"/>
    <xf numFmtId="169" fontId="70" fillId="0" borderId="0" xfId="0" applyNumberFormat="1" applyFont="1" applyFill="1" applyBorder="1"/>
    <xf numFmtId="169" fontId="70" fillId="0" borderId="0" xfId="0" applyNumberFormat="1" applyFont="1" applyFill="1" applyBorder="1" applyAlignment="1">
      <alignment horizontal="center"/>
    </xf>
    <xf numFmtId="37" fontId="70" fillId="0" borderId="4" xfId="1" applyNumberFormat="1" applyFont="1" applyFill="1" applyBorder="1"/>
    <xf numFmtId="40" fontId="70" fillId="0" borderId="0" xfId="0" applyNumberFormat="1" applyFont="1" applyFill="1"/>
    <xf numFmtId="0" fontId="68" fillId="0" borderId="0" xfId="0" applyFont="1" applyFill="1" applyBorder="1"/>
    <xf numFmtId="0" fontId="70" fillId="0" borderId="0" xfId="0" applyFont="1" applyFill="1" applyAlignment="1">
      <alignment horizontal="center"/>
    </xf>
    <xf numFmtId="171" fontId="68" fillId="0" borderId="0" xfId="1" applyNumberFormat="1" applyFont="1" applyFill="1" applyBorder="1"/>
    <xf numFmtId="37" fontId="68" fillId="0" borderId="0" xfId="0" applyNumberFormat="1" applyFont="1"/>
    <xf numFmtId="37" fontId="70" fillId="0" borderId="0" xfId="0" applyNumberFormat="1" applyFont="1"/>
    <xf numFmtId="0" fontId="70" fillId="0" borderId="0" xfId="0" applyFont="1"/>
    <xf numFmtId="171" fontId="70" fillId="0" borderId="0" xfId="0" applyNumberFormat="1" applyFont="1"/>
    <xf numFmtId="37" fontId="70" fillId="0" borderId="0" xfId="0" applyNumberFormat="1" applyFont="1" applyFill="1" applyBorder="1"/>
    <xf numFmtId="172" fontId="70" fillId="0" borderId="0" xfId="3" applyFont="1" applyFill="1" applyBorder="1"/>
    <xf numFmtId="0" fontId="70" fillId="0" borderId="0" xfId="0" applyFont="1" applyAlignment="1">
      <alignment horizontal="center"/>
    </xf>
    <xf numFmtId="171" fontId="70" fillId="0" borderId="0" xfId="0" applyNumberFormat="1" applyFont="1" applyFill="1" applyBorder="1"/>
    <xf numFmtId="171" fontId="70" fillId="0" borderId="1" xfId="0" applyNumberFormat="1" applyFont="1" applyFill="1" applyBorder="1"/>
    <xf numFmtId="0" fontId="72" fillId="0" borderId="0" xfId="4" applyFont="1" applyFill="1" applyAlignment="1"/>
    <xf numFmtId="37" fontId="68" fillId="0" borderId="0" xfId="1" applyNumberFormat="1" applyFont="1" applyFill="1" applyBorder="1"/>
    <xf numFmtId="168" fontId="59" fillId="0" borderId="0" xfId="1" applyNumberFormat="1" applyFont="1" applyFill="1" applyBorder="1" applyAlignment="1">
      <alignment horizontal="left"/>
    </xf>
    <xf numFmtId="0" fontId="68" fillId="0" borderId="0" xfId="0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171" fontId="70" fillId="0" borderId="1" xfId="1" applyNumberFormat="1" applyFont="1" applyFill="1" applyBorder="1"/>
    <xf numFmtId="0" fontId="28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71" fontId="59" fillId="0" borderId="0" xfId="0" applyNumberFormat="1" applyFont="1" applyFill="1" applyAlignment="1" applyProtection="1">
      <alignment horizontal="center"/>
    </xf>
    <xf numFmtId="0" fontId="58" fillId="0" borderId="0" xfId="0" applyFont="1" applyFill="1" applyAlignment="1">
      <alignment horizontal="left"/>
    </xf>
    <xf numFmtId="168" fontId="58" fillId="0" borderId="0" xfId="1" applyNumberFormat="1" applyFont="1" applyFill="1" applyAlignment="1">
      <alignment horizontal="left"/>
    </xf>
    <xf numFmtId="168" fontId="59" fillId="0" borderId="0" xfId="1" applyNumberFormat="1" applyFont="1" applyFill="1" applyBorder="1" applyAlignment="1">
      <alignment horizontal="left"/>
    </xf>
    <xf numFmtId="168" fontId="68" fillId="0" borderId="0" xfId="1" applyNumberFormat="1" applyFont="1" applyFill="1" applyAlignment="1">
      <alignment horizontal="left"/>
    </xf>
    <xf numFmtId="0" fontId="68" fillId="0" borderId="0" xfId="0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70" fillId="0" borderId="0" xfId="0" applyFont="1" applyFill="1" applyBorder="1" applyAlignment="1">
      <alignment horizontal="center"/>
    </xf>
  </cellXfs>
  <cellStyles count="7">
    <cellStyle name="Millares" xfId="1" builtinId="3"/>
    <cellStyle name="Moneda" xfId="2" builtinId="4"/>
    <cellStyle name="Normal" xfId="0" builtinId="0"/>
    <cellStyle name="Normal 2" xfId="3" xr:uid="{00000000-0005-0000-0000-000003000000}"/>
    <cellStyle name="Normal 2 2" xfId="6" xr:uid="{00000000-0005-0000-0000-000004000000}"/>
    <cellStyle name="Normal 3" xfId="5" xr:uid="{00000000-0005-0000-0000-000005000000}"/>
    <cellStyle name="Normal_Bal, Utl, Fluj y anex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1847850</xdr:colOff>
      <xdr:row>57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0" y="10763250"/>
          <a:ext cx="1838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Juan Francisco Aguilar Bustamante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</xdr:txBody>
    </xdr:sp>
    <xdr:clientData/>
  </xdr:twoCellAnchor>
  <xdr:twoCellAnchor>
    <xdr:from>
      <xdr:col>0</xdr:col>
      <xdr:colOff>1847850</xdr:colOff>
      <xdr:row>57</xdr:row>
      <xdr:rowOff>0</xdr:rowOff>
    </xdr:from>
    <xdr:to>
      <xdr:col>5</xdr:col>
      <xdr:colOff>342900</xdr:colOff>
      <xdr:row>57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1838325" y="10763250"/>
          <a:ext cx="3133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José Andres Sola Iglesias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Contador</a:t>
          </a:r>
        </a:p>
      </xdr:txBody>
    </xdr:sp>
    <xdr:clientData/>
  </xdr:twoCellAnchor>
  <xdr:twoCellAnchor>
    <xdr:from>
      <xdr:col>5</xdr:col>
      <xdr:colOff>209550</xdr:colOff>
      <xdr:row>57</xdr:row>
      <xdr:rowOff>0</xdr:rowOff>
    </xdr:from>
    <xdr:to>
      <xdr:col>5</xdr:col>
      <xdr:colOff>846651</xdr:colOff>
      <xdr:row>57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48225" y="1076325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  <xdr:twoCellAnchor>
    <xdr:from>
      <xdr:col>5</xdr:col>
      <xdr:colOff>209550</xdr:colOff>
      <xdr:row>59</xdr:row>
      <xdr:rowOff>0</xdr:rowOff>
    </xdr:from>
    <xdr:to>
      <xdr:col>5</xdr:col>
      <xdr:colOff>846651</xdr:colOff>
      <xdr:row>59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829175" y="9848850"/>
          <a:ext cx="6371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2"/>
  <sheetViews>
    <sheetView workbookViewId="0">
      <pane xSplit="2" ySplit="3" topLeftCell="C11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baseColWidth="10" defaultColWidth="9.140625" defaultRowHeight="15"/>
  <cols>
    <col min="1" max="1" width="36" style="6" customWidth="1"/>
    <col min="2" max="2" width="10.28515625" style="5" customWidth="1"/>
    <col min="3" max="3" width="3.140625" style="1" customWidth="1"/>
    <col min="4" max="4" width="20.85546875" style="40" bestFit="1" customWidth="1"/>
    <col min="5" max="5" width="26" customWidth="1"/>
  </cols>
  <sheetData>
    <row r="1" spans="1:4" s="13" customFormat="1" ht="23.25">
      <c r="A1" s="14" t="s">
        <v>4</v>
      </c>
      <c r="B1" s="8"/>
      <c r="C1" s="4"/>
      <c r="D1" s="37"/>
    </row>
    <row r="2" spans="1:4" s="10" customFormat="1" ht="23.25">
      <c r="A2" s="25" t="s">
        <v>0</v>
      </c>
      <c r="B2" s="12" t="s">
        <v>2</v>
      </c>
      <c r="C2" s="11"/>
      <c r="D2" s="38" t="s">
        <v>1</v>
      </c>
    </row>
    <row r="3" spans="1:4" s="10" customFormat="1" ht="16.5">
      <c r="B3" s="12"/>
      <c r="C3" s="11"/>
      <c r="D3" s="38" t="e">
        <f>#REF!</f>
        <v>#REF!</v>
      </c>
    </row>
    <row r="4" spans="1:4" ht="20.25">
      <c r="A4" s="28" t="s">
        <v>12</v>
      </c>
      <c r="C4" s="9"/>
      <c r="D4" s="39"/>
    </row>
    <row r="5" spans="1:4" ht="15" customHeight="1">
      <c r="A5" s="28" t="s">
        <v>0</v>
      </c>
    </row>
    <row r="6" spans="1:4">
      <c r="A6" s="6" t="s">
        <v>36</v>
      </c>
      <c r="B6" s="5">
        <v>4921005</v>
      </c>
      <c r="D6" s="40">
        <v>431022.24</v>
      </c>
    </row>
    <row r="7" spans="1:4" ht="16.149999999999999" customHeight="1">
      <c r="A7" s="6" t="s">
        <v>37</v>
      </c>
      <c r="B7" s="5">
        <v>4922005</v>
      </c>
      <c r="D7" s="40">
        <v>311611.32</v>
      </c>
    </row>
    <row r="8" spans="1:4" s="18" customFormat="1" ht="18.75" thickBot="1">
      <c r="A8" s="30" t="s">
        <v>13</v>
      </c>
      <c r="B8" s="17"/>
      <c r="C8" s="19"/>
      <c r="D8" s="41">
        <f>SUM(D6:D7)</f>
        <v>742633.56</v>
      </c>
    </row>
    <row r="9" spans="1:4" ht="15.75" thickTop="1"/>
    <row r="10" spans="1:4">
      <c r="A10" s="6" t="s">
        <v>87</v>
      </c>
      <c r="B10" s="5">
        <v>4935015</v>
      </c>
      <c r="D10" s="40">
        <v>0</v>
      </c>
    </row>
    <row r="11" spans="1:4">
      <c r="A11" s="6" t="s">
        <v>40</v>
      </c>
      <c r="B11" s="5">
        <v>4930005</v>
      </c>
      <c r="D11" s="40">
        <v>4992.26</v>
      </c>
    </row>
    <row r="12" spans="1:4">
      <c r="A12" s="6" t="s">
        <v>91</v>
      </c>
      <c r="B12" s="5">
        <v>4931005</v>
      </c>
      <c r="D12" s="40">
        <v>162.24</v>
      </c>
    </row>
    <row r="13" spans="1:4" s="35" customFormat="1" ht="18.75" thickBot="1">
      <c r="A13" s="30" t="s">
        <v>11</v>
      </c>
      <c r="B13" s="21" t="s">
        <v>0</v>
      </c>
      <c r="C13" s="20"/>
      <c r="D13" s="41">
        <f>SUM(D10:D12)</f>
        <v>5154.5</v>
      </c>
    </row>
    <row r="14" spans="1:4" s="35" customFormat="1" ht="15" customHeight="1" thickTop="1">
      <c r="A14" s="29"/>
      <c r="B14" s="21"/>
      <c r="C14" s="20"/>
      <c r="D14" s="42"/>
    </row>
    <row r="15" spans="1:4">
      <c r="A15" s="6" t="s">
        <v>99</v>
      </c>
      <c r="B15" s="5">
        <v>4923000</v>
      </c>
      <c r="D15" s="40">
        <v>0</v>
      </c>
    </row>
    <row r="16" spans="1:4">
      <c r="A16" s="6" t="s">
        <v>38</v>
      </c>
      <c r="B16" s="5">
        <v>4923005</v>
      </c>
      <c r="D16" s="40">
        <v>49914.85</v>
      </c>
    </row>
    <row r="17" spans="1:4">
      <c r="A17" s="6" t="s">
        <v>94</v>
      </c>
      <c r="B17" s="5">
        <v>4923055</v>
      </c>
      <c r="D17" s="40">
        <v>0</v>
      </c>
    </row>
    <row r="18" spans="1:4">
      <c r="A18" s="6" t="s">
        <v>95</v>
      </c>
      <c r="B18" s="5">
        <v>4923233</v>
      </c>
      <c r="D18" s="40">
        <v>26254.31</v>
      </c>
    </row>
    <row r="19" spans="1:4">
      <c r="A19" s="6" t="s">
        <v>96</v>
      </c>
      <c r="B19" s="5">
        <v>4923302</v>
      </c>
      <c r="D19" s="40">
        <v>12160.18</v>
      </c>
    </row>
    <row r="20" spans="1:4">
      <c r="A20" s="6" t="s">
        <v>105</v>
      </c>
      <c r="B20" s="5">
        <v>4923303</v>
      </c>
      <c r="D20" s="40">
        <v>13227.35</v>
      </c>
    </row>
    <row r="21" spans="1:4">
      <c r="A21" s="6" t="s">
        <v>116</v>
      </c>
      <c r="B21" s="5">
        <v>4923304</v>
      </c>
      <c r="D21" s="40">
        <v>14345.44</v>
      </c>
    </row>
    <row r="22" spans="1:4">
      <c r="A22" s="6" t="s">
        <v>119</v>
      </c>
      <c r="B22" s="5">
        <v>4923005</v>
      </c>
      <c r="D22" s="40">
        <v>14379.18</v>
      </c>
    </row>
    <row r="23" spans="1:4">
      <c r="A23" s="6" t="s">
        <v>39</v>
      </c>
      <c r="B23" s="5">
        <v>4924005</v>
      </c>
      <c r="D23" s="40">
        <v>142667.57999999999</v>
      </c>
    </row>
    <row r="24" spans="1:4">
      <c r="A24" s="6" t="s">
        <v>120</v>
      </c>
      <c r="B24" s="5">
        <v>4925005</v>
      </c>
      <c r="D24" s="40">
        <v>5735</v>
      </c>
    </row>
    <row r="25" spans="1:4">
      <c r="A25" s="6" t="s">
        <v>93</v>
      </c>
      <c r="B25" s="5">
        <v>4928005</v>
      </c>
      <c r="D25" s="40">
        <v>80649.990000000005</v>
      </c>
    </row>
    <row r="26" spans="1:4">
      <c r="A26" s="6" t="s">
        <v>97</v>
      </c>
      <c r="B26" s="5">
        <v>4927005</v>
      </c>
      <c r="D26" s="40">
        <v>29191.200000000001</v>
      </c>
    </row>
    <row r="27" spans="1:4">
      <c r="A27" s="6" t="s">
        <v>41</v>
      </c>
      <c r="B27" s="5">
        <v>4929005</v>
      </c>
      <c r="D27" s="40">
        <v>0</v>
      </c>
    </row>
    <row r="28" spans="1:4" s="23" customFormat="1" ht="18.75" thickBot="1">
      <c r="A28" s="30" t="s">
        <v>100</v>
      </c>
      <c r="B28" s="22"/>
      <c r="C28" s="19"/>
      <c r="D28" s="41">
        <f>SUM(D15:D27)</f>
        <v>388525.08</v>
      </c>
    </row>
    <row r="29" spans="1:4" s="35" customFormat="1" ht="15" customHeight="1" thickTop="1">
      <c r="A29" s="29"/>
      <c r="B29" s="21"/>
      <c r="C29" s="20"/>
      <c r="D29" s="42"/>
    </row>
    <row r="30" spans="1:4" s="59" customFormat="1" ht="15" customHeight="1">
      <c r="A30" s="5" t="s">
        <v>122</v>
      </c>
      <c r="B30" s="21"/>
      <c r="C30" s="20"/>
      <c r="D30" s="58">
        <v>1.73</v>
      </c>
    </row>
    <row r="31" spans="1:4">
      <c r="A31" s="6" t="s">
        <v>72</v>
      </c>
      <c r="B31" s="5">
        <v>4935005</v>
      </c>
      <c r="D31" s="40">
        <v>7078.61</v>
      </c>
    </row>
    <row r="32" spans="1:4" ht="18.75" thickBot="1">
      <c r="A32" s="30" t="s">
        <v>15</v>
      </c>
      <c r="D32" s="41">
        <f>SUM(D30:D31)</f>
        <v>7080.3399999999992</v>
      </c>
    </row>
    <row r="33" spans="1:4" ht="21" thickTop="1">
      <c r="A33" s="7"/>
    </row>
    <row r="34" spans="1:4" s="3" customFormat="1" ht="24.75" thickBot="1">
      <c r="A34" s="32" t="s">
        <v>16</v>
      </c>
      <c r="B34" s="24"/>
      <c r="C34" s="2"/>
      <c r="D34" s="43">
        <f>+D32+D28+D13+D8</f>
        <v>1143393.48</v>
      </c>
    </row>
    <row r="35" spans="1:4" ht="15.75" thickTop="1"/>
    <row r="36" spans="1:4" ht="21" customHeight="1">
      <c r="A36" s="31" t="s">
        <v>17</v>
      </c>
    </row>
    <row r="37" spans="1:4" ht="18">
      <c r="A37" s="31"/>
    </row>
    <row r="38" spans="1:4">
      <c r="A38" s="36" t="s">
        <v>115</v>
      </c>
      <c r="B38" s="5">
        <v>4936003</v>
      </c>
      <c r="D38" s="40">
        <v>27438.47</v>
      </c>
    </row>
    <row r="39" spans="1:4">
      <c r="A39" s="36" t="s">
        <v>90</v>
      </c>
      <c r="B39" s="5">
        <v>4935025</v>
      </c>
      <c r="D39" s="40">
        <v>0</v>
      </c>
    </row>
    <row r="40" spans="1:4">
      <c r="A40" s="36" t="s">
        <v>92</v>
      </c>
      <c r="B40" s="5">
        <v>4936004</v>
      </c>
      <c r="D40" s="40">
        <v>8000</v>
      </c>
    </row>
    <row r="41" spans="1:4">
      <c r="A41" s="6" t="s">
        <v>88</v>
      </c>
      <c r="B41" s="5">
        <v>4936006</v>
      </c>
      <c r="D41" s="40">
        <v>46017.26</v>
      </c>
    </row>
    <row r="42" spans="1:4">
      <c r="A42" s="6" t="s">
        <v>117</v>
      </c>
      <c r="B42" s="5">
        <v>4636007</v>
      </c>
      <c r="D42" s="40">
        <v>60836.67</v>
      </c>
    </row>
    <row r="43" spans="1:4">
      <c r="A43" s="6" t="s">
        <v>125</v>
      </c>
      <c r="B43" s="5">
        <v>4936008</v>
      </c>
      <c r="D43" s="40">
        <v>189081.52</v>
      </c>
    </row>
    <row r="44" spans="1:4">
      <c r="A44" s="6" t="s">
        <v>124</v>
      </c>
      <c r="D44" s="40">
        <v>8469.16</v>
      </c>
    </row>
    <row r="45" spans="1:4">
      <c r="A45" s="6" t="s">
        <v>89</v>
      </c>
      <c r="B45" s="5">
        <v>4936022</v>
      </c>
      <c r="D45" s="40">
        <v>193309.51</v>
      </c>
    </row>
    <row r="46" spans="1:4">
      <c r="A46" s="6" t="s">
        <v>123</v>
      </c>
      <c r="D46" s="40">
        <v>43436.639999999999</v>
      </c>
    </row>
    <row r="47" spans="1:4">
      <c r="A47" s="6" t="s">
        <v>121</v>
      </c>
      <c r="B47" s="5">
        <v>4937002</v>
      </c>
      <c r="D47" s="40">
        <v>38717.46</v>
      </c>
    </row>
    <row r="48" spans="1:4" s="18" customFormat="1" ht="18.75" thickBot="1">
      <c r="A48" s="30" t="s">
        <v>18</v>
      </c>
      <c r="B48" s="17"/>
      <c r="C48" s="19"/>
      <c r="D48" s="41">
        <f>SUM(D38:D47)</f>
        <v>615306.69000000006</v>
      </c>
    </row>
    <row r="49" spans="1:5" ht="21" thickTop="1">
      <c r="A49" s="7"/>
    </row>
    <row r="50" spans="1:5">
      <c r="A50" s="6" t="s">
        <v>42</v>
      </c>
      <c r="B50" s="5">
        <v>4932005</v>
      </c>
      <c r="D50" s="40">
        <v>47716.23</v>
      </c>
    </row>
    <row r="51" spans="1:5" s="35" customFormat="1" ht="18.75" thickBot="1">
      <c r="A51" s="30" t="s">
        <v>14</v>
      </c>
      <c r="B51" s="21" t="s">
        <v>0</v>
      </c>
      <c r="C51" s="20"/>
      <c r="D51" s="41">
        <f>SUM(D50)</f>
        <v>47716.23</v>
      </c>
    </row>
    <row r="52" spans="1:5" s="35" customFormat="1" ht="21" thickTop="1">
      <c r="A52" s="27"/>
      <c r="B52" s="21"/>
      <c r="C52" s="20"/>
      <c r="D52" s="42"/>
    </row>
    <row r="53" spans="1:5" s="35" customFormat="1" ht="20.25">
      <c r="A53" s="44" t="s">
        <v>101</v>
      </c>
      <c r="B53" s="21"/>
      <c r="C53" s="20"/>
      <c r="D53" s="42"/>
    </row>
    <row r="54" spans="1:5" s="35" customFormat="1">
      <c r="A54" s="45" t="s">
        <v>86</v>
      </c>
      <c r="B54" s="21">
        <v>6561005</v>
      </c>
      <c r="C54" s="20"/>
      <c r="D54" s="46">
        <v>5000</v>
      </c>
    </row>
    <row r="55" spans="1:5" ht="16.5" thickBot="1">
      <c r="D55" s="41">
        <f>SUM(D54)</f>
        <v>5000</v>
      </c>
    </row>
    <row r="56" spans="1:5" s="35" customFormat="1" ht="21" thickTop="1">
      <c r="A56" s="27"/>
      <c r="B56" s="21"/>
      <c r="C56" s="20"/>
      <c r="D56" s="42"/>
    </row>
    <row r="57" spans="1:5" s="3" customFormat="1" ht="24.75" thickBot="1">
      <c r="A57" s="32" t="s">
        <v>19</v>
      </c>
      <c r="B57" s="24"/>
      <c r="C57" s="2"/>
      <c r="D57" s="43">
        <f>+D48+D51+D55</f>
        <v>668022.92000000004</v>
      </c>
      <c r="E57" s="34">
        <f>D34-D57</f>
        <v>475370.55999999994</v>
      </c>
    </row>
    <row r="58" spans="1:5" s="35" customFormat="1" ht="21" thickTop="1">
      <c r="A58" s="27"/>
      <c r="B58" s="21"/>
      <c r="C58" s="20"/>
      <c r="D58" s="42"/>
    </row>
    <row r="59" spans="1:5" s="35" customFormat="1" ht="18">
      <c r="A59" s="31" t="s">
        <v>20</v>
      </c>
      <c r="B59" s="21"/>
      <c r="C59" s="20"/>
      <c r="D59" s="42"/>
    </row>
    <row r="60" spans="1:5">
      <c r="A60" s="6" t="s">
        <v>43</v>
      </c>
      <c r="B60" s="5">
        <v>5100005</v>
      </c>
      <c r="D60" s="40">
        <v>107552.13</v>
      </c>
    </row>
    <row r="61" spans="1:5">
      <c r="A61" s="6" t="s">
        <v>114</v>
      </c>
      <c r="B61" s="5">
        <v>5130005</v>
      </c>
      <c r="D61" s="40">
        <v>962.5</v>
      </c>
    </row>
    <row r="62" spans="1:5">
      <c r="A62" s="6" t="s">
        <v>85</v>
      </c>
      <c r="B62" s="5">
        <v>5140005</v>
      </c>
      <c r="D62" s="40">
        <v>32516.66</v>
      </c>
    </row>
    <row r="63" spans="1:5">
      <c r="A63" s="6" t="s">
        <v>44</v>
      </c>
      <c r="B63" s="5">
        <v>5151005</v>
      </c>
      <c r="D63" s="40">
        <v>14712.61</v>
      </c>
    </row>
    <row r="64" spans="1:5">
      <c r="A64" s="6" t="s">
        <v>45</v>
      </c>
      <c r="B64" s="5">
        <v>5161005</v>
      </c>
      <c r="D64" s="40">
        <v>16863.82</v>
      </c>
    </row>
    <row r="65" spans="1:4">
      <c r="A65" s="6" t="s">
        <v>46</v>
      </c>
      <c r="B65" s="5">
        <v>5162005</v>
      </c>
      <c r="D65" s="40">
        <v>2124.5300000000002</v>
      </c>
    </row>
    <row r="66" spans="1:4">
      <c r="A66" s="6" t="s">
        <v>47</v>
      </c>
      <c r="B66" s="5">
        <v>5163005</v>
      </c>
      <c r="D66" s="40">
        <v>896.47</v>
      </c>
    </row>
    <row r="67" spans="1:4">
      <c r="A67" s="6" t="s">
        <v>48</v>
      </c>
      <c r="B67" s="5">
        <v>5191005</v>
      </c>
      <c r="D67" s="40">
        <v>210</v>
      </c>
    </row>
    <row r="68" spans="1:4">
      <c r="A68" s="6" t="s">
        <v>118</v>
      </c>
      <c r="B68" s="5">
        <v>5210000</v>
      </c>
      <c r="D68" s="40">
        <v>14020</v>
      </c>
    </row>
    <row r="69" spans="1:4">
      <c r="A69" s="6" t="s">
        <v>49</v>
      </c>
      <c r="B69" s="5">
        <v>5211005</v>
      </c>
      <c r="D69" s="40">
        <v>12469.88</v>
      </c>
    </row>
    <row r="70" spans="1:4">
      <c r="A70" s="6" t="s">
        <v>104</v>
      </c>
      <c r="B70" s="5">
        <v>6571005</v>
      </c>
      <c r="D70" s="40">
        <v>960</v>
      </c>
    </row>
    <row r="71" spans="1:4">
      <c r="A71" s="6" t="s">
        <v>75</v>
      </c>
      <c r="B71" s="5">
        <v>6201005</v>
      </c>
      <c r="D71" s="40">
        <v>2543.1999999999998</v>
      </c>
    </row>
    <row r="72" spans="1:4" ht="18.75" thickBot="1">
      <c r="B72" s="30" t="s">
        <v>21</v>
      </c>
      <c r="D72" s="41">
        <f>SUM(D60:D71)</f>
        <v>205831.80000000005</v>
      </c>
    </row>
    <row r="73" spans="1:4" ht="11.1" customHeight="1" thickTop="1"/>
    <row r="74" spans="1:4">
      <c r="A74" s="6" t="s">
        <v>51</v>
      </c>
      <c r="B74" s="5">
        <v>5501005</v>
      </c>
      <c r="D74" s="40">
        <v>17705.57</v>
      </c>
    </row>
    <row r="75" spans="1:4">
      <c r="A75" s="6" t="s">
        <v>52</v>
      </c>
      <c r="B75" s="5">
        <v>5507005</v>
      </c>
      <c r="D75" s="40">
        <v>2326.25</v>
      </c>
    </row>
    <row r="76" spans="1:4" ht="18.75" thickBot="1">
      <c r="B76" s="30" t="s">
        <v>22</v>
      </c>
      <c r="D76" s="41">
        <f>SUM(D74:D75)</f>
        <v>20031.82</v>
      </c>
    </row>
    <row r="77" spans="1:4" ht="11.1" customHeight="1" thickTop="1"/>
    <row r="78" spans="1:4">
      <c r="A78" s="6" t="s">
        <v>53</v>
      </c>
      <c r="B78" s="5">
        <v>6202005</v>
      </c>
      <c r="D78" s="40">
        <v>2082.34</v>
      </c>
    </row>
    <row r="79" spans="1:4">
      <c r="A79" s="6" t="s">
        <v>54</v>
      </c>
      <c r="B79" s="5">
        <v>6203005</v>
      </c>
      <c r="D79" s="40">
        <v>59028.25</v>
      </c>
    </row>
    <row r="80" spans="1:4" ht="18.75" thickBot="1">
      <c r="B80" s="30" t="s">
        <v>23</v>
      </c>
      <c r="D80" s="41">
        <f>SUM(D78:D79)</f>
        <v>61110.59</v>
      </c>
    </row>
    <row r="81" spans="1:4" ht="15.75" thickTop="1"/>
    <row r="82" spans="1:4">
      <c r="A82" s="6" t="s">
        <v>55</v>
      </c>
      <c r="B82" s="5">
        <v>5524005</v>
      </c>
      <c r="D82" s="40">
        <v>5804.68</v>
      </c>
    </row>
    <row r="83" spans="1:4">
      <c r="A83" s="6" t="s">
        <v>56</v>
      </c>
      <c r="B83" s="5">
        <v>5902005</v>
      </c>
      <c r="D83" s="40">
        <v>7811.63</v>
      </c>
    </row>
    <row r="84" spans="1:4">
      <c r="A84" s="6" t="s">
        <v>35</v>
      </c>
      <c r="B84" s="5">
        <v>5903005</v>
      </c>
      <c r="D84" s="40">
        <v>2728.91</v>
      </c>
    </row>
    <row r="85" spans="1:4">
      <c r="A85" s="6" t="s">
        <v>57</v>
      </c>
      <c r="B85" s="5">
        <v>6101005</v>
      </c>
      <c r="D85" s="40">
        <v>3586.6</v>
      </c>
    </row>
    <row r="86" spans="1:4">
      <c r="A86" s="6" t="s">
        <v>34</v>
      </c>
      <c r="B86" s="5">
        <v>6102005</v>
      </c>
      <c r="D86" s="40">
        <v>3518.64</v>
      </c>
    </row>
    <row r="87" spans="1:4">
      <c r="A87" s="6" t="s">
        <v>58</v>
      </c>
      <c r="B87" s="5">
        <v>6103005</v>
      </c>
      <c r="D87" s="40">
        <v>5544.22</v>
      </c>
    </row>
    <row r="88" spans="1:4" ht="18.75" thickBot="1">
      <c r="B88" s="30" t="s">
        <v>24</v>
      </c>
      <c r="D88" s="41">
        <f>SUM(D82:D87)</f>
        <v>28994.68</v>
      </c>
    </row>
    <row r="89" spans="1:4" ht="15.75" thickTop="1"/>
    <row r="90" spans="1:4" s="15" customFormat="1">
      <c r="A90" s="6" t="s">
        <v>59</v>
      </c>
      <c r="B90" s="5">
        <v>6710005</v>
      </c>
      <c r="C90" s="1"/>
      <c r="D90" s="40">
        <v>631.72</v>
      </c>
    </row>
    <row r="91" spans="1:4" s="16" customFormat="1" ht="15.75">
      <c r="A91" s="6" t="s">
        <v>60</v>
      </c>
      <c r="B91" s="5">
        <v>6712005</v>
      </c>
      <c r="C91" s="1"/>
      <c r="D91" s="40">
        <v>853.74</v>
      </c>
    </row>
    <row r="92" spans="1:4" s="16" customFormat="1" ht="15.75">
      <c r="A92" s="6" t="s">
        <v>103</v>
      </c>
      <c r="B92" s="5">
        <v>6713005</v>
      </c>
      <c r="C92" s="1"/>
      <c r="D92" s="40">
        <v>3124.97</v>
      </c>
    </row>
    <row r="93" spans="1:4" s="16" customFormat="1" ht="15.75">
      <c r="A93" s="6" t="s">
        <v>113</v>
      </c>
      <c r="B93" s="5">
        <v>6714005</v>
      </c>
      <c r="C93" s="1"/>
      <c r="D93" s="40">
        <v>4529.91</v>
      </c>
    </row>
    <row r="94" spans="1:4" s="15" customFormat="1">
      <c r="A94" s="6" t="s">
        <v>61</v>
      </c>
      <c r="B94" s="5">
        <v>6715005</v>
      </c>
      <c r="C94" s="1"/>
      <c r="D94" s="40">
        <v>5137.8</v>
      </c>
    </row>
    <row r="95" spans="1:4" ht="18.75" thickBot="1">
      <c r="B95" s="30" t="s">
        <v>25</v>
      </c>
      <c r="D95" s="41">
        <f>SUM(D90:D94)</f>
        <v>14278.14</v>
      </c>
    </row>
    <row r="96" spans="1:4" ht="15.75" thickTop="1"/>
    <row r="97" spans="1:4">
      <c r="A97" s="6" t="s">
        <v>62</v>
      </c>
      <c r="B97" s="5">
        <v>5901005</v>
      </c>
      <c r="D97" s="40">
        <v>10152.530000000001</v>
      </c>
    </row>
    <row r="98" spans="1:4">
      <c r="A98" s="6" t="s">
        <v>63</v>
      </c>
      <c r="B98" s="5">
        <v>6104005</v>
      </c>
      <c r="D98" s="40">
        <v>58.74</v>
      </c>
    </row>
    <row r="99" spans="1:4">
      <c r="A99" s="6" t="s">
        <v>64</v>
      </c>
      <c r="B99" s="5">
        <v>6541005</v>
      </c>
      <c r="D99" s="40">
        <v>2257.02</v>
      </c>
    </row>
    <row r="100" spans="1:4" s="26" customFormat="1" ht="15.75">
      <c r="A100" s="6" t="s">
        <v>65</v>
      </c>
      <c r="B100" s="5">
        <v>6573005</v>
      </c>
      <c r="C100" s="1"/>
      <c r="D100" s="40">
        <v>706.98</v>
      </c>
    </row>
    <row r="101" spans="1:4" s="26" customFormat="1" ht="18.75" thickBot="1">
      <c r="A101" s="6"/>
      <c r="B101" s="30" t="s">
        <v>26</v>
      </c>
      <c r="C101" s="1"/>
      <c r="D101" s="41">
        <f>SUM(D97:D100)</f>
        <v>13175.27</v>
      </c>
    </row>
    <row r="102" spans="1:4" s="26" customFormat="1" ht="16.5" thickTop="1">
      <c r="A102" s="6"/>
      <c r="B102" s="5"/>
      <c r="C102" s="1"/>
      <c r="D102" s="40" t="s">
        <v>0</v>
      </c>
    </row>
    <row r="103" spans="1:4">
      <c r="A103" s="6" t="s">
        <v>66</v>
      </c>
      <c r="B103" s="5">
        <v>6501005</v>
      </c>
      <c r="D103" s="40">
        <v>5221.3</v>
      </c>
    </row>
    <row r="104" spans="1:4" s="26" customFormat="1" ht="18.75" thickBot="1">
      <c r="A104" s="6"/>
      <c r="B104" s="30" t="s">
        <v>27</v>
      </c>
      <c r="C104" s="1"/>
      <c r="D104" s="41">
        <f>SUM(D103)</f>
        <v>5221.3</v>
      </c>
    </row>
    <row r="105" spans="1:4" s="26" customFormat="1" ht="16.5" thickTop="1">
      <c r="A105" s="6"/>
      <c r="B105" s="5"/>
      <c r="C105" s="1"/>
      <c r="D105" s="40"/>
    </row>
    <row r="106" spans="1:4">
      <c r="A106" s="6" t="s">
        <v>67</v>
      </c>
      <c r="B106" s="5">
        <v>5522005</v>
      </c>
      <c r="D106" s="40">
        <v>8158.76</v>
      </c>
    </row>
    <row r="107" spans="1:4">
      <c r="A107" s="6" t="s">
        <v>68</v>
      </c>
      <c r="B107" s="5">
        <v>5701005</v>
      </c>
      <c r="D107" s="40">
        <v>11746.62</v>
      </c>
    </row>
    <row r="108" spans="1:4">
      <c r="A108" s="6" t="s">
        <v>69</v>
      </c>
      <c r="B108" s="5">
        <v>5705005</v>
      </c>
      <c r="D108" s="40">
        <v>797.84</v>
      </c>
    </row>
    <row r="109" spans="1:4" s="26" customFormat="1" ht="18.75" thickBot="1">
      <c r="A109" s="6"/>
      <c r="B109" s="30" t="s">
        <v>28</v>
      </c>
      <c r="C109" s="1"/>
      <c r="D109" s="41">
        <f>SUM(D106:D108)</f>
        <v>20703.22</v>
      </c>
    </row>
    <row r="110" spans="1:4" s="26" customFormat="1" ht="16.5" thickTop="1">
      <c r="A110" s="6"/>
      <c r="B110" s="5"/>
      <c r="C110" s="1"/>
      <c r="D110" s="40"/>
    </row>
    <row r="111" spans="1:4" s="26" customFormat="1" ht="15.75">
      <c r="A111" s="6" t="s">
        <v>50</v>
      </c>
      <c r="B111" s="5">
        <v>5221005</v>
      </c>
      <c r="C111" s="1"/>
      <c r="D111" s="40">
        <v>4159.84</v>
      </c>
    </row>
    <row r="112" spans="1:4" s="26" customFormat="1" ht="15.75">
      <c r="A112" s="6" t="s">
        <v>107</v>
      </c>
      <c r="B112" s="5">
        <v>5223005</v>
      </c>
      <c r="C112" s="1"/>
      <c r="D112" s="40">
        <v>0</v>
      </c>
    </row>
    <row r="113" spans="1:4">
      <c r="A113" s="6" t="s">
        <v>81</v>
      </c>
      <c r="B113" s="5">
        <v>6301005</v>
      </c>
      <c r="D113" s="40">
        <v>16880.7</v>
      </c>
    </row>
    <row r="114" spans="1:4">
      <c r="A114" s="6" t="s">
        <v>70</v>
      </c>
      <c r="B114" s="5">
        <v>6302005</v>
      </c>
      <c r="D114" s="40">
        <v>3859.35</v>
      </c>
    </row>
    <row r="115" spans="1:4">
      <c r="A115" s="6" t="s">
        <v>83</v>
      </c>
      <c r="B115" s="5">
        <v>6303005</v>
      </c>
      <c r="D115" s="40">
        <v>2937.47</v>
      </c>
    </row>
    <row r="116" spans="1:4">
      <c r="A116" s="6" t="s">
        <v>82</v>
      </c>
      <c r="B116" s="5">
        <v>6360005</v>
      </c>
      <c r="D116" s="40">
        <v>0</v>
      </c>
    </row>
    <row r="117" spans="1:4" s="26" customFormat="1" ht="18.75" thickBot="1">
      <c r="A117" s="6"/>
      <c r="B117" s="30" t="s">
        <v>29</v>
      </c>
      <c r="C117" s="1"/>
      <c r="D117" s="41">
        <f>SUM(D111:D116)</f>
        <v>27837.360000000001</v>
      </c>
    </row>
    <row r="118" spans="1:4" s="26" customFormat="1" ht="16.5" thickTop="1">
      <c r="A118" s="6"/>
      <c r="B118" s="5"/>
      <c r="C118" s="1"/>
      <c r="D118" s="40"/>
    </row>
    <row r="119" spans="1:4" s="26" customFormat="1" ht="15.75">
      <c r="A119" s="6"/>
      <c r="B119" s="5"/>
      <c r="C119" s="1"/>
      <c r="D119" s="40"/>
    </row>
    <row r="120" spans="1:4">
      <c r="A120" s="6" t="s">
        <v>71</v>
      </c>
      <c r="B120" s="5">
        <v>6511005</v>
      </c>
      <c r="D120" s="40">
        <v>2583.17</v>
      </c>
    </row>
    <row r="121" spans="1:4" s="26" customFormat="1" ht="18.75" thickBot="1">
      <c r="A121" s="6"/>
      <c r="B121" s="30" t="s">
        <v>33</v>
      </c>
      <c r="C121" s="1"/>
      <c r="D121" s="41">
        <f>SUM(D120:D120)</f>
        <v>2583.17</v>
      </c>
    </row>
    <row r="122" spans="1:4" s="26" customFormat="1" ht="16.5" thickTop="1">
      <c r="A122" s="6"/>
      <c r="B122" s="5"/>
      <c r="C122" s="1"/>
      <c r="D122" s="40"/>
    </row>
    <row r="123" spans="1:4">
      <c r="A123" s="6" t="s">
        <v>73</v>
      </c>
      <c r="B123" s="5">
        <v>5523005</v>
      </c>
      <c r="D123" s="40">
        <v>29243.91</v>
      </c>
    </row>
    <row r="124" spans="1:4">
      <c r="A124" s="6" t="s">
        <v>74</v>
      </c>
      <c r="B124" s="5">
        <v>5703005</v>
      </c>
      <c r="D124" s="40">
        <v>0</v>
      </c>
    </row>
    <row r="125" spans="1:4">
      <c r="A125" s="6" t="s">
        <v>98</v>
      </c>
      <c r="B125" s="5">
        <v>6105005</v>
      </c>
      <c r="D125" s="40">
        <v>8977.4</v>
      </c>
    </row>
    <row r="126" spans="1:4">
      <c r="A126" s="6" t="s">
        <v>76</v>
      </c>
      <c r="B126" s="5">
        <v>6204005</v>
      </c>
      <c r="D126" s="40">
        <v>3031.98</v>
      </c>
    </row>
    <row r="127" spans="1:4">
      <c r="A127" s="6" t="s">
        <v>77</v>
      </c>
      <c r="B127" s="5">
        <v>6401005</v>
      </c>
      <c r="D127" s="40">
        <v>139.5</v>
      </c>
    </row>
    <row r="128" spans="1:4">
      <c r="A128" s="6" t="s">
        <v>78</v>
      </c>
      <c r="B128" s="5">
        <v>6521005</v>
      </c>
      <c r="D128" s="40">
        <v>0</v>
      </c>
    </row>
    <row r="129" spans="1:4">
      <c r="A129" s="6" t="s">
        <v>80</v>
      </c>
      <c r="B129" s="5">
        <v>6531005</v>
      </c>
      <c r="D129" s="40">
        <v>9119.15</v>
      </c>
    </row>
    <row r="130" spans="1:4">
      <c r="A130" s="6" t="s">
        <v>84</v>
      </c>
      <c r="B130" s="5">
        <v>6551005</v>
      </c>
      <c r="D130" s="40">
        <v>2800</v>
      </c>
    </row>
    <row r="131" spans="1:4">
      <c r="A131" s="6" t="s">
        <v>79</v>
      </c>
      <c r="B131" s="5">
        <v>6572005</v>
      </c>
      <c r="D131" s="40">
        <v>1119.72</v>
      </c>
    </row>
    <row r="132" spans="1:4" ht="18.75" thickBot="1">
      <c r="B132" s="30" t="s">
        <v>30</v>
      </c>
      <c r="D132" s="41">
        <f>SUM(D123:D131)</f>
        <v>54431.66</v>
      </c>
    </row>
    <row r="133" spans="1:4" ht="15.75" thickTop="1"/>
    <row r="135" spans="1:4" s="3" customFormat="1" ht="24.75" thickBot="1">
      <c r="A135" s="32" t="s">
        <v>32</v>
      </c>
      <c r="B135" s="24"/>
      <c r="C135" s="2"/>
      <c r="D135" s="43">
        <f>+D72+D76+D80+D88+D95+D101+D104+D109+D117+D121+D132</f>
        <v>454199.01</v>
      </c>
    </row>
    <row r="136" spans="1:4" ht="17.25" customHeight="1" thickTop="1"/>
    <row r="137" spans="1:4" s="52" customFormat="1" ht="18.75">
      <c r="A137" s="49" t="s">
        <v>111</v>
      </c>
      <c r="B137" s="50"/>
      <c r="C137" s="51"/>
      <c r="D137" s="57">
        <f>+D34-D57-D135</f>
        <v>21171.54999999993</v>
      </c>
    </row>
    <row r="138" spans="1:4" s="52" customFormat="1" ht="18.75">
      <c r="A138" s="53" t="s">
        <v>0</v>
      </c>
      <c r="B138" s="50"/>
      <c r="C138" s="51"/>
      <c r="D138" s="54"/>
    </row>
    <row r="139" spans="1:4" ht="15.75">
      <c r="A139" s="280" t="s">
        <v>110</v>
      </c>
      <c r="B139" s="280"/>
      <c r="D139" s="55">
        <v>6777.07</v>
      </c>
    </row>
    <row r="140" spans="1:4">
      <c r="A140" s="33" t="s">
        <v>0</v>
      </c>
    </row>
    <row r="141" spans="1:4" s="48" customFormat="1" ht="18" customHeight="1">
      <c r="A141" s="281" t="s">
        <v>112</v>
      </c>
      <c r="B141" s="281"/>
      <c r="C141" s="56"/>
      <c r="D141" s="47">
        <f>D137-D139</f>
        <v>14394.47999999993</v>
      </c>
    </row>
    <row r="142" spans="1:4">
      <c r="A142" s="33" t="s">
        <v>0</v>
      </c>
    </row>
  </sheetData>
  <mergeCells count="2">
    <mergeCell ref="A139:B139"/>
    <mergeCell ref="A141:B141"/>
  </mergeCells>
  <phoneticPr fontId="0" type="noConversion"/>
  <printOptions horizontalCentered="1" verticalCentered="1"/>
  <pageMargins left="0.75" right="0.75" top="0.39370078740157483" bottom="1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60"/>
  <sheetViews>
    <sheetView showGridLines="0" tabSelected="1" zoomScale="90" zoomScaleNormal="90" workbookViewId="0">
      <selection activeCell="F12" sqref="F12"/>
    </sheetView>
  </sheetViews>
  <sheetFormatPr baseColWidth="10" defaultColWidth="9.140625" defaultRowHeight="14.25"/>
  <cols>
    <col min="1" max="1" width="27.7109375" style="167" customWidth="1"/>
    <col min="2" max="2" width="13.28515625" style="167" customWidth="1"/>
    <col min="3" max="3" width="9" style="191" customWidth="1"/>
    <col min="4" max="4" width="6" style="191" customWidth="1"/>
    <col min="5" max="5" width="13.28515625" style="192" customWidth="1"/>
    <col min="6" max="6" width="16.42578125" style="221" customWidth="1"/>
    <col min="7" max="7" width="4.85546875" style="194" customWidth="1"/>
    <col min="8" max="8" width="12.85546875" style="166" hidden="1" customWidth="1"/>
    <col min="9" max="9" width="10.28515625" style="167" bestFit="1" customWidth="1"/>
    <col min="10" max="10" width="14.140625" style="167" bestFit="1" customWidth="1"/>
    <col min="11" max="11" width="9.140625" style="167"/>
    <col min="12" max="12" width="11.85546875" style="167" customWidth="1"/>
    <col min="13" max="16384" width="9.140625" style="167"/>
  </cols>
  <sheetData>
    <row r="1" spans="1:10" ht="17.25" customHeight="1">
      <c r="A1" s="284" t="s">
        <v>132</v>
      </c>
      <c r="B1" s="284"/>
      <c r="C1" s="284"/>
      <c r="D1" s="284"/>
      <c r="E1" s="284"/>
      <c r="F1" s="284"/>
      <c r="G1" s="284"/>
    </row>
    <row r="2" spans="1:10" ht="15.75" customHeight="1">
      <c r="A2" s="168" t="s">
        <v>134</v>
      </c>
      <c r="B2" s="168"/>
      <c r="C2" s="168"/>
      <c r="D2" s="168"/>
      <c r="E2" s="168"/>
      <c r="F2" s="169"/>
      <c r="G2" s="170"/>
    </row>
    <row r="3" spans="1:10" ht="12" customHeight="1">
      <c r="A3" s="168"/>
      <c r="B3" s="168"/>
      <c r="C3" s="168"/>
      <c r="D3" s="168"/>
      <c r="E3" s="168"/>
      <c r="F3" s="169"/>
      <c r="G3" s="170"/>
    </row>
    <row r="4" spans="1:10" ht="15">
      <c r="A4" s="283" t="s">
        <v>179</v>
      </c>
      <c r="B4" s="283"/>
      <c r="C4" s="283"/>
      <c r="D4" s="283"/>
      <c r="E4" s="283"/>
      <c r="F4" s="283"/>
      <c r="G4" s="283"/>
    </row>
    <row r="5" spans="1:10" ht="12" customHeight="1">
      <c r="A5" s="171"/>
      <c r="B5" s="171"/>
      <c r="C5" s="171"/>
      <c r="D5" s="171"/>
      <c r="E5" s="171"/>
      <c r="F5" s="172"/>
      <c r="G5" s="173"/>
    </row>
    <row r="6" spans="1:10">
      <c r="A6" s="285" t="s">
        <v>386</v>
      </c>
      <c r="B6" s="285"/>
      <c r="C6" s="285"/>
      <c r="D6" s="285"/>
      <c r="E6" s="285"/>
      <c r="F6" s="285"/>
      <c r="G6" s="285"/>
    </row>
    <row r="7" spans="1:10">
      <c r="A7" s="174"/>
      <c r="B7" s="174"/>
      <c r="C7" s="174"/>
      <c r="D7" s="174"/>
      <c r="E7" s="174"/>
      <c r="F7" s="276"/>
      <c r="G7" s="174"/>
    </row>
    <row r="8" spans="1:10" ht="7.5" customHeight="1">
      <c r="A8" s="174"/>
      <c r="B8" s="174"/>
      <c r="C8" s="174"/>
      <c r="D8" s="174"/>
      <c r="E8" s="174"/>
      <c r="F8" s="170"/>
      <c r="G8" s="170"/>
    </row>
    <row r="9" spans="1:10" ht="14.25" customHeight="1">
      <c r="A9" s="175" t="s">
        <v>135</v>
      </c>
      <c r="B9" s="176"/>
      <c r="C9" s="176"/>
      <c r="D9" s="176"/>
      <c r="E9" s="176"/>
      <c r="F9" s="177"/>
      <c r="G9" s="178"/>
    </row>
    <row r="10" spans="1:10" ht="12" customHeight="1" thickBot="1">
      <c r="A10" s="175"/>
      <c r="B10" s="176"/>
      <c r="C10" s="176"/>
      <c r="D10" s="176"/>
      <c r="E10" s="176"/>
      <c r="F10" s="180"/>
      <c r="G10" s="180"/>
    </row>
    <row r="11" spans="1:10" ht="15" customHeight="1" thickTop="1">
      <c r="A11" s="181"/>
      <c r="B11" s="182"/>
      <c r="C11" s="182"/>
      <c r="D11" s="182"/>
      <c r="E11" s="182"/>
      <c r="F11" s="183"/>
      <c r="G11" s="183"/>
    </row>
    <row r="12" spans="1:10" ht="16.5" customHeight="1">
      <c r="A12" s="184"/>
      <c r="B12" s="185"/>
      <c r="C12" s="186"/>
      <c r="D12" s="187"/>
      <c r="E12" s="188" t="s">
        <v>106</v>
      </c>
      <c r="F12" s="189">
        <v>2020</v>
      </c>
      <c r="G12" s="190"/>
    </row>
    <row r="13" spans="1:10" ht="15" customHeight="1">
      <c r="A13" s="167" t="s">
        <v>137</v>
      </c>
      <c r="F13" s="193"/>
    </row>
    <row r="14" spans="1:10" ht="15" customHeight="1">
      <c r="A14" s="167" t="s">
        <v>161</v>
      </c>
      <c r="F14" s="193">
        <v>950</v>
      </c>
      <c r="J14" s="195"/>
    </row>
    <row r="15" spans="1:10" ht="15" customHeight="1">
      <c r="A15" s="167" t="s">
        <v>165</v>
      </c>
      <c r="F15" s="193">
        <f>5720695.383+596</f>
        <v>5721291.3830000004</v>
      </c>
      <c r="J15" s="195"/>
    </row>
    <row r="16" spans="1:10" ht="15" customHeight="1">
      <c r="A16" s="167" t="s">
        <v>191</v>
      </c>
      <c r="F16" s="196">
        <v>110993.41</v>
      </c>
      <c r="G16" s="197"/>
      <c r="J16" s="195"/>
    </row>
    <row r="17" spans="1:10" ht="15" hidden="1" customHeight="1">
      <c r="A17" s="167" t="s">
        <v>166</v>
      </c>
      <c r="F17" s="196">
        <v>0</v>
      </c>
    </row>
    <row r="18" spans="1:10" ht="15.75" customHeight="1">
      <c r="A18" s="167" t="s">
        <v>382</v>
      </c>
      <c r="E18" s="192">
        <v>6</v>
      </c>
      <c r="F18" s="193">
        <f>SUM(F14:F17)</f>
        <v>5833234.7930000005</v>
      </c>
      <c r="H18" s="166" t="e">
        <f>-F18+#REF!</f>
        <v>#REF!</v>
      </c>
    </row>
    <row r="19" spans="1:10" ht="15" customHeight="1">
      <c r="F19" s="193"/>
    </row>
    <row r="20" spans="1:10" ht="15" hidden="1" customHeight="1">
      <c r="A20" s="167" t="s">
        <v>138</v>
      </c>
      <c r="E20" s="192">
        <v>8</v>
      </c>
      <c r="F20" s="193">
        <v>0</v>
      </c>
      <c r="I20" s="179"/>
    </row>
    <row r="21" spans="1:10" ht="15" customHeight="1">
      <c r="F21" s="193"/>
    </row>
    <row r="22" spans="1:10" ht="15" customHeight="1">
      <c r="A22" s="167" t="s">
        <v>181</v>
      </c>
      <c r="E22" s="192" t="s">
        <v>163</v>
      </c>
      <c r="F22" s="193">
        <v>116636890.42</v>
      </c>
      <c r="H22" s="166" t="e">
        <f>-F22+#REF!</f>
        <v>#REF!</v>
      </c>
      <c r="J22" s="195"/>
    </row>
    <row r="23" spans="1:10" ht="15" customHeight="1">
      <c r="A23" s="198" t="s">
        <v>187</v>
      </c>
      <c r="E23" s="192">
        <v>7</v>
      </c>
      <c r="F23" s="199">
        <v>-252664.54</v>
      </c>
      <c r="J23" s="195"/>
    </row>
    <row r="24" spans="1:10" ht="15" customHeight="1">
      <c r="A24" s="167" t="s">
        <v>182</v>
      </c>
      <c r="F24" s="193">
        <f>SUM(F22:F23)</f>
        <v>116384225.88</v>
      </c>
      <c r="H24" s="166" t="e">
        <f>-F24+#REF!</f>
        <v>#REF!</v>
      </c>
    </row>
    <row r="25" spans="1:10" ht="15" customHeight="1">
      <c r="F25" s="193"/>
    </row>
    <row r="26" spans="1:10" ht="15" customHeight="1">
      <c r="A26" s="167" t="s">
        <v>139</v>
      </c>
      <c r="E26" s="192">
        <v>9</v>
      </c>
      <c r="F26" s="200">
        <v>326159.86</v>
      </c>
      <c r="H26" s="166" t="e">
        <f>-F26+#REF!</f>
        <v>#REF!</v>
      </c>
      <c r="I26" s="179"/>
      <c r="J26" s="195"/>
    </row>
    <row r="27" spans="1:10" ht="15" customHeight="1">
      <c r="A27" s="167" t="s">
        <v>180</v>
      </c>
      <c r="E27" s="192">
        <v>4</v>
      </c>
      <c r="F27" s="200">
        <v>362260</v>
      </c>
      <c r="H27" s="166" t="e">
        <f>-F27+#REF!</f>
        <v>#REF!</v>
      </c>
      <c r="I27" s="179"/>
      <c r="J27" s="195"/>
    </row>
    <row r="28" spans="1:10" ht="15" customHeight="1">
      <c r="A28" s="167" t="s">
        <v>140</v>
      </c>
      <c r="E28" s="192">
        <v>5</v>
      </c>
      <c r="F28" s="200">
        <v>750471.19</v>
      </c>
      <c r="H28" s="166" t="e">
        <f>-F28+#REF!</f>
        <v>#REF!</v>
      </c>
      <c r="J28" s="195"/>
    </row>
    <row r="29" spans="1:10" ht="15" customHeight="1">
      <c r="A29" s="167" t="s">
        <v>195</v>
      </c>
      <c r="E29" s="192">
        <v>4</v>
      </c>
      <c r="F29" s="200">
        <v>0</v>
      </c>
      <c r="H29" s="166" t="e">
        <f>-F29+#REF!</f>
        <v>#REF!</v>
      </c>
    </row>
    <row r="30" spans="1:10" ht="15" customHeight="1">
      <c r="A30" s="167" t="s">
        <v>183</v>
      </c>
      <c r="E30" s="192">
        <v>16</v>
      </c>
      <c r="F30" s="200">
        <v>122717.75</v>
      </c>
      <c r="H30" s="166" t="e">
        <f>-F30+#REF!</f>
        <v>#REF!</v>
      </c>
      <c r="J30" s="195"/>
    </row>
    <row r="31" spans="1:10" ht="15" customHeight="1">
      <c r="A31" s="167" t="s">
        <v>384</v>
      </c>
      <c r="F31" s="200">
        <v>208041.7</v>
      </c>
      <c r="J31" s="195"/>
    </row>
    <row r="32" spans="1:10" ht="15" customHeight="1">
      <c r="A32" s="167" t="s">
        <v>141</v>
      </c>
      <c r="F32" s="200">
        <v>530876</v>
      </c>
      <c r="H32" s="166" t="e">
        <f>-F32+#REF!</f>
        <v>#REF!</v>
      </c>
      <c r="J32" s="195"/>
    </row>
    <row r="33" spans="1:12" ht="15" customHeight="1" thickBot="1">
      <c r="A33" s="201" t="s">
        <v>142</v>
      </c>
      <c r="E33" s="202"/>
      <c r="F33" s="203">
        <f>+F18+F20+F24+F26+F27+F28+F29+F30+F31+F32</f>
        <v>124517987.17299999</v>
      </c>
    </row>
    <row r="34" spans="1:12" ht="15.75" thickTop="1">
      <c r="A34" s="204"/>
      <c r="B34" s="198"/>
      <c r="C34" s="205"/>
      <c r="D34" s="206"/>
      <c r="E34" s="207"/>
      <c r="F34" s="208"/>
      <c r="G34" s="209"/>
    </row>
    <row r="35" spans="1:12" ht="20.100000000000001" customHeight="1">
      <c r="A35" s="210" t="s">
        <v>152</v>
      </c>
      <c r="B35" s="210"/>
      <c r="C35" s="210"/>
      <c r="D35" s="210"/>
      <c r="E35" s="210"/>
      <c r="F35" s="211"/>
      <c r="G35" s="212"/>
    </row>
    <row r="36" spans="1:12" ht="19.149999999999999" customHeight="1">
      <c r="A36" s="167" t="s">
        <v>143</v>
      </c>
      <c r="F36" s="200"/>
    </row>
    <row r="37" spans="1:12">
      <c r="A37" s="167" t="s">
        <v>184</v>
      </c>
      <c r="D37" s="167"/>
      <c r="E37" s="192" t="s">
        <v>192</v>
      </c>
      <c r="F37" s="200">
        <v>36973000</v>
      </c>
      <c r="H37" s="166" t="e">
        <f>F37-#REF!</f>
        <v>#REF!</v>
      </c>
      <c r="J37" s="195"/>
    </row>
    <row r="38" spans="1:12">
      <c r="A38" s="167" t="s">
        <v>144</v>
      </c>
      <c r="D38" s="167"/>
      <c r="E38" s="192" t="s">
        <v>193</v>
      </c>
      <c r="F38" s="200">
        <v>30850000</v>
      </c>
      <c r="H38" s="166" t="e">
        <f>F38-#REF!</f>
        <v>#REF!</v>
      </c>
      <c r="J38" s="195"/>
      <c r="L38" s="200"/>
    </row>
    <row r="39" spans="1:12">
      <c r="A39" s="167" t="s">
        <v>145</v>
      </c>
      <c r="D39" s="167"/>
      <c r="E39" s="192" t="s">
        <v>194</v>
      </c>
      <c r="F39" s="200">
        <v>29850788</v>
      </c>
      <c r="H39" s="166" t="e">
        <f>F39-#REF!</f>
        <v>#REF!</v>
      </c>
      <c r="J39" s="195"/>
      <c r="L39" s="200"/>
    </row>
    <row r="40" spans="1:12" ht="15" customHeight="1">
      <c r="A40" s="167" t="s">
        <v>146</v>
      </c>
      <c r="D40" s="167"/>
      <c r="E40" s="192">
        <v>4</v>
      </c>
      <c r="F40" s="200">
        <v>1770000</v>
      </c>
    </row>
    <row r="41" spans="1:12" ht="16.149999999999999" customHeight="1">
      <c r="A41" s="167" t="s">
        <v>147</v>
      </c>
      <c r="D41" s="167"/>
      <c r="E41" s="202">
        <v>3</v>
      </c>
      <c r="F41" s="200">
        <f>2762258.13+25874.3</f>
        <v>2788132.4299999997</v>
      </c>
      <c r="H41" s="166" t="e">
        <f>F41-#REF!</f>
        <v>#REF!</v>
      </c>
      <c r="J41" s="195"/>
    </row>
    <row r="42" spans="1:12" ht="16.149999999999999" customHeight="1">
      <c r="A42" s="171" t="s">
        <v>148</v>
      </c>
      <c r="D42" s="167"/>
      <c r="E42" s="205"/>
      <c r="F42" s="213">
        <f>+F37+F38+F39+F40+F41</f>
        <v>102231920.43000001</v>
      </c>
    </row>
    <row r="43" spans="1:12" ht="11.25" customHeight="1">
      <c r="A43" s="201"/>
      <c r="D43" s="167"/>
      <c r="E43" s="214"/>
      <c r="F43" s="208"/>
      <c r="G43" s="209"/>
    </row>
    <row r="44" spans="1:12">
      <c r="A44" s="167" t="s">
        <v>149</v>
      </c>
      <c r="D44" s="167"/>
      <c r="E44" s="205"/>
      <c r="F44" s="193"/>
    </row>
    <row r="45" spans="1:12" ht="16.149999999999999" customHeight="1">
      <c r="A45" s="167" t="s">
        <v>162</v>
      </c>
      <c r="D45" s="205"/>
      <c r="E45" s="202">
        <v>17</v>
      </c>
      <c r="F45" s="193">
        <v>5799000</v>
      </c>
      <c r="H45" s="166" t="e">
        <f>F45-#REF!</f>
        <v>#REF!</v>
      </c>
      <c r="J45" s="195"/>
    </row>
    <row r="46" spans="1:12" ht="16.149999999999999" customHeight="1">
      <c r="A46" s="167" t="s">
        <v>133</v>
      </c>
      <c r="D46" s="205"/>
      <c r="E46" s="202">
        <v>17</v>
      </c>
      <c r="F46" s="193">
        <f>1157400+2400</f>
        <v>1159800</v>
      </c>
      <c r="H46" s="166" t="e">
        <f>F46-#REF!</f>
        <v>#REF!</v>
      </c>
      <c r="J46" s="195"/>
    </row>
    <row r="47" spans="1:12" ht="16.149999999999999" customHeight="1">
      <c r="A47" s="167" t="s">
        <v>164</v>
      </c>
      <c r="D47" s="205"/>
      <c r="E47" s="202">
        <v>17</v>
      </c>
      <c r="F47" s="193">
        <v>1800000</v>
      </c>
      <c r="H47" s="166" t="e">
        <f>F47-#REF!</f>
        <v>#REF!</v>
      </c>
      <c r="J47" s="195"/>
    </row>
    <row r="48" spans="1:12" ht="16.149999999999999" hidden="1" customHeight="1">
      <c r="A48" s="215" t="s">
        <v>186</v>
      </c>
      <c r="D48" s="205"/>
      <c r="E48" s="202">
        <v>8</v>
      </c>
      <c r="F48" s="193">
        <v>0</v>
      </c>
      <c r="H48" s="166" t="e">
        <f>F48-#REF!</f>
        <v>#REF!</v>
      </c>
      <c r="I48" s="179" t="e">
        <f>+#REF!-F48</f>
        <v>#REF!</v>
      </c>
    </row>
    <row r="49" spans="1:10" s="198" customFormat="1" ht="16.149999999999999" customHeight="1">
      <c r="A49" s="198" t="s">
        <v>150</v>
      </c>
      <c r="C49" s="205"/>
      <c r="D49" s="205"/>
      <c r="E49" s="202">
        <v>17</v>
      </c>
      <c r="F49" s="216">
        <f>13389716.57+137550.45</f>
        <v>13527267.02</v>
      </c>
      <c r="G49" s="217"/>
      <c r="H49" s="166" t="e">
        <f>F49-#REF!</f>
        <v>#REF!</v>
      </c>
      <c r="I49" s="215"/>
      <c r="J49" s="218"/>
    </row>
    <row r="50" spans="1:10" ht="16.149999999999999" customHeight="1">
      <c r="A50" s="283" t="s">
        <v>153</v>
      </c>
      <c r="B50" s="283"/>
      <c r="D50" s="205"/>
      <c r="E50" s="202"/>
      <c r="F50" s="213">
        <f>SUM(F45:F49)</f>
        <v>22286067.02</v>
      </c>
      <c r="H50" s="219" t="e">
        <f>#REF!-#REF!-#REF!</f>
        <v>#REF!</v>
      </c>
      <c r="I50" s="198"/>
    </row>
    <row r="51" spans="1:10" s="198" customFormat="1" ht="15.75" thickBot="1">
      <c r="A51" s="204" t="s">
        <v>151</v>
      </c>
      <c r="C51" s="205"/>
      <c r="E51" s="220" t="s">
        <v>0</v>
      </c>
      <c r="F51" s="203">
        <f>+F42+F50</f>
        <v>124517987.45</v>
      </c>
      <c r="G51" s="194"/>
      <c r="H51" s="219">
        <f>F33-F42-F50</f>
        <v>-0.27700001373887062</v>
      </c>
    </row>
    <row r="52" spans="1:10" ht="15" thickTop="1"/>
    <row r="53" spans="1:10" s="228" customFormat="1" ht="14.25" customHeight="1">
      <c r="A53" s="222"/>
      <c r="B53" s="223"/>
      <c r="C53" s="224"/>
      <c r="D53" s="224"/>
      <c r="E53" s="224"/>
      <c r="F53" s="221"/>
      <c r="G53" s="226"/>
      <c r="H53" s="227"/>
    </row>
    <row r="54" spans="1:10" s="228" customFormat="1" ht="14.25" customHeight="1">
      <c r="A54" s="222"/>
      <c r="B54" s="223"/>
      <c r="C54" s="224"/>
      <c r="D54" s="224"/>
      <c r="E54" s="224"/>
      <c r="F54" s="221"/>
      <c r="G54" s="226"/>
      <c r="H54" s="227"/>
    </row>
    <row r="55" spans="1:10" s="228" customFormat="1" ht="14.25" customHeight="1">
      <c r="A55" s="222"/>
      <c r="B55" s="223"/>
      <c r="C55" s="224"/>
      <c r="D55" s="224"/>
      <c r="E55" s="224"/>
      <c r="F55" s="225"/>
      <c r="G55" s="226"/>
      <c r="H55" s="227"/>
    </row>
    <row r="56" spans="1:10" s="228" customFormat="1" ht="14.25" customHeight="1">
      <c r="A56" s="222"/>
      <c r="B56" s="223"/>
      <c r="C56" s="224"/>
      <c r="D56" s="224"/>
      <c r="E56" s="224"/>
      <c r="F56" s="225"/>
      <c r="G56" s="226"/>
      <c r="H56" s="227"/>
    </row>
    <row r="57" spans="1:10" s="228" customFormat="1" ht="14.25" customHeight="1">
      <c r="A57" s="282">
        <v>3</v>
      </c>
      <c r="B57" s="282"/>
      <c r="C57" s="282"/>
      <c r="D57" s="282"/>
      <c r="E57" s="282"/>
      <c r="F57" s="282"/>
      <c r="G57" s="282"/>
      <c r="H57" s="227"/>
    </row>
    <row r="58" spans="1:10" s="228" customFormat="1" ht="14.25" customHeight="1" thickBot="1">
      <c r="A58" s="175"/>
      <c r="B58" s="176"/>
      <c r="C58" s="176"/>
      <c r="D58" s="176"/>
      <c r="E58" s="176"/>
      <c r="F58" s="225"/>
      <c r="G58" s="229"/>
      <c r="H58" s="227"/>
    </row>
    <row r="59" spans="1:10" s="228" customFormat="1" ht="14.25" customHeight="1" thickTop="1">
      <c r="A59" s="181"/>
      <c r="B59" s="182"/>
      <c r="C59" s="182"/>
      <c r="D59" s="182"/>
      <c r="E59" s="182"/>
      <c r="F59" s="183"/>
      <c r="G59" s="230"/>
      <c r="H59" s="227"/>
    </row>
    <row r="60" spans="1:10">
      <c r="F60" s="179"/>
    </row>
  </sheetData>
  <mergeCells count="5">
    <mergeCell ref="A57:G57"/>
    <mergeCell ref="A50:B50"/>
    <mergeCell ref="A1:G1"/>
    <mergeCell ref="A4:G4"/>
    <mergeCell ref="A6:G6"/>
  </mergeCells>
  <phoneticPr fontId="39" type="noConversion"/>
  <printOptions horizontalCentered="1" verticalCentered="1"/>
  <pageMargins left="0.25" right="0.26" top="0.28000000000000003" bottom="0.2" header="0.25" footer="0.2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62"/>
  <sheetViews>
    <sheetView showGridLines="0" zoomScale="90" zoomScaleNormal="90" workbookViewId="0">
      <selection activeCell="B29" sqref="B29"/>
    </sheetView>
  </sheetViews>
  <sheetFormatPr baseColWidth="10" defaultColWidth="9.140625" defaultRowHeight="12.75"/>
  <cols>
    <col min="1" max="3" width="9.140625" style="232" customWidth="1"/>
    <col min="4" max="4" width="21.28515625" style="232" customWidth="1"/>
    <col min="5" max="5" width="11.28515625" style="232" customWidth="1"/>
    <col min="6" max="6" width="12.85546875" style="232" customWidth="1"/>
    <col min="7" max="7" width="5.140625" style="257" customWidth="1"/>
    <col min="8" max="8" width="9.140625" style="232"/>
    <col min="9" max="9" width="12.140625" style="232" bestFit="1" customWidth="1"/>
    <col min="10" max="16384" width="9.140625" style="232"/>
  </cols>
  <sheetData>
    <row r="1" spans="1:9" ht="17.25" customHeight="1">
      <c r="A1" s="286" t="s">
        <v>132</v>
      </c>
      <c r="B1" s="286"/>
      <c r="C1" s="286"/>
      <c r="D1" s="286"/>
      <c r="E1" s="286"/>
      <c r="F1" s="286"/>
      <c r="G1" s="286"/>
      <c r="H1" s="231"/>
    </row>
    <row r="2" spans="1:9" ht="15.75" customHeight="1">
      <c r="A2" s="233" t="s">
        <v>134</v>
      </c>
      <c r="B2" s="233"/>
      <c r="C2" s="233"/>
      <c r="D2" s="233"/>
      <c r="E2" s="233"/>
      <c r="F2" s="233"/>
      <c r="G2" s="278"/>
      <c r="H2" s="231"/>
    </row>
    <row r="3" spans="1:9" ht="15.75" customHeight="1">
      <c r="A3" s="233"/>
      <c r="B3" s="233"/>
      <c r="C3" s="233"/>
      <c r="D3" s="233"/>
      <c r="E3" s="233"/>
      <c r="F3" s="233"/>
      <c r="G3" s="278"/>
      <c r="H3" s="231"/>
    </row>
    <row r="4" spans="1:9">
      <c r="A4" s="287" t="s">
        <v>177</v>
      </c>
      <c r="B4" s="287"/>
      <c r="C4" s="287"/>
      <c r="D4" s="287"/>
      <c r="E4" s="287"/>
      <c r="F4" s="287"/>
      <c r="G4" s="287"/>
      <c r="H4" s="231"/>
    </row>
    <row r="5" spans="1:9">
      <c r="A5" s="235"/>
      <c r="B5" s="235"/>
      <c r="C5" s="235"/>
      <c r="D5" s="235"/>
      <c r="E5" s="235"/>
      <c r="F5" s="277"/>
      <c r="G5" s="236"/>
      <c r="H5" s="231"/>
    </row>
    <row r="6" spans="1:9">
      <c r="A6" s="288" t="s">
        <v>387</v>
      </c>
      <c r="B6" s="288"/>
      <c r="C6" s="288"/>
      <c r="D6" s="288"/>
      <c r="E6" s="288"/>
      <c r="F6" s="288"/>
      <c r="G6" s="288"/>
      <c r="H6" s="231"/>
    </row>
    <row r="7" spans="1:9">
      <c r="A7" s="234"/>
      <c r="B7" s="234"/>
      <c r="C7" s="234"/>
      <c r="D7" s="234"/>
      <c r="E7" s="234"/>
      <c r="F7" s="278"/>
      <c r="G7" s="278"/>
      <c r="H7" s="237"/>
    </row>
    <row r="8" spans="1:9" ht="6.75" customHeight="1">
      <c r="A8" s="234"/>
      <c r="B8" s="234"/>
      <c r="C8" s="234"/>
      <c r="D8" s="234"/>
      <c r="E8" s="234"/>
      <c r="F8" s="278"/>
      <c r="G8" s="278"/>
      <c r="H8" s="237"/>
    </row>
    <row r="9" spans="1:9" ht="14.25" customHeight="1">
      <c r="A9" s="238" t="s">
        <v>135</v>
      </c>
      <c r="B9" s="239"/>
      <c r="C9" s="239"/>
      <c r="D9" s="239"/>
      <c r="E9" s="239"/>
      <c r="F9" s="238"/>
      <c r="G9" s="240"/>
    </row>
    <row r="10" spans="1:9" ht="14.25" customHeight="1" thickBot="1">
      <c r="A10" s="238"/>
      <c r="B10" s="239"/>
      <c r="C10" s="239"/>
      <c r="D10" s="239"/>
      <c r="E10" s="239"/>
      <c r="F10" s="241"/>
      <c r="G10" s="241"/>
    </row>
    <row r="11" spans="1:9" ht="14.25" customHeight="1" thickTop="1">
      <c r="A11" s="242"/>
      <c r="B11" s="243"/>
      <c r="C11" s="243"/>
      <c r="D11" s="243"/>
      <c r="E11" s="243"/>
      <c r="F11" s="244"/>
      <c r="G11" s="244"/>
    </row>
    <row r="12" spans="1:9" ht="14.25" customHeight="1">
      <c r="A12" s="240"/>
      <c r="B12" s="245"/>
      <c r="C12" s="245"/>
      <c r="D12" s="245"/>
      <c r="E12" s="246" t="s">
        <v>106</v>
      </c>
      <c r="F12" s="247">
        <v>2020</v>
      </c>
      <c r="G12" s="247"/>
    </row>
    <row r="13" spans="1:9">
      <c r="A13" s="232" t="s">
        <v>5</v>
      </c>
      <c r="C13" s="248"/>
      <c r="E13" s="249"/>
      <c r="F13" s="250"/>
      <c r="G13" s="251"/>
    </row>
    <row r="14" spans="1:9">
      <c r="A14" s="232" t="s">
        <v>102</v>
      </c>
      <c r="C14" s="248"/>
      <c r="D14" s="248"/>
      <c r="E14" s="249"/>
      <c r="F14" s="250" t="s">
        <v>0</v>
      </c>
      <c r="G14" s="251"/>
    </row>
    <row r="15" spans="1:9">
      <c r="A15" s="232" t="s">
        <v>167</v>
      </c>
      <c r="C15" s="248"/>
      <c r="D15" s="248"/>
      <c r="E15" s="249" t="s">
        <v>0</v>
      </c>
      <c r="F15" s="252">
        <v>761597.18</v>
      </c>
      <c r="G15" s="251"/>
      <c r="I15" s="253"/>
    </row>
    <row r="16" spans="1:9">
      <c r="A16" s="232" t="s">
        <v>168</v>
      </c>
      <c r="C16" s="248"/>
      <c r="D16" s="248"/>
      <c r="E16" s="249"/>
      <c r="F16" s="252">
        <v>0</v>
      </c>
      <c r="G16" s="251"/>
      <c r="I16" s="253"/>
    </row>
    <row r="17" spans="1:9">
      <c r="A17" s="232" t="s">
        <v>169</v>
      </c>
      <c r="C17" s="248"/>
      <c r="D17" s="248"/>
      <c r="E17" s="249"/>
      <c r="F17" s="252">
        <v>115.06</v>
      </c>
      <c r="G17" s="251"/>
      <c r="I17" s="253"/>
    </row>
    <row r="18" spans="1:9">
      <c r="A18" s="232" t="s">
        <v>188</v>
      </c>
      <c r="C18" s="248"/>
      <c r="D18" s="248"/>
      <c r="E18" s="249"/>
      <c r="F18" s="254">
        <f>107428.59</f>
        <v>107428.59</v>
      </c>
      <c r="G18" s="251"/>
      <c r="I18" s="253"/>
    </row>
    <row r="19" spans="1:9">
      <c r="A19" s="232" t="s">
        <v>385</v>
      </c>
      <c r="C19" s="248"/>
      <c r="D19" s="248"/>
      <c r="E19" s="249" t="s">
        <v>0</v>
      </c>
      <c r="F19" s="252">
        <v>49035.93</v>
      </c>
      <c r="G19" s="251"/>
      <c r="I19" s="253"/>
    </row>
    <row r="20" spans="1:9">
      <c r="A20" s="255" t="s">
        <v>127</v>
      </c>
      <c r="C20" s="248"/>
      <c r="D20" s="248"/>
      <c r="E20" s="249"/>
      <c r="F20" s="256">
        <f>SUM(F15:F19)</f>
        <v>918176.76000000013</v>
      </c>
      <c r="G20" s="251"/>
      <c r="I20" s="253"/>
    </row>
    <row r="21" spans="1:9">
      <c r="C21" s="248"/>
      <c r="D21" s="248"/>
      <c r="E21" s="249"/>
      <c r="F21" s="252"/>
      <c r="G21" s="251"/>
      <c r="I21" s="253"/>
    </row>
    <row r="22" spans="1:9">
      <c r="A22" s="232" t="s">
        <v>109</v>
      </c>
      <c r="C22" s="248"/>
      <c r="D22" s="248"/>
      <c r="E22" s="249"/>
      <c r="F22" s="252"/>
      <c r="G22" s="251"/>
      <c r="I22" s="253"/>
    </row>
    <row r="23" spans="1:9">
      <c r="A23" s="232" t="s">
        <v>171</v>
      </c>
      <c r="C23" s="248"/>
      <c r="D23" s="248"/>
      <c r="E23" s="249" t="s">
        <v>0</v>
      </c>
      <c r="F23" s="252">
        <v>455085.67</v>
      </c>
      <c r="G23" s="251"/>
      <c r="I23" s="253"/>
    </row>
    <row r="24" spans="1:9">
      <c r="A24" s="257" t="s">
        <v>126</v>
      </c>
      <c r="B24" s="257"/>
      <c r="C24" s="258"/>
      <c r="D24" s="257"/>
      <c r="E24" s="259"/>
      <c r="F24" s="254">
        <v>19532.349999999999</v>
      </c>
      <c r="G24" s="251"/>
      <c r="I24" s="253"/>
    </row>
    <row r="25" spans="1:9">
      <c r="A25" s="255" t="s">
        <v>128</v>
      </c>
      <c r="C25" s="248"/>
      <c r="D25" s="248"/>
      <c r="E25" s="249"/>
      <c r="F25" s="256">
        <f>SUM(F23:F24)</f>
        <v>474618.01999999996</v>
      </c>
      <c r="G25" s="251"/>
    </row>
    <row r="26" spans="1:9" ht="12" customHeight="1">
      <c r="A26" s="255"/>
      <c r="C26" s="248"/>
      <c r="D26" s="248"/>
      <c r="E26" s="249"/>
      <c r="F26" s="254"/>
      <c r="G26" s="251"/>
    </row>
    <row r="27" spans="1:9">
      <c r="A27" s="255" t="s">
        <v>172</v>
      </c>
      <c r="C27" s="248"/>
      <c r="D27" s="248"/>
      <c r="E27" s="249"/>
      <c r="F27" s="254">
        <f>+F20-F25</f>
        <v>443558.74000000017</v>
      </c>
      <c r="G27" s="251"/>
    </row>
    <row r="28" spans="1:9" ht="13.5" customHeight="1">
      <c r="A28" s="257"/>
      <c r="B28" s="257"/>
      <c r="C28" s="258"/>
      <c r="D28" s="257"/>
      <c r="E28" s="259"/>
      <c r="F28" s="254"/>
      <c r="G28" s="251"/>
    </row>
    <row r="29" spans="1:9">
      <c r="A29" s="232" t="s">
        <v>154</v>
      </c>
      <c r="C29" s="248"/>
      <c r="D29" s="248"/>
      <c r="E29" s="249">
        <v>7</v>
      </c>
      <c r="F29" s="260">
        <v>-59305.966999999997</v>
      </c>
      <c r="G29" s="251"/>
    </row>
    <row r="30" spans="1:9" ht="15" customHeight="1">
      <c r="A30" s="232" t="s">
        <v>173</v>
      </c>
      <c r="C30" s="248"/>
      <c r="D30" s="248"/>
      <c r="E30" s="249"/>
      <c r="F30" s="254"/>
      <c r="G30" s="251"/>
    </row>
    <row r="31" spans="1:9">
      <c r="A31" s="232" t="s">
        <v>174</v>
      </c>
      <c r="C31" s="248"/>
      <c r="D31" s="248"/>
      <c r="E31" s="249"/>
      <c r="F31" s="260">
        <f>+F27-F29</f>
        <v>502864.70700000017</v>
      </c>
      <c r="G31" s="251"/>
    </row>
    <row r="32" spans="1:9">
      <c r="A32" s="257"/>
      <c r="B32" s="257"/>
      <c r="C32" s="258"/>
      <c r="D32" s="257"/>
      <c r="E32" s="259"/>
      <c r="F32" s="254"/>
      <c r="G32" s="251"/>
    </row>
    <row r="33" spans="1:9">
      <c r="A33" s="255" t="s">
        <v>129</v>
      </c>
      <c r="C33" s="248"/>
      <c r="D33" s="248"/>
      <c r="E33" s="249"/>
      <c r="F33" s="252"/>
      <c r="G33" s="251"/>
    </row>
    <row r="34" spans="1:9" hidden="1">
      <c r="A34" s="232" t="s">
        <v>381</v>
      </c>
      <c r="C34" s="248"/>
      <c r="D34" s="248"/>
      <c r="E34" s="249"/>
      <c r="F34" s="252">
        <v>0</v>
      </c>
      <c r="G34" s="251"/>
    </row>
    <row r="35" spans="1:9">
      <c r="A35" s="232" t="s">
        <v>130</v>
      </c>
      <c r="C35" s="248"/>
      <c r="D35" s="248"/>
      <c r="E35" s="249"/>
      <c r="F35" s="252">
        <v>13420.24</v>
      </c>
      <c r="G35" s="251"/>
      <c r="I35" s="261"/>
    </row>
    <row r="36" spans="1:9">
      <c r="A36" s="255"/>
      <c r="C36" s="248"/>
      <c r="D36" s="248"/>
      <c r="E36" s="249"/>
      <c r="F36" s="256">
        <f>SUM(F34:F35)</f>
        <v>13420.24</v>
      </c>
      <c r="G36" s="251"/>
    </row>
    <row r="37" spans="1:9">
      <c r="C37" s="248"/>
      <c r="D37" s="248"/>
      <c r="E37" s="249"/>
      <c r="F37" s="254"/>
      <c r="G37" s="251"/>
    </row>
    <row r="38" spans="1:9">
      <c r="A38" s="232" t="s">
        <v>6</v>
      </c>
      <c r="C38" s="248"/>
      <c r="D38" s="248"/>
      <c r="E38" s="249"/>
      <c r="F38" s="252"/>
      <c r="G38" s="251"/>
    </row>
    <row r="39" spans="1:9">
      <c r="A39" s="232" t="s">
        <v>7</v>
      </c>
      <c r="C39" s="248"/>
      <c r="D39" s="248"/>
      <c r="E39" s="249">
        <v>14</v>
      </c>
      <c r="F39" s="252">
        <v>167909.41899999999</v>
      </c>
      <c r="G39" s="251"/>
      <c r="I39" s="261"/>
    </row>
    <row r="40" spans="1:9">
      <c r="A40" s="232" t="s">
        <v>8</v>
      </c>
      <c r="C40" s="248"/>
      <c r="D40" s="248"/>
      <c r="E40" s="249">
        <v>9</v>
      </c>
      <c r="F40" s="252">
        <v>20563.25</v>
      </c>
      <c r="G40" s="251"/>
      <c r="I40" s="261"/>
    </row>
    <row r="41" spans="1:9">
      <c r="A41" s="232" t="s">
        <v>108</v>
      </c>
      <c r="C41" s="248"/>
      <c r="D41" s="248"/>
      <c r="E41" s="249"/>
      <c r="F41" s="252">
        <v>24315.35</v>
      </c>
      <c r="G41" s="251"/>
      <c r="I41" s="261"/>
    </row>
    <row r="42" spans="1:9">
      <c r="A42" s="232" t="s">
        <v>9</v>
      </c>
      <c r="C42" s="248"/>
      <c r="D42" s="248"/>
      <c r="E42" s="249"/>
      <c r="F42" s="252">
        <v>35303.089999999997</v>
      </c>
      <c r="G42" s="251"/>
      <c r="I42" s="261"/>
    </row>
    <row r="43" spans="1:9">
      <c r="A43" s="232" t="s">
        <v>10</v>
      </c>
      <c r="C43" s="248"/>
      <c r="D43" s="248"/>
      <c r="E43" s="249">
        <v>14</v>
      </c>
      <c r="F43" s="252">
        <v>48410.879999999997</v>
      </c>
      <c r="G43" s="251"/>
      <c r="I43" s="261"/>
    </row>
    <row r="44" spans="1:9">
      <c r="A44" s="255" t="s">
        <v>131</v>
      </c>
      <c r="C44" s="248"/>
      <c r="D44" s="248"/>
      <c r="E44" s="249"/>
      <c r="F44" s="256">
        <f>SUM(F39:F43)</f>
        <v>296501.989</v>
      </c>
      <c r="G44" s="251"/>
    </row>
    <row r="45" spans="1:9" ht="13.5" customHeight="1">
      <c r="A45" s="255"/>
      <c r="C45" s="248"/>
      <c r="D45" s="248"/>
      <c r="E45" s="249"/>
      <c r="F45" s="254"/>
      <c r="G45" s="251"/>
    </row>
    <row r="46" spans="1:9">
      <c r="A46" s="255" t="s">
        <v>175</v>
      </c>
      <c r="C46" s="248"/>
      <c r="D46" s="248"/>
      <c r="E46" s="249"/>
      <c r="F46" s="252">
        <f>+F31+F36-F44</f>
        <v>219782.95800000016</v>
      </c>
      <c r="G46" s="251"/>
    </row>
    <row r="47" spans="1:9">
      <c r="A47" s="255"/>
      <c r="C47" s="248"/>
      <c r="D47" s="248"/>
      <c r="E47" s="249"/>
      <c r="F47" s="250"/>
      <c r="G47" s="251"/>
    </row>
    <row r="48" spans="1:9">
      <c r="A48" s="232" t="s">
        <v>31</v>
      </c>
      <c r="C48" s="248"/>
      <c r="D48" s="248"/>
      <c r="E48" s="249">
        <v>16</v>
      </c>
      <c r="F48" s="251">
        <v>73736</v>
      </c>
      <c r="G48" s="251"/>
      <c r="I48" s="261"/>
    </row>
    <row r="49" spans="1:10">
      <c r="A49" s="232" t="s">
        <v>383</v>
      </c>
      <c r="C49" s="248"/>
      <c r="D49" s="248"/>
      <c r="E49" s="249"/>
      <c r="F49" s="251">
        <v>8496.59</v>
      </c>
      <c r="G49" s="251"/>
      <c r="I49" s="261"/>
    </row>
    <row r="50" spans="1:10" ht="13.5" thickBot="1">
      <c r="A50" s="262" t="s">
        <v>136</v>
      </c>
      <c r="B50" s="257"/>
      <c r="C50" s="258"/>
      <c r="D50" s="248"/>
      <c r="E50" s="263"/>
      <c r="F50" s="279">
        <f>+F46-F48-F49</f>
        <v>137550.36800000016</v>
      </c>
      <c r="G50" s="251"/>
    </row>
    <row r="51" spans="1:10" ht="9.75" customHeight="1" thickTop="1">
      <c r="A51" s="262"/>
      <c r="B51" s="257"/>
      <c r="C51" s="258"/>
      <c r="D51" s="248"/>
      <c r="E51" s="263"/>
      <c r="F51" s="264"/>
      <c r="G51" s="264"/>
    </row>
    <row r="52" spans="1:10" s="266" customFormat="1" ht="14.1" customHeight="1">
      <c r="A52" s="265" t="s">
        <v>189</v>
      </c>
      <c r="E52" s="267"/>
      <c r="F52" s="268"/>
      <c r="G52" s="268"/>
      <c r="H52" s="269"/>
      <c r="I52" s="269"/>
      <c r="J52" s="269"/>
    </row>
    <row r="53" spans="1:10" s="266" customFormat="1" ht="14.1" customHeight="1">
      <c r="A53" s="270" t="s">
        <v>190</v>
      </c>
      <c r="E53" s="271">
        <v>8</v>
      </c>
      <c r="F53" s="272"/>
      <c r="G53" s="272"/>
    </row>
    <row r="54" spans="1:10" s="266" customFormat="1" ht="14.1" customHeight="1">
      <c r="A54" s="270" t="s">
        <v>185</v>
      </c>
      <c r="E54" s="271"/>
      <c r="F54" s="272">
        <v>0</v>
      </c>
      <c r="G54" s="272"/>
    </row>
    <row r="55" spans="1:10" s="266" customFormat="1" ht="15.75" customHeight="1" thickBot="1">
      <c r="A55" s="265" t="s">
        <v>176</v>
      </c>
      <c r="E55" s="267"/>
      <c r="F55" s="273">
        <f>+F50+F54</f>
        <v>137550.36800000016</v>
      </c>
      <c r="G55" s="272"/>
    </row>
    <row r="56" spans="1:10" s="266" customFormat="1" ht="15.75" customHeight="1" thickTop="1">
      <c r="A56" s="265"/>
      <c r="E56" s="267"/>
      <c r="F56" s="272"/>
      <c r="G56" s="272"/>
    </row>
    <row r="57" spans="1:10" s="266" customFormat="1" ht="15.75" customHeight="1">
      <c r="A57" s="265"/>
      <c r="E57" s="267"/>
      <c r="F57" s="272"/>
      <c r="G57" s="272"/>
    </row>
    <row r="58" spans="1:10">
      <c r="A58" s="274"/>
      <c r="B58" s="257"/>
      <c r="C58" s="258"/>
      <c r="D58" s="248"/>
      <c r="E58" s="263"/>
      <c r="F58" s="275"/>
      <c r="G58" s="275"/>
    </row>
    <row r="59" spans="1:10" ht="7.5" customHeight="1"/>
    <row r="60" spans="1:10">
      <c r="A60" s="289">
        <v>4</v>
      </c>
      <c r="B60" s="289"/>
      <c r="C60" s="289"/>
      <c r="D60" s="289"/>
      <c r="E60" s="289"/>
      <c r="F60" s="289"/>
      <c r="G60" s="289"/>
    </row>
    <row r="61" spans="1:10" ht="14.25" customHeight="1" thickBot="1">
      <c r="A61" s="238"/>
      <c r="B61" s="239"/>
      <c r="C61" s="239"/>
      <c r="D61" s="239"/>
      <c r="E61" s="239"/>
      <c r="F61" s="241"/>
      <c r="G61" s="241"/>
    </row>
    <row r="62" spans="1:10" ht="14.25" customHeight="1" thickTop="1">
      <c r="A62" s="242"/>
      <c r="B62" s="243"/>
      <c r="C62" s="243"/>
      <c r="D62" s="243"/>
      <c r="E62" s="243"/>
      <c r="F62" s="244"/>
      <c r="G62" s="244"/>
    </row>
  </sheetData>
  <mergeCells count="4">
    <mergeCell ref="A1:G1"/>
    <mergeCell ref="A4:G4"/>
    <mergeCell ref="A6:G6"/>
    <mergeCell ref="A60:G60"/>
  </mergeCells>
  <phoneticPr fontId="39" type="noConversion"/>
  <printOptions horizontalCentered="1" verticalCentered="1"/>
  <pageMargins left="0.9055118110236221" right="0.27559055118110237" top="0.23622047244094491" bottom="0.19685039370078741" header="0.23622047244094491" footer="0.23622047244094491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79"/>
  <sheetViews>
    <sheetView topLeftCell="A240" workbookViewId="0">
      <selection activeCell="H207" sqref="H207:H277"/>
    </sheetView>
  </sheetViews>
  <sheetFormatPr baseColWidth="10" defaultRowHeight="12"/>
  <cols>
    <col min="1" max="1" width="36.5703125" style="104" customWidth="1"/>
    <col min="2" max="2" width="14.5703125" style="106" customWidth="1"/>
    <col min="3" max="3" width="11.42578125" style="106"/>
    <col min="4" max="4" width="14" style="106" customWidth="1"/>
    <col min="5" max="5" width="14.42578125" style="106" customWidth="1"/>
    <col min="6" max="6" width="15.140625" style="106" customWidth="1"/>
    <col min="7" max="7" width="14.5703125" style="106" customWidth="1"/>
    <col min="8" max="8" width="42.140625" style="104" customWidth="1"/>
    <col min="9" max="16384" width="11.42578125" style="104"/>
  </cols>
  <sheetData>
    <row r="1" spans="1:8" ht="36">
      <c r="A1" s="102" t="s">
        <v>323</v>
      </c>
      <c r="B1" s="103" t="s">
        <v>197</v>
      </c>
      <c r="C1" s="103" t="s">
        <v>198</v>
      </c>
      <c r="D1" s="103" t="s">
        <v>178</v>
      </c>
      <c r="E1" s="103" t="s">
        <v>199</v>
      </c>
      <c r="F1" s="103" t="s">
        <v>200</v>
      </c>
      <c r="G1" s="103" t="s">
        <v>201</v>
      </c>
    </row>
    <row r="2" spans="1:8">
      <c r="A2" s="105" t="s">
        <v>202</v>
      </c>
    </row>
    <row r="3" spans="1:8">
      <c r="A3" s="107" t="s">
        <v>203</v>
      </c>
    </row>
    <row r="4" spans="1:8" s="110" customFormat="1">
      <c r="A4" s="108" t="s">
        <v>202</v>
      </c>
      <c r="B4" s="109"/>
      <c r="C4" s="109"/>
      <c r="D4" s="109"/>
      <c r="E4" s="109"/>
      <c r="F4" s="109"/>
      <c r="G4" s="109"/>
    </row>
    <row r="5" spans="1:8" s="110" customFormat="1" ht="15">
      <c r="A5" s="111" t="s">
        <v>158</v>
      </c>
      <c r="B5" s="112">
        <f>D5-C5</f>
        <v>298144.23</v>
      </c>
      <c r="C5" s="112">
        <v>0</v>
      </c>
      <c r="D5" s="112">
        <f>SUM(E5:G5)</f>
        <v>298144.23</v>
      </c>
      <c r="E5" s="112">
        <v>296182.49</v>
      </c>
      <c r="F5" s="112">
        <v>661.74</v>
      </c>
      <c r="G5" s="112">
        <v>1300</v>
      </c>
      <c r="H5" s="60" t="s">
        <v>161</v>
      </c>
    </row>
    <row r="6" spans="1:8" s="110" customFormat="1" ht="15">
      <c r="A6" s="111" t="s">
        <v>204</v>
      </c>
      <c r="B6" s="112">
        <f>D6-C6</f>
        <v>19460813.829999998</v>
      </c>
      <c r="C6" s="112">
        <v>0</v>
      </c>
      <c r="D6" s="112">
        <f>SUM(E6:G6)</f>
        <v>19460813.829999998</v>
      </c>
      <c r="E6" s="112">
        <f>10375782.04-242.63-242.63</f>
        <v>10375296.779999997</v>
      </c>
      <c r="F6" s="112">
        <v>2713087.6</v>
      </c>
      <c r="G6" s="112">
        <v>6372429.4500000002</v>
      </c>
      <c r="H6" s="60" t="s">
        <v>165</v>
      </c>
    </row>
    <row r="7" spans="1:8" s="110" customFormat="1" ht="15">
      <c r="A7" s="111" t="s">
        <v>205</v>
      </c>
      <c r="B7" s="112">
        <f>D7-C7</f>
        <v>8523164.3699999992</v>
      </c>
      <c r="C7" s="112">
        <v>676014.74</v>
      </c>
      <c r="D7" s="112">
        <f>SUM(E7:G7)</f>
        <v>9199179.1099999994</v>
      </c>
      <c r="E7" s="112">
        <v>1275796.99</v>
      </c>
      <c r="F7" s="112">
        <v>7195216.4100000001</v>
      </c>
      <c r="G7" s="112">
        <v>728165.71</v>
      </c>
      <c r="H7" s="60" t="s">
        <v>191</v>
      </c>
    </row>
    <row r="8" spans="1:8" s="110" customFormat="1">
      <c r="A8" s="111" t="s">
        <v>206</v>
      </c>
      <c r="B8" s="112">
        <f>D8-C8</f>
        <v>1500000</v>
      </c>
      <c r="C8" s="112">
        <v>0</v>
      </c>
      <c r="D8" s="112">
        <f>SUM(E8:G8)</f>
        <v>1500000</v>
      </c>
      <c r="E8" s="112">
        <v>1500000</v>
      </c>
      <c r="F8" s="112">
        <v>0</v>
      </c>
      <c r="G8" s="112">
        <v>0</v>
      </c>
    </row>
    <row r="9" spans="1:8">
      <c r="A9" s="107" t="s">
        <v>207</v>
      </c>
      <c r="B9" s="113">
        <f t="shared" ref="B9:G9" si="0">SUM(B5:B8)</f>
        <v>29782122.43</v>
      </c>
      <c r="C9" s="113">
        <f t="shared" si="0"/>
        <v>676014.74</v>
      </c>
      <c r="D9" s="113">
        <f t="shared" si="0"/>
        <v>30458137.169999998</v>
      </c>
      <c r="E9" s="113">
        <f t="shared" si="0"/>
        <v>13447276.259999998</v>
      </c>
      <c r="F9" s="113">
        <f t="shared" si="0"/>
        <v>9908965.75</v>
      </c>
      <c r="G9" s="113">
        <f t="shared" si="0"/>
        <v>7101895.1600000001</v>
      </c>
    </row>
    <row r="10" spans="1:8" s="110" customFormat="1">
      <c r="A10" s="108" t="s">
        <v>202</v>
      </c>
      <c r="B10" s="109"/>
      <c r="C10" s="109"/>
      <c r="D10" s="109"/>
      <c r="E10" s="109"/>
      <c r="F10" s="109"/>
      <c r="G10" s="109"/>
    </row>
    <row r="11" spans="1:8" s="110" customFormat="1">
      <c r="A11" s="111" t="s">
        <v>208</v>
      </c>
      <c r="B11" s="112">
        <f t="shared" ref="B11:B16" si="1">D11-C11</f>
        <v>30530719.690000001</v>
      </c>
      <c r="C11" s="112">
        <v>0</v>
      </c>
      <c r="D11" s="112">
        <f t="shared" ref="D11:D16" si="2">SUM(E11:G11)</f>
        <v>30530719.690000001</v>
      </c>
      <c r="E11" s="112">
        <v>30530719.690000001</v>
      </c>
      <c r="F11" s="112">
        <v>0</v>
      </c>
      <c r="G11" s="112">
        <v>0</v>
      </c>
    </row>
    <row r="12" spans="1:8" s="110" customFormat="1">
      <c r="A12" s="111" t="s">
        <v>209</v>
      </c>
      <c r="B12" s="112">
        <f t="shared" si="1"/>
        <v>5977184.54</v>
      </c>
      <c r="C12" s="112">
        <v>0</v>
      </c>
      <c r="D12" s="112">
        <f t="shared" si="2"/>
        <v>5977184.54</v>
      </c>
      <c r="E12" s="112">
        <v>2056550</v>
      </c>
      <c r="F12" s="112">
        <v>3920634.54</v>
      </c>
      <c r="G12" s="112">
        <v>0</v>
      </c>
    </row>
    <row r="13" spans="1:8" s="110" customFormat="1">
      <c r="A13" s="111" t="s">
        <v>210</v>
      </c>
      <c r="B13" s="112">
        <f t="shared" si="1"/>
        <v>715709.19</v>
      </c>
      <c r="C13" s="112">
        <v>0</v>
      </c>
      <c r="D13" s="112">
        <f t="shared" si="2"/>
        <v>715709.19</v>
      </c>
      <c r="E13" s="112">
        <v>217536.96</v>
      </c>
      <c r="F13" s="112">
        <v>498172.23</v>
      </c>
      <c r="G13" s="112">
        <v>0</v>
      </c>
    </row>
    <row r="14" spans="1:8" s="110" customFormat="1">
      <c r="A14" s="111" t="s">
        <v>211</v>
      </c>
      <c r="B14" s="112">
        <f t="shared" si="1"/>
        <v>575049.97</v>
      </c>
      <c r="C14" s="112">
        <v>33621.65</v>
      </c>
      <c r="D14" s="112">
        <f t="shared" si="2"/>
        <v>608671.62</v>
      </c>
      <c r="E14" s="112">
        <v>33621.65</v>
      </c>
      <c r="F14" s="112">
        <v>575049.97</v>
      </c>
      <c r="G14" s="112">
        <v>0</v>
      </c>
    </row>
    <row r="15" spans="1:8" s="110" customFormat="1">
      <c r="A15" s="111" t="s">
        <v>212</v>
      </c>
      <c r="B15" s="112">
        <f t="shared" si="1"/>
        <v>53657.25</v>
      </c>
      <c r="C15" s="112">
        <v>0</v>
      </c>
      <c r="D15" s="112">
        <f t="shared" si="2"/>
        <v>53657.25</v>
      </c>
      <c r="E15" s="112">
        <v>53657.25</v>
      </c>
      <c r="F15" s="112"/>
      <c r="G15" s="112">
        <v>0</v>
      </c>
    </row>
    <row r="16" spans="1:8" s="110" customFormat="1">
      <c r="A16" s="111" t="s">
        <v>213</v>
      </c>
      <c r="B16" s="112">
        <f t="shared" si="1"/>
        <v>7713285.9699999997</v>
      </c>
      <c r="C16" s="112">
        <v>0</v>
      </c>
      <c r="D16" s="112">
        <f t="shared" si="2"/>
        <v>7713285.9699999997</v>
      </c>
      <c r="E16" s="112">
        <v>7713285.9699999997</v>
      </c>
      <c r="F16" s="112">
        <v>0</v>
      </c>
      <c r="G16" s="112">
        <v>0</v>
      </c>
    </row>
    <row r="17" spans="1:8">
      <c r="A17" s="107" t="s">
        <v>159</v>
      </c>
      <c r="B17" s="113">
        <f t="shared" ref="B17:G17" si="3">SUM(B11:B16)</f>
        <v>45565606.609999999</v>
      </c>
      <c r="C17" s="113">
        <f t="shared" si="3"/>
        <v>33621.65</v>
      </c>
      <c r="D17" s="113">
        <f t="shared" si="3"/>
        <v>45599228.259999998</v>
      </c>
      <c r="E17" s="113">
        <f>SUM(E11:E16)</f>
        <v>40605371.520000003</v>
      </c>
      <c r="F17" s="113">
        <f t="shared" si="3"/>
        <v>4993856.7399999993</v>
      </c>
      <c r="G17" s="113">
        <f t="shared" si="3"/>
        <v>0</v>
      </c>
    </row>
    <row r="18" spans="1:8" s="110" customFormat="1">
      <c r="A18" s="108" t="s">
        <v>202</v>
      </c>
      <c r="B18" s="109"/>
      <c r="C18" s="109"/>
      <c r="D18" s="109"/>
      <c r="E18" s="109"/>
      <c r="F18" s="109"/>
      <c r="G18" s="109"/>
    </row>
    <row r="19" spans="1:8" ht="15">
      <c r="A19" s="107" t="s">
        <v>214</v>
      </c>
      <c r="B19" s="113">
        <f>D19-C19</f>
        <v>0</v>
      </c>
      <c r="C19" s="113">
        <v>25503062.690000001</v>
      </c>
      <c r="D19" s="113">
        <f>SUM(E19:G19)</f>
        <v>25503062.690000001</v>
      </c>
      <c r="E19" s="113">
        <v>25246740.100000001</v>
      </c>
      <c r="F19" s="113">
        <v>0</v>
      </c>
      <c r="G19" s="113">
        <v>256322.59</v>
      </c>
      <c r="H19" s="60" t="s">
        <v>180</v>
      </c>
    </row>
    <row r="20" spans="1:8">
      <c r="A20" s="107"/>
      <c r="B20" s="113"/>
      <c r="C20" s="113"/>
      <c r="D20" s="113"/>
      <c r="E20" s="113"/>
      <c r="F20" s="113"/>
      <c r="G20" s="113"/>
    </row>
    <row r="21" spans="1:8">
      <c r="A21" s="107" t="s">
        <v>215</v>
      </c>
      <c r="B21" s="113">
        <f>D21-C21</f>
        <v>1305199.1299999999</v>
      </c>
      <c r="C21" s="113">
        <v>0</v>
      </c>
      <c r="D21" s="113">
        <f>SUM(E21:G21)</f>
        <v>1305199.1299999999</v>
      </c>
      <c r="E21" s="113">
        <v>1305199.1299999999</v>
      </c>
      <c r="F21" s="113">
        <v>0</v>
      </c>
      <c r="G21" s="113">
        <v>0</v>
      </c>
    </row>
    <row r="22" spans="1:8" s="110" customFormat="1">
      <c r="A22" s="108" t="s">
        <v>202</v>
      </c>
      <c r="B22" s="109"/>
      <c r="C22" s="109"/>
      <c r="D22" s="109"/>
      <c r="E22" s="109"/>
      <c r="F22" s="109"/>
      <c r="G22" s="109"/>
    </row>
    <row r="23" spans="1:8" s="110" customFormat="1">
      <c r="A23" s="111" t="s">
        <v>216</v>
      </c>
      <c r="B23" s="112">
        <f>D23-C23</f>
        <v>451303164.35000002</v>
      </c>
      <c r="C23" s="112">
        <v>0</v>
      </c>
      <c r="D23" s="112">
        <f>SUM(E23:G23)</f>
        <v>451303164.35000002</v>
      </c>
      <c r="E23" s="112">
        <v>291915809.51999998</v>
      </c>
      <c r="F23" s="112">
        <v>32784921.420000002</v>
      </c>
      <c r="G23" s="112">
        <v>126602433.41</v>
      </c>
    </row>
    <row r="24" spans="1:8" s="110" customFormat="1">
      <c r="A24" s="111" t="s">
        <v>217</v>
      </c>
      <c r="B24" s="112">
        <f>D24-C24</f>
        <v>39265696.839999996</v>
      </c>
      <c r="C24" s="112">
        <v>0</v>
      </c>
      <c r="D24" s="112">
        <f>SUM(E24:G24)</f>
        <v>39265696.839999996</v>
      </c>
      <c r="E24" s="112">
        <v>29017663.039999999</v>
      </c>
      <c r="F24" s="112">
        <v>5166989.09</v>
      </c>
      <c r="G24" s="112">
        <v>5081044.71</v>
      </c>
    </row>
    <row r="25" spans="1:8" s="110" customFormat="1">
      <c r="A25" s="111" t="s">
        <v>218</v>
      </c>
      <c r="B25" s="112">
        <f>D25-C25</f>
        <v>225168.06</v>
      </c>
      <c r="C25" s="112">
        <v>0</v>
      </c>
      <c r="D25" s="112">
        <f>SUM(E25:G25)</f>
        <v>225168.06</v>
      </c>
      <c r="E25" s="112">
        <v>225168.06</v>
      </c>
      <c r="F25" s="112">
        <v>0</v>
      </c>
      <c r="G25" s="112">
        <v>0</v>
      </c>
    </row>
    <row r="26" spans="1:8" ht="15">
      <c r="A26" s="107" t="s">
        <v>219</v>
      </c>
      <c r="B26" s="113">
        <f t="shared" ref="B26:G26" si="4">SUM(B23:B25)</f>
        <v>490794029.25</v>
      </c>
      <c r="C26" s="113">
        <f t="shared" si="4"/>
        <v>0</v>
      </c>
      <c r="D26" s="113">
        <f t="shared" si="4"/>
        <v>490794029.25</v>
      </c>
      <c r="E26" s="113">
        <f t="shared" si="4"/>
        <v>321158640.62</v>
      </c>
      <c r="F26" s="113">
        <f t="shared" si="4"/>
        <v>37951910.510000005</v>
      </c>
      <c r="G26" s="113">
        <f t="shared" si="4"/>
        <v>131683478.11999999</v>
      </c>
      <c r="H26" s="60" t="s">
        <v>181</v>
      </c>
    </row>
    <row r="27" spans="1:8" s="110" customFormat="1" ht="15">
      <c r="A27" s="111" t="s">
        <v>220</v>
      </c>
      <c r="B27" s="112">
        <f>D27-C27</f>
        <v>-290268.46000000008</v>
      </c>
      <c r="C27" s="112">
        <v>0</v>
      </c>
      <c r="D27" s="112">
        <f>SUM(E27:G27)</f>
        <v>-290268.46000000008</v>
      </c>
      <c r="E27" s="112">
        <v>-54862.58</v>
      </c>
      <c r="F27" s="112">
        <f>-1757389.04+1726734.2</f>
        <v>-30654.840000000084</v>
      </c>
      <c r="G27" s="112">
        <v>-204751.04</v>
      </c>
      <c r="H27" s="61" t="s">
        <v>187</v>
      </c>
    </row>
    <row r="28" spans="1:8">
      <c r="A28" s="107" t="s">
        <v>221</v>
      </c>
      <c r="B28" s="113">
        <f t="shared" ref="B28:G28" si="5">B26+B27</f>
        <v>490503760.79000002</v>
      </c>
      <c r="C28" s="113">
        <f t="shared" si="5"/>
        <v>0</v>
      </c>
      <c r="D28" s="113">
        <f t="shared" si="5"/>
        <v>490503760.79000002</v>
      </c>
      <c r="E28" s="113">
        <f t="shared" si="5"/>
        <v>321103778.04000002</v>
      </c>
      <c r="F28" s="113">
        <f t="shared" si="5"/>
        <v>37921255.670000002</v>
      </c>
      <c r="G28" s="113">
        <f t="shared" si="5"/>
        <v>131478727.07999998</v>
      </c>
    </row>
    <row r="29" spans="1:8" s="110" customFormat="1">
      <c r="A29" s="108" t="s">
        <v>202</v>
      </c>
      <c r="B29" s="109"/>
      <c r="C29" s="109"/>
      <c r="D29" s="109"/>
      <c r="E29" s="109"/>
      <c r="F29" s="109"/>
      <c r="G29" s="109"/>
    </row>
    <row r="30" spans="1:8" s="110" customFormat="1">
      <c r="A30" s="111" t="s">
        <v>222</v>
      </c>
      <c r="B30" s="112">
        <f t="shared" ref="B30:B36" si="6">D30-C30</f>
        <v>912164.32000000007</v>
      </c>
      <c r="C30" s="112">
        <v>0</v>
      </c>
      <c r="D30" s="112">
        <f t="shared" ref="D30:D36" si="7">SUM(E30:G30)</f>
        <v>912164.32000000007</v>
      </c>
      <c r="E30" s="112">
        <v>710539.16</v>
      </c>
      <c r="F30" s="112">
        <v>0</v>
      </c>
      <c r="G30" s="112">
        <v>201625.16</v>
      </c>
    </row>
    <row r="31" spans="1:8" s="110" customFormat="1">
      <c r="A31" s="111" t="s">
        <v>223</v>
      </c>
      <c r="B31" s="112">
        <f t="shared" si="6"/>
        <v>578780.19999999995</v>
      </c>
      <c r="C31" s="112">
        <v>0</v>
      </c>
      <c r="D31" s="112">
        <f t="shared" si="7"/>
        <v>578780.19999999995</v>
      </c>
      <c r="E31" s="112">
        <v>409630.52</v>
      </c>
      <c r="F31" s="112">
        <v>48168.73</v>
      </c>
      <c r="G31" s="112">
        <v>120980.95</v>
      </c>
    </row>
    <row r="32" spans="1:8" s="110" customFormat="1">
      <c r="A32" s="111" t="s">
        <v>224</v>
      </c>
      <c r="B32" s="112">
        <f t="shared" si="6"/>
        <v>795280.83000000007</v>
      </c>
      <c r="C32" s="112">
        <v>0</v>
      </c>
      <c r="D32" s="112">
        <f t="shared" si="7"/>
        <v>795280.83000000007</v>
      </c>
      <c r="E32" s="112">
        <v>673798.06</v>
      </c>
      <c r="F32" s="112">
        <v>0</v>
      </c>
      <c r="G32" s="112">
        <v>121482.77</v>
      </c>
    </row>
    <row r="33" spans="1:9" s="110" customFormat="1">
      <c r="A33" s="111" t="s">
        <v>225</v>
      </c>
      <c r="B33" s="112">
        <f t="shared" si="6"/>
        <v>833650.19</v>
      </c>
      <c r="C33" s="112">
        <v>0</v>
      </c>
      <c r="D33" s="112">
        <f t="shared" si="7"/>
        <v>833650.19</v>
      </c>
      <c r="E33" s="112">
        <v>560052.01</v>
      </c>
      <c r="F33" s="112">
        <v>91784.37</v>
      </c>
      <c r="G33" s="112">
        <v>181813.81</v>
      </c>
    </row>
    <row r="34" spans="1:9" s="110" customFormat="1">
      <c r="A34" s="111" t="s">
        <v>226</v>
      </c>
      <c r="B34" s="112">
        <f t="shared" si="6"/>
        <v>698540.41</v>
      </c>
      <c r="C34" s="112">
        <v>0</v>
      </c>
      <c r="D34" s="112">
        <f t="shared" si="7"/>
        <v>698540.41</v>
      </c>
      <c r="E34" s="112">
        <v>593323.31000000006</v>
      </c>
      <c r="F34" s="112">
        <v>0</v>
      </c>
      <c r="G34" s="112">
        <v>105217.1</v>
      </c>
    </row>
    <row r="35" spans="1:9" s="110" customFormat="1">
      <c r="A35" s="111" t="s">
        <v>227</v>
      </c>
      <c r="B35" s="112">
        <f t="shared" si="6"/>
        <v>358709.58999999997</v>
      </c>
      <c r="C35" s="112">
        <v>0</v>
      </c>
      <c r="D35" s="112">
        <f t="shared" si="7"/>
        <v>358709.58999999997</v>
      </c>
      <c r="E35" s="112">
        <v>271266.09999999998</v>
      </c>
      <c r="F35" s="112">
        <v>0</v>
      </c>
      <c r="G35" s="112">
        <v>87443.49</v>
      </c>
    </row>
    <row r="36" spans="1:9" s="110" customFormat="1">
      <c r="A36" s="111" t="s">
        <v>228</v>
      </c>
      <c r="B36" s="114">
        <f t="shared" si="6"/>
        <v>0</v>
      </c>
      <c r="C36" s="114">
        <v>0</v>
      </c>
      <c r="D36" s="114">
        <f t="shared" si="7"/>
        <v>0</v>
      </c>
      <c r="E36" s="114">
        <v>0</v>
      </c>
      <c r="F36" s="114">
        <v>0</v>
      </c>
      <c r="G36" s="114">
        <v>0</v>
      </c>
    </row>
    <row r="37" spans="1:9" s="110" customFormat="1" ht="15">
      <c r="A37" s="111" t="s">
        <v>229</v>
      </c>
      <c r="B37" s="112">
        <f t="shared" ref="B37:G37" si="8">SUM(B30:B36)</f>
        <v>4177125.54</v>
      </c>
      <c r="C37" s="112">
        <f t="shared" si="8"/>
        <v>0</v>
      </c>
      <c r="D37" s="112">
        <f t="shared" si="8"/>
        <v>4177125.54</v>
      </c>
      <c r="E37" s="112">
        <f t="shared" si="8"/>
        <v>3218609.16</v>
      </c>
      <c r="F37" s="112">
        <f t="shared" si="8"/>
        <v>139953.1</v>
      </c>
      <c r="G37" s="112">
        <f t="shared" si="8"/>
        <v>818563.27999999991</v>
      </c>
      <c r="H37" s="60" t="s">
        <v>139</v>
      </c>
    </row>
    <row r="38" spans="1:9" s="110" customFormat="1">
      <c r="A38" s="108" t="s">
        <v>202</v>
      </c>
      <c r="B38" s="109"/>
      <c r="C38" s="109"/>
      <c r="D38" s="109"/>
      <c r="E38" s="109"/>
      <c r="F38" s="109"/>
      <c r="G38" s="109"/>
    </row>
    <row r="39" spans="1:9" s="110" customFormat="1">
      <c r="A39" s="111" t="s">
        <v>230</v>
      </c>
      <c r="B39" s="112">
        <f t="shared" ref="B39:B44" si="9">D39-C39</f>
        <v>-785868.51</v>
      </c>
      <c r="C39" s="112">
        <v>0</v>
      </c>
      <c r="D39" s="112">
        <f t="shared" ref="D39:D44" si="10">SUM(E39:G39)</f>
        <v>-785868.51</v>
      </c>
      <c r="E39" s="112">
        <v>-623262.63</v>
      </c>
      <c r="F39" s="112">
        <v>0</v>
      </c>
      <c r="G39" s="112">
        <v>-162605.88</v>
      </c>
    </row>
    <row r="40" spans="1:9" s="110" customFormat="1">
      <c r="A40" s="111" t="s">
        <v>231</v>
      </c>
      <c r="B40" s="112">
        <f t="shared" si="9"/>
        <v>-475765.86</v>
      </c>
      <c r="C40" s="112">
        <v>0</v>
      </c>
      <c r="D40" s="112">
        <f t="shared" si="10"/>
        <v>-475765.86</v>
      </c>
      <c r="E40" s="112">
        <v>-352242.97</v>
      </c>
      <c r="F40" s="112">
        <v>-13430.18</v>
      </c>
      <c r="G40" s="112">
        <v>-110092.71</v>
      </c>
    </row>
    <row r="41" spans="1:9" s="110" customFormat="1">
      <c r="A41" s="111" t="s">
        <v>232</v>
      </c>
      <c r="B41" s="112">
        <f t="shared" si="9"/>
        <v>-609444.62</v>
      </c>
      <c r="C41" s="112">
        <v>0</v>
      </c>
      <c r="D41" s="112">
        <f t="shared" si="10"/>
        <v>-609444.62</v>
      </c>
      <c r="E41" s="112">
        <v>-499405</v>
      </c>
      <c r="F41" s="112">
        <v>0</v>
      </c>
      <c r="G41" s="112">
        <v>-110039.62</v>
      </c>
    </row>
    <row r="42" spans="1:9" s="110" customFormat="1">
      <c r="A42" s="111" t="s">
        <v>233</v>
      </c>
      <c r="B42" s="112">
        <f t="shared" si="9"/>
        <v>-625833.75</v>
      </c>
      <c r="C42" s="112">
        <v>0</v>
      </c>
      <c r="D42" s="112">
        <f t="shared" si="10"/>
        <v>-625833.75</v>
      </c>
      <c r="E42" s="112">
        <v>-448335.97</v>
      </c>
      <c r="F42" s="112">
        <v>-45759.839999999997</v>
      </c>
      <c r="G42" s="112">
        <v>-131737.94</v>
      </c>
    </row>
    <row r="43" spans="1:9" s="110" customFormat="1">
      <c r="A43" s="111" t="s">
        <v>234</v>
      </c>
      <c r="B43" s="112">
        <f t="shared" si="9"/>
        <v>-407929.4</v>
      </c>
      <c r="C43" s="112">
        <v>0</v>
      </c>
      <c r="D43" s="112">
        <f t="shared" si="10"/>
        <v>-407929.4</v>
      </c>
      <c r="E43" s="112">
        <v>-332685.83</v>
      </c>
      <c r="F43" s="112">
        <v>0</v>
      </c>
      <c r="G43" s="112">
        <v>-75243.570000000007</v>
      </c>
    </row>
    <row r="44" spans="1:9" s="110" customFormat="1">
      <c r="A44" s="111" t="s">
        <v>235</v>
      </c>
      <c r="B44" s="114">
        <f t="shared" si="9"/>
        <v>-219959.96000000002</v>
      </c>
      <c r="C44" s="114">
        <v>0</v>
      </c>
      <c r="D44" s="114">
        <f t="shared" si="10"/>
        <v>-219959.96000000002</v>
      </c>
      <c r="E44" s="114">
        <v>-184595.20000000001</v>
      </c>
      <c r="F44" s="114">
        <v>0</v>
      </c>
      <c r="G44" s="114">
        <v>-35364.76</v>
      </c>
      <c r="I44" s="115"/>
    </row>
    <row r="45" spans="1:9" s="110" customFormat="1" ht="15">
      <c r="A45" s="111" t="s">
        <v>236</v>
      </c>
      <c r="B45" s="112">
        <f t="shared" ref="B45:G45" si="11">SUM(B39:B44)</f>
        <v>-3124802.1</v>
      </c>
      <c r="C45" s="112">
        <f t="shared" si="11"/>
        <v>0</v>
      </c>
      <c r="D45" s="112">
        <f t="shared" si="11"/>
        <v>-3124802.1</v>
      </c>
      <c r="E45" s="112">
        <f t="shared" si="11"/>
        <v>-2440527.6</v>
      </c>
      <c r="F45" s="112">
        <f t="shared" si="11"/>
        <v>-59190.02</v>
      </c>
      <c r="G45" s="112">
        <f t="shared" si="11"/>
        <v>-625084.48</v>
      </c>
      <c r="H45" s="60" t="s">
        <v>139</v>
      </c>
      <c r="I45" s="115"/>
    </row>
    <row r="46" spans="1:9" s="118" customFormat="1">
      <c r="A46" s="116"/>
      <c r="B46" s="117"/>
      <c r="C46" s="117"/>
      <c r="D46" s="117"/>
      <c r="E46" s="117"/>
      <c r="F46" s="117"/>
      <c r="G46" s="117"/>
      <c r="I46" s="119"/>
    </row>
    <row r="47" spans="1:9">
      <c r="A47" s="107" t="s">
        <v>237</v>
      </c>
      <c r="B47" s="113">
        <f t="shared" ref="B47:G47" si="12">B37+B45</f>
        <v>1052323.44</v>
      </c>
      <c r="C47" s="113">
        <f t="shared" si="12"/>
        <v>0</v>
      </c>
      <c r="D47" s="113">
        <f t="shared" si="12"/>
        <v>1052323.44</v>
      </c>
      <c r="E47" s="113">
        <f t="shared" si="12"/>
        <v>778081.56</v>
      </c>
      <c r="F47" s="113">
        <f t="shared" si="12"/>
        <v>80763.080000000016</v>
      </c>
      <c r="G47" s="113">
        <f t="shared" si="12"/>
        <v>193478.79999999993</v>
      </c>
      <c r="I47" s="120"/>
    </row>
    <row r="48" spans="1:9" s="110" customFormat="1">
      <c r="A48" s="108" t="s">
        <v>202</v>
      </c>
      <c r="B48" s="109"/>
      <c r="C48" s="109"/>
      <c r="D48" s="109"/>
      <c r="E48" s="109"/>
      <c r="F48" s="109"/>
      <c r="G48" s="109"/>
      <c r="I48" s="115"/>
    </row>
    <row r="49" spans="1:11" s="110" customFormat="1">
      <c r="A49" s="111" t="s">
        <v>238</v>
      </c>
      <c r="B49" s="112">
        <f>D49-C49</f>
        <v>805062.53</v>
      </c>
      <c r="C49" s="112">
        <v>0</v>
      </c>
      <c r="D49" s="112">
        <f>SUM(E49:G49)</f>
        <v>805062.53</v>
      </c>
      <c r="E49" s="112">
        <v>541215.02</v>
      </c>
      <c r="F49" s="112">
        <v>39063.14</v>
      </c>
      <c r="G49" s="112">
        <v>224784.37</v>
      </c>
      <c r="I49" s="115"/>
    </row>
    <row r="50" spans="1:11" s="110" customFormat="1">
      <c r="A50" s="111" t="s">
        <v>239</v>
      </c>
      <c r="B50" s="112">
        <f>D50-C50</f>
        <v>13802.24</v>
      </c>
      <c r="C50" s="112">
        <v>0</v>
      </c>
      <c r="D50" s="112">
        <f>SUM(E50:G50)</f>
        <v>13802.24</v>
      </c>
      <c r="E50" s="112">
        <f>11997.6-40.2</f>
        <v>11957.4</v>
      </c>
      <c r="F50" s="112">
        <v>0</v>
      </c>
      <c r="G50" s="112">
        <v>1844.84</v>
      </c>
      <c r="I50" s="115"/>
    </row>
    <row r="51" spans="1:11" s="110" customFormat="1">
      <c r="A51" s="111" t="s">
        <v>240</v>
      </c>
      <c r="B51" s="112">
        <f>D51-C51</f>
        <v>453706.87</v>
      </c>
      <c r="C51" s="112">
        <v>0</v>
      </c>
      <c r="D51" s="112">
        <f>SUM(E51:G51)</f>
        <v>453706.87</v>
      </c>
      <c r="E51" s="112">
        <f>42391.33+140473.77+9479.78+45243.09+19047.81+17754.46+1632.57+25915.73+6843.75+3515.83+40.2</f>
        <v>312338.32</v>
      </c>
      <c r="F51" s="112">
        <f>13064.73+12821.25</f>
        <v>25885.98</v>
      </c>
      <c r="G51" s="112">
        <f>98370.07+5000+12112.5</f>
        <v>115482.57</v>
      </c>
      <c r="I51" s="115"/>
    </row>
    <row r="52" spans="1:11" s="110" customFormat="1">
      <c r="A52" s="111" t="s">
        <v>241</v>
      </c>
      <c r="B52" s="112">
        <f>D52-C52</f>
        <v>1062796.53</v>
      </c>
      <c r="C52" s="112">
        <v>0</v>
      </c>
      <c r="D52" s="112">
        <f>SUM(E52:G52)</f>
        <v>1062796.53</v>
      </c>
      <c r="E52" s="112">
        <f>520911.98</f>
        <v>520911.98</v>
      </c>
      <c r="F52" s="112">
        <v>164919.76</v>
      </c>
      <c r="G52" s="112">
        <v>376964.79</v>
      </c>
      <c r="I52" s="115"/>
    </row>
    <row r="53" spans="1:11" s="110" customFormat="1">
      <c r="A53" s="111" t="s">
        <v>242</v>
      </c>
      <c r="B53" s="112">
        <f>D53-C53</f>
        <v>854494.06</v>
      </c>
      <c r="C53" s="112">
        <v>0</v>
      </c>
      <c r="D53" s="112">
        <f>SUM(E53:G53)</f>
        <v>854494.06</v>
      </c>
      <c r="E53" s="112">
        <v>854494.06</v>
      </c>
      <c r="F53" s="112">
        <v>0</v>
      </c>
      <c r="G53" s="112">
        <v>0</v>
      </c>
      <c r="I53" s="115"/>
    </row>
    <row r="54" spans="1:11" ht="15">
      <c r="A54" s="107" t="s">
        <v>160</v>
      </c>
      <c r="B54" s="113">
        <f t="shared" ref="B54:G54" si="13">SUM(B49:B53)</f>
        <v>3189862.23</v>
      </c>
      <c r="C54" s="113">
        <f t="shared" si="13"/>
        <v>0</v>
      </c>
      <c r="D54" s="113">
        <f t="shared" si="13"/>
        <v>3189862.23</v>
      </c>
      <c r="E54" s="113">
        <f>SUM(E49:E53)</f>
        <v>2240916.7800000003</v>
      </c>
      <c r="F54" s="113">
        <f t="shared" si="13"/>
        <v>229868.88</v>
      </c>
      <c r="G54" s="113">
        <f t="shared" si="13"/>
        <v>719076.57000000007</v>
      </c>
      <c r="H54" s="60" t="s">
        <v>140</v>
      </c>
      <c r="I54" s="120"/>
    </row>
    <row r="55" spans="1:11">
      <c r="A55" s="105" t="s">
        <v>202</v>
      </c>
      <c r="I55" s="120"/>
    </row>
    <row r="56" spans="1:11">
      <c r="A56" s="107" t="s">
        <v>243</v>
      </c>
      <c r="B56" s="113">
        <f>D56-C56</f>
        <v>1760</v>
      </c>
      <c r="C56" s="113">
        <v>0</v>
      </c>
      <c r="D56" s="113">
        <f>SUM(E56:G56)</f>
        <v>1760</v>
      </c>
      <c r="E56" s="113">
        <v>1760</v>
      </c>
      <c r="F56" s="113">
        <v>0</v>
      </c>
      <c r="G56" s="113">
        <v>0</v>
      </c>
      <c r="I56" s="120"/>
    </row>
    <row r="57" spans="1:11">
      <c r="A57" s="105" t="s">
        <v>202</v>
      </c>
      <c r="I57" s="120"/>
    </row>
    <row r="58" spans="1:11">
      <c r="A58" s="107" t="s">
        <v>244</v>
      </c>
      <c r="B58" s="113">
        <f>D58-C58</f>
        <v>8308350.7999999998</v>
      </c>
      <c r="C58" s="113">
        <v>0</v>
      </c>
      <c r="D58" s="113">
        <f>SUM(E58:G58)</f>
        <v>8308350.7999999998</v>
      </c>
      <c r="E58" s="113">
        <v>8308350.7999999998</v>
      </c>
      <c r="F58" s="113">
        <v>0</v>
      </c>
      <c r="G58" s="113">
        <v>0</v>
      </c>
      <c r="I58" s="120"/>
      <c r="K58" s="106"/>
    </row>
    <row r="59" spans="1:11">
      <c r="A59" s="105" t="s">
        <v>202</v>
      </c>
      <c r="E59" s="109"/>
    </row>
    <row r="60" spans="1:11" ht="15">
      <c r="A60" s="107" t="s">
        <v>245</v>
      </c>
      <c r="B60" s="113">
        <f>D60-C60</f>
        <v>75194.39</v>
      </c>
      <c r="C60" s="113">
        <v>0</v>
      </c>
      <c r="D60" s="113">
        <f>SUM(E60:G60)</f>
        <v>75194.39</v>
      </c>
      <c r="E60" s="113">
        <v>13769.08</v>
      </c>
      <c r="F60" s="113">
        <v>0</v>
      </c>
      <c r="G60" s="113">
        <v>61425.31</v>
      </c>
      <c r="H60" s="60" t="s">
        <v>183</v>
      </c>
    </row>
    <row r="61" spans="1:11" s="110" customFormat="1">
      <c r="A61" s="111"/>
      <c r="B61" s="112"/>
      <c r="C61" s="112"/>
      <c r="D61" s="112"/>
      <c r="E61" s="112"/>
      <c r="F61" s="112"/>
      <c r="G61" s="112"/>
    </row>
    <row r="62" spans="1:11" ht="15">
      <c r="A62" s="107" t="s">
        <v>246</v>
      </c>
      <c r="B62" s="113">
        <f>D62-C62</f>
        <v>284909.52</v>
      </c>
      <c r="C62" s="113">
        <v>0</v>
      </c>
      <c r="D62" s="113">
        <f>SUM(E62:G62)</f>
        <v>284909.52</v>
      </c>
      <c r="E62" s="113">
        <v>104631.3</v>
      </c>
      <c r="F62" s="113">
        <v>0</v>
      </c>
      <c r="G62" s="113">
        <v>180278.22</v>
      </c>
      <c r="H62" s="60" t="s">
        <v>141</v>
      </c>
    </row>
    <row r="63" spans="1:11" s="110" customFormat="1">
      <c r="A63" s="111"/>
      <c r="B63" s="112"/>
      <c r="C63" s="112"/>
      <c r="D63" s="112"/>
      <c r="E63" s="112"/>
      <c r="F63" s="112"/>
      <c r="G63" s="112"/>
    </row>
    <row r="64" spans="1:11" s="110" customFormat="1">
      <c r="A64" s="111"/>
      <c r="B64" s="112"/>
      <c r="C64" s="112"/>
      <c r="D64" s="112"/>
      <c r="E64" s="112"/>
      <c r="F64" s="112"/>
      <c r="G64" s="112"/>
    </row>
    <row r="65" spans="1:11" s="110" customFormat="1">
      <c r="A65" s="111" t="s">
        <v>247</v>
      </c>
      <c r="B65" s="112">
        <f t="shared" ref="B65:B71" si="14">D65-C65</f>
        <v>36252.69</v>
      </c>
      <c r="C65" s="112">
        <v>0</v>
      </c>
      <c r="D65" s="112">
        <f t="shared" ref="D65:D71" si="15">SUM(E65:G65)</f>
        <v>36252.69</v>
      </c>
      <c r="E65" s="112">
        <v>25529.08</v>
      </c>
      <c r="F65" s="112">
        <v>0</v>
      </c>
      <c r="G65" s="112">
        <v>10723.61</v>
      </c>
    </row>
    <row r="66" spans="1:11" s="110" customFormat="1">
      <c r="A66" s="111" t="s">
        <v>248</v>
      </c>
      <c r="B66" s="112">
        <f t="shared" si="14"/>
        <v>25000</v>
      </c>
      <c r="C66" s="112">
        <v>0</v>
      </c>
      <c r="D66" s="112">
        <f t="shared" si="15"/>
        <v>25000</v>
      </c>
      <c r="E66" s="112">
        <v>25000</v>
      </c>
      <c r="F66" s="112">
        <v>0</v>
      </c>
      <c r="G66" s="112">
        <v>0</v>
      </c>
    </row>
    <row r="67" spans="1:11" s="110" customFormat="1">
      <c r="A67" s="111" t="s">
        <v>249</v>
      </c>
      <c r="B67" s="112">
        <f t="shared" si="14"/>
        <v>185618.68</v>
      </c>
      <c r="C67" s="112">
        <v>0</v>
      </c>
      <c r="D67" s="112">
        <f t="shared" si="15"/>
        <v>185618.68</v>
      </c>
      <c r="E67" s="112">
        <v>133418.68</v>
      </c>
      <c r="F67" s="112">
        <v>0</v>
      </c>
      <c r="G67" s="112">
        <v>52200</v>
      </c>
    </row>
    <row r="68" spans="1:11" s="110" customFormat="1">
      <c r="A68" s="111" t="s">
        <v>250</v>
      </c>
      <c r="B68" s="112">
        <f t="shared" si="14"/>
        <v>497268.61</v>
      </c>
      <c r="C68" s="112">
        <v>0</v>
      </c>
      <c r="D68" s="112">
        <f t="shared" si="15"/>
        <v>497268.61</v>
      </c>
      <c r="E68" s="112">
        <v>497268.61</v>
      </c>
      <c r="F68" s="112">
        <v>0</v>
      </c>
      <c r="G68" s="112">
        <v>0</v>
      </c>
    </row>
    <row r="69" spans="1:11" s="110" customFormat="1">
      <c r="A69" s="111" t="s">
        <v>251</v>
      </c>
      <c r="B69" s="112">
        <f t="shared" si="14"/>
        <v>1325718.3199999998</v>
      </c>
      <c r="C69" s="112">
        <v>0</v>
      </c>
      <c r="D69" s="112">
        <f t="shared" si="15"/>
        <v>1325718.3199999998</v>
      </c>
      <c r="E69" s="112">
        <f>1934466.96-1065721.84</f>
        <v>868745.11999999988</v>
      </c>
      <c r="F69" s="112">
        <v>149738.91</v>
      </c>
      <c r="G69" s="112">
        <f>622595.22-5000-310360.93</f>
        <v>307234.28999999998</v>
      </c>
    </row>
    <row r="70" spans="1:11" s="110" customFormat="1">
      <c r="A70" s="111" t="s">
        <v>252</v>
      </c>
      <c r="B70" s="112">
        <f t="shared" si="14"/>
        <v>0</v>
      </c>
      <c r="C70" s="112">
        <v>0</v>
      </c>
      <c r="D70" s="112">
        <f t="shared" si="15"/>
        <v>0</v>
      </c>
      <c r="E70" s="112">
        <v>0</v>
      </c>
      <c r="F70" s="112">
        <v>0</v>
      </c>
      <c r="G70" s="109">
        <v>0</v>
      </c>
    </row>
    <row r="71" spans="1:11" s="110" customFormat="1">
      <c r="A71" s="111" t="s">
        <v>253</v>
      </c>
      <c r="B71" s="112">
        <f t="shared" si="14"/>
        <v>0</v>
      </c>
      <c r="C71" s="112">
        <v>0</v>
      </c>
      <c r="D71" s="112">
        <f t="shared" si="15"/>
        <v>0</v>
      </c>
      <c r="E71" s="112">
        <v>0</v>
      </c>
      <c r="F71" s="112">
        <v>0</v>
      </c>
      <c r="G71" s="112">
        <v>0</v>
      </c>
    </row>
    <row r="72" spans="1:11" ht="15">
      <c r="A72" s="107" t="s">
        <v>252</v>
      </c>
      <c r="B72" s="113">
        <f t="shared" ref="B72:G72" si="16">SUM(B65:B71)</f>
        <v>2069858.2999999998</v>
      </c>
      <c r="C72" s="113">
        <f t="shared" si="16"/>
        <v>0</v>
      </c>
      <c r="D72" s="113">
        <f t="shared" si="16"/>
        <v>2069858.2999999998</v>
      </c>
      <c r="E72" s="113">
        <f>SUM(E65:E71)</f>
        <v>1549961.4899999998</v>
      </c>
      <c r="F72" s="113">
        <f t="shared" si="16"/>
        <v>149738.91</v>
      </c>
      <c r="G72" s="113">
        <f t="shared" si="16"/>
        <v>370157.89999999997</v>
      </c>
      <c r="H72" s="60" t="s">
        <v>141</v>
      </c>
      <c r="K72" s="106"/>
    </row>
    <row r="73" spans="1:11" s="118" customFormat="1">
      <c r="A73" s="116"/>
      <c r="B73" s="117"/>
      <c r="C73" s="117"/>
      <c r="D73" s="117"/>
      <c r="E73" s="117"/>
      <c r="F73" s="117"/>
      <c r="G73" s="117"/>
    </row>
    <row r="74" spans="1:11" ht="12.75" thickBot="1">
      <c r="A74" s="107" t="s">
        <v>254</v>
      </c>
      <c r="B74" s="113">
        <f>B9+B17+B19+B28+B47+B54+B56+B58+B60+B72+B62+B21</f>
        <v>582138947.63999999</v>
      </c>
      <c r="C74" s="113">
        <f>C9+C17+C19+C28+C47+C54+C56+C58+C60+C72+C62</f>
        <v>26212699.080000002</v>
      </c>
      <c r="D74" s="113">
        <f>D9+D17+D19+D28+D47+D54+D56+D58+D60+D72+D62+D21</f>
        <v>608351646.71999991</v>
      </c>
      <c r="E74" s="113">
        <f>E9+E17+E19+E28+E47+E54+E56+E58+E60+E72+E62+E21</f>
        <v>414705836.06</v>
      </c>
      <c r="F74" s="113">
        <f>F9+F17+F19+F28+F47+F54+F56+F58+F60+F72+F62</f>
        <v>53284449.029999994</v>
      </c>
      <c r="G74" s="113">
        <f>G9+G17+G19+G28+G47+G54+G56+G58+G60+G72+G62</f>
        <v>140361361.63</v>
      </c>
    </row>
    <row r="75" spans="1:11" s="118" customFormat="1" ht="12.75" thickTop="1">
      <c r="A75" s="116"/>
      <c r="B75" s="121"/>
      <c r="C75" s="121"/>
      <c r="D75" s="121"/>
      <c r="E75" s="121"/>
      <c r="F75" s="121"/>
      <c r="G75" s="121"/>
      <c r="H75" s="136"/>
      <c r="I75" s="137"/>
    </row>
    <row r="76" spans="1:11" s="118" customFormat="1">
      <c r="A76" s="116"/>
      <c r="B76" s="122"/>
      <c r="C76" s="122"/>
      <c r="D76" s="122"/>
      <c r="E76" s="122"/>
      <c r="F76" s="122"/>
      <c r="G76" s="122"/>
      <c r="H76" s="136"/>
      <c r="I76" s="137"/>
    </row>
    <row r="77" spans="1:11">
      <c r="A77" s="107" t="s">
        <v>255</v>
      </c>
      <c r="H77" s="128"/>
      <c r="I77" s="138"/>
    </row>
    <row r="78" spans="1:11" s="110" customFormat="1">
      <c r="A78" s="108" t="s">
        <v>202</v>
      </c>
      <c r="B78" s="109"/>
      <c r="C78" s="109"/>
      <c r="D78" s="109"/>
      <c r="E78" s="109"/>
      <c r="F78" s="109"/>
      <c r="G78" s="109"/>
      <c r="H78" s="128"/>
      <c r="I78" s="139"/>
    </row>
    <row r="79" spans="1:11">
      <c r="A79" s="107" t="s">
        <v>256</v>
      </c>
      <c r="H79" s="120"/>
    </row>
    <row r="80" spans="1:11">
      <c r="A80" s="105" t="s">
        <v>202</v>
      </c>
    </row>
    <row r="81" spans="1:8" s="110" customFormat="1">
      <c r="A81" s="111" t="s">
        <v>257</v>
      </c>
      <c r="B81" s="112">
        <f>D81-C81</f>
        <v>60265983.960000001</v>
      </c>
      <c r="C81" s="112">
        <v>0</v>
      </c>
      <c r="D81" s="112">
        <f>SUM(E81:G81)</f>
        <v>60265983.960000001</v>
      </c>
      <c r="E81" s="123">
        <f>60346000-80016.04</f>
        <v>60265983.960000001</v>
      </c>
      <c r="F81" s="112">
        <v>0</v>
      </c>
      <c r="G81" s="112">
        <v>0</v>
      </c>
    </row>
    <row r="82" spans="1:8" s="110" customFormat="1">
      <c r="A82" s="111" t="s">
        <v>258</v>
      </c>
      <c r="B82" s="112">
        <f>D82-C82</f>
        <v>70837500.420000002</v>
      </c>
      <c r="C82" s="112">
        <v>0</v>
      </c>
      <c r="D82" s="112">
        <f>SUM(E82:G82)</f>
        <v>70837500.420000002</v>
      </c>
      <c r="E82" s="123">
        <f>71025000-187499.58</f>
        <v>70837500.420000002</v>
      </c>
      <c r="F82" s="112">
        <v>0</v>
      </c>
      <c r="G82" s="112">
        <v>0</v>
      </c>
    </row>
    <row r="83" spans="1:8" s="110" customFormat="1" ht="15">
      <c r="A83" s="111" t="s">
        <v>259</v>
      </c>
      <c r="B83" s="112">
        <f>D83-C83</f>
        <v>5353254.03</v>
      </c>
      <c r="C83" s="112">
        <v>0</v>
      </c>
      <c r="D83" s="112">
        <f>SUM(E83:G83)</f>
        <v>5353254.03</v>
      </c>
      <c r="E83" s="123">
        <v>0</v>
      </c>
      <c r="F83" s="112">
        <v>0</v>
      </c>
      <c r="G83" s="112">
        <f>5371000-17745.97</f>
        <v>5353254.03</v>
      </c>
      <c r="H83" s="60" t="s">
        <v>144</v>
      </c>
    </row>
    <row r="84" spans="1:8" s="110" customFormat="1" ht="15">
      <c r="A84" s="111" t="s">
        <v>260</v>
      </c>
      <c r="B84" s="112">
        <f>D84-C84</f>
        <v>19887543.41</v>
      </c>
      <c r="C84" s="112">
        <v>0</v>
      </c>
      <c r="D84" s="112">
        <f>SUM(E84:G84)</f>
        <v>19887543.41</v>
      </c>
      <c r="E84" s="123">
        <v>0</v>
      </c>
      <c r="F84" s="112">
        <v>0</v>
      </c>
      <c r="G84" s="112">
        <f>19900000-12456.59</f>
        <v>19887543.41</v>
      </c>
      <c r="H84" s="60" t="s">
        <v>184</v>
      </c>
    </row>
    <row r="85" spans="1:8" s="110" customFormat="1">
      <c r="A85" s="111" t="s">
        <v>261</v>
      </c>
      <c r="B85" s="112">
        <f>D85-C85</f>
        <v>8235682.71</v>
      </c>
      <c r="C85" s="112">
        <v>0</v>
      </c>
      <c r="D85" s="112">
        <f>SUM(E85:G85)</f>
        <v>8235682.71</v>
      </c>
      <c r="E85" s="123">
        <v>0</v>
      </c>
      <c r="F85" s="112">
        <v>8235682.71</v>
      </c>
      <c r="G85" s="112">
        <v>0</v>
      </c>
    </row>
    <row r="86" spans="1:8" s="110" customFormat="1">
      <c r="A86" s="108" t="s">
        <v>202</v>
      </c>
      <c r="B86" s="109"/>
      <c r="C86" s="109"/>
      <c r="D86" s="109"/>
      <c r="E86" s="124"/>
      <c r="F86" s="109"/>
      <c r="G86" s="109"/>
    </row>
    <row r="87" spans="1:8" s="110" customFormat="1">
      <c r="A87" s="111" t="s">
        <v>262</v>
      </c>
      <c r="B87" s="112"/>
      <c r="C87" s="112"/>
      <c r="D87" s="112"/>
      <c r="E87" s="123"/>
      <c r="F87" s="112"/>
      <c r="G87" s="112"/>
    </row>
    <row r="88" spans="1:8" s="110" customFormat="1">
      <c r="A88" s="111" t="s">
        <v>263</v>
      </c>
      <c r="B88" s="112">
        <f>D88-C88</f>
        <v>176457.03000000003</v>
      </c>
      <c r="C88" s="109">
        <v>676014.74</v>
      </c>
      <c r="D88" s="112">
        <f>SUM(E88:G88)</f>
        <v>852471.77</v>
      </c>
      <c r="E88" s="123">
        <v>852471.77</v>
      </c>
      <c r="F88" s="112">
        <v>0</v>
      </c>
      <c r="G88" s="112">
        <v>0</v>
      </c>
    </row>
    <row r="89" spans="1:8" s="110" customFormat="1">
      <c r="A89" s="111" t="s">
        <v>264</v>
      </c>
      <c r="B89" s="112">
        <f>D89-C89</f>
        <v>2242573.5</v>
      </c>
      <c r="C89" s="112">
        <v>0</v>
      </c>
      <c r="D89" s="112">
        <f>SUM(E89:G89)</f>
        <v>2242573.5</v>
      </c>
      <c r="E89" s="112">
        <v>2242573.5</v>
      </c>
      <c r="F89" s="112">
        <v>0</v>
      </c>
      <c r="G89" s="112">
        <v>0</v>
      </c>
    </row>
    <row r="90" spans="1:8" s="110" customFormat="1">
      <c r="A90" s="111" t="s">
        <v>265</v>
      </c>
      <c r="B90" s="112">
        <f>D90-C90</f>
        <v>143423772.53999999</v>
      </c>
      <c r="C90" s="112">
        <v>17656166.780000001</v>
      </c>
      <c r="D90" s="112">
        <f>SUM(E90:G90)</f>
        <v>161079939.31999999</v>
      </c>
      <c r="E90" s="112">
        <v>143423772.53999999</v>
      </c>
      <c r="F90" s="112">
        <v>17656166.780000001</v>
      </c>
      <c r="G90" s="112">
        <v>0</v>
      </c>
      <c r="H90" s="115"/>
    </row>
    <row r="91" spans="1:8" s="110" customFormat="1">
      <c r="A91" s="111" t="s">
        <v>266</v>
      </c>
      <c r="B91" s="112">
        <f>D91-C91</f>
        <v>31059399.789999999</v>
      </c>
      <c r="C91" s="112">
        <f>-17656166.78+33624.96</f>
        <v>-17622541.82</v>
      </c>
      <c r="D91" s="112">
        <f>SUM(E91:G91)</f>
        <v>13436857.970000001</v>
      </c>
      <c r="E91" s="112">
        <v>13436857.970000001</v>
      </c>
      <c r="F91" s="112">
        <v>0</v>
      </c>
      <c r="G91" s="112">
        <v>0</v>
      </c>
      <c r="H91" s="115"/>
    </row>
    <row r="92" spans="1:8" s="110" customFormat="1">
      <c r="A92" s="108" t="s">
        <v>202</v>
      </c>
      <c r="B92" s="109"/>
      <c r="C92" s="109"/>
      <c r="D92" s="109"/>
      <c r="E92" s="109"/>
      <c r="F92" s="109"/>
      <c r="G92" s="109"/>
      <c r="H92" s="115"/>
    </row>
    <row r="93" spans="1:8" s="110" customFormat="1" ht="15">
      <c r="A93" s="111" t="s">
        <v>155</v>
      </c>
      <c r="B93" s="112">
        <f>D93-C93</f>
        <v>172816127.19999999</v>
      </c>
      <c r="C93" s="112">
        <v>0</v>
      </c>
      <c r="D93" s="112">
        <f>SUM(E93:G93)</f>
        <v>172816127.19999999</v>
      </c>
      <c r="E93" s="112">
        <f>64283333.35-798206.22</f>
        <v>63485127.130000003</v>
      </c>
      <c r="F93" s="112">
        <v>13096872.74</v>
      </c>
      <c r="G93" s="112">
        <f>96514285.7-280158.37</f>
        <v>96234127.329999998</v>
      </c>
      <c r="H93" s="60" t="s">
        <v>145</v>
      </c>
    </row>
    <row r="94" spans="1:8" s="110" customFormat="1">
      <c r="A94" s="108" t="s">
        <v>202</v>
      </c>
      <c r="B94" s="112" t="s">
        <v>0</v>
      </c>
      <c r="C94" s="109"/>
      <c r="D94" s="109"/>
      <c r="E94" s="109"/>
      <c r="F94" s="109"/>
      <c r="G94" s="109"/>
    </row>
    <row r="95" spans="1:8" s="110" customFormat="1">
      <c r="A95" s="111" t="s">
        <v>267</v>
      </c>
      <c r="B95" s="112">
        <f>D95-C95</f>
        <v>0</v>
      </c>
      <c r="C95" s="112">
        <v>0</v>
      </c>
      <c r="D95" s="112">
        <f>SUM(E95:G95)</f>
        <v>0</v>
      </c>
      <c r="E95" s="112">
        <v>0</v>
      </c>
      <c r="F95" s="112">
        <v>0</v>
      </c>
      <c r="G95" s="112">
        <v>0</v>
      </c>
    </row>
    <row r="96" spans="1:8" s="110" customFormat="1">
      <c r="A96" s="111"/>
      <c r="B96" s="112"/>
      <c r="C96" s="112"/>
      <c r="D96" s="112"/>
      <c r="E96" s="112"/>
      <c r="F96" s="112"/>
      <c r="G96" s="112"/>
    </row>
    <row r="97" spans="1:8">
      <c r="A97" s="107" t="s">
        <v>245</v>
      </c>
      <c r="B97" s="113">
        <f>D97-C97</f>
        <v>159508.54999999999</v>
      </c>
      <c r="C97" s="113">
        <v>0</v>
      </c>
      <c r="D97" s="113">
        <f>SUM(E97:G97)</f>
        <v>159508.54999999999</v>
      </c>
      <c r="E97" s="113">
        <v>159508.54999999999</v>
      </c>
      <c r="F97" s="113">
        <v>0</v>
      </c>
      <c r="G97" s="113">
        <v>0</v>
      </c>
    </row>
    <row r="98" spans="1:8" s="110" customFormat="1">
      <c r="A98" s="108" t="s">
        <v>202</v>
      </c>
      <c r="B98" s="109"/>
      <c r="C98" s="109"/>
      <c r="D98" s="109"/>
      <c r="E98" s="109"/>
      <c r="F98" s="109"/>
      <c r="G98" s="109"/>
    </row>
    <row r="99" spans="1:8" s="110" customFormat="1">
      <c r="A99" s="111" t="s">
        <v>268</v>
      </c>
      <c r="B99" s="112">
        <f>D99-C99</f>
        <v>1569576.4899999998</v>
      </c>
      <c r="C99" s="112">
        <v>0</v>
      </c>
      <c r="D99" s="112">
        <f>SUM(E99:G99)</f>
        <v>1569576.4899999998</v>
      </c>
      <c r="E99" s="112">
        <v>238372.86</v>
      </c>
      <c r="F99" s="112">
        <v>0</v>
      </c>
      <c r="G99" s="112">
        <v>1331203.6299999999</v>
      </c>
    </row>
    <row r="100" spans="1:8" s="110" customFormat="1">
      <c r="A100" s="111" t="s">
        <v>269</v>
      </c>
      <c r="B100" s="112">
        <f>D100-C100</f>
        <v>3854696.8499999996</v>
      </c>
      <c r="C100" s="112">
        <v>0</v>
      </c>
      <c r="D100" s="112">
        <f>SUM(E100:G100)</f>
        <v>3854696.8499999996</v>
      </c>
      <c r="E100" s="112">
        <f>1432174.68+1581434.75+0</f>
        <v>3013609.4299999997</v>
      </c>
      <c r="F100" s="112">
        <f>321632.43+4778.68</f>
        <v>326411.11</v>
      </c>
      <c r="G100" s="112">
        <v>514676.31</v>
      </c>
    </row>
    <row r="101" spans="1:8" s="110" customFormat="1">
      <c r="A101" s="111" t="s">
        <v>270</v>
      </c>
      <c r="B101" s="112">
        <f>D101-C101</f>
        <v>91401.279999999999</v>
      </c>
      <c r="C101" s="112"/>
      <c r="D101" s="112">
        <f>SUM(E101:G101)</f>
        <v>91401.279999999999</v>
      </c>
      <c r="E101" s="112">
        <v>91401.279999999999</v>
      </c>
      <c r="F101" s="112">
        <v>0</v>
      </c>
      <c r="G101" s="112">
        <v>0</v>
      </c>
    </row>
    <row r="102" spans="1:8" s="110" customFormat="1">
      <c r="A102" s="111" t="s">
        <v>271</v>
      </c>
      <c r="B102" s="112">
        <f>D102-C102</f>
        <v>926620.89999999991</v>
      </c>
      <c r="C102" s="112">
        <v>0</v>
      </c>
      <c r="D102" s="112">
        <f>SUM(E102:G102)</f>
        <v>926620.89999999991</v>
      </c>
      <c r="E102" s="112">
        <v>831577.38</v>
      </c>
      <c r="F102" s="112">
        <v>37958.81</v>
      </c>
      <c r="G102" s="112">
        <v>57084.71</v>
      </c>
    </row>
    <row r="103" spans="1:8" s="110" customFormat="1">
      <c r="A103" s="111" t="s">
        <v>156</v>
      </c>
      <c r="B103" s="112">
        <f>D103-C103</f>
        <v>2719451.21</v>
      </c>
      <c r="C103" s="112"/>
      <c r="D103" s="112">
        <f>SUM(E103:G103)</f>
        <v>2719451.21</v>
      </c>
      <c r="E103" s="112">
        <f>1343846.64-242.63+160918.72</f>
        <v>1504522.73</v>
      </c>
      <c r="F103" s="112">
        <v>233650.04</v>
      </c>
      <c r="G103" s="112">
        <f>959282.7+21995.74</f>
        <v>981278.44</v>
      </c>
    </row>
    <row r="104" spans="1:8" ht="15">
      <c r="A104" s="107" t="s">
        <v>156</v>
      </c>
      <c r="B104" s="113">
        <f t="shared" ref="B104:G104" si="17">SUM(B99:B103)</f>
        <v>9161746.7300000004</v>
      </c>
      <c r="C104" s="113">
        <f t="shared" si="17"/>
        <v>0</v>
      </c>
      <c r="D104" s="113">
        <f t="shared" si="17"/>
        <v>9161746.7300000004</v>
      </c>
      <c r="E104" s="113">
        <f>SUM(E99:E103)</f>
        <v>5679483.6799999997</v>
      </c>
      <c r="F104" s="113">
        <f t="shared" si="17"/>
        <v>598019.96</v>
      </c>
      <c r="G104" s="113">
        <f t="shared" si="17"/>
        <v>2884243.09</v>
      </c>
      <c r="H104" s="60" t="s">
        <v>147</v>
      </c>
    </row>
    <row r="105" spans="1:8" s="118" customFormat="1">
      <c r="A105" s="116"/>
      <c r="B105" s="117"/>
      <c r="C105" s="117"/>
      <c r="D105" s="117"/>
      <c r="E105" s="117"/>
      <c r="F105" s="117"/>
      <c r="G105" s="117"/>
    </row>
    <row r="106" spans="1:8">
      <c r="A106" s="107" t="s">
        <v>272</v>
      </c>
      <c r="B106" s="113">
        <f t="shared" ref="B106:G106" si="18">B81+B82+B83+B84+B85+B88+B89+B90+B91+B93+B95+B104+B97</f>
        <v>523619549.87000006</v>
      </c>
      <c r="C106" s="113">
        <f t="shared" si="18"/>
        <v>709639.69999999925</v>
      </c>
      <c r="D106" s="113">
        <f t="shared" si="18"/>
        <v>524329189.57000005</v>
      </c>
      <c r="E106" s="113">
        <f t="shared" si="18"/>
        <v>360383279.52000004</v>
      </c>
      <c r="F106" s="113">
        <f t="shared" si="18"/>
        <v>39586742.190000005</v>
      </c>
      <c r="G106" s="113">
        <f t="shared" si="18"/>
        <v>124359167.86</v>
      </c>
    </row>
    <row r="107" spans="1:8" s="110" customFormat="1">
      <c r="A107" s="108" t="s">
        <v>202</v>
      </c>
      <c r="B107" s="109"/>
      <c r="C107" s="109"/>
      <c r="D107" s="109"/>
      <c r="E107" s="109"/>
      <c r="F107" s="109"/>
      <c r="G107" s="109"/>
    </row>
    <row r="108" spans="1:8">
      <c r="A108" s="107" t="s">
        <v>273</v>
      </c>
    </row>
    <row r="109" spans="1:8" s="110" customFormat="1">
      <c r="A109" s="111" t="s">
        <v>274</v>
      </c>
      <c r="B109" s="112">
        <f>D109-C109</f>
        <v>15000000</v>
      </c>
      <c r="C109" s="112">
        <v>12000</v>
      </c>
      <c r="D109" s="112">
        <f>SUM(E109:G109)</f>
        <v>15012000</v>
      </c>
      <c r="E109" s="112">
        <v>15000000</v>
      </c>
      <c r="F109" s="112">
        <v>0</v>
      </c>
      <c r="G109" s="112">
        <v>12000</v>
      </c>
    </row>
    <row r="110" spans="1:8" s="110" customFormat="1">
      <c r="A110" s="111" t="s">
        <v>275</v>
      </c>
      <c r="B110" s="112">
        <f>D110-C110</f>
        <v>0</v>
      </c>
      <c r="C110" s="112">
        <v>0</v>
      </c>
      <c r="D110" s="112">
        <f>SUM(E110:G110)</f>
        <v>0</v>
      </c>
      <c r="E110" s="112">
        <v>0</v>
      </c>
      <c r="F110" s="112">
        <v>0</v>
      </c>
      <c r="G110" s="112">
        <v>0</v>
      </c>
    </row>
    <row r="111" spans="1:8" s="110" customFormat="1">
      <c r="A111" s="111" t="s">
        <v>3</v>
      </c>
      <c r="B111" s="112">
        <f>D111-C111</f>
        <v>21300000.000000004</v>
      </c>
      <c r="C111" s="112">
        <f>5787000+13379154.93+2645623.4+3502966.33+176338.03+768967.77</f>
        <v>26260050.459999997</v>
      </c>
      <c r="D111" s="112">
        <f>SUM(E111:G111)</f>
        <v>47560050.460000001</v>
      </c>
      <c r="E111" s="112">
        <v>21300000</v>
      </c>
      <c r="F111" s="112">
        <f>20473050.46</f>
        <v>20473050.460000001</v>
      </c>
      <c r="G111" s="112">
        <v>5787000</v>
      </c>
    </row>
    <row r="112" spans="1:8" ht="15">
      <c r="A112" s="107" t="s">
        <v>276</v>
      </c>
      <c r="B112" s="125">
        <f t="shared" ref="B112:G112" si="19">SUM(B109:B111)</f>
        <v>36300000</v>
      </c>
      <c r="C112" s="125">
        <f t="shared" si="19"/>
        <v>26272050.459999997</v>
      </c>
      <c r="D112" s="125">
        <f t="shared" si="19"/>
        <v>62572050.460000001</v>
      </c>
      <c r="E112" s="125">
        <f t="shared" si="19"/>
        <v>36300000</v>
      </c>
      <c r="F112" s="125">
        <f t="shared" si="19"/>
        <v>20473050.460000001</v>
      </c>
      <c r="G112" s="125">
        <f t="shared" si="19"/>
        <v>5799000</v>
      </c>
      <c r="H112" s="60" t="s">
        <v>162</v>
      </c>
    </row>
    <row r="113" spans="1:9" s="110" customFormat="1">
      <c r="A113" s="108" t="s">
        <v>202</v>
      </c>
      <c r="B113" s="109"/>
      <c r="C113" s="109"/>
      <c r="D113" s="109"/>
      <c r="E113" s="109"/>
      <c r="F113" s="109"/>
      <c r="G113" s="109"/>
    </row>
    <row r="114" spans="1:9" s="110" customFormat="1" ht="15">
      <c r="A114" s="111" t="s">
        <v>277</v>
      </c>
      <c r="B114" s="112">
        <f t="shared" ref="B114:B120" si="20">D114-C114</f>
        <v>1800000</v>
      </c>
      <c r="C114" s="112">
        <v>0</v>
      </c>
      <c r="D114" s="112">
        <f t="shared" ref="D114:D120" si="21">SUM(E114:G114)</f>
        <v>1800000</v>
      </c>
      <c r="E114" s="112">
        <v>0</v>
      </c>
      <c r="F114" s="112">
        <v>0</v>
      </c>
      <c r="G114" s="112">
        <v>1800000</v>
      </c>
      <c r="H114" s="60" t="s">
        <v>164</v>
      </c>
    </row>
    <row r="115" spans="1:9" s="110" customFormat="1">
      <c r="A115" s="111" t="s">
        <v>278</v>
      </c>
      <c r="B115" s="112">
        <f t="shared" si="20"/>
        <v>520946.84</v>
      </c>
      <c r="C115" s="112">
        <v>0</v>
      </c>
      <c r="D115" s="112">
        <f t="shared" si="21"/>
        <v>520946.84</v>
      </c>
      <c r="E115" s="112">
        <v>520946.84</v>
      </c>
      <c r="F115" s="112">
        <v>0</v>
      </c>
      <c r="G115" s="112">
        <v>0</v>
      </c>
      <c r="H115" s="126"/>
    </row>
    <row r="116" spans="1:9" s="110" customFormat="1" ht="15">
      <c r="A116" s="111" t="s">
        <v>279</v>
      </c>
      <c r="B116" s="112">
        <f t="shared" si="20"/>
        <v>5751057.1799999997</v>
      </c>
      <c r="C116" s="112">
        <v>0</v>
      </c>
      <c r="D116" s="112">
        <f t="shared" si="21"/>
        <v>5751057.1799999997</v>
      </c>
      <c r="E116" s="112">
        <v>3886343.31</v>
      </c>
      <c r="F116" s="112">
        <f>383335.34+64452.65</f>
        <v>447787.99000000005</v>
      </c>
      <c r="G116" s="112">
        <v>1416925.88</v>
      </c>
      <c r="H116" s="60" t="s">
        <v>324</v>
      </c>
      <c r="I116" s="109"/>
    </row>
    <row r="117" spans="1:9" s="110" customFormat="1">
      <c r="A117" s="111" t="s">
        <v>281</v>
      </c>
      <c r="B117" s="112">
        <f t="shared" si="20"/>
        <v>2056799.62</v>
      </c>
      <c r="C117" s="112">
        <v>0</v>
      </c>
      <c r="D117" s="112">
        <f t="shared" si="21"/>
        <v>2056799.62</v>
      </c>
      <c r="E117" s="112">
        <f>2033938.53+3230.47</f>
        <v>2037169</v>
      </c>
      <c r="F117" s="112">
        <v>19630.62</v>
      </c>
      <c r="G117" s="112">
        <v>0</v>
      </c>
    </row>
    <row r="118" spans="1:9" s="110" customFormat="1">
      <c r="A118" s="111" t="s">
        <v>283</v>
      </c>
      <c r="B118" s="112">
        <f>D118-C118</f>
        <v>1305199.1300000001</v>
      </c>
      <c r="C118" s="112">
        <v>0</v>
      </c>
      <c r="D118" s="112">
        <f>SUM(E118:G118)</f>
        <v>1305199.1300000001</v>
      </c>
      <c r="E118" s="112">
        <f>1308429.6-3230.47</f>
        <v>1305199.1300000001</v>
      </c>
      <c r="F118" s="112">
        <v>0</v>
      </c>
      <c r="G118" s="112">
        <v>0</v>
      </c>
    </row>
    <row r="119" spans="1:9" s="110" customFormat="1">
      <c r="A119" s="111" t="s">
        <v>284</v>
      </c>
      <c r="B119" s="112">
        <f t="shared" si="20"/>
        <v>-4812228.4300000006</v>
      </c>
      <c r="C119" s="127">
        <f>-99579-89870.04+4910.04-3.31</f>
        <v>-184542.30999999997</v>
      </c>
      <c r="D119" s="112">
        <f t="shared" si="21"/>
        <v>-4996770.74</v>
      </c>
      <c r="E119" s="112">
        <v>379.56</v>
      </c>
      <c r="F119" s="112">
        <f>-4476390.08-412082-40883+39800.82-18398.04-89198</f>
        <v>-4997150.3</v>
      </c>
      <c r="G119" s="112">
        <v>0</v>
      </c>
    </row>
    <row r="120" spans="1:9" s="110" customFormat="1" ht="15">
      <c r="A120" s="129" t="s">
        <v>157</v>
      </c>
      <c r="B120" s="114">
        <f t="shared" si="20"/>
        <v>15077724.73</v>
      </c>
      <c r="C120" s="130">
        <f>-16765-44819.46-2965.61</f>
        <v>-64550.07</v>
      </c>
      <c r="D120" s="114">
        <f t="shared" si="21"/>
        <v>15013174.66</v>
      </c>
      <c r="E120" s="114">
        <f>-498941.19+10159089.36+612370.53+0</f>
        <v>10272518.699999999</v>
      </c>
      <c r="F120" s="114">
        <f>-3883516.61-161801.75+452965+1622402.41+82929.01-447787.99+89198</f>
        <v>-2245611.9299999997</v>
      </c>
      <c r="G120" s="114">
        <f>21995.74-21995.74+1157400+6694008.3+551785.47-1416925.88</f>
        <v>6986267.8899999997</v>
      </c>
      <c r="H120" s="60" t="s">
        <v>324</v>
      </c>
    </row>
    <row r="121" spans="1:9">
      <c r="A121" s="107" t="s">
        <v>285</v>
      </c>
      <c r="B121" s="113">
        <f t="shared" ref="B121:G121" si="22">SUM(B112:B120)</f>
        <v>57999499.070000008</v>
      </c>
      <c r="C121" s="113">
        <f t="shared" si="22"/>
        <v>26022958.079999998</v>
      </c>
      <c r="D121" s="113">
        <f t="shared" si="22"/>
        <v>84022457.150000006</v>
      </c>
      <c r="E121" s="113">
        <f t="shared" si="22"/>
        <v>54322556.540000007</v>
      </c>
      <c r="F121" s="113">
        <f t="shared" si="22"/>
        <v>13697706.84</v>
      </c>
      <c r="G121" s="113">
        <f t="shared" si="22"/>
        <v>16002193.77</v>
      </c>
    </row>
    <row r="122" spans="1:9">
      <c r="A122" s="107"/>
      <c r="B122" s="113"/>
      <c r="C122" s="113"/>
      <c r="D122" s="113"/>
      <c r="E122" s="113"/>
      <c r="F122" s="113"/>
      <c r="G122" s="113"/>
    </row>
    <row r="123" spans="1:9" s="110" customFormat="1">
      <c r="A123" s="111" t="s">
        <v>286</v>
      </c>
      <c r="B123" s="112">
        <f>D123-C123</f>
        <v>519898.70000000013</v>
      </c>
      <c r="C123" s="127">
        <f>-768967.78+99579+16765+44819.46+89870.04+2965.61-4910.03-20</f>
        <v>-519898.70000000013</v>
      </c>
      <c r="D123" s="112">
        <f>SUM(E123:G123)</f>
        <v>0</v>
      </c>
      <c r="E123" s="112">
        <v>0</v>
      </c>
      <c r="F123" s="112">
        <v>0</v>
      </c>
      <c r="G123" s="112">
        <v>0</v>
      </c>
    </row>
    <row r="124" spans="1:9" s="118" customFormat="1">
      <c r="A124" s="116"/>
      <c r="B124" s="117"/>
      <c r="C124" s="117"/>
      <c r="D124" s="117"/>
      <c r="E124" s="117"/>
      <c r="F124" s="117"/>
      <c r="G124" s="117"/>
    </row>
    <row r="125" spans="1:9">
      <c r="A125" s="107" t="s">
        <v>287</v>
      </c>
      <c r="B125" s="113">
        <f t="shared" ref="B125:G125" si="23">B121+B123</f>
        <v>58519397.770000011</v>
      </c>
      <c r="C125" s="113">
        <f t="shared" si="23"/>
        <v>25503059.379999999</v>
      </c>
      <c r="D125" s="113">
        <f t="shared" si="23"/>
        <v>84022457.150000006</v>
      </c>
      <c r="E125" s="113">
        <f t="shared" si="23"/>
        <v>54322556.540000007</v>
      </c>
      <c r="F125" s="113">
        <f t="shared" si="23"/>
        <v>13697706.84</v>
      </c>
      <c r="G125" s="113">
        <f t="shared" si="23"/>
        <v>16002193.77</v>
      </c>
    </row>
    <row r="126" spans="1:9" s="118" customFormat="1">
      <c r="A126" s="116"/>
      <c r="B126" s="117"/>
      <c r="C126" s="117"/>
      <c r="D126" s="117"/>
      <c r="E126" s="117"/>
      <c r="F126" s="117"/>
      <c r="G126" s="117"/>
    </row>
    <row r="127" spans="1:9" ht="12.75" thickBot="1">
      <c r="A127" s="107" t="s">
        <v>288</v>
      </c>
      <c r="B127" s="113">
        <f t="shared" ref="B127:G127" si="24">B106+B125</f>
        <v>582138947.6400001</v>
      </c>
      <c r="C127" s="113">
        <f t="shared" si="24"/>
        <v>26212699.079999998</v>
      </c>
      <c r="D127" s="113">
        <f t="shared" si="24"/>
        <v>608351646.72000003</v>
      </c>
      <c r="E127" s="113">
        <f t="shared" si="24"/>
        <v>414705836.06000006</v>
      </c>
      <c r="F127" s="113">
        <f t="shared" si="24"/>
        <v>53284449.030000001</v>
      </c>
      <c r="G127" s="113">
        <f t="shared" si="24"/>
        <v>140361361.63</v>
      </c>
    </row>
    <row r="128" spans="1:9" s="118" customFormat="1" ht="13.5" thickTop="1" thickBot="1">
      <c r="A128" s="131"/>
      <c r="B128" s="132">
        <f t="shared" ref="B128:G128" si="25">B74-B127</f>
        <v>0</v>
      </c>
      <c r="C128" s="132">
        <f t="shared" si="25"/>
        <v>0</v>
      </c>
      <c r="D128" s="132">
        <f t="shared" si="25"/>
        <v>0</v>
      </c>
      <c r="E128" s="132">
        <f t="shared" si="25"/>
        <v>0</v>
      </c>
      <c r="F128" s="132">
        <f t="shared" si="25"/>
        <v>0</v>
      </c>
      <c r="G128" s="132">
        <f t="shared" si="25"/>
        <v>0</v>
      </c>
    </row>
    <row r="130" spans="1:13" hidden="1">
      <c r="A130" s="104" t="s">
        <v>289</v>
      </c>
      <c r="B130" s="133" t="s">
        <v>290</v>
      </c>
      <c r="C130" s="133" t="s">
        <v>291</v>
      </c>
      <c r="D130" s="133" t="s">
        <v>292</v>
      </c>
      <c r="M130" s="106"/>
    </row>
    <row r="131" spans="1:13" hidden="1">
      <c r="A131" s="104" t="s">
        <v>293</v>
      </c>
      <c r="B131" s="124">
        <v>187499.58</v>
      </c>
      <c r="C131" s="109">
        <v>0</v>
      </c>
      <c r="D131" s="109">
        <v>0</v>
      </c>
      <c r="M131" s="106"/>
    </row>
    <row r="132" spans="1:13" hidden="1">
      <c r="A132" s="104" t="s">
        <v>294</v>
      </c>
      <c r="B132" s="124">
        <v>80016.039999999994</v>
      </c>
      <c r="C132" s="109">
        <v>0</v>
      </c>
      <c r="D132" s="109">
        <v>0</v>
      </c>
      <c r="M132" s="106"/>
    </row>
    <row r="133" spans="1:13" hidden="1">
      <c r="A133" s="104" t="s">
        <v>259</v>
      </c>
      <c r="B133" s="124">
        <v>0</v>
      </c>
      <c r="C133" s="109">
        <v>17745.97</v>
      </c>
      <c r="D133" s="109">
        <v>0</v>
      </c>
      <c r="M133" s="106"/>
    </row>
    <row r="134" spans="1:13" hidden="1">
      <c r="A134" s="104" t="s">
        <v>295</v>
      </c>
      <c r="B134" s="124">
        <v>0</v>
      </c>
      <c r="C134" s="109">
        <v>12456.59</v>
      </c>
      <c r="D134" s="109">
        <v>0</v>
      </c>
      <c r="M134" s="106"/>
    </row>
    <row r="135" spans="1:13" hidden="1">
      <c r="A135" s="104" t="s">
        <v>296</v>
      </c>
      <c r="B135" s="124">
        <v>325526.75</v>
      </c>
      <c r="C135" s="109">
        <v>156195.93</v>
      </c>
      <c r="D135" s="109">
        <v>0</v>
      </c>
      <c r="M135" s="106"/>
    </row>
    <row r="136" spans="1:13" hidden="1">
      <c r="A136" s="104" t="s">
        <v>297</v>
      </c>
      <c r="B136" s="124">
        <v>300737.81</v>
      </c>
      <c r="C136" s="109">
        <v>42049.49</v>
      </c>
      <c r="D136" s="109">
        <v>0</v>
      </c>
      <c r="M136" s="106"/>
    </row>
    <row r="137" spans="1:13" hidden="1">
      <c r="A137" s="104" t="s">
        <v>298</v>
      </c>
      <c r="B137" s="124">
        <v>0</v>
      </c>
      <c r="C137" s="109">
        <v>41599.96</v>
      </c>
      <c r="D137" s="109">
        <v>0</v>
      </c>
      <c r="M137" s="106"/>
    </row>
    <row r="138" spans="1:13" hidden="1">
      <c r="A138" s="104" t="s">
        <v>299</v>
      </c>
      <c r="B138" s="124">
        <v>81277.78</v>
      </c>
      <c r="C138" s="109">
        <v>40312.99</v>
      </c>
      <c r="D138" s="109">
        <v>0</v>
      </c>
      <c r="M138" s="106"/>
    </row>
    <row r="139" spans="1:13" hidden="1">
      <c r="A139" s="104" t="s">
        <v>300</v>
      </c>
      <c r="B139" s="124">
        <v>79578.63</v>
      </c>
      <c r="C139" s="109">
        <v>0</v>
      </c>
      <c r="D139" s="109">
        <v>0</v>
      </c>
      <c r="M139" s="106"/>
    </row>
    <row r="140" spans="1:13" hidden="1">
      <c r="A140" s="104" t="s">
        <v>301</v>
      </c>
      <c r="B140" s="124">
        <v>11085.25</v>
      </c>
      <c r="C140" s="109">
        <v>0</v>
      </c>
      <c r="D140" s="109">
        <v>0</v>
      </c>
      <c r="M140" s="106"/>
    </row>
    <row r="141" spans="1:13" hidden="1">
      <c r="A141" s="104" t="s">
        <v>303</v>
      </c>
      <c r="B141" s="124">
        <v>0</v>
      </c>
      <c r="C141" s="109">
        <v>0</v>
      </c>
      <c r="D141" s="109">
        <f>B141+C141</f>
        <v>0</v>
      </c>
      <c r="M141" s="106"/>
    </row>
    <row r="142" spans="1:13" hidden="1">
      <c r="A142" s="104" t="s">
        <v>304</v>
      </c>
      <c r="B142" s="124">
        <v>0</v>
      </c>
      <c r="C142" s="109">
        <v>0</v>
      </c>
      <c r="D142" s="109">
        <f>B142+C142</f>
        <v>0</v>
      </c>
      <c r="M142" s="106"/>
    </row>
    <row r="143" spans="1:13" hidden="1">
      <c r="A143" s="104" t="s">
        <v>305</v>
      </c>
      <c r="B143" s="124">
        <v>0</v>
      </c>
      <c r="C143" s="109">
        <v>0</v>
      </c>
      <c r="D143" s="109">
        <f>B143+C143</f>
        <v>0</v>
      </c>
      <c r="M143" s="106"/>
    </row>
    <row r="144" spans="1:13" hidden="1">
      <c r="A144" s="104" t="s">
        <v>306</v>
      </c>
      <c r="B144" s="124">
        <v>0</v>
      </c>
      <c r="C144" s="109">
        <v>0</v>
      </c>
      <c r="D144" s="109">
        <f>B144+C144</f>
        <v>0</v>
      </c>
      <c r="M144" s="106"/>
    </row>
    <row r="145" spans="1:13" hidden="1">
      <c r="A145" s="104" t="s">
        <v>307</v>
      </c>
      <c r="B145" s="124">
        <v>0</v>
      </c>
      <c r="C145" s="109">
        <v>0</v>
      </c>
      <c r="D145" s="109">
        <f>B145+C145</f>
        <v>0</v>
      </c>
      <c r="M145" s="106"/>
    </row>
    <row r="146" spans="1:13" hidden="1">
      <c r="B146" s="124"/>
      <c r="C146" s="109"/>
      <c r="D146" s="109"/>
      <c r="M146" s="106"/>
    </row>
    <row r="147" spans="1:13" hidden="1">
      <c r="A147" s="104" t="s">
        <v>309</v>
      </c>
      <c r="B147" s="134">
        <f>SUM(B131:B146)</f>
        <v>1065721.8399999999</v>
      </c>
      <c r="C147" s="106">
        <f>SUM(C131:C146)</f>
        <v>310360.93</v>
      </c>
      <c r="D147" s="106">
        <f>SUM(D131:D146)</f>
        <v>0</v>
      </c>
      <c r="M147" s="106"/>
    </row>
    <row r="148" spans="1:13" hidden="1">
      <c r="A148" s="110" t="s">
        <v>309</v>
      </c>
      <c r="B148" s="124">
        <v>857639.62</v>
      </c>
      <c r="C148" s="109">
        <v>354335.47</v>
      </c>
      <c r="D148" s="109"/>
      <c r="M148" s="106"/>
    </row>
    <row r="149" spans="1:13" hidden="1">
      <c r="A149" s="104" t="s">
        <v>310</v>
      </c>
      <c r="B149" s="134">
        <f>B147-B148</f>
        <v>208082.21999999986</v>
      </c>
      <c r="C149" s="106">
        <f>C147-C148</f>
        <v>-43974.539999999979</v>
      </c>
      <c r="M149" s="106"/>
    </row>
    <row r="150" spans="1:13" hidden="1">
      <c r="B150" s="134"/>
      <c r="M150" s="106"/>
    </row>
    <row r="151" spans="1:13" hidden="1">
      <c r="A151" s="104" t="s">
        <v>318</v>
      </c>
      <c r="B151" s="134">
        <f>SUM(B135:B145)</f>
        <v>798206.22000000009</v>
      </c>
      <c r="C151" s="106">
        <f>SUM(C135:C145)</f>
        <v>280158.37</v>
      </c>
      <c r="M151" s="106"/>
    </row>
    <row r="152" spans="1:13" hidden="1">
      <c r="A152" s="110" t="s">
        <v>319</v>
      </c>
      <c r="B152" s="124">
        <v>627667.35</v>
      </c>
      <c r="C152" s="109">
        <v>274411.15999999997</v>
      </c>
      <c r="D152" s="109"/>
      <c r="M152" s="106"/>
    </row>
    <row r="153" spans="1:13" hidden="1">
      <c r="A153" s="104" t="s">
        <v>313</v>
      </c>
      <c r="B153" s="134">
        <f>B151-B152</f>
        <v>170538.87000000011</v>
      </c>
      <c r="C153" s="106">
        <f>C151-C152</f>
        <v>5747.210000000021</v>
      </c>
      <c r="M153" s="106"/>
    </row>
    <row r="154" spans="1:13" hidden="1">
      <c r="M154" s="106"/>
    </row>
    <row r="155" spans="1:13" hidden="1">
      <c r="A155" s="104" t="s">
        <v>320</v>
      </c>
      <c r="B155" s="134">
        <f>B131</f>
        <v>187499.58</v>
      </c>
      <c r="C155" s="106">
        <f>C134</f>
        <v>12456.59</v>
      </c>
      <c r="M155" s="106"/>
    </row>
    <row r="156" spans="1:13" hidden="1">
      <c r="A156" s="110" t="s">
        <v>321</v>
      </c>
      <c r="B156" s="124">
        <v>138614.51999999999</v>
      </c>
      <c r="C156" s="109">
        <v>9959.74</v>
      </c>
      <c r="D156" s="109"/>
      <c r="M156" s="106"/>
    </row>
    <row r="157" spans="1:13" hidden="1">
      <c r="A157" s="104" t="s">
        <v>313</v>
      </c>
      <c r="B157" s="134">
        <f>B155-B156</f>
        <v>48885.06</v>
      </c>
      <c r="C157" s="106">
        <f>C155-C156</f>
        <v>2496.8500000000004</v>
      </c>
      <c r="M157" s="106"/>
    </row>
    <row r="158" spans="1:13" hidden="1">
      <c r="M158" s="106"/>
    </row>
    <row r="159" spans="1:13" hidden="1">
      <c r="A159" s="104" t="s">
        <v>322</v>
      </c>
      <c r="B159" s="134">
        <f>B132</f>
        <v>80016.039999999994</v>
      </c>
      <c r="C159" s="106">
        <f>C133</f>
        <v>17745.97</v>
      </c>
      <c r="M159" s="106"/>
    </row>
    <row r="160" spans="1:13" hidden="1">
      <c r="A160" s="110" t="s">
        <v>321</v>
      </c>
      <c r="B160" s="124">
        <v>91357.75</v>
      </c>
      <c r="C160" s="109">
        <v>40595.17</v>
      </c>
      <c r="D160" s="109"/>
      <c r="M160" s="106"/>
    </row>
    <row r="161" spans="1:13" hidden="1">
      <c r="A161" s="104" t="s">
        <v>313</v>
      </c>
      <c r="B161" s="134">
        <f>B159-B160</f>
        <v>-11341.710000000006</v>
      </c>
      <c r="C161" s="106">
        <f>C159-C160</f>
        <v>-22849.199999999997</v>
      </c>
      <c r="D161" s="106">
        <f>D159-D160</f>
        <v>0</v>
      </c>
      <c r="M161" s="106"/>
    </row>
    <row r="162" spans="1:13" hidden="1"/>
    <row r="163" spans="1:13" hidden="1">
      <c r="B163" s="135"/>
      <c r="C163" s="135"/>
      <c r="D163" s="135"/>
      <c r="E163" s="135"/>
      <c r="F163" s="135"/>
      <c r="G163" s="135"/>
      <c r="H163" s="135"/>
      <c r="I163" s="135"/>
    </row>
    <row r="164" spans="1:13" hidden="1">
      <c r="B164" s="135"/>
      <c r="C164" s="135"/>
      <c r="D164" s="135"/>
      <c r="E164" s="135"/>
      <c r="F164" s="135"/>
      <c r="G164" s="135"/>
      <c r="H164" s="135"/>
      <c r="I164" s="135"/>
    </row>
    <row r="165" spans="1:13" hidden="1">
      <c r="B165" s="135"/>
      <c r="C165" s="135"/>
      <c r="D165" s="135"/>
      <c r="E165" s="135"/>
      <c r="F165" s="135"/>
      <c r="G165" s="135"/>
      <c r="H165" s="135"/>
      <c r="I165" s="135"/>
    </row>
    <row r="166" spans="1:13" hidden="1">
      <c r="B166" s="135"/>
      <c r="C166" s="135"/>
      <c r="D166" s="135"/>
      <c r="E166" s="135"/>
      <c r="F166" s="135"/>
      <c r="G166" s="135"/>
      <c r="H166" s="135"/>
      <c r="I166" s="135"/>
    </row>
    <row r="167" spans="1:13" hidden="1">
      <c r="B167" s="133"/>
      <c r="C167" s="133"/>
      <c r="D167" s="133"/>
    </row>
    <row r="168" spans="1:13" hidden="1">
      <c r="B168" s="124"/>
      <c r="C168" s="109"/>
      <c r="D168" s="109"/>
    </row>
    <row r="169" spans="1:13" hidden="1">
      <c r="A169" s="104" t="s">
        <v>289</v>
      </c>
      <c r="B169" s="133" t="s">
        <v>290</v>
      </c>
      <c r="C169" s="133" t="s">
        <v>291</v>
      </c>
      <c r="D169" s="133" t="s">
        <v>292</v>
      </c>
    </row>
    <row r="170" spans="1:13" hidden="1">
      <c r="A170" s="104" t="s">
        <v>293</v>
      </c>
      <c r="B170" s="124">
        <f>36577.45+28000+84904.3</f>
        <v>149481.75</v>
      </c>
      <c r="C170" s="109">
        <v>0</v>
      </c>
      <c r="D170" s="109">
        <v>0</v>
      </c>
    </row>
    <row r="171" spans="1:13" hidden="1">
      <c r="A171" s="104" t="s">
        <v>294</v>
      </c>
      <c r="B171" s="124">
        <f>30716.78+62894.43</f>
        <v>93611.209999999992</v>
      </c>
      <c r="C171" s="109">
        <v>0</v>
      </c>
      <c r="D171" s="109">
        <v>0</v>
      </c>
    </row>
    <row r="172" spans="1:13" hidden="1">
      <c r="A172" s="104" t="s">
        <v>259</v>
      </c>
      <c r="B172" s="124">
        <v>0</v>
      </c>
      <c r="C172" s="109">
        <v>12464.94</v>
      </c>
      <c r="D172" s="109">
        <v>0</v>
      </c>
    </row>
    <row r="173" spans="1:13" hidden="1">
      <c r="A173" s="104" t="s">
        <v>295</v>
      </c>
      <c r="B173" s="124">
        <v>0</v>
      </c>
      <c r="C173" s="109">
        <v>9959.74</v>
      </c>
      <c r="D173" s="109">
        <v>0</v>
      </c>
    </row>
    <row r="174" spans="1:13" hidden="1">
      <c r="A174" s="104" t="s">
        <v>296</v>
      </c>
      <c r="B174" s="124">
        <v>339356.51</v>
      </c>
      <c r="C174" s="109">
        <v>185072.61</v>
      </c>
      <c r="D174" s="109">
        <v>0</v>
      </c>
    </row>
    <row r="175" spans="1:13" hidden="1">
      <c r="A175" s="104" t="s">
        <v>297</v>
      </c>
      <c r="B175" s="124">
        <v>313268.53999999998</v>
      </c>
      <c r="C175" s="109">
        <v>57042.080000000002</v>
      </c>
      <c r="D175" s="109">
        <v>0</v>
      </c>
    </row>
    <row r="176" spans="1:13" hidden="1">
      <c r="A176" s="104" t="s">
        <v>298</v>
      </c>
      <c r="B176" s="124">
        <v>0</v>
      </c>
      <c r="C176" s="109">
        <v>45268.92</v>
      </c>
      <c r="D176" s="109">
        <v>0</v>
      </c>
    </row>
    <row r="177" spans="1:4" hidden="1">
      <c r="A177" s="104" t="s">
        <v>299</v>
      </c>
      <c r="B177" s="124">
        <v>93814.96</v>
      </c>
      <c r="C177" s="109">
        <v>44527.18</v>
      </c>
      <c r="D177" s="109">
        <v>0</v>
      </c>
    </row>
    <row r="178" spans="1:4" hidden="1">
      <c r="A178" s="104" t="s">
        <v>300</v>
      </c>
      <c r="B178" s="124">
        <v>88023.09</v>
      </c>
      <c r="C178" s="109">
        <v>0</v>
      </c>
      <c r="D178" s="109">
        <v>0</v>
      </c>
    </row>
    <row r="179" spans="1:4" hidden="1">
      <c r="A179" s="104" t="s">
        <v>301</v>
      </c>
      <c r="B179" s="124">
        <v>14973.58</v>
      </c>
      <c r="C179" s="109">
        <v>0</v>
      </c>
      <c r="D179" s="109">
        <v>0</v>
      </c>
    </row>
    <row r="180" spans="1:4" hidden="1">
      <c r="A180" s="104" t="s">
        <v>303</v>
      </c>
      <c r="B180" s="124">
        <v>0</v>
      </c>
      <c r="C180" s="109">
        <v>0</v>
      </c>
      <c r="D180" s="109">
        <f>B180+C180</f>
        <v>0</v>
      </c>
    </row>
    <row r="181" spans="1:4" hidden="1">
      <c r="A181" s="104" t="s">
        <v>304</v>
      </c>
      <c r="B181" s="124">
        <v>0</v>
      </c>
      <c r="C181" s="109">
        <v>0</v>
      </c>
      <c r="D181" s="109">
        <f>B181+C181</f>
        <v>0</v>
      </c>
    </row>
    <row r="182" spans="1:4" hidden="1">
      <c r="A182" s="104" t="s">
        <v>305</v>
      </c>
      <c r="B182" s="124">
        <v>0</v>
      </c>
      <c r="C182" s="109">
        <v>0</v>
      </c>
      <c r="D182" s="109">
        <f>B182+C182</f>
        <v>0</v>
      </c>
    </row>
    <row r="183" spans="1:4" hidden="1">
      <c r="A183" s="104" t="s">
        <v>306</v>
      </c>
      <c r="B183" s="124">
        <v>0</v>
      </c>
      <c r="C183" s="109">
        <v>0</v>
      </c>
      <c r="D183" s="109">
        <f>B183+C183</f>
        <v>0</v>
      </c>
    </row>
    <row r="184" spans="1:4" hidden="1">
      <c r="A184" s="104" t="s">
        <v>307</v>
      </c>
      <c r="B184" s="124">
        <v>0</v>
      </c>
      <c r="C184" s="109">
        <v>0</v>
      </c>
      <c r="D184" s="109">
        <f>B184+C184</f>
        <v>0</v>
      </c>
    </row>
    <row r="185" spans="1:4" hidden="1">
      <c r="B185" s="124"/>
      <c r="C185" s="109"/>
      <c r="D185" s="109"/>
    </row>
    <row r="186" spans="1:4" hidden="1">
      <c r="A186" s="104" t="s">
        <v>309</v>
      </c>
      <c r="B186" s="134">
        <f>SUM(B170:B185)</f>
        <v>1092529.6400000001</v>
      </c>
      <c r="C186" s="106">
        <f>SUM(C170:C185)</f>
        <v>354335.47</v>
      </c>
      <c r="D186" s="106">
        <f>SUM(D170:D185)</f>
        <v>0</v>
      </c>
    </row>
    <row r="187" spans="1:4" hidden="1">
      <c r="A187" s="110" t="s">
        <v>317</v>
      </c>
      <c r="B187" s="124">
        <v>857639.62</v>
      </c>
      <c r="C187" s="109">
        <v>362887.57</v>
      </c>
      <c r="D187" s="109"/>
    </row>
    <row r="188" spans="1:4" hidden="1">
      <c r="A188" s="104" t="s">
        <v>310</v>
      </c>
      <c r="B188" s="134">
        <f>B186-B187</f>
        <v>234890.02000000014</v>
      </c>
      <c r="C188" s="106">
        <f>C186-C187</f>
        <v>-8552.1000000000349</v>
      </c>
    </row>
    <row r="189" spans="1:4" hidden="1">
      <c r="B189" s="134"/>
    </row>
    <row r="190" spans="1:4" hidden="1">
      <c r="A190" s="104" t="s">
        <v>318</v>
      </c>
      <c r="B190" s="134">
        <f>SUM(B174:B184)</f>
        <v>849436.67999999993</v>
      </c>
      <c r="C190" s="106">
        <f>SUM(C174:C184)</f>
        <v>331910.78999999998</v>
      </c>
    </row>
    <row r="191" spans="1:4" hidden="1">
      <c r="A191" s="110" t="s">
        <v>319</v>
      </c>
      <c r="B191" s="124">
        <v>627667.35</v>
      </c>
      <c r="C191" s="109">
        <v>274411.15999999997</v>
      </c>
      <c r="D191" s="109"/>
    </row>
    <row r="192" spans="1:4" hidden="1">
      <c r="A192" s="104" t="s">
        <v>313</v>
      </c>
      <c r="B192" s="134">
        <f>B190-B191</f>
        <v>221769.32999999996</v>
      </c>
      <c r="C192" s="106">
        <f>C190-C191</f>
        <v>57499.630000000005</v>
      </c>
    </row>
    <row r="193" spans="1:8" hidden="1"/>
    <row r="194" spans="1:8" hidden="1">
      <c r="A194" s="104" t="s">
        <v>320</v>
      </c>
      <c r="B194" s="134">
        <f>B170</f>
        <v>149481.75</v>
      </c>
      <c r="C194" s="106">
        <f>C173</f>
        <v>9959.74</v>
      </c>
    </row>
    <row r="195" spans="1:8" hidden="1">
      <c r="A195" s="110" t="s">
        <v>321</v>
      </c>
      <c r="B195" s="124">
        <v>138614.51999999999</v>
      </c>
      <c r="C195" s="109">
        <v>47881.24</v>
      </c>
      <c r="D195" s="109"/>
    </row>
    <row r="196" spans="1:8" hidden="1">
      <c r="A196" s="104" t="s">
        <v>313</v>
      </c>
      <c r="B196" s="134">
        <f>B194-B195</f>
        <v>10867.23000000001</v>
      </c>
      <c r="C196" s="106">
        <f>C194-C195</f>
        <v>-37921.5</v>
      </c>
    </row>
    <row r="197" spans="1:8" hidden="1"/>
    <row r="198" spans="1:8" hidden="1">
      <c r="A198" s="104" t="s">
        <v>322</v>
      </c>
      <c r="B198" s="134">
        <f>B171</f>
        <v>93611.209999999992</v>
      </c>
      <c r="C198" s="106">
        <f>C172</f>
        <v>12464.94</v>
      </c>
    </row>
    <row r="199" spans="1:8" hidden="1">
      <c r="A199" s="110" t="s">
        <v>321</v>
      </c>
      <c r="B199" s="124">
        <v>91357.75</v>
      </c>
      <c r="C199" s="109">
        <v>40595.17</v>
      </c>
      <c r="D199" s="109"/>
    </row>
    <row r="200" spans="1:8" hidden="1">
      <c r="A200" s="104" t="s">
        <v>313</v>
      </c>
      <c r="B200" s="134">
        <f>B198-B199</f>
        <v>2253.4599999999919</v>
      </c>
      <c r="C200" s="106">
        <f>C198-C199</f>
        <v>-28130.229999999996</v>
      </c>
      <c r="D200" s="106">
        <f>D198-D199</f>
        <v>0</v>
      </c>
    </row>
    <row r="205" spans="1:8" customFormat="1" ht="38.25">
      <c r="A205" s="63" t="s">
        <v>325</v>
      </c>
      <c r="B205" s="140" t="s">
        <v>197</v>
      </c>
      <c r="C205" s="140" t="s">
        <v>326</v>
      </c>
      <c r="D205" s="140" t="s">
        <v>178</v>
      </c>
      <c r="E205" s="140" t="s">
        <v>327</v>
      </c>
      <c r="F205" s="141" t="s">
        <v>328</v>
      </c>
      <c r="G205" s="141" t="s">
        <v>201</v>
      </c>
    </row>
    <row r="206" spans="1:8" customFormat="1" ht="12.75">
      <c r="A206" s="69" t="s">
        <v>329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330</v>
      </c>
      <c r="B207" s="142">
        <f>D207-C207</f>
        <v>8007916.3599999994</v>
      </c>
      <c r="C207" s="142">
        <v>0</v>
      </c>
      <c r="D207" s="142">
        <f>SUM(E207:G207)</f>
        <v>8007916.3599999994</v>
      </c>
      <c r="E207" s="142">
        <v>4737703.5599999996</v>
      </c>
      <c r="F207" s="142">
        <v>846956.17</v>
      </c>
      <c r="G207" s="142">
        <v>2423256.63</v>
      </c>
      <c r="H207" s="62" t="s">
        <v>167</v>
      </c>
    </row>
    <row r="208" spans="1:8" customFormat="1" ht="15">
      <c r="A208" s="74" t="s">
        <v>159</v>
      </c>
      <c r="B208" s="142">
        <f>D208-C208</f>
        <v>536786.92000000004</v>
      </c>
      <c r="C208" s="142">
        <v>0</v>
      </c>
      <c r="D208" s="142">
        <f>SUM(E208:G208)</f>
        <v>536786.92000000004</v>
      </c>
      <c r="E208" s="142">
        <f>+(52413.78+162.24+387503.44+242028.42+0)-E232</f>
        <v>440079.45999999996</v>
      </c>
      <c r="F208" s="142">
        <v>86604.32</v>
      </c>
      <c r="G208" s="142">
        <f>-17077.15-G232</f>
        <v>10103.14</v>
      </c>
      <c r="H208" s="60" t="s">
        <v>168</v>
      </c>
    </row>
    <row r="209" spans="1:8" customFormat="1" ht="15">
      <c r="A209" s="74" t="s">
        <v>331</v>
      </c>
      <c r="B209" s="143">
        <f>D209-C209</f>
        <v>61082.5</v>
      </c>
      <c r="C209" s="143">
        <v>291.61</v>
      </c>
      <c r="D209" s="143">
        <f>SUM(E209:G209)</f>
        <v>61374.11</v>
      </c>
      <c r="E209" s="143">
        <v>11650.05</v>
      </c>
      <c r="F209" s="143">
        <v>46115.42</v>
      </c>
      <c r="G209" s="143">
        <v>3608.64</v>
      </c>
      <c r="H209" s="60" t="s">
        <v>169</v>
      </c>
    </row>
    <row r="210" spans="1:8" customFormat="1" ht="12.75">
      <c r="A210" s="69"/>
      <c r="B210" s="144">
        <f t="shared" ref="B210:G210" si="26">SUM(B207:B209)</f>
        <v>8605785.7799999993</v>
      </c>
      <c r="C210" s="144">
        <f t="shared" si="26"/>
        <v>291.61</v>
      </c>
      <c r="D210" s="144">
        <f t="shared" si="26"/>
        <v>8606077.3899999987</v>
      </c>
      <c r="E210" s="144">
        <f>SUM(E207:E209)</f>
        <v>5189433.0699999994</v>
      </c>
      <c r="F210" s="144">
        <f t="shared" si="26"/>
        <v>979675.91</v>
      </c>
      <c r="G210" s="144">
        <f t="shared" si="26"/>
        <v>2436968.41</v>
      </c>
    </row>
    <row r="211" spans="1:8" customFormat="1" ht="12.75">
      <c r="A211" s="74"/>
      <c r="B211" s="142"/>
      <c r="C211" s="142"/>
      <c r="D211" s="142"/>
      <c r="E211" s="142"/>
      <c r="F211" s="142"/>
      <c r="G211" s="142"/>
    </row>
    <row r="212" spans="1:8" customFormat="1" ht="15">
      <c r="A212" s="74" t="s">
        <v>332</v>
      </c>
      <c r="B212" s="142">
        <f>D212-C212</f>
        <v>1129123.1199999999</v>
      </c>
      <c r="C212" s="142">
        <v>0</v>
      </c>
      <c r="D212" s="142">
        <f>SUM(E212:G212)</f>
        <v>1129123.1199999999</v>
      </c>
      <c r="E212" s="142">
        <f>969384.34-77052.15</f>
        <v>892332.19</v>
      </c>
      <c r="F212" s="142">
        <v>114936.02</v>
      </c>
      <c r="G212" s="142">
        <f>167854.91-46000</f>
        <v>121854.91</v>
      </c>
      <c r="H212" s="60" t="s">
        <v>170</v>
      </c>
    </row>
    <row r="213" spans="1:8" customFormat="1" ht="15">
      <c r="A213" s="74" t="s">
        <v>333</v>
      </c>
      <c r="B213" s="142">
        <f>D213-C213</f>
        <v>686047.76</v>
      </c>
      <c r="C213" s="142">
        <v>0</v>
      </c>
      <c r="D213" s="142">
        <f>SUM(E213:G213)</f>
        <v>686047.76</v>
      </c>
      <c r="E213" s="142">
        <v>565269.11</v>
      </c>
      <c r="F213" s="142">
        <v>0</v>
      </c>
      <c r="G213" s="142">
        <v>120778.65</v>
      </c>
      <c r="H213" s="60" t="s">
        <v>188</v>
      </c>
    </row>
    <row r="214" spans="1:8" customFormat="1" ht="12.75">
      <c r="A214" s="145"/>
      <c r="B214" s="146"/>
      <c r="C214" s="146"/>
      <c r="D214" s="146"/>
      <c r="E214" s="146"/>
      <c r="F214" s="146"/>
      <c r="G214" s="146"/>
    </row>
    <row r="215" spans="1:8" customFormat="1" ht="12.75">
      <c r="A215" s="69" t="s">
        <v>334</v>
      </c>
      <c r="B215" s="144">
        <f t="shared" ref="B215:G215" si="27">B210+B212+B213</f>
        <v>10420956.659999998</v>
      </c>
      <c r="C215" s="144">
        <f t="shared" si="27"/>
        <v>291.61</v>
      </c>
      <c r="D215" s="144">
        <f t="shared" si="27"/>
        <v>10421248.269999998</v>
      </c>
      <c r="E215" s="144">
        <f t="shared" si="27"/>
        <v>6647034.3700000001</v>
      </c>
      <c r="F215" s="144">
        <f t="shared" si="27"/>
        <v>1094611.93</v>
      </c>
      <c r="G215" s="144">
        <f t="shared" si="27"/>
        <v>2679601.9700000002</v>
      </c>
    </row>
    <row r="216" spans="1:8" customFormat="1" ht="12.75">
      <c r="A216" s="145"/>
      <c r="B216" s="146"/>
      <c r="C216" s="146"/>
      <c r="D216" s="146"/>
      <c r="E216" s="146"/>
      <c r="F216" s="146"/>
      <c r="G216" s="146"/>
    </row>
    <row r="217" spans="1:8" customFormat="1" ht="12.75">
      <c r="A217" s="69" t="s">
        <v>109</v>
      </c>
      <c r="B217" s="101"/>
      <c r="C217" s="101"/>
      <c r="D217" s="101"/>
      <c r="E217" s="101"/>
      <c r="F217" s="101"/>
      <c r="G217" s="101"/>
    </row>
    <row r="218" spans="1:8" customFormat="1" ht="12.75">
      <c r="A218" s="74" t="s">
        <v>335</v>
      </c>
      <c r="B218" s="142">
        <f>D218-C218</f>
        <v>-2046519.41</v>
      </c>
      <c r="C218" s="142">
        <f>-C209</f>
        <v>-291.61</v>
      </c>
      <c r="D218" s="142">
        <f>SUM(E218:G218)</f>
        <v>-2046811.02</v>
      </c>
      <c r="E218" s="142">
        <v>-1767561.15</v>
      </c>
      <c r="F218" s="142">
        <v>-279249.87</v>
      </c>
      <c r="G218" s="142">
        <v>0</v>
      </c>
    </row>
    <row r="219" spans="1:8" customFormat="1" ht="15">
      <c r="A219" s="74" t="s">
        <v>336</v>
      </c>
      <c r="B219" s="142">
        <f>D219-C219</f>
        <v>-3360587.16</v>
      </c>
      <c r="C219" s="142">
        <v>0</v>
      </c>
      <c r="D219" s="142">
        <f>SUM(E219:G219)</f>
        <v>-3360587.16</v>
      </c>
      <c r="E219" s="142">
        <v>-1903383.36</v>
      </c>
      <c r="F219" s="142">
        <v>-302483.08</v>
      </c>
      <c r="G219" s="142">
        <v>-1154720.72</v>
      </c>
      <c r="H219" s="60" t="s">
        <v>171</v>
      </c>
    </row>
    <row r="220" spans="1:8" customFormat="1" ht="15">
      <c r="A220" s="74" t="s">
        <v>337</v>
      </c>
      <c r="B220" s="142">
        <f>D220-C220</f>
        <v>-316425.5</v>
      </c>
      <c r="C220" s="142">
        <v>0</v>
      </c>
      <c r="D220" s="142">
        <f>SUM(E220:G220)</f>
        <v>-316425.5</v>
      </c>
      <c r="E220" s="142">
        <v>-194048.87</v>
      </c>
      <c r="F220" s="142">
        <v>-42019.26</v>
      </c>
      <c r="G220" s="142">
        <v>-80357.37</v>
      </c>
      <c r="H220" s="61" t="s">
        <v>126</v>
      </c>
    </row>
    <row r="221" spans="1:8" customFormat="1" ht="12.75">
      <c r="A221" s="145"/>
      <c r="B221" s="146"/>
      <c r="C221" s="146"/>
      <c r="D221" s="146"/>
      <c r="E221" s="146"/>
      <c r="F221" s="146"/>
      <c r="G221" s="146"/>
    </row>
    <row r="222" spans="1:8" customFormat="1" ht="12.75">
      <c r="A222" s="69" t="s">
        <v>338</v>
      </c>
      <c r="B222" s="144">
        <f t="shared" ref="B222:G222" si="28">SUM(B218:B221)</f>
        <v>-5723532.0700000003</v>
      </c>
      <c r="C222" s="144">
        <f t="shared" si="28"/>
        <v>-291.61</v>
      </c>
      <c r="D222" s="144">
        <f t="shared" si="28"/>
        <v>-5723823.6799999997</v>
      </c>
      <c r="E222" s="144">
        <f>SUM(E218:E221)</f>
        <v>-3864993.38</v>
      </c>
      <c r="F222" s="144">
        <f t="shared" si="28"/>
        <v>-623752.21</v>
      </c>
      <c r="G222" s="144">
        <f t="shared" si="28"/>
        <v>-1235078.0899999999</v>
      </c>
    </row>
    <row r="223" spans="1:8" customFormat="1" ht="12.75">
      <c r="A223" s="145"/>
      <c r="B223" s="146"/>
      <c r="C223" s="146"/>
      <c r="D223" s="146"/>
      <c r="E223" s="146"/>
      <c r="F223" s="146"/>
      <c r="G223" s="146"/>
    </row>
    <row r="224" spans="1:8" customFormat="1" ht="12.75">
      <c r="A224" s="69" t="s">
        <v>339</v>
      </c>
      <c r="B224" s="144">
        <f t="shared" ref="B224:G224" si="29">B215+B222</f>
        <v>4697424.589999998</v>
      </c>
      <c r="C224" s="144">
        <f t="shared" si="29"/>
        <v>0</v>
      </c>
      <c r="D224" s="144">
        <f t="shared" si="29"/>
        <v>4697424.589999998</v>
      </c>
      <c r="E224" s="144">
        <f t="shared" si="29"/>
        <v>2782040.99</v>
      </c>
      <c r="F224" s="144">
        <f t="shared" si="29"/>
        <v>470859.72</v>
      </c>
      <c r="G224" s="144">
        <f t="shared" si="29"/>
        <v>1444523.8800000004</v>
      </c>
    </row>
    <row r="225" spans="1:8" customFormat="1" ht="12.75">
      <c r="A225" s="84" t="s">
        <v>202</v>
      </c>
      <c r="B225" s="101"/>
      <c r="C225" s="101"/>
      <c r="D225" s="101"/>
      <c r="E225" s="101"/>
      <c r="F225" s="101"/>
      <c r="G225" s="101"/>
    </row>
    <row r="226" spans="1:8" customFormat="1" ht="15">
      <c r="A226" s="74" t="s">
        <v>340</v>
      </c>
      <c r="B226" s="142">
        <f>D226-C226</f>
        <v>-102475.45000000001</v>
      </c>
      <c r="C226" s="142">
        <v>0</v>
      </c>
      <c r="D226" s="142">
        <f>SUM(E226:G226)</f>
        <v>-102475.45000000001</v>
      </c>
      <c r="E226" s="142">
        <v>-67053.88</v>
      </c>
      <c r="F226" s="142">
        <f>-91868.65+82929.01</f>
        <v>-8939.64</v>
      </c>
      <c r="G226" s="142">
        <v>-26481.93</v>
      </c>
      <c r="H226" s="60" t="s">
        <v>154</v>
      </c>
    </row>
    <row r="227" spans="1:8" customFormat="1" ht="12.75">
      <c r="A227" s="145"/>
      <c r="B227" s="146"/>
      <c r="C227" s="146"/>
      <c r="D227" s="146"/>
      <c r="E227" s="146"/>
      <c r="F227" s="146"/>
      <c r="G227" s="147" t="s">
        <v>341</v>
      </c>
    </row>
    <row r="228" spans="1:8" customFormat="1" ht="12.75">
      <c r="A228" s="69" t="s">
        <v>342</v>
      </c>
      <c r="B228" s="144">
        <f t="shared" ref="B228:G228" si="30">B224+B226</f>
        <v>4594949.1399999978</v>
      </c>
      <c r="C228" s="148">
        <f t="shared" si="30"/>
        <v>0</v>
      </c>
      <c r="D228" s="144">
        <f t="shared" si="30"/>
        <v>4594949.1399999978</v>
      </c>
      <c r="E228" s="144">
        <f>E224+E226</f>
        <v>2714987.1100000003</v>
      </c>
      <c r="F228" s="144">
        <f t="shared" si="30"/>
        <v>461920.07999999996</v>
      </c>
      <c r="G228" s="144">
        <f t="shared" si="30"/>
        <v>1418041.9500000004</v>
      </c>
    </row>
    <row r="229" spans="1:8" customFormat="1" ht="12.75">
      <c r="A229" s="145"/>
      <c r="B229" s="146"/>
      <c r="C229" s="146"/>
      <c r="D229" s="146"/>
      <c r="E229" s="146"/>
      <c r="F229" s="146"/>
      <c r="G229" s="146"/>
    </row>
    <row r="230" spans="1:8" customFormat="1" ht="12.75">
      <c r="A230" s="69" t="s">
        <v>343</v>
      </c>
      <c r="B230" s="101"/>
      <c r="C230" s="101"/>
      <c r="D230" s="101"/>
      <c r="E230" s="101"/>
      <c r="F230" s="101"/>
      <c r="G230" s="101"/>
    </row>
    <row r="231" spans="1:8" customFormat="1" ht="12.75">
      <c r="A231" s="74" t="s">
        <v>344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</row>
    <row r="232" spans="1:8" customFormat="1" ht="15">
      <c r="A232" s="74" t="s">
        <v>345</v>
      </c>
      <c r="B232" s="142">
        <f>D232-C232</f>
        <v>214848.13</v>
      </c>
      <c r="C232" s="142">
        <v>0</v>
      </c>
      <c r="D232" s="142">
        <f>SUM(E232:G232)</f>
        <v>214848.13</v>
      </c>
      <c r="E232" s="142">
        <v>242028.42</v>
      </c>
      <c r="F232" s="142">
        <v>0</v>
      </c>
      <c r="G232" s="142">
        <v>-27180.29</v>
      </c>
      <c r="H232" s="60" t="s">
        <v>130</v>
      </c>
    </row>
    <row r="233" spans="1:8" customFormat="1" ht="12.75">
      <c r="A233" s="74" t="s">
        <v>346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</row>
    <row r="234" spans="1:8" customFormat="1" ht="15">
      <c r="A234" s="74" t="s">
        <v>347</v>
      </c>
      <c r="B234" s="142">
        <f>D234-C234</f>
        <v>344471.45999999996</v>
      </c>
      <c r="C234" s="142">
        <v>0</v>
      </c>
      <c r="D234" s="142">
        <f>SUM(E234:G234)</f>
        <v>344471.45999999996</v>
      </c>
      <c r="E234" s="142">
        <v>296144.09999999998</v>
      </c>
      <c r="F234" s="142">
        <v>6488.5</v>
      </c>
      <c r="G234" s="142">
        <v>41838.86</v>
      </c>
      <c r="H234" s="60" t="s">
        <v>130</v>
      </c>
    </row>
    <row r="235" spans="1:8" customFormat="1" ht="12.75">
      <c r="A235" s="145"/>
      <c r="B235" s="146"/>
      <c r="C235" s="146"/>
      <c r="D235" s="146"/>
      <c r="E235" s="146"/>
      <c r="F235" s="146"/>
      <c r="G235" s="146"/>
    </row>
    <row r="236" spans="1:8" customFormat="1" ht="12.75">
      <c r="A236" s="69" t="s">
        <v>348</v>
      </c>
      <c r="B236" s="144">
        <f t="shared" ref="B236:G236" si="31">SUM(B231:B235)</f>
        <v>559319.59</v>
      </c>
      <c r="C236" s="144">
        <f t="shared" si="31"/>
        <v>0</v>
      </c>
      <c r="D236" s="144">
        <f t="shared" si="31"/>
        <v>559319.59</v>
      </c>
      <c r="E236" s="144">
        <f t="shared" si="31"/>
        <v>538172.52</v>
      </c>
      <c r="F236" s="144">
        <f t="shared" si="31"/>
        <v>6488.5</v>
      </c>
      <c r="G236" s="144">
        <f t="shared" si="31"/>
        <v>14658.57</v>
      </c>
    </row>
    <row r="237" spans="1:8" customFormat="1" ht="12.75">
      <c r="A237" s="84" t="s">
        <v>202</v>
      </c>
      <c r="B237" s="101"/>
      <c r="C237" s="101"/>
      <c r="D237" s="101"/>
      <c r="E237" s="101"/>
      <c r="F237" s="101"/>
      <c r="G237" s="101"/>
    </row>
    <row r="238" spans="1:8" customFormat="1" ht="12.75">
      <c r="A238" s="74" t="s">
        <v>349</v>
      </c>
      <c r="B238" s="149"/>
      <c r="C238" s="149"/>
      <c r="D238" s="149"/>
      <c r="E238" s="149"/>
      <c r="F238" s="149"/>
      <c r="G238" s="149"/>
    </row>
    <row r="239" spans="1:8" customFormat="1" ht="12.75">
      <c r="A239" s="74" t="s">
        <v>350</v>
      </c>
      <c r="B239" s="142">
        <f t="shared" ref="B239:B245" si="32">D239-C239</f>
        <v>1129137.9700000002</v>
      </c>
      <c r="C239" s="142">
        <v>0</v>
      </c>
      <c r="D239" s="142">
        <f>SUM(E239:G239)</f>
        <v>1129137.9700000002</v>
      </c>
      <c r="E239" s="142">
        <v>808775.78</v>
      </c>
      <c r="F239" s="142">
        <v>155769.31</v>
      </c>
      <c r="G239" s="142">
        <v>164592.88</v>
      </c>
    </row>
    <row r="240" spans="1:8" customFormat="1" ht="12.75">
      <c r="A240" s="74" t="s">
        <v>351</v>
      </c>
      <c r="B240" s="142">
        <f t="shared" si="32"/>
        <v>190791.16</v>
      </c>
      <c r="C240" s="142">
        <v>0</v>
      </c>
      <c r="D240" s="142">
        <f t="shared" ref="D240:D245" si="33">SUM(E240:G240)</f>
        <v>190791.16</v>
      </c>
      <c r="E240" s="142">
        <v>190791.16</v>
      </c>
      <c r="F240" s="142">
        <v>0</v>
      </c>
      <c r="G240" s="142">
        <v>0</v>
      </c>
    </row>
    <row r="241" spans="1:8" customFormat="1" ht="12.75">
      <c r="A241" s="74" t="s">
        <v>352</v>
      </c>
      <c r="B241" s="142">
        <f t="shared" si="32"/>
        <v>120694.49</v>
      </c>
      <c r="C241" s="142">
        <v>0</v>
      </c>
      <c r="D241" s="142">
        <f t="shared" si="33"/>
        <v>120694.49</v>
      </c>
      <c r="E241" s="142">
        <v>99000</v>
      </c>
      <c r="F241" s="142">
        <v>5458.49</v>
      </c>
      <c r="G241" s="142">
        <v>16236</v>
      </c>
    </row>
    <row r="242" spans="1:8" customFormat="1" ht="12.75">
      <c r="A242" s="74" t="s">
        <v>353</v>
      </c>
      <c r="B242" s="142">
        <f t="shared" si="32"/>
        <v>164741.43999999997</v>
      </c>
      <c r="C242" s="142">
        <v>0</v>
      </c>
      <c r="D242" s="142">
        <f t="shared" si="33"/>
        <v>164741.43999999997</v>
      </c>
      <c r="E242" s="142">
        <v>136686.43</v>
      </c>
      <c r="F242" s="142">
        <v>4176.99</v>
      </c>
      <c r="G242" s="142">
        <v>23878.02</v>
      </c>
    </row>
    <row r="243" spans="1:8" customFormat="1" ht="12.75">
      <c r="A243" s="74" t="s">
        <v>354</v>
      </c>
      <c r="B243" s="142">
        <f t="shared" si="32"/>
        <v>46441.98</v>
      </c>
      <c r="C243" s="142">
        <v>0</v>
      </c>
      <c r="D243" s="142">
        <f t="shared" si="33"/>
        <v>46441.98</v>
      </c>
      <c r="E243" s="142">
        <v>21487.24</v>
      </c>
      <c r="F243" s="142">
        <v>20822.87</v>
      </c>
      <c r="G243" s="142">
        <v>4131.87</v>
      </c>
    </row>
    <row r="244" spans="1:8" customFormat="1" ht="12.75">
      <c r="A244" s="74" t="s">
        <v>355</v>
      </c>
      <c r="B244" s="142">
        <f t="shared" si="32"/>
        <v>40100.049999999996</v>
      </c>
      <c r="C244" s="142">
        <v>0</v>
      </c>
      <c r="D244" s="142">
        <f t="shared" si="33"/>
        <v>40100.049999999996</v>
      </c>
      <c r="E244" s="142">
        <v>30475.67</v>
      </c>
      <c r="F244" s="142">
        <v>0</v>
      </c>
      <c r="G244" s="142">
        <v>9624.3799999999992</v>
      </c>
    </row>
    <row r="245" spans="1:8" customFormat="1" ht="12.75">
      <c r="A245" s="74" t="s">
        <v>356</v>
      </c>
      <c r="B245" s="142">
        <f t="shared" si="32"/>
        <v>183822.85000000003</v>
      </c>
      <c r="C245" s="142">
        <v>0</v>
      </c>
      <c r="D245" s="142">
        <f t="shared" si="33"/>
        <v>183822.85000000003</v>
      </c>
      <c r="E245" s="142">
        <f>26948.92+65240.66+12032.81+30019.99+13687.17</f>
        <v>147929.55000000002</v>
      </c>
      <c r="F245" s="142">
        <f>1397.94+24201.63+0</f>
        <v>25599.57</v>
      </c>
      <c r="G245" s="142">
        <f>5354.29+4412.42+527.02+0</f>
        <v>10293.73</v>
      </c>
    </row>
    <row r="246" spans="1:8" customFormat="1" ht="15">
      <c r="A246" s="69" t="s">
        <v>357</v>
      </c>
      <c r="B246" s="144">
        <f t="shared" ref="B246:G246" si="34">SUM(B239:B245)</f>
        <v>1875729.9400000002</v>
      </c>
      <c r="C246" s="144">
        <f t="shared" si="34"/>
        <v>0</v>
      </c>
      <c r="D246" s="144">
        <f t="shared" si="34"/>
        <v>1875729.9400000002</v>
      </c>
      <c r="E246" s="144">
        <f t="shared" si="34"/>
        <v>1435145.8299999998</v>
      </c>
      <c r="F246" s="144">
        <f t="shared" si="34"/>
        <v>211827.22999999998</v>
      </c>
      <c r="G246" s="144">
        <f t="shared" si="34"/>
        <v>228756.88</v>
      </c>
      <c r="H246" s="60" t="s">
        <v>7</v>
      </c>
    </row>
    <row r="247" spans="1:8" customFormat="1" ht="26.25">
      <c r="A247" s="150" t="s">
        <v>202</v>
      </c>
      <c r="B247" s="151"/>
      <c r="C247" s="151"/>
      <c r="D247" s="151"/>
      <c r="E247" s="151"/>
      <c r="F247" s="151"/>
      <c r="G247" s="151"/>
    </row>
    <row r="248" spans="1:8" customFormat="1" ht="12.75">
      <c r="A248" s="74" t="s">
        <v>358</v>
      </c>
      <c r="B248" s="142">
        <f t="shared" ref="B248:B253" si="35">D248-C248</f>
        <v>15344.09</v>
      </c>
      <c r="C248" s="142">
        <v>0</v>
      </c>
      <c r="D248" s="142">
        <f t="shared" ref="D248:D253" si="36">SUM(E248:G248)</f>
        <v>15344.09</v>
      </c>
      <c r="E248" s="142">
        <v>11087.05</v>
      </c>
      <c r="F248" s="142">
        <v>0</v>
      </c>
      <c r="G248" s="142">
        <v>4257.04</v>
      </c>
    </row>
    <row r="249" spans="1:8" customFormat="1" ht="12.75">
      <c r="A249" s="74" t="s">
        <v>359</v>
      </c>
      <c r="B249" s="142">
        <f t="shared" si="35"/>
        <v>29960.83</v>
      </c>
      <c r="C249" s="142">
        <v>0</v>
      </c>
      <c r="D249" s="142">
        <f t="shared" si="36"/>
        <v>29960.83</v>
      </c>
      <c r="E249" s="142">
        <v>16570.11</v>
      </c>
      <c r="F249" s="142">
        <v>2527.89</v>
      </c>
      <c r="G249" s="142">
        <v>10862.83</v>
      </c>
    </row>
    <row r="250" spans="1:8" customFormat="1" ht="12.75">
      <c r="A250" s="74" t="s">
        <v>360</v>
      </c>
      <c r="B250" s="142">
        <f t="shared" si="35"/>
        <v>13607.730000000001</v>
      </c>
      <c r="C250" s="142">
        <v>0</v>
      </c>
      <c r="D250" s="142">
        <f t="shared" si="36"/>
        <v>13607.730000000001</v>
      </c>
      <c r="E250" s="142">
        <v>8666.0400000000009</v>
      </c>
      <c r="F250" s="142">
        <v>2716.6</v>
      </c>
      <c r="G250" s="142">
        <v>2225.09</v>
      </c>
    </row>
    <row r="251" spans="1:8" customFormat="1" ht="12.75">
      <c r="A251" s="74" t="s">
        <v>361</v>
      </c>
      <c r="B251" s="142">
        <f t="shared" si="35"/>
        <v>24243.56</v>
      </c>
      <c r="C251" s="142">
        <v>0</v>
      </c>
      <c r="D251" s="142">
        <f t="shared" si="36"/>
        <v>24243.56</v>
      </c>
      <c r="E251" s="142">
        <v>22406.7</v>
      </c>
      <c r="F251" s="142">
        <v>0</v>
      </c>
      <c r="G251" s="142">
        <v>1836.86</v>
      </c>
    </row>
    <row r="252" spans="1:8" customFormat="1" ht="12.75">
      <c r="A252" s="74" t="s">
        <v>362</v>
      </c>
      <c r="B252" s="142">
        <f t="shared" si="35"/>
        <v>19520.900000000001</v>
      </c>
      <c r="C252" s="142">
        <v>0</v>
      </c>
      <c r="D252" s="142">
        <f t="shared" si="36"/>
        <v>19520.900000000001</v>
      </c>
      <c r="E252" s="142">
        <v>11932.93</v>
      </c>
      <c r="F252" s="142">
        <v>0</v>
      </c>
      <c r="G252" s="142">
        <v>7587.97</v>
      </c>
    </row>
    <row r="253" spans="1:8" customFormat="1" ht="12.75">
      <c r="A253" s="74" t="s">
        <v>363</v>
      </c>
      <c r="B253" s="142">
        <f t="shared" si="35"/>
        <v>25323.699999999997</v>
      </c>
      <c r="C253" s="142">
        <v>0</v>
      </c>
      <c r="D253" s="142">
        <f t="shared" si="36"/>
        <v>25323.699999999997</v>
      </c>
      <c r="E253" s="142">
        <v>22299.279999999999</v>
      </c>
      <c r="F253" s="142">
        <v>0</v>
      </c>
      <c r="G253" s="142">
        <v>3024.42</v>
      </c>
    </row>
    <row r="254" spans="1:8" customFormat="1" ht="15">
      <c r="A254" s="69" t="s">
        <v>364</v>
      </c>
      <c r="B254" s="144">
        <f t="shared" ref="B254:G254" si="37">SUM(B248:B253)</f>
        <v>128000.81000000001</v>
      </c>
      <c r="C254" s="144">
        <f t="shared" si="37"/>
        <v>0</v>
      </c>
      <c r="D254" s="144">
        <f t="shared" si="37"/>
        <v>128000.81000000001</v>
      </c>
      <c r="E254" s="144">
        <f t="shared" si="37"/>
        <v>92962.109999999986</v>
      </c>
      <c r="F254" s="144">
        <f t="shared" si="37"/>
        <v>5244.49</v>
      </c>
      <c r="G254" s="144">
        <f t="shared" si="37"/>
        <v>29794.21</v>
      </c>
      <c r="H254" s="60" t="s">
        <v>8</v>
      </c>
    </row>
    <row r="255" spans="1:8" customFormat="1" ht="12.75">
      <c r="A255" s="84" t="s">
        <v>202</v>
      </c>
      <c r="B255" s="101"/>
      <c r="C255" s="101"/>
      <c r="D255" s="101"/>
      <c r="E255" s="101"/>
      <c r="F255" s="101"/>
      <c r="G255" s="101"/>
    </row>
    <row r="256" spans="1:8" customFormat="1" ht="15">
      <c r="A256" s="69" t="s">
        <v>365</v>
      </c>
      <c r="B256" s="144">
        <f>D256-C256</f>
        <v>207574.52000000002</v>
      </c>
      <c r="C256" s="144">
        <v>0</v>
      </c>
      <c r="D256" s="144">
        <f>SUM(E256:G256)</f>
        <v>207574.52000000002</v>
      </c>
      <c r="E256" s="144">
        <v>84471.5</v>
      </c>
      <c r="F256" s="144">
        <v>74326.460000000006</v>
      </c>
      <c r="G256" s="144">
        <v>48776.56</v>
      </c>
      <c r="H256" s="60" t="s">
        <v>108</v>
      </c>
    </row>
    <row r="257" spans="1:8" customFormat="1" ht="12.75">
      <c r="A257" s="84" t="s">
        <v>202</v>
      </c>
      <c r="B257" s="101"/>
      <c r="C257" s="101"/>
      <c r="D257" s="101"/>
      <c r="E257" s="101"/>
      <c r="F257" s="101"/>
      <c r="G257" s="101"/>
    </row>
    <row r="258" spans="1:8" customFormat="1" ht="15">
      <c r="A258" s="69" t="s">
        <v>366</v>
      </c>
      <c r="B258" s="144">
        <f>D258-C258</f>
        <v>409156.11</v>
      </c>
      <c r="C258" s="144">
        <v>0</v>
      </c>
      <c r="D258" s="144">
        <f>SUM(E258:G258)</f>
        <v>409156.11</v>
      </c>
      <c r="E258" s="144">
        <v>171545.14</v>
      </c>
      <c r="F258" s="144">
        <v>143635.97</v>
      </c>
      <c r="G258" s="144">
        <v>93975</v>
      </c>
      <c r="H258" s="60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</row>
    <row r="260" spans="1:8" customFormat="1" ht="12.75">
      <c r="A260" s="74" t="s">
        <v>367</v>
      </c>
      <c r="B260" s="142">
        <f t="shared" ref="B260:B266" si="38">D260-C260</f>
        <v>136603.84</v>
      </c>
      <c r="C260" s="142">
        <v>0</v>
      </c>
      <c r="D260" s="142">
        <f>SUM(E260:G260)</f>
        <v>136603.84</v>
      </c>
      <c r="E260" s="142">
        <v>101285.95</v>
      </c>
      <c r="F260" s="142">
        <v>13920.84</v>
      </c>
      <c r="G260" s="142">
        <v>21397.05</v>
      </c>
    </row>
    <row r="261" spans="1:8" customFormat="1" ht="12.75">
      <c r="A261" s="74" t="s">
        <v>368</v>
      </c>
      <c r="B261" s="142">
        <f t="shared" si="38"/>
        <v>145635.97</v>
      </c>
      <c r="C261" s="142">
        <v>0</v>
      </c>
      <c r="D261" s="142">
        <f t="shared" ref="D261:D266" si="39">SUM(E261:G261)</f>
        <v>145635.97</v>
      </c>
      <c r="E261" s="142">
        <v>98455.88</v>
      </c>
      <c r="F261" s="142">
        <v>3099.78</v>
      </c>
      <c r="G261" s="142">
        <v>44080.31</v>
      </c>
    </row>
    <row r="262" spans="1:8" customFormat="1" ht="12.75">
      <c r="A262" s="74" t="s">
        <v>369</v>
      </c>
      <c r="B262" s="142">
        <f t="shared" si="38"/>
        <v>148688.84999999998</v>
      </c>
      <c r="C262" s="142">
        <v>0</v>
      </c>
      <c r="D262" s="142">
        <f t="shared" si="39"/>
        <v>148688.84999999998</v>
      </c>
      <c r="E262" s="142">
        <v>134380.46</v>
      </c>
      <c r="F262" s="142">
        <v>0</v>
      </c>
      <c r="G262" s="142">
        <v>14308.39</v>
      </c>
    </row>
    <row r="263" spans="1:8" customFormat="1" ht="12.75">
      <c r="A263" s="74" t="s">
        <v>370</v>
      </c>
      <c r="B263" s="142">
        <f t="shared" si="38"/>
        <v>31728.61</v>
      </c>
      <c r="C263" s="142">
        <v>0</v>
      </c>
      <c r="D263" s="142">
        <f t="shared" si="39"/>
        <v>31728.61</v>
      </c>
      <c r="E263" s="142">
        <v>26528.84</v>
      </c>
      <c r="F263" s="142">
        <v>4112.87</v>
      </c>
      <c r="G263" s="142">
        <v>1086.9000000000001</v>
      </c>
    </row>
    <row r="264" spans="1:8" customFormat="1" ht="12.75">
      <c r="A264" s="74" t="s">
        <v>371</v>
      </c>
      <c r="B264" s="142">
        <f t="shared" si="38"/>
        <v>76438.05</v>
      </c>
      <c r="C264" s="142">
        <v>0</v>
      </c>
      <c r="D264" s="142">
        <f t="shared" si="39"/>
        <v>76438.05</v>
      </c>
      <c r="E264" s="142">
        <v>49099.57</v>
      </c>
      <c r="F264" s="142">
        <v>5313.12</v>
      </c>
      <c r="G264" s="142">
        <v>22025.360000000001</v>
      </c>
    </row>
    <row r="265" spans="1:8" customFormat="1" ht="12.75">
      <c r="A265" s="74" t="s">
        <v>372</v>
      </c>
      <c r="B265" s="142">
        <f t="shared" si="38"/>
        <v>39189.56</v>
      </c>
      <c r="C265" s="142">
        <v>0</v>
      </c>
      <c r="D265" s="142">
        <f t="shared" si="39"/>
        <v>39189.56</v>
      </c>
      <c r="E265" s="142">
        <v>28908.35</v>
      </c>
      <c r="F265" s="142">
        <v>6413.21</v>
      </c>
      <c r="G265" s="142">
        <v>3868</v>
      </c>
    </row>
    <row r="266" spans="1:8" customFormat="1" ht="12.75">
      <c r="A266" s="74" t="s">
        <v>373</v>
      </c>
      <c r="B266" s="142">
        <f t="shared" si="38"/>
        <v>378680.59</v>
      </c>
      <c r="C266" s="142">
        <v>0</v>
      </c>
      <c r="D266" s="142">
        <f t="shared" si="39"/>
        <v>378680.59</v>
      </c>
      <c r="E266" s="142">
        <f>27562.23+10201.28+750+12594.5+95+40.6+5126.5+6764.41+6760.22+72345.65+2221.97+27513.78+3397.1+8600+12824.32+4984.84</f>
        <v>201782.40000000002</v>
      </c>
      <c r="F266" s="142">
        <f>231.16+343.39+14974.96+14123.38+3195.18+16500.2+730.97+2927.09+771.18+14320.47+0</f>
        <v>68117.98</v>
      </c>
      <c r="G266" s="142">
        <v>108780.21</v>
      </c>
    </row>
    <row r="267" spans="1:8" customFormat="1" ht="15">
      <c r="A267" s="69" t="s">
        <v>374</v>
      </c>
      <c r="B267" s="144">
        <f t="shared" ref="B267:G267" si="40">SUM(B260:B266)</f>
        <v>956965.47</v>
      </c>
      <c r="C267" s="144">
        <f t="shared" si="40"/>
        <v>0</v>
      </c>
      <c r="D267" s="144">
        <f t="shared" si="40"/>
        <v>956965.47</v>
      </c>
      <c r="E267" s="144">
        <f>SUM(E260:E266)</f>
        <v>640441.45000000007</v>
      </c>
      <c r="F267" s="144">
        <f t="shared" si="40"/>
        <v>100977.79999999999</v>
      </c>
      <c r="G267" s="144">
        <f t="shared" si="40"/>
        <v>215546.22</v>
      </c>
      <c r="H267" s="60" t="s">
        <v>10</v>
      </c>
    </row>
    <row r="268" spans="1:8" customFormat="1" ht="12.75">
      <c r="A268" s="145"/>
      <c r="B268" s="146"/>
      <c r="C268" s="146"/>
      <c r="D268" s="146"/>
      <c r="E268" s="146"/>
      <c r="F268" s="146"/>
      <c r="G268" s="146"/>
    </row>
    <row r="269" spans="1:8" customFormat="1" ht="12.75">
      <c r="A269" s="69" t="s">
        <v>375</v>
      </c>
      <c r="B269" s="144">
        <f t="shared" ref="B269:G269" si="41">B246+B254+B256+B258+B267</f>
        <v>3577426.8500000006</v>
      </c>
      <c r="C269" s="144">
        <f t="shared" si="41"/>
        <v>0</v>
      </c>
      <c r="D269" s="144">
        <f t="shared" si="41"/>
        <v>3577426.8500000006</v>
      </c>
      <c r="E269" s="144">
        <f t="shared" si="41"/>
        <v>2424566.0300000003</v>
      </c>
      <c r="F269" s="144">
        <f>F246+F254+F256+F258+F267</f>
        <v>536011.94999999995</v>
      </c>
      <c r="G269" s="144">
        <f t="shared" si="41"/>
        <v>616848.87</v>
      </c>
    </row>
    <row r="270" spans="1:8" customFormat="1" ht="12.75">
      <c r="A270" s="145"/>
      <c r="B270" s="146"/>
      <c r="C270" s="146"/>
      <c r="D270" s="146"/>
      <c r="E270" s="146"/>
      <c r="F270" s="146"/>
      <c r="G270" s="146"/>
    </row>
    <row r="271" spans="1:8" customFormat="1" ht="12.75">
      <c r="A271" s="69" t="s">
        <v>376</v>
      </c>
      <c r="B271" s="144">
        <f t="shared" ref="B271:G271" si="42">B228+B236-B269</f>
        <v>1576841.8799999971</v>
      </c>
      <c r="C271" s="144">
        <f t="shared" si="42"/>
        <v>0</v>
      </c>
      <c r="D271" s="144">
        <f t="shared" si="42"/>
        <v>1576841.8799999971</v>
      </c>
      <c r="E271" s="144">
        <f>E228+E236-E269</f>
        <v>828593.60000000009</v>
      </c>
      <c r="F271" s="144">
        <f>F228+F236-F269</f>
        <v>-67603.37</v>
      </c>
      <c r="G271" s="144">
        <f t="shared" si="42"/>
        <v>815851.65000000049</v>
      </c>
    </row>
    <row r="272" spans="1:8" customFormat="1" ht="12.75">
      <c r="A272" s="84" t="s">
        <v>202</v>
      </c>
      <c r="B272" s="101"/>
      <c r="C272" s="101"/>
      <c r="D272" s="101"/>
      <c r="E272" s="101"/>
      <c r="F272" s="101"/>
      <c r="G272" s="101"/>
    </row>
    <row r="273" spans="1:8" customFormat="1" ht="12.75">
      <c r="A273" s="74" t="s">
        <v>377</v>
      </c>
      <c r="B273" s="142">
        <f>D273-C273</f>
        <v>454521.57</v>
      </c>
      <c r="C273" s="142">
        <v>0</v>
      </c>
      <c r="D273" s="142">
        <f>SUM(E273:G273)</f>
        <v>454521.57</v>
      </c>
      <c r="E273" s="142">
        <v>176340.37</v>
      </c>
      <c r="F273" s="142">
        <v>11269.37</v>
      </c>
      <c r="G273" s="142">
        <v>266911.83</v>
      </c>
    </row>
    <row r="274" spans="1:8" customFormat="1" ht="12.75">
      <c r="A274" s="154" t="s">
        <v>378</v>
      </c>
      <c r="B274" s="142">
        <f>D274-C274</f>
        <v>37037.049999999996</v>
      </c>
      <c r="C274" s="142">
        <v>0</v>
      </c>
      <c r="D274" s="142">
        <f>SUM(E274:G274)</f>
        <v>37037.049999999996</v>
      </c>
      <c r="E274" s="142">
        <v>39882.699999999997</v>
      </c>
      <c r="F274" s="142">
        <v>0</v>
      </c>
      <c r="G274" s="142">
        <v>-2845.65</v>
      </c>
    </row>
    <row r="275" spans="1:8" customFormat="1" ht="15">
      <c r="A275" s="69" t="s">
        <v>379</v>
      </c>
      <c r="B275" s="144">
        <f t="shared" ref="B275:G275" si="43">SUM(B273:B274)</f>
        <v>491558.62</v>
      </c>
      <c r="C275" s="144">
        <f t="shared" si="43"/>
        <v>0</v>
      </c>
      <c r="D275" s="144">
        <f t="shared" si="43"/>
        <v>491558.62</v>
      </c>
      <c r="E275" s="144">
        <f t="shared" si="43"/>
        <v>216223.07</v>
      </c>
      <c r="F275" s="144">
        <f t="shared" si="43"/>
        <v>11269.37</v>
      </c>
      <c r="G275" s="144">
        <f t="shared" si="43"/>
        <v>264066.18</v>
      </c>
      <c r="H275" s="60" t="s">
        <v>31</v>
      </c>
    </row>
    <row r="276" spans="1:8" customFormat="1" ht="12.75">
      <c r="A276" s="145"/>
      <c r="B276" s="146"/>
      <c r="C276" s="146"/>
      <c r="D276" s="146"/>
      <c r="E276" s="146"/>
      <c r="F276" s="146"/>
      <c r="G276" s="146"/>
    </row>
    <row r="277" spans="1:8" customFormat="1" ht="13.5" thickBot="1">
      <c r="A277" s="69" t="s">
        <v>380</v>
      </c>
      <c r="B277" s="155">
        <f t="shared" ref="B277:G277" si="44">B271-B275</f>
        <v>1085283.259999997</v>
      </c>
      <c r="C277" s="155">
        <f t="shared" si="44"/>
        <v>0</v>
      </c>
      <c r="D277" s="155">
        <f t="shared" si="44"/>
        <v>1085283.259999997</v>
      </c>
      <c r="E277" s="155">
        <f t="shared" si="44"/>
        <v>612370.53</v>
      </c>
      <c r="F277" s="155">
        <f>F271-F275</f>
        <v>-78872.739999999991</v>
      </c>
      <c r="G277" s="155">
        <f t="shared" si="44"/>
        <v>551785.47000000044</v>
      </c>
    </row>
    <row r="278" spans="1:8" customFormat="1" ht="13.5" thickTop="1"/>
    <row r="279" spans="1:8" customFormat="1" ht="12.75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79"/>
  <sheetViews>
    <sheetView topLeftCell="A205" workbookViewId="0">
      <selection activeCell="G120" sqref="G120"/>
    </sheetView>
  </sheetViews>
  <sheetFormatPr baseColWidth="10" defaultColWidth="14.140625" defaultRowHeight="12.75"/>
  <cols>
    <col min="1" max="1" width="14.140625" style="65"/>
    <col min="2" max="7" width="14.140625" style="70"/>
    <col min="8" max="8" width="42.140625" style="104" customWidth="1"/>
    <col min="9" max="16384" width="14.140625" style="65"/>
  </cols>
  <sheetData>
    <row r="1" spans="1:8" ht="38.25">
      <c r="A1" s="63" t="s">
        <v>196</v>
      </c>
      <c r="B1" s="64" t="s">
        <v>197</v>
      </c>
      <c r="C1" s="64" t="s">
        <v>198</v>
      </c>
      <c r="D1" s="64" t="s">
        <v>178</v>
      </c>
      <c r="E1" s="64" t="s">
        <v>199</v>
      </c>
      <c r="F1" s="64" t="s">
        <v>200</v>
      </c>
      <c r="G1" s="64" t="s">
        <v>201</v>
      </c>
      <c r="H1" s="159"/>
    </row>
    <row r="2" spans="1:8" s="68" customFormat="1" ht="12">
      <c r="A2" s="66" t="s">
        <v>202</v>
      </c>
      <c r="B2" s="67"/>
      <c r="C2" s="67"/>
      <c r="D2" s="67"/>
      <c r="E2" s="67"/>
      <c r="F2" s="67"/>
      <c r="G2" s="67"/>
      <c r="H2" s="159"/>
    </row>
    <row r="3" spans="1:8">
      <c r="A3" s="69" t="s">
        <v>203</v>
      </c>
      <c r="H3" s="159"/>
    </row>
    <row r="4" spans="1:8" s="73" customFormat="1" ht="12">
      <c r="A4" s="71" t="s">
        <v>202</v>
      </c>
      <c r="B4" s="72"/>
      <c r="C4" s="72"/>
      <c r="D4" s="72"/>
      <c r="E4" s="72"/>
      <c r="F4" s="72"/>
      <c r="G4" s="72"/>
      <c r="H4" s="160"/>
    </row>
    <row r="5" spans="1:8" s="76" customFormat="1" ht="15">
      <c r="A5" s="74" t="s">
        <v>158</v>
      </c>
      <c r="B5" s="75">
        <f>D5-C5</f>
        <v>282445.55000000005</v>
      </c>
      <c r="C5" s="75">
        <v>0</v>
      </c>
      <c r="D5" s="75">
        <f>SUM(E5:G5)</f>
        <v>282445.55000000005</v>
      </c>
      <c r="E5" s="75">
        <v>280459.71000000002</v>
      </c>
      <c r="F5" s="75">
        <v>685.84</v>
      </c>
      <c r="G5" s="75">
        <v>1300</v>
      </c>
      <c r="H5" s="157" t="s">
        <v>161</v>
      </c>
    </row>
    <row r="6" spans="1:8" s="76" customFormat="1" ht="15">
      <c r="A6" s="74" t="s">
        <v>204</v>
      </c>
      <c r="B6" s="75">
        <f>D6-C6</f>
        <v>22002781.850000001</v>
      </c>
      <c r="C6" s="75">
        <v>0</v>
      </c>
      <c r="D6" s="75">
        <f>SUM(E6:G6)</f>
        <v>22002781.850000001</v>
      </c>
      <c r="E6" s="75">
        <v>13977208.6</v>
      </c>
      <c r="F6" s="75">
        <v>1875527.1</v>
      </c>
      <c r="G6" s="75">
        <v>6150046.1500000004</v>
      </c>
      <c r="H6" s="157" t="s">
        <v>165</v>
      </c>
    </row>
    <row r="7" spans="1:8" s="76" customFormat="1" ht="15">
      <c r="A7" s="74" t="s">
        <v>205</v>
      </c>
      <c r="B7" s="75">
        <f>D7-C7</f>
        <v>3385450.7900000005</v>
      </c>
      <c r="C7" s="75">
        <v>1902.01</v>
      </c>
      <c r="D7" s="75">
        <f>SUM(E7:G7)</f>
        <v>3387352.8000000003</v>
      </c>
      <c r="E7" s="75">
        <v>1225756.83</v>
      </c>
      <c r="F7" s="75">
        <v>2107208.77</v>
      </c>
      <c r="G7" s="75">
        <v>54387.199999999997</v>
      </c>
      <c r="H7" s="157" t="s">
        <v>191</v>
      </c>
    </row>
    <row r="8" spans="1:8" s="76" customFormat="1">
      <c r="A8" s="74" t="s">
        <v>206</v>
      </c>
      <c r="B8" s="75">
        <f>D8-C8</f>
        <v>500000</v>
      </c>
      <c r="C8" s="75">
        <v>0</v>
      </c>
      <c r="D8" s="75">
        <f>SUM(E8:G8)</f>
        <v>500000</v>
      </c>
      <c r="E8" s="75">
        <v>500000</v>
      </c>
      <c r="F8" s="75">
        <v>0</v>
      </c>
      <c r="G8" s="75">
        <v>0</v>
      </c>
      <c r="H8" s="160"/>
    </row>
    <row r="9" spans="1:8">
      <c r="A9" s="69" t="s">
        <v>207</v>
      </c>
      <c r="B9" s="77">
        <f t="shared" ref="B9:G9" si="0">SUM(B5:B8)</f>
        <v>26170678.190000001</v>
      </c>
      <c r="C9" s="77">
        <f t="shared" si="0"/>
        <v>1902.01</v>
      </c>
      <c r="D9" s="77">
        <f t="shared" si="0"/>
        <v>26172580.200000003</v>
      </c>
      <c r="E9" s="77">
        <f t="shared" si="0"/>
        <v>15983425.140000001</v>
      </c>
      <c r="F9" s="77">
        <f t="shared" si="0"/>
        <v>3983421.71</v>
      </c>
      <c r="G9" s="77">
        <f t="shared" si="0"/>
        <v>6205733.3500000006</v>
      </c>
      <c r="H9" s="159"/>
    </row>
    <row r="10" spans="1:8" s="73" customFormat="1" ht="12">
      <c r="A10" s="71" t="s">
        <v>202</v>
      </c>
      <c r="B10" s="72"/>
      <c r="C10" s="72"/>
      <c r="D10" s="72"/>
      <c r="E10" s="72"/>
      <c r="F10" s="72"/>
      <c r="G10" s="72"/>
      <c r="H10" s="160"/>
    </row>
    <row r="11" spans="1:8" s="76" customFormat="1">
      <c r="A11" s="74" t="s">
        <v>208</v>
      </c>
      <c r="B11" s="75">
        <f t="shared" ref="B11:B16" si="1">D11-C11</f>
        <v>29106931.199999999</v>
      </c>
      <c r="C11" s="75">
        <v>0</v>
      </c>
      <c r="D11" s="75">
        <f t="shared" ref="D11:D16" si="2">SUM(E11:G11)</f>
        <v>29106931.199999999</v>
      </c>
      <c r="E11" s="75">
        <f>29106931.2</f>
        <v>29106931.199999999</v>
      </c>
      <c r="F11" s="75">
        <v>0</v>
      </c>
      <c r="G11" s="75">
        <v>0</v>
      </c>
      <c r="H11" s="160"/>
    </row>
    <row r="12" spans="1:8" s="76" customFormat="1">
      <c r="A12" s="74" t="s">
        <v>209</v>
      </c>
      <c r="B12" s="75">
        <f t="shared" si="1"/>
        <v>6389849.46</v>
      </c>
      <c r="C12" s="75">
        <v>0</v>
      </c>
      <c r="D12" s="75">
        <f t="shared" si="2"/>
        <v>6389849.46</v>
      </c>
      <c r="E12" s="75">
        <v>2117137.5</v>
      </c>
      <c r="F12" s="75">
        <v>4272711.96</v>
      </c>
      <c r="G12" s="75">
        <v>0</v>
      </c>
      <c r="H12" s="160"/>
    </row>
    <row r="13" spans="1:8" s="76" customFormat="1">
      <c r="A13" s="74" t="s">
        <v>210</v>
      </c>
      <c r="B13" s="75">
        <f t="shared" si="1"/>
        <v>399548.35</v>
      </c>
      <c r="C13" s="75">
        <v>0</v>
      </c>
      <c r="D13" s="75">
        <f t="shared" si="2"/>
        <v>399548.35</v>
      </c>
      <c r="E13" s="75">
        <v>217699.20000000001</v>
      </c>
      <c r="F13" s="75">
        <v>181849.15</v>
      </c>
      <c r="G13" s="75">
        <v>0</v>
      </c>
      <c r="H13" s="160"/>
    </row>
    <row r="14" spans="1:8" s="76" customFormat="1">
      <c r="A14" s="74" t="s">
        <v>211</v>
      </c>
      <c r="B14" s="75">
        <f t="shared" si="1"/>
        <v>522407.55999999994</v>
      </c>
      <c r="C14" s="75">
        <v>34849.51</v>
      </c>
      <c r="D14" s="75">
        <f t="shared" si="2"/>
        <v>557257.06999999995</v>
      </c>
      <c r="E14" s="75">
        <v>34849.51</v>
      </c>
      <c r="F14" s="75">
        <v>522407.56</v>
      </c>
      <c r="G14" s="75">
        <v>0</v>
      </c>
      <c r="H14" s="160"/>
    </row>
    <row r="15" spans="1:8" s="76" customFormat="1">
      <c r="A15" s="74" t="s">
        <v>212</v>
      </c>
      <c r="B15" s="75">
        <f t="shared" si="1"/>
        <v>53657.25</v>
      </c>
      <c r="C15" s="75">
        <v>0</v>
      </c>
      <c r="D15" s="75">
        <f t="shared" si="2"/>
        <v>53657.25</v>
      </c>
      <c r="E15" s="75">
        <v>53657.25</v>
      </c>
      <c r="F15" s="75">
        <v>0</v>
      </c>
      <c r="G15" s="75">
        <v>0</v>
      </c>
      <c r="H15" s="160"/>
    </row>
    <row r="16" spans="1:8" s="76" customFormat="1">
      <c r="A16" s="74" t="s">
        <v>213</v>
      </c>
      <c r="B16" s="75">
        <f t="shared" si="1"/>
        <v>8140469.7300000004</v>
      </c>
      <c r="C16" s="75">
        <v>0</v>
      </c>
      <c r="D16" s="75">
        <f t="shared" si="2"/>
        <v>8140469.7300000004</v>
      </c>
      <c r="E16" s="75">
        <v>8140469.7300000004</v>
      </c>
      <c r="F16" s="75">
        <v>0</v>
      </c>
      <c r="G16" s="75">
        <v>0</v>
      </c>
      <c r="H16" s="160"/>
    </row>
    <row r="17" spans="1:8">
      <c r="A17" s="69" t="s">
        <v>159</v>
      </c>
      <c r="B17" s="77">
        <f t="shared" ref="B17:G17" si="3">SUM(B11:B16)</f>
        <v>44612863.549999997</v>
      </c>
      <c r="C17" s="77">
        <f t="shared" si="3"/>
        <v>34849.51</v>
      </c>
      <c r="D17" s="77">
        <f t="shared" si="3"/>
        <v>44647713.060000002</v>
      </c>
      <c r="E17" s="77">
        <f t="shared" si="3"/>
        <v>39670744.390000001</v>
      </c>
      <c r="F17" s="77">
        <f t="shared" si="3"/>
        <v>4976968.67</v>
      </c>
      <c r="G17" s="77">
        <f t="shared" si="3"/>
        <v>0</v>
      </c>
      <c r="H17" s="159"/>
    </row>
    <row r="18" spans="1:8" s="73" customFormat="1" ht="12">
      <c r="A18" s="71" t="s">
        <v>202</v>
      </c>
      <c r="B18" s="72"/>
      <c r="C18" s="72"/>
      <c r="D18" s="72"/>
      <c r="E18" s="72"/>
      <c r="F18" s="72"/>
      <c r="G18" s="72"/>
      <c r="H18" s="160"/>
    </row>
    <row r="19" spans="1:8" ht="15">
      <c r="A19" s="69" t="s">
        <v>214</v>
      </c>
      <c r="B19" s="77">
        <f>D19-C19</f>
        <v>0</v>
      </c>
      <c r="C19" s="77">
        <v>25503062.690000001</v>
      </c>
      <c r="D19" s="77">
        <f>SUM(E19:G19)</f>
        <v>25503062.690000001</v>
      </c>
      <c r="E19" s="77">
        <v>25246740.100000001</v>
      </c>
      <c r="F19" s="77">
        <v>0</v>
      </c>
      <c r="G19" s="77">
        <v>256322.59</v>
      </c>
      <c r="H19" s="157" t="s">
        <v>180</v>
      </c>
    </row>
    <row r="20" spans="1:8">
      <c r="A20" s="69"/>
      <c r="B20" s="77"/>
      <c r="C20" s="77"/>
      <c r="D20" s="77"/>
      <c r="E20" s="77"/>
      <c r="F20" s="77"/>
      <c r="G20" s="77"/>
      <c r="H20" s="159"/>
    </row>
    <row r="21" spans="1:8">
      <c r="A21" s="69" t="s">
        <v>215</v>
      </c>
      <c r="B21" s="77">
        <f>D21-C21</f>
        <v>1285364</v>
      </c>
      <c r="C21" s="77">
        <v>0</v>
      </c>
      <c r="D21" s="77">
        <f>SUM(E21:G21)</f>
        <v>1285364</v>
      </c>
      <c r="E21" s="77">
        <v>1285364</v>
      </c>
      <c r="F21" s="77">
        <v>0</v>
      </c>
      <c r="G21" s="77">
        <v>0</v>
      </c>
      <c r="H21" s="159"/>
    </row>
    <row r="22" spans="1:8" s="73" customFormat="1" ht="12">
      <c r="A22" s="71" t="s">
        <v>202</v>
      </c>
      <c r="B22" s="72"/>
      <c r="C22" s="72"/>
      <c r="D22" s="72"/>
      <c r="E22" s="72"/>
      <c r="F22" s="72"/>
      <c r="G22" s="72"/>
      <c r="H22" s="160"/>
    </row>
    <row r="23" spans="1:8" s="76" customFormat="1">
      <c r="A23" s="74" t="s">
        <v>216</v>
      </c>
      <c r="B23" s="75">
        <f>D23-C23</f>
        <v>470066170.40999997</v>
      </c>
      <c r="C23" s="75">
        <v>0</v>
      </c>
      <c r="D23" s="75">
        <f>SUM(E23:G23)</f>
        <v>470066170.40999997</v>
      </c>
      <c r="E23" s="75">
        <v>303241891.11000001</v>
      </c>
      <c r="F23" s="75">
        <v>37175266.710000001</v>
      </c>
      <c r="G23" s="75">
        <v>129649012.59</v>
      </c>
      <c r="H23" s="160"/>
    </row>
    <row r="24" spans="1:8" s="76" customFormat="1">
      <c r="A24" s="74" t="s">
        <v>217</v>
      </c>
      <c r="B24" s="75">
        <f>D24-C24</f>
        <v>39852642.5</v>
      </c>
      <c r="C24" s="75">
        <v>0</v>
      </c>
      <c r="D24" s="75">
        <f>SUM(E24:G24)</f>
        <v>39852642.5</v>
      </c>
      <c r="E24" s="75">
        <v>29319769.100000001</v>
      </c>
      <c r="F24" s="75">
        <v>5694602.75</v>
      </c>
      <c r="G24" s="75">
        <v>4838270.6500000004</v>
      </c>
      <c r="H24" s="160"/>
    </row>
    <row r="25" spans="1:8" s="76" customFormat="1">
      <c r="A25" s="74" t="s">
        <v>218</v>
      </c>
      <c r="B25" s="75">
        <f>D25-C25</f>
        <v>196329.25</v>
      </c>
      <c r="C25" s="75">
        <v>0</v>
      </c>
      <c r="D25" s="75">
        <f>SUM(E25:G25)</f>
        <v>196329.25</v>
      </c>
      <c r="E25" s="75">
        <v>196329.25</v>
      </c>
      <c r="F25" s="75">
        <v>0</v>
      </c>
      <c r="G25" s="75">
        <v>0</v>
      </c>
      <c r="H25" s="160"/>
    </row>
    <row r="26" spans="1:8" ht="15">
      <c r="A26" s="69" t="s">
        <v>219</v>
      </c>
      <c r="B26" s="77">
        <f t="shared" ref="B26:G26" si="4">SUM(B23:B25)</f>
        <v>510115142.15999997</v>
      </c>
      <c r="C26" s="77">
        <f t="shared" si="4"/>
        <v>0</v>
      </c>
      <c r="D26" s="77">
        <f t="shared" si="4"/>
        <v>510115142.15999997</v>
      </c>
      <c r="E26" s="77">
        <f t="shared" si="4"/>
        <v>332757989.46000004</v>
      </c>
      <c r="F26" s="77">
        <f t="shared" si="4"/>
        <v>42869869.460000001</v>
      </c>
      <c r="G26" s="77">
        <f t="shared" si="4"/>
        <v>134487283.24000001</v>
      </c>
      <c r="H26" s="157" t="s">
        <v>181</v>
      </c>
    </row>
    <row r="27" spans="1:8" s="76" customFormat="1" ht="15">
      <c r="A27" s="74" t="s">
        <v>220</v>
      </c>
      <c r="B27" s="75">
        <f>D27-C27</f>
        <v>-280693.72000000003</v>
      </c>
      <c r="C27" s="75">
        <v>0</v>
      </c>
      <c r="D27" s="75">
        <f>SUM(E27:G27)</f>
        <v>-280693.72000000003</v>
      </c>
      <c r="E27" s="75">
        <v>-62687.17</v>
      </c>
      <c r="F27" s="75">
        <f>-1927543.36+1901190.6</f>
        <v>-26352.760000000009</v>
      </c>
      <c r="G27" s="75">
        <v>-191653.79</v>
      </c>
      <c r="H27" s="158" t="s">
        <v>187</v>
      </c>
    </row>
    <row r="28" spans="1:8">
      <c r="A28" s="69" t="s">
        <v>221</v>
      </c>
      <c r="B28" s="77">
        <f t="shared" ref="B28:G28" si="5">B26+B27</f>
        <v>509834448.43999994</v>
      </c>
      <c r="C28" s="77">
        <f t="shared" si="5"/>
        <v>0</v>
      </c>
      <c r="D28" s="77">
        <f t="shared" si="5"/>
        <v>509834448.43999994</v>
      </c>
      <c r="E28" s="77">
        <f t="shared" si="5"/>
        <v>332695302.29000002</v>
      </c>
      <c r="F28" s="77">
        <f t="shared" si="5"/>
        <v>42843516.700000003</v>
      </c>
      <c r="G28" s="77">
        <f t="shared" si="5"/>
        <v>134295629.45000002</v>
      </c>
      <c r="H28" s="159"/>
    </row>
    <row r="29" spans="1:8" s="73" customFormat="1" ht="12">
      <c r="A29" s="71" t="s">
        <v>202</v>
      </c>
      <c r="B29" s="72"/>
      <c r="C29" s="72"/>
      <c r="D29" s="72"/>
      <c r="E29" s="72"/>
      <c r="F29" s="72"/>
      <c r="G29" s="72"/>
      <c r="H29" s="160"/>
    </row>
    <row r="30" spans="1:8" s="76" customFormat="1">
      <c r="A30" s="74" t="s">
        <v>222</v>
      </c>
      <c r="B30" s="75">
        <f t="shared" ref="B30:B36" si="6">D30-C30</f>
        <v>919884.72000000009</v>
      </c>
      <c r="C30" s="75">
        <v>0</v>
      </c>
      <c r="D30" s="75">
        <f t="shared" ref="D30:D36" si="7">SUM(E30:G30)</f>
        <v>919884.72000000009</v>
      </c>
      <c r="E30" s="75">
        <v>718259.56</v>
      </c>
      <c r="F30" s="75">
        <v>0</v>
      </c>
      <c r="G30" s="75">
        <v>201625.16</v>
      </c>
      <c r="H30" s="160"/>
    </row>
    <row r="31" spans="1:8" s="76" customFormat="1">
      <c r="A31" s="74" t="s">
        <v>223</v>
      </c>
      <c r="B31" s="75">
        <f t="shared" si="6"/>
        <v>583092.6</v>
      </c>
      <c r="C31" s="75">
        <v>0</v>
      </c>
      <c r="D31" s="75">
        <f t="shared" si="7"/>
        <v>583092.6</v>
      </c>
      <c r="E31" s="75">
        <v>413696.92</v>
      </c>
      <c r="F31" s="75">
        <v>48168.73</v>
      </c>
      <c r="G31" s="75">
        <v>121226.95</v>
      </c>
      <c r="H31" s="160"/>
    </row>
    <row r="32" spans="1:8" s="76" customFormat="1">
      <c r="A32" s="74" t="s">
        <v>224</v>
      </c>
      <c r="B32" s="75">
        <f t="shared" si="6"/>
        <v>813883.43</v>
      </c>
      <c r="C32" s="75">
        <v>0</v>
      </c>
      <c r="D32" s="75">
        <f t="shared" si="7"/>
        <v>813883.43</v>
      </c>
      <c r="E32" s="75">
        <v>689147.91</v>
      </c>
      <c r="F32" s="75">
        <v>0</v>
      </c>
      <c r="G32" s="75">
        <v>124735.52</v>
      </c>
      <c r="H32" s="160"/>
    </row>
    <row r="33" spans="1:8" s="76" customFormat="1">
      <c r="A33" s="74" t="s">
        <v>225</v>
      </c>
      <c r="B33" s="75">
        <f t="shared" si="6"/>
        <v>905334.19</v>
      </c>
      <c r="C33" s="75">
        <v>0</v>
      </c>
      <c r="D33" s="75">
        <f t="shared" si="7"/>
        <v>905334.19</v>
      </c>
      <c r="E33" s="75">
        <v>631736.01</v>
      </c>
      <c r="F33" s="75">
        <v>91784.37</v>
      </c>
      <c r="G33" s="75">
        <v>181813.81</v>
      </c>
      <c r="H33" s="160"/>
    </row>
    <row r="34" spans="1:8" s="76" customFormat="1">
      <c r="A34" s="74" t="s">
        <v>226</v>
      </c>
      <c r="B34" s="75">
        <f t="shared" si="6"/>
        <v>731491.80999999994</v>
      </c>
      <c r="C34" s="75">
        <v>0</v>
      </c>
      <c r="D34" s="75">
        <f t="shared" si="7"/>
        <v>731491.80999999994</v>
      </c>
      <c r="E34" s="75">
        <v>625254.71</v>
      </c>
      <c r="F34" s="75">
        <v>0</v>
      </c>
      <c r="G34" s="75">
        <v>106237.1</v>
      </c>
      <c r="H34" s="160"/>
    </row>
    <row r="35" spans="1:8" s="76" customFormat="1">
      <c r="A35" s="74" t="s">
        <v>227</v>
      </c>
      <c r="B35" s="75">
        <f t="shared" si="6"/>
        <v>384231.56</v>
      </c>
      <c r="C35" s="75">
        <v>0</v>
      </c>
      <c r="D35" s="75">
        <f t="shared" si="7"/>
        <v>384231.56</v>
      </c>
      <c r="E35" s="75">
        <v>299863.59999999998</v>
      </c>
      <c r="F35" s="75">
        <v>0</v>
      </c>
      <c r="G35" s="75">
        <v>84367.96</v>
      </c>
      <c r="H35" s="160"/>
    </row>
    <row r="36" spans="1:8" s="76" customFormat="1">
      <c r="A36" s="74" t="s">
        <v>228</v>
      </c>
      <c r="B36" s="78">
        <f t="shared" si="6"/>
        <v>0</v>
      </c>
      <c r="C36" s="78">
        <v>0</v>
      </c>
      <c r="D36" s="78">
        <f t="shared" si="7"/>
        <v>0</v>
      </c>
      <c r="E36" s="78">
        <v>0</v>
      </c>
      <c r="F36" s="78">
        <v>0</v>
      </c>
      <c r="G36" s="78">
        <v>0</v>
      </c>
      <c r="H36" s="160"/>
    </row>
    <row r="37" spans="1:8" s="76" customFormat="1" ht="15">
      <c r="A37" s="74" t="s">
        <v>229</v>
      </c>
      <c r="B37" s="75">
        <f t="shared" ref="B37:G37" si="8">SUM(B30:B36)</f>
        <v>4337918.3099999996</v>
      </c>
      <c r="C37" s="75">
        <f t="shared" si="8"/>
        <v>0</v>
      </c>
      <c r="D37" s="75">
        <f t="shared" si="8"/>
        <v>4337918.3099999996</v>
      </c>
      <c r="E37" s="75">
        <f t="shared" si="8"/>
        <v>3377958.7100000004</v>
      </c>
      <c r="F37" s="75">
        <f t="shared" si="8"/>
        <v>139953.1</v>
      </c>
      <c r="G37" s="75">
        <f t="shared" si="8"/>
        <v>820006.49999999988</v>
      </c>
      <c r="H37" s="157" t="s">
        <v>139</v>
      </c>
    </row>
    <row r="38" spans="1:8" s="73" customFormat="1">
      <c r="A38" s="71" t="s">
        <v>202</v>
      </c>
      <c r="B38" s="72"/>
      <c r="C38" s="72"/>
      <c r="D38" s="72"/>
      <c r="E38" s="79"/>
      <c r="F38" s="72"/>
      <c r="G38" s="72"/>
      <c r="H38" s="160"/>
    </row>
    <row r="39" spans="1:8" s="76" customFormat="1">
      <c r="A39" s="74" t="s">
        <v>230</v>
      </c>
      <c r="B39" s="75">
        <f t="shared" ref="B39:B44" si="9">D39-C39</f>
        <v>-805603.97</v>
      </c>
      <c r="C39" s="75">
        <v>0</v>
      </c>
      <c r="D39" s="75">
        <f t="shared" ref="D39:D44" si="10">SUM(E39:G39)</f>
        <v>-805603.97</v>
      </c>
      <c r="E39" s="75">
        <v>-635703.76</v>
      </c>
      <c r="F39" s="75">
        <v>0</v>
      </c>
      <c r="G39" s="75">
        <v>-169900.21</v>
      </c>
      <c r="H39" s="160"/>
    </row>
    <row r="40" spans="1:8" s="76" customFormat="1">
      <c r="A40" s="74" t="s">
        <v>231</v>
      </c>
      <c r="B40" s="75">
        <f t="shared" si="9"/>
        <v>-526644.91</v>
      </c>
      <c r="C40" s="75">
        <v>0</v>
      </c>
      <c r="D40" s="75">
        <f t="shared" si="10"/>
        <v>-526644.91</v>
      </c>
      <c r="E40" s="75">
        <v>-360645.83</v>
      </c>
      <c r="F40" s="75">
        <v>-53853.27</v>
      </c>
      <c r="G40" s="75">
        <v>-112145.81</v>
      </c>
      <c r="H40" s="160"/>
    </row>
    <row r="41" spans="1:8" s="76" customFormat="1">
      <c r="A41" s="74" t="s">
        <v>232</v>
      </c>
      <c r="B41" s="75">
        <f t="shared" si="9"/>
        <v>-635388.65</v>
      </c>
      <c r="C41" s="75">
        <v>0</v>
      </c>
      <c r="D41" s="75">
        <f t="shared" si="10"/>
        <v>-635388.65</v>
      </c>
      <c r="E41" s="75">
        <v>-523373.82</v>
      </c>
      <c r="F41" s="75">
        <v>0</v>
      </c>
      <c r="G41" s="75">
        <v>-112014.83</v>
      </c>
      <c r="H41" s="160"/>
    </row>
    <row r="42" spans="1:8" s="76" customFormat="1">
      <c r="A42" s="74" t="s">
        <v>233</v>
      </c>
      <c r="B42" s="75">
        <f t="shared" si="9"/>
        <v>-621827.12</v>
      </c>
      <c r="C42" s="75">
        <v>0</v>
      </c>
      <c r="D42" s="75">
        <f t="shared" si="10"/>
        <v>-621827.12</v>
      </c>
      <c r="E42" s="75">
        <v>-467402.39</v>
      </c>
      <c r="F42" s="75">
        <v>-16117.06</v>
      </c>
      <c r="G42" s="75">
        <v>-138307.67000000001</v>
      </c>
      <c r="H42" s="160"/>
    </row>
    <row r="43" spans="1:8" s="76" customFormat="1">
      <c r="A43" s="74" t="s">
        <v>234</v>
      </c>
      <c r="B43" s="75">
        <f t="shared" si="9"/>
        <v>-442359.85</v>
      </c>
      <c r="C43" s="75">
        <v>0</v>
      </c>
      <c r="D43" s="75">
        <f t="shared" si="10"/>
        <v>-442359.85</v>
      </c>
      <c r="E43" s="75">
        <v>-363918.06</v>
      </c>
      <c r="F43" s="75">
        <v>0</v>
      </c>
      <c r="G43" s="75">
        <v>-78441.789999999994</v>
      </c>
      <c r="H43" s="160"/>
    </row>
    <row r="44" spans="1:8" s="76" customFormat="1">
      <c r="A44" s="74" t="s">
        <v>235</v>
      </c>
      <c r="B44" s="78">
        <f t="shared" si="9"/>
        <v>-233420.05</v>
      </c>
      <c r="C44" s="78">
        <v>0</v>
      </c>
      <c r="D44" s="78">
        <f t="shared" si="10"/>
        <v>-233420.05</v>
      </c>
      <c r="E44" s="78">
        <v>-196873.77</v>
      </c>
      <c r="F44" s="78">
        <v>0</v>
      </c>
      <c r="G44" s="78">
        <v>-36546.28</v>
      </c>
      <c r="H44" s="160"/>
    </row>
    <row r="45" spans="1:8" s="76" customFormat="1" ht="15">
      <c r="A45" s="74" t="s">
        <v>236</v>
      </c>
      <c r="B45" s="75">
        <f t="shared" ref="B45:G45" si="11">SUM(B39:B44)</f>
        <v>-3265244.55</v>
      </c>
      <c r="C45" s="75">
        <f t="shared" si="11"/>
        <v>0</v>
      </c>
      <c r="D45" s="75">
        <f t="shared" si="11"/>
        <v>-3265244.55</v>
      </c>
      <c r="E45" s="75">
        <f t="shared" si="11"/>
        <v>-2547917.6300000004</v>
      </c>
      <c r="F45" s="75">
        <f t="shared" si="11"/>
        <v>-69970.33</v>
      </c>
      <c r="G45" s="75">
        <f t="shared" si="11"/>
        <v>-647356.59000000008</v>
      </c>
      <c r="H45" s="157" t="s">
        <v>139</v>
      </c>
    </row>
    <row r="46" spans="1:8" s="82" customFormat="1" ht="12">
      <c r="A46" s="80"/>
      <c r="B46" s="81"/>
      <c r="C46" s="81"/>
      <c r="D46" s="81"/>
      <c r="E46" s="81"/>
      <c r="F46" s="81"/>
      <c r="G46" s="81"/>
      <c r="H46" s="161"/>
    </row>
    <row r="47" spans="1:8">
      <c r="A47" s="69" t="s">
        <v>237</v>
      </c>
      <c r="B47" s="77">
        <f t="shared" ref="B47:G47" si="12">B37+B45</f>
        <v>1072673.7599999998</v>
      </c>
      <c r="C47" s="77">
        <f t="shared" si="12"/>
        <v>0</v>
      </c>
      <c r="D47" s="77">
        <f t="shared" si="12"/>
        <v>1072673.7599999998</v>
      </c>
      <c r="E47" s="77">
        <f>E37+E45</f>
        <v>830041.08000000007</v>
      </c>
      <c r="F47" s="77">
        <f t="shared" si="12"/>
        <v>69982.77</v>
      </c>
      <c r="G47" s="77">
        <f t="shared" si="12"/>
        <v>172649.9099999998</v>
      </c>
      <c r="H47" s="159"/>
    </row>
    <row r="48" spans="1:8" s="76" customFormat="1">
      <c r="A48" s="83" t="s">
        <v>202</v>
      </c>
      <c r="B48" s="79"/>
      <c r="C48" s="79"/>
      <c r="D48" s="79"/>
      <c r="E48" s="79"/>
      <c r="F48" s="79"/>
      <c r="G48" s="79"/>
      <c r="H48" s="160"/>
    </row>
    <row r="49" spans="1:8" s="76" customFormat="1">
      <c r="A49" s="74" t="s">
        <v>238</v>
      </c>
      <c r="B49" s="75">
        <f>D49-C49</f>
        <v>846222.69000000006</v>
      </c>
      <c r="C49" s="75">
        <v>0</v>
      </c>
      <c r="D49" s="75">
        <f>SUM(E49:G49)</f>
        <v>846222.69000000006</v>
      </c>
      <c r="E49" s="75">
        <v>603497.67000000004</v>
      </c>
      <c r="F49" s="75">
        <v>43339.73</v>
      </c>
      <c r="G49" s="75">
        <v>199385.29</v>
      </c>
      <c r="H49" s="160"/>
    </row>
    <row r="50" spans="1:8" s="76" customFormat="1">
      <c r="A50" s="74" t="s">
        <v>239</v>
      </c>
      <c r="B50" s="75">
        <f>D50-C50</f>
        <v>12261.140000000001</v>
      </c>
      <c r="C50" s="75">
        <v>0</v>
      </c>
      <c r="D50" s="75">
        <f>SUM(E50:G50)</f>
        <v>12261.140000000001</v>
      </c>
      <c r="E50" s="75">
        <v>9135.36</v>
      </c>
      <c r="F50" s="75">
        <v>0</v>
      </c>
      <c r="G50" s="75">
        <v>3125.78</v>
      </c>
      <c r="H50" s="160"/>
    </row>
    <row r="51" spans="1:8" s="76" customFormat="1">
      <c r="A51" s="74" t="s">
        <v>240</v>
      </c>
      <c r="B51" s="75">
        <f>D51-C51</f>
        <v>777530.92999999993</v>
      </c>
      <c r="C51" s="75">
        <v>0</v>
      </c>
      <c r="D51" s="75">
        <f>SUM(E51:G51)</f>
        <v>777530.92999999993</v>
      </c>
      <c r="E51" s="75">
        <v>589277.47</v>
      </c>
      <c r="F51" s="75">
        <v>124971.74</v>
      </c>
      <c r="G51" s="75">
        <v>63281.72</v>
      </c>
      <c r="H51" s="160"/>
    </row>
    <row r="52" spans="1:8" s="76" customFormat="1">
      <c r="A52" s="74" t="s">
        <v>241</v>
      </c>
      <c r="B52" s="75">
        <f>D52-C52</f>
        <v>1107137.6200000001</v>
      </c>
      <c r="C52" s="75">
        <v>0</v>
      </c>
      <c r="D52" s="75">
        <f>SUM(E52:G52)</f>
        <v>1107137.6200000001</v>
      </c>
      <c r="E52" s="75">
        <v>543033.69999999995</v>
      </c>
      <c r="F52" s="75">
        <f>187381.85+8391.3</f>
        <v>195773.15</v>
      </c>
      <c r="G52" s="75">
        <v>368330.77</v>
      </c>
      <c r="H52" s="160"/>
    </row>
    <row r="53" spans="1:8" s="76" customFormat="1">
      <c r="A53" s="74" t="s">
        <v>242</v>
      </c>
      <c r="B53" s="75">
        <f>D53-C53</f>
        <v>208314.3</v>
      </c>
      <c r="C53" s="75">
        <v>0</v>
      </c>
      <c r="D53" s="75">
        <f>SUM(E53:G53)</f>
        <v>208314.3</v>
      </c>
      <c r="E53" s="75">
        <v>208314.3</v>
      </c>
      <c r="F53" s="75">
        <v>0</v>
      </c>
      <c r="G53" s="75">
        <v>0</v>
      </c>
      <c r="H53" s="160"/>
    </row>
    <row r="54" spans="1:8" ht="15">
      <c r="A54" s="69" t="s">
        <v>160</v>
      </c>
      <c r="B54" s="77">
        <f t="shared" ref="B54:G54" si="13">SUM(B49:B53)</f>
        <v>2951466.6799999997</v>
      </c>
      <c r="C54" s="77">
        <f t="shared" si="13"/>
        <v>0</v>
      </c>
      <c r="D54" s="77">
        <f t="shared" si="13"/>
        <v>2951466.6799999997</v>
      </c>
      <c r="E54" s="77">
        <f>SUM(E49:E53)</f>
        <v>1953258.5</v>
      </c>
      <c r="F54" s="77">
        <f t="shared" si="13"/>
        <v>364084.62</v>
      </c>
      <c r="G54" s="77">
        <f t="shared" si="13"/>
        <v>634123.56000000006</v>
      </c>
      <c r="H54" s="157" t="s">
        <v>140</v>
      </c>
    </row>
    <row r="55" spans="1:8" s="68" customFormat="1" ht="12">
      <c r="A55" s="66" t="s">
        <v>202</v>
      </c>
      <c r="B55" s="67"/>
      <c r="C55" s="67"/>
      <c r="D55" s="67"/>
      <c r="E55" s="67"/>
      <c r="F55" s="67"/>
      <c r="G55" s="67"/>
      <c r="H55" s="159"/>
    </row>
    <row r="56" spans="1:8">
      <c r="A56" s="69" t="s">
        <v>243</v>
      </c>
      <c r="B56" s="77">
        <f>D56-C56</f>
        <v>0</v>
      </c>
      <c r="C56" s="77">
        <v>0</v>
      </c>
      <c r="D56" s="77">
        <f>SUM(E56:G56)</f>
        <v>0</v>
      </c>
      <c r="E56" s="77">
        <v>0</v>
      </c>
      <c r="F56" s="77">
        <v>0</v>
      </c>
      <c r="G56" s="77">
        <v>0</v>
      </c>
      <c r="H56" s="159"/>
    </row>
    <row r="57" spans="1:8">
      <c r="A57" s="84" t="s">
        <v>202</v>
      </c>
      <c r="H57" s="159"/>
    </row>
    <row r="58" spans="1:8">
      <c r="A58" s="69" t="s">
        <v>244</v>
      </c>
      <c r="B58" s="77">
        <f>D58-C58</f>
        <v>7480489.4199999999</v>
      </c>
      <c r="C58" s="77">
        <v>0</v>
      </c>
      <c r="D58" s="77">
        <f>SUM(E58:G58)</f>
        <v>7480489.4199999999</v>
      </c>
      <c r="E58" s="77">
        <v>7480489.4199999999</v>
      </c>
      <c r="F58" s="77">
        <v>0</v>
      </c>
      <c r="G58" s="77">
        <v>0</v>
      </c>
      <c r="H58" s="159"/>
    </row>
    <row r="59" spans="1:8" s="68" customFormat="1">
      <c r="A59" s="66" t="s">
        <v>202</v>
      </c>
      <c r="B59" s="67"/>
      <c r="C59" s="67"/>
      <c r="D59" s="67"/>
      <c r="E59" s="79"/>
      <c r="F59" s="67"/>
      <c r="G59" s="67"/>
      <c r="H59" s="159"/>
    </row>
    <row r="60" spans="1:8" ht="15">
      <c r="A60" s="69" t="s">
        <v>245</v>
      </c>
      <c r="B60" s="77">
        <f>D60-C60</f>
        <v>82127.88</v>
      </c>
      <c r="C60" s="77">
        <v>0</v>
      </c>
      <c r="D60" s="77">
        <f>SUM(E60:G60)</f>
        <v>82127.88</v>
      </c>
      <c r="E60" s="77">
        <v>15671.8</v>
      </c>
      <c r="F60" s="77">
        <v>8959.9500000000007</v>
      </c>
      <c r="G60" s="77">
        <v>57496.13</v>
      </c>
      <c r="H60" s="157" t="s">
        <v>183</v>
      </c>
    </row>
    <row r="61" spans="1:8" s="76" customFormat="1">
      <c r="A61" s="74"/>
      <c r="B61" s="75"/>
      <c r="C61" s="75"/>
      <c r="D61" s="75"/>
      <c r="E61" s="75"/>
      <c r="F61" s="75"/>
      <c r="G61" s="75"/>
      <c r="H61" s="160"/>
    </row>
    <row r="62" spans="1:8" ht="15">
      <c r="A62" s="69" t="s">
        <v>246</v>
      </c>
      <c r="B62" s="77">
        <f>D62-C62</f>
        <v>296910.65000000002</v>
      </c>
      <c r="C62" s="77">
        <v>0</v>
      </c>
      <c r="D62" s="77">
        <f>SUM(E62:G62)</f>
        <v>296910.65000000002</v>
      </c>
      <c r="E62" s="77">
        <v>98717.95</v>
      </c>
      <c r="F62" s="77">
        <v>0</v>
      </c>
      <c r="G62" s="77">
        <v>198192.7</v>
      </c>
      <c r="H62" s="157" t="s">
        <v>141</v>
      </c>
    </row>
    <row r="63" spans="1:8" s="76" customFormat="1">
      <c r="A63" s="74"/>
      <c r="B63" s="75"/>
      <c r="C63" s="75"/>
      <c r="D63" s="75"/>
      <c r="E63" s="75"/>
      <c r="F63" s="75"/>
      <c r="G63" s="75"/>
      <c r="H63" s="160"/>
    </row>
    <row r="64" spans="1:8" s="76" customFormat="1">
      <c r="A64" s="74"/>
      <c r="B64" s="75"/>
      <c r="C64" s="75"/>
      <c r="D64" s="75"/>
      <c r="E64" s="75"/>
      <c r="F64" s="75"/>
      <c r="G64" s="75"/>
      <c r="H64" s="160"/>
    </row>
    <row r="65" spans="1:8" s="76" customFormat="1">
      <c r="A65" s="74" t="s">
        <v>247</v>
      </c>
      <c r="B65" s="75">
        <f t="shared" ref="B65:B71" si="14">D65-C65</f>
        <v>36252.69</v>
      </c>
      <c r="C65" s="75">
        <v>0</v>
      </c>
      <c r="D65" s="75">
        <f t="shared" ref="D65:D71" si="15">SUM(E65:G65)</f>
        <v>36252.69</v>
      </c>
      <c r="E65" s="75">
        <v>25529.08</v>
      </c>
      <c r="F65" s="75">
        <v>0</v>
      </c>
      <c r="G65" s="75">
        <v>10723.61</v>
      </c>
      <c r="H65" s="160"/>
    </row>
    <row r="66" spans="1:8" s="76" customFormat="1">
      <c r="A66" s="74" t="s">
        <v>248</v>
      </c>
      <c r="B66" s="75">
        <f t="shared" si="14"/>
        <v>25000</v>
      </c>
      <c r="C66" s="75">
        <v>0</v>
      </c>
      <c r="D66" s="75">
        <f t="shared" si="15"/>
        <v>25000</v>
      </c>
      <c r="E66" s="75">
        <v>25000</v>
      </c>
      <c r="F66" s="75">
        <v>0</v>
      </c>
      <c r="G66" s="75">
        <v>0</v>
      </c>
      <c r="H66" s="160"/>
    </row>
    <row r="67" spans="1:8" s="76" customFormat="1">
      <c r="A67" s="74" t="s">
        <v>249</v>
      </c>
      <c r="B67" s="75">
        <f t="shared" si="14"/>
        <v>67178.84</v>
      </c>
      <c r="C67" s="75">
        <v>0</v>
      </c>
      <c r="D67" s="75">
        <f t="shared" si="15"/>
        <v>67178.84</v>
      </c>
      <c r="E67" s="75">
        <v>-37104.160000000003</v>
      </c>
      <c r="F67" s="75">
        <v>0</v>
      </c>
      <c r="G67" s="75">
        <v>104283</v>
      </c>
      <c r="H67" s="160"/>
    </row>
    <row r="68" spans="1:8" s="76" customFormat="1">
      <c r="A68" s="74" t="s">
        <v>250</v>
      </c>
      <c r="B68" s="75">
        <f t="shared" si="14"/>
        <v>512765.48</v>
      </c>
      <c r="C68" s="75">
        <v>0</v>
      </c>
      <c r="D68" s="75">
        <f t="shared" si="15"/>
        <v>512765.48</v>
      </c>
      <c r="E68" s="75">
        <v>512765.48</v>
      </c>
      <c r="F68" s="75">
        <v>0</v>
      </c>
      <c r="G68" s="75">
        <v>0</v>
      </c>
      <c r="H68" s="160"/>
    </row>
    <row r="69" spans="1:8" s="76" customFormat="1">
      <c r="A69" s="74" t="s">
        <v>251</v>
      </c>
      <c r="B69" s="75">
        <f t="shared" si="14"/>
        <v>1319176.6100000003</v>
      </c>
      <c r="C69" s="75">
        <v>0</v>
      </c>
      <c r="D69" s="75">
        <f t="shared" si="15"/>
        <v>1319176.6100000003</v>
      </c>
      <c r="E69" s="75">
        <f>1996614.36-219475.28-84416.32-806185.32</f>
        <v>886537.44000000006</v>
      </c>
      <c r="F69" s="75">
        <v>177789.49</v>
      </c>
      <c r="G69" s="75">
        <f>546290.54-13680.63-27386.3-250373.93</f>
        <v>254849.68000000005</v>
      </c>
      <c r="H69" s="160"/>
    </row>
    <row r="70" spans="1:8" s="76" customFormat="1">
      <c r="A70" s="74" t="s">
        <v>252</v>
      </c>
      <c r="B70" s="75">
        <f t="shared" si="14"/>
        <v>0</v>
      </c>
      <c r="C70" s="75">
        <v>0</v>
      </c>
      <c r="D70" s="75">
        <f t="shared" si="15"/>
        <v>0</v>
      </c>
      <c r="E70" s="75">
        <v>0</v>
      </c>
      <c r="F70" s="75">
        <v>0</v>
      </c>
      <c r="G70" s="79">
        <v>0</v>
      </c>
      <c r="H70" s="160"/>
    </row>
    <row r="71" spans="1:8" s="76" customFormat="1">
      <c r="A71" s="74" t="s">
        <v>253</v>
      </c>
      <c r="B71" s="75">
        <f t="shared" si="14"/>
        <v>0</v>
      </c>
      <c r="C71" s="75">
        <v>0</v>
      </c>
      <c r="D71" s="75">
        <f t="shared" si="15"/>
        <v>0</v>
      </c>
      <c r="E71" s="75">
        <v>0</v>
      </c>
      <c r="F71" s="75">
        <v>0</v>
      </c>
      <c r="G71" s="75">
        <v>0</v>
      </c>
      <c r="H71" s="160"/>
    </row>
    <row r="72" spans="1:8" ht="15">
      <c r="A72" s="69" t="s">
        <v>252</v>
      </c>
      <c r="B72" s="77">
        <f t="shared" ref="B72:G72" si="16">SUM(B65:B71)</f>
        <v>1960373.6200000003</v>
      </c>
      <c r="C72" s="77">
        <f t="shared" si="16"/>
        <v>0</v>
      </c>
      <c r="D72" s="77">
        <f t="shared" si="16"/>
        <v>1960373.6200000003</v>
      </c>
      <c r="E72" s="77">
        <f t="shared" si="16"/>
        <v>1412727.84</v>
      </c>
      <c r="F72" s="77">
        <f t="shared" si="16"/>
        <v>177789.49</v>
      </c>
      <c r="G72" s="77">
        <f t="shared" si="16"/>
        <v>369856.29000000004</v>
      </c>
      <c r="H72" s="157" t="s">
        <v>141</v>
      </c>
    </row>
    <row r="73" spans="1:8" s="82" customFormat="1" ht="12">
      <c r="A73" s="80"/>
      <c r="B73" s="81"/>
      <c r="C73" s="81"/>
      <c r="D73" s="81"/>
      <c r="E73" s="81"/>
      <c r="F73" s="81"/>
      <c r="G73" s="81"/>
      <c r="H73" s="161"/>
    </row>
    <row r="74" spans="1:8" ht="13.5" thickBot="1">
      <c r="A74" s="69" t="s">
        <v>254</v>
      </c>
      <c r="B74" s="77">
        <f>B9+B17+B19+B28+B47+B54+B56+B58+B60+B72+B62+B21</f>
        <v>595747396.18999982</v>
      </c>
      <c r="C74" s="77">
        <f>C9+C17+C19+C28+C47+C54+C56+C58+C60+C72+C62</f>
        <v>25539814.210000001</v>
      </c>
      <c r="D74" s="77">
        <f>D9+D17+D19+D28+D47+D54+D56+D58+D60+D72+D62+D21</f>
        <v>621287210.39999986</v>
      </c>
      <c r="E74" s="77">
        <f>E9+E17+E19+E28+E47+E54+E56+E58+E60+E72+E62+E21</f>
        <v>426672482.50999999</v>
      </c>
      <c r="F74" s="77">
        <f>F9+F17+F19+F28+F47+F54+F56+F58+F60+F72+F62</f>
        <v>52424723.910000004</v>
      </c>
      <c r="G74" s="77">
        <f>G9+G17+G19+G28+G47+G54+G56+G58+G60+G72+G62</f>
        <v>142190003.97999999</v>
      </c>
      <c r="H74" s="159"/>
    </row>
    <row r="75" spans="1:8" s="82" customFormat="1" thickTop="1">
      <c r="A75" s="80"/>
      <c r="B75" s="85"/>
      <c r="C75" s="85"/>
      <c r="D75" s="85"/>
      <c r="E75" s="85"/>
      <c r="F75" s="85"/>
      <c r="G75" s="85"/>
      <c r="H75" s="162"/>
    </row>
    <row r="76" spans="1:8" s="82" customFormat="1" ht="12">
      <c r="A76" s="80"/>
      <c r="B76" s="86"/>
      <c r="C76" s="86"/>
      <c r="D76" s="86"/>
      <c r="E76" s="86"/>
      <c r="F76" s="86"/>
      <c r="G76" s="86"/>
      <c r="H76" s="162"/>
    </row>
    <row r="77" spans="1:8">
      <c r="A77" s="69" t="s">
        <v>255</v>
      </c>
      <c r="H77" s="163"/>
    </row>
    <row r="78" spans="1:8" s="73" customFormat="1" ht="12">
      <c r="A78" s="71" t="s">
        <v>202</v>
      </c>
      <c r="B78" s="72"/>
      <c r="C78" s="72"/>
      <c r="D78" s="72"/>
      <c r="E78" s="72"/>
      <c r="F78" s="72"/>
      <c r="G78" s="72"/>
      <c r="H78" s="163"/>
    </row>
    <row r="79" spans="1:8">
      <c r="A79" s="69" t="s">
        <v>256</v>
      </c>
      <c r="H79" s="164"/>
    </row>
    <row r="80" spans="1:8" s="68" customFormat="1" ht="12">
      <c r="A80" s="66" t="s">
        <v>202</v>
      </c>
      <c r="B80" s="67"/>
      <c r="C80" s="67"/>
      <c r="D80" s="67"/>
      <c r="E80" s="67"/>
      <c r="F80" s="67"/>
      <c r="G80" s="67"/>
      <c r="H80" s="159"/>
    </row>
    <row r="81" spans="1:8" s="76" customFormat="1">
      <c r="A81" s="74" t="s">
        <v>257</v>
      </c>
      <c r="B81" s="75">
        <f>D81-C81</f>
        <v>68043583.680000007</v>
      </c>
      <c r="C81" s="75">
        <v>0</v>
      </c>
      <c r="D81" s="75">
        <f>SUM(E81:G81)</f>
        <v>68043583.680000007</v>
      </c>
      <c r="E81" s="87">
        <f>68128000-84416.32</f>
        <v>68043583.680000007</v>
      </c>
      <c r="F81" s="75">
        <v>0</v>
      </c>
      <c r="G81" s="75">
        <v>0</v>
      </c>
      <c r="H81" s="160"/>
    </row>
    <row r="82" spans="1:8" s="76" customFormat="1">
      <c r="A82" s="74" t="s">
        <v>258</v>
      </c>
      <c r="B82" s="75">
        <f>D82-C82</f>
        <v>69062524.719999999</v>
      </c>
      <c r="C82" s="75">
        <v>0</v>
      </c>
      <c r="D82" s="75">
        <f>SUM(E82:G82)</f>
        <v>69062524.719999999</v>
      </c>
      <c r="E82" s="87">
        <f>69282000-219475.28</f>
        <v>69062524.719999999</v>
      </c>
      <c r="F82" s="75">
        <v>0</v>
      </c>
      <c r="G82" s="75">
        <v>0</v>
      </c>
      <c r="H82" s="160"/>
    </row>
    <row r="83" spans="1:8" s="76" customFormat="1" ht="15">
      <c r="A83" s="74" t="s">
        <v>259</v>
      </c>
      <c r="B83" s="75">
        <f>D83-C83</f>
        <v>6360319.3700000001</v>
      </c>
      <c r="C83" s="75">
        <v>0</v>
      </c>
      <c r="D83" s="75">
        <f>SUM(E83:G83)</f>
        <v>6360319.3700000001</v>
      </c>
      <c r="E83" s="87">
        <v>0</v>
      </c>
      <c r="F83" s="75">
        <v>0</v>
      </c>
      <c r="G83" s="75">
        <f>6374000-13680.63</f>
        <v>6360319.3700000001</v>
      </c>
      <c r="H83" s="157" t="s">
        <v>144</v>
      </c>
    </row>
    <row r="84" spans="1:8" s="76" customFormat="1" ht="15">
      <c r="A84" s="74" t="s">
        <v>260</v>
      </c>
      <c r="B84" s="75">
        <f>D84-C84</f>
        <v>20765713.699999999</v>
      </c>
      <c r="C84" s="75">
        <v>0</v>
      </c>
      <c r="D84" s="75">
        <f>SUM(E84:G84)</f>
        <v>20765713.699999999</v>
      </c>
      <c r="E84" s="87">
        <v>0</v>
      </c>
      <c r="F84" s="75">
        <v>0</v>
      </c>
      <c r="G84" s="75">
        <f>20793100-27386.3</f>
        <v>20765713.699999999</v>
      </c>
      <c r="H84" s="157" t="s">
        <v>184</v>
      </c>
    </row>
    <row r="85" spans="1:8" s="76" customFormat="1">
      <c r="A85" s="74" t="s">
        <v>261</v>
      </c>
      <c r="B85" s="75">
        <f>D85-C85</f>
        <v>8533612.3300000001</v>
      </c>
      <c r="C85" s="75">
        <v>0</v>
      </c>
      <c r="D85" s="75">
        <f>SUM(E85:G85)</f>
        <v>8533612.3300000001</v>
      </c>
      <c r="E85" s="87">
        <v>0</v>
      </c>
      <c r="F85" s="75">
        <v>8533612.3300000001</v>
      </c>
      <c r="G85" s="75">
        <v>0</v>
      </c>
      <c r="H85" s="160"/>
    </row>
    <row r="86" spans="1:8" s="91" customFormat="1">
      <c r="A86" s="88" t="s">
        <v>202</v>
      </c>
      <c r="B86" s="89"/>
      <c r="C86" s="89"/>
      <c r="D86" s="89"/>
      <c r="E86" s="90"/>
      <c r="F86" s="89"/>
      <c r="G86" s="89"/>
      <c r="H86" s="160"/>
    </row>
    <row r="87" spans="1:8" s="76" customFormat="1">
      <c r="A87" s="74" t="s">
        <v>262</v>
      </c>
      <c r="B87" s="75"/>
      <c r="C87" s="75"/>
      <c r="D87" s="75"/>
      <c r="E87" s="87"/>
      <c r="F87" s="75"/>
      <c r="G87" s="75"/>
      <c r="H87" s="160"/>
    </row>
    <row r="88" spans="1:8" s="76" customFormat="1">
      <c r="A88" s="74" t="s">
        <v>263</v>
      </c>
      <c r="B88" s="75">
        <f>D88-C88</f>
        <v>801240.52</v>
      </c>
      <c r="C88" s="79">
        <v>0</v>
      </c>
      <c r="D88" s="75">
        <f>SUM(E88:G88)</f>
        <v>801240.52</v>
      </c>
      <c r="E88" s="75">
        <v>801240.52</v>
      </c>
      <c r="F88" s="75">
        <v>0</v>
      </c>
      <c r="G88" s="75">
        <v>0</v>
      </c>
      <c r="H88" s="160"/>
    </row>
    <row r="89" spans="1:8" s="76" customFormat="1">
      <c r="A89" s="74" t="s">
        <v>264</v>
      </c>
      <c r="B89" s="75">
        <f>D89-C89</f>
        <v>2573273.9600000004</v>
      </c>
      <c r="C89" s="75">
        <v>1902.01</v>
      </c>
      <c r="D89" s="75">
        <f>SUM(E89:G89)</f>
        <v>2575175.9700000002</v>
      </c>
      <c r="E89" s="75">
        <v>2575175.9700000002</v>
      </c>
      <c r="F89" s="75">
        <v>0</v>
      </c>
      <c r="G89" s="75">
        <v>0</v>
      </c>
      <c r="H89" s="160"/>
    </row>
    <row r="90" spans="1:8" s="76" customFormat="1">
      <c r="A90" s="74" t="s">
        <v>265</v>
      </c>
      <c r="B90" s="75">
        <f>D90-C90</f>
        <v>33216618.329999998</v>
      </c>
      <c r="C90" s="75">
        <v>34849.51</v>
      </c>
      <c r="D90" s="75">
        <f>SUM(E90:G90)</f>
        <v>33251467.84</v>
      </c>
      <c r="E90" s="75">
        <v>17311818.449999999</v>
      </c>
      <c r="F90" s="75">
        <v>15939649.390000001</v>
      </c>
      <c r="G90" s="75">
        <v>0</v>
      </c>
      <c r="H90" s="165"/>
    </row>
    <row r="91" spans="1:8" s="76" customFormat="1">
      <c r="A91" s="74" t="s">
        <v>266</v>
      </c>
      <c r="B91" s="75">
        <f>D91-C91</f>
        <v>138654420.13999999</v>
      </c>
      <c r="C91" s="75">
        <v>0</v>
      </c>
      <c r="D91" s="75">
        <f>SUM(E91:G91)</f>
        <v>138654420.13999999</v>
      </c>
      <c r="E91" s="75">
        <v>138654420.13999999</v>
      </c>
      <c r="F91" s="75">
        <v>0</v>
      </c>
      <c r="G91" s="75">
        <v>0</v>
      </c>
      <c r="H91" s="165"/>
    </row>
    <row r="92" spans="1:8" s="91" customFormat="1">
      <c r="A92" s="88" t="s">
        <v>202</v>
      </c>
      <c r="B92" s="89"/>
      <c r="C92" s="89"/>
      <c r="D92" s="89"/>
      <c r="E92" s="79"/>
      <c r="F92" s="89"/>
      <c r="G92" s="89"/>
      <c r="H92" s="165"/>
    </row>
    <row r="93" spans="1:8" s="76" customFormat="1" ht="15">
      <c r="A93" s="74" t="s">
        <v>155</v>
      </c>
      <c r="B93" s="75">
        <f>D93-C93</f>
        <v>179012425.88</v>
      </c>
      <c r="C93" s="75">
        <v>0</v>
      </c>
      <c r="D93" s="75">
        <f>SUM(E93:G93)</f>
        <v>179012425.88</v>
      </c>
      <c r="E93" s="75">
        <f>70516666.69-806185.32</f>
        <v>69710481.370000005</v>
      </c>
      <c r="F93" s="75">
        <v>13088032.74</v>
      </c>
      <c r="G93" s="75">
        <f>96464285.7-250373.93</f>
        <v>96213911.769999996</v>
      </c>
      <c r="H93" s="157" t="s">
        <v>145</v>
      </c>
    </row>
    <row r="94" spans="1:8" s="91" customFormat="1">
      <c r="A94" s="88" t="s">
        <v>202</v>
      </c>
      <c r="B94" s="92" t="s">
        <v>0</v>
      </c>
      <c r="C94" s="89"/>
      <c r="D94" s="89"/>
      <c r="E94" s="79"/>
      <c r="F94" s="89"/>
      <c r="G94" s="89"/>
      <c r="H94" s="160"/>
    </row>
    <row r="95" spans="1:8" s="76" customFormat="1">
      <c r="A95" s="74" t="s">
        <v>267</v>
      </c>
      <c r="B95" s="75">
        <f>D95-C95</f>
        <v>0</v>
      </c>
      <c r="C95" s="75">
        <v>0</v>
      </c>
      <c r="D95" s="75">
        <f>SUM(E95:G95)</f>
        <v>0</v>
      </c>
      <c r="E95" s="75">
        <v>0</v>
      </c>
      <c r="F95" s="75">
        <v>0</v>
      </c>
      <c r="G95" s="75">
        <v>0</v>
      </c>
      <c r="H95" s="160"/>
    </row>
    <row r="96" spans="1:8" s="76" customFormat="1">
      <c r="A96" s="74"/>
      <c r="B96" s="75"/>
      <c r="C96" s="75"/>
      <c r="D96" s="75"/>
      <c r="E96" s="75"/>
      <c r="F96" s="75"/>
      <c r="G96" s="75"/>
      <c r="H96" s="160"/>
    </row>
    <row r="97" spans="1:8">
      <c r="A97" s="69" t="s">
        <v>245</v>
      </c>
      <c r="B97" s="77">
        <f>D97-C97</f>
        <v>116940.16</v>
      </c>
      <c r="C97" s="77">
        <v>0</v>
      </c>
      <c r="D97" s="77">
        <f>SUM(E97:G97)</f>
        <v>116940.16</v>
      </c>
      <c r="E97" s="77">
        <v>116940.16</v>
      </c>
      <c r="F97" s="77">
        <v>0</v>
      </c>
      <c r="G97" s="77">
        <v>0</v>
      </c>
      <c r="H97" s="159"/>
    </row>
    <row r="98" spans="1:8" s="91" customFormat="1">
      <c r="A98" s="88" t="s">
        <v>202</v>
      </c>
      <c r="B98" s="89"/>
      <c r="C98" s="89"/>
      <c r="D98" s="89"/>
      <c r="E98" s="79"/>
      <c r="F98" s="89"/>
      <c r="G98" s="89"/>
      <c r="H98" s="160"/>
    </row>
    <row r="99" spans="1:8" s="76" customFormat="1">
      <c r="A99" s="74" t="s">
        <v>268</v>
      </c>
      <c r="B99" s="75">
        <f>D99-C99</f>
        <v>894429.69</v>
      </c>
      <c r="C99" s="75">
        <v>0</v>
      </c>
      <c r="D99" s="75">
        <f>SUM(E99:G99)</f>
        <v>894429.69</v>
      </c>
      <c r="E99" s="75">
        <v>339581.96</v>
      </c>
      <c r="F99" s="75">
        <v>0</v>
      </c>
      <c r="G99" s="75">
        <v>554847.73</v>
      </c>
      <c r="H99" s="160"/>
    </row>
    <row r="100" spans="1:8" s="76" customFormat="1">
      <c r="A100" s="74" t="s">
        <v>269</v>
      </c>
      <c r="B100" s="75">
        <f>D100-C100</f>
        <v>4051798.95</v>
      </c>
      <c r="C100" s="75">
        <v>0</v>
      </c>
      <c r="D100" s="75">
        <f>SUM(E100:G100)</f>
        <v>4051798.95</v>
      </c>
      <c r="E100" s="75">
        <f>1414075.38+1409679.99</f>
        <v>2823755.37</v>
      </c>
      <c r="F100" s="75">
        <v>474263</v>
      </c>
      <c r="G100" s="75">
        <v>753780.58</v>
      </c>
      <c r="H100" s="160"/>
    </row>
    <row r="101" spans="1:8" s="76" customFormat="1">
      <c r="A101" s="74" t="s">
        <v>270</v>
      </c>
      <c r="B101" s="75">
        <f>D101-C101</f>
        <v>275265.31</v>
      </c>
      <c r="C101" s="75"/>
      <c r="D101" s="75">
        <f>SUM(E101:G101)</f>
        <v>275265.31</v>
      </c>
      <c r="E101" s="75">
        <v>291673.31</v>
      </c>
      <c r="F101" s="75">
        <v>0</v>
      </c>
      <c r="G101" s="75">
        <v>-16408</v>
      </c>
      <c r="H101" s="160"/>
    </row>
    <row r="102" spans="1:8" s="76" customFormat="1">
      <c r="A102" s="74" t="s">
        <v>271</v>
      </c>
      <c r="B102" s="75">
        <f>D102-C102</f>
        <v>1057409.54</v>
      </c>
      <c r="C102" s="75">
        <v>0</v>
      </c>
      <c r="D102" s="75">
        <f>SUM(E102:G102)</f>
        <v>1057409.54</v>
      </c>
      <c r="E102" s="75">
        <v>936392.92</v>
      </c>
      <c r="F102" s="75">
        <v>43598.19</v>
      </c>
      <c r="G102" s="75">
        <v>77418.429999999993</v>
      </c>
      <c r="H102" s="160"/>
    </row>
    <row r="103" spans="1:8" s="76" customFormat="1">
      <c r="A103" s="74" t="s">
        <v>156</v>
      </c>
      <c r="B103" s="75">
        <f>D103-C103</f>
        <v>3101247.58</v>
      </c>
      <c r="C103" s="75"/>
      <c r="D103" s="75">
        <f>SUM(E103:G103)</f>
        <v>3101247.58</v>
      </c>
      <c r="E103" s="75">
        <f>1761336.45+160918.72</f>
        <v>1922255.17</v>
      </c>
      <c r="F103" s="75">
        <v>171252.21</v>
      </c>
      <c r="G103" s="75">
        <f>985744.46+21995.74</f>
        <v>1007740.2</v>
      </c>
      <c r="H103" s="160"/>
    </row>
    <row r="104" spans="1:8" ht="15">
      <c r="A104" s="69" t="s">
        <v>156</v>
      </c>
      <c r="B104" s="77">
        <f t="shared" ref="B104:G104" si="17">SUM(B99:B103)</f>
        <v>9380151.0700000003</v>
      </c>
      <c r="C104" s="77">
        <f t="shared" si="17"/>
        <v>0</v>
      </c>
      <c r="D104" s="77">
        <f t="shared" si="17"/>
        <v>9380151.0700000003</v>
      </c>
      <c r="E104" s="77">
        <f>SUM(E99:E103)</f>
        <v>6313658.7300000004</v>
      </c>
      <c r="F104" s="77">
        <f t="shared" si="17"/>
        <v>689113.4</v>
      </c>
      <c r="G104" s="77">
        <f t="shared" si="17"/>
        <v>2377378.94</v>
      </c>
      <c r="H104" s="157" t="s">
        <v>147</v>
      </c>
    </row>
    <row r="105" spans="1:8" s="82" customFormat="1" ht="12">
      <c r="A105" s="80"/>
      <c r="B105" s="81"/>
      <c r="C105" s="81"/>
      <c r="D105" s="81"/>
      <c r="E105" s="81"/>
      <c r="F105" s="81"/>
      <c r="G105" s="81"/>
      <c r="H105" s="161"/>
    </row>
    <row r="106" spans="1:8">
      <c r="A106" s="69" t="s">
        <v>272</v>
      </c>
      <c r="B106" s="77">
        <f t="shared" ref="B106:G106" si="18">B81+B82+B83+B84+B85+B88+B89+B90+B91+B93+B95+B104+B97</f>
        <v>536520823.86000001</v>
      </c>
      <c r="C106" s="77">
        <f t="shared" si="18"/>
        <v>36751.520000000004</v>
      </c>
      <c r="D106" s="77">
        <f t="shared" si="18"/>
        <v>536557575.38</v>
      </c>
      <c r="E106" s="77">
        <f t="shared" si="18"/>
        <v>372589843.74000007</v>
      </c>
      <c r="F106" s="77">
        <f>F81+F82+F83+F84+F85+F88+F89+F90+F91+F93+F95+F104+F97</f>
        <v>38250407.859999999</v>
      </c>
      <c r="G106" s="77">
        <f t="shared" si="18"/>
        <v>125717323.78</v>
      </c>
      <c r="H106" s="159"/>
    </row>
    <row r="107" spans="1:8" s="73" customFormat="1" ht="12">
      <c r="A107" s="71" t="s">
        <v>202</v>
      </c>
      <c r="B107" s="72"/>
      <c r="C107" s="72"/>
      <c r="D107" s="72"/>
      <c r="E107" s="72"/>
      <c r="F107" s="72"/>
      <c r="G107" s="72"/>
      <c r="H107" s="160"/>
    </row>
    <row r="108" spans="1:8">
      <c r="A108" s="69" t="s">
        <v>273</v>
      </c>
      <c r="H108" s="159"/>
    </row>
    <row r="109" spans="1:8" s="76" customFormat="1">
      <c r="A109" s="74" t="s">
        <v>274</v>
      </c>
      <c r="B109" s="75">
        <f>D109-C109</f>
        <v>15000000</v>
      </c>
      <c r="C109" s="75">
        <v>12000</v>
      </c>
      <c r="D109" s="75">
        <f>SUM(E109:G109)</f>
        <v>15012000</v>
      </c>
      <c r="E109" s="75">
        <v>15000000</v>
      </c>
      <c r="F109" s="75">
        <v>0</v>
      </c>
      <c r="G109" s="75">
        <v>12000</v>
      </c>
      <c r="H109" s="160"/>
    </row>
    <row r="110" spans="1:8" s="76" customFormat="1">
      <c r="A110" s="74" t="s">
        <v>275</v>
      </c>
      <c r="B110" s="75">
        <f>D110-C110</f>
        <v>0</v>
      </c>
      <c r="C110" s="75">
        <v>0</v>
      </c>
      <c r="D110" s="75">
        <f>SUM(E110:G110)</f>
        <v>0</v>
      </c>
      <c r="E110" s="75">
        <v>0</v>
      </c>
      <c r="F110" s="75">
        <v>0</v>
      </c>
      <c r="G110" s="75">
        <v>0</v>
      </c>
      <c r="H110" s="160"/>
    </row>
    <row r="111" spans="1:8" s="76" customFormat="1">
      <c r="A111" s="74" t="s">
        <v>3</v>
      </c>
      <c r="B111" s="75">
        <f>D111-C111</f>
        <v>21300000.000000004</v>
      </c>
      <c r="C111" s="75">
        <f>5787000+13379154.93+2645623.4+3502966.33+176338.03+768967.77</f>
        <v>26260050.459999997</v>
      </c>
      <c r="D111" s="75">
        <f>SUM(E111:G111)</f>
        <v>47560050.460000001</v>
      </c>
      <c r="E111" s="75">
        <v>21300000</v>
      </c>
      <c r="F111" s="75">
        <f>20473050.46</f>
        <v>20473050.460000001</v>
      </c>
      <c r="G111" s="75">
        <v>5787000</v>
      </c>
      <c r="H111" s="160"/>
    </row>
    <row r="112" spans="1:8" ht="15">
      <c r="A112" s="69" t="s">
        <v>276</v>
      </c>
      <c r="B112" s="93">
        <f t="shared" ref="B112:G112" si="19">SUM(B109:B111)</f>
        <v>36300000</v>
      </c>
      <c r="C112" s="93">
        <f t="shared" si="19"/>
        <v>26272050.459999997</v>
      </c>
      <c r="D112" s="93">
        <f t="shared" si="19"/>
        <v>62572050.460000001</v>
      </c>
      <c r="E112" s="93">
        <f t="shared" si="19"/>
        <v>36300000</v>
      </c>
      <c r="F112" s="93">
        <f t="shared" si="19"/>
        <v>20473050.460000001</v>
      </c>
      <c r="G112" s="93">
        <f t="shared" si="19"/>
        <v>5799000</v>
      </c>
      <c r="H112" s="157" t="s">
        <v>162</v>
      </c>
    </row>
    <row r="113" spans="1:9" s="73" customFormat="1" ht="12">
      <c r="A113" s="71" t="s">
        <v>202</v>
      </c>
      <c r="B113" s="72"/>
      <c r="C113" s="72"/>
      <c r="D113" s="72"/>
      <c r="E113" s="72"/>
      <c r="F113" s="72"/>
      <c r="G113" s="72"/>
      <c r="H113" s="160"/>
    </row>
    <row r="114" spans="1:9" s="76" customFormat="1" ht="15">
      <c r="A114" s="74" t="s">
        <v>277</v>
      </c>
      <c r="B114" s="75">
        <f t="shared" ref="B114:B120" si="20">D114-C114</f>
        <v>1800000</v>
      </c>
      <c r="C114" s="75">
        <v>0</v>
      </c>
      <c r="D114" s="75">
        <f t="shared" ref="D114:D120" si="21">SUM(E114:G114)</f>
        <v>1800000</v>
      </c>
      <c r="E114" s="75">
        <v>0</v>
      </c>
      <c r="F114" s="75">
        <v>0</v>
      </c>
      <c r="G114" s="75">
        <v>1800000</v>
      </c>
      <c r="H114" s="157" t="s">
        <v>164</v>
      </c>
    </row>
    <row r="115" spans="1:9" s="76" customFormat="1">
      <c r="A115" s="74" t="s">
        <v>278</v>
      </c>
      <c r="B115" s="75">
        <f t="shared" si="20"/>
        <v>520946.84</v>
      </c>
      <c r="C115" s="75">
        <v>0</v>
      </c>
      <c r="D115" s="75">
        <f t="shared" si="21"/>
        <v>520946.84</v>
      </c>
      <c r="E115" s="75">
        <v>520946.84</v>
      </c>
      <c r="F115" s="75">
        <v>0</v>
      </c>
      <c r="G115" s="75">
        <v>0</v>
      </c>
      <c r="H115" s="126"/>
    </row>
    <row r="116" spans="1:9" s="76" customFormat="1" ht="15">
      <c r="A116" s="74" t="s">
        <v>279</v>
      </c>
      <c r="B116" s="75">
        <f t="shared" si="20"/>
        <v>5904947.3600000003</v>
      </c>
      <c r="C116" s="75">
        <v>0</v>
      </c>
      <c r="D116" s="75">
        <f t="shared" si="21"/>
        <v>5904947.3600000003</v>
      </c>
      <c r="E116" s="77">
        <v>3886343.31</v>
      </c>
      <c r="F116" s="77">
        <v>601678.17000000004</v>
      </c>
      <c r="G116" s="77">
        <v>1416925.88</v>
      </c>
      <c r="H116" s="157" t="s">
        <v>324</v>
      </c>
      <c r="I116" s="76" t="s">
        <v>280</v>
      </c>
    </row>
    <row r="117" spans="1:9" s="76" customFormat="1">
      <c r="A117" s="74" t="s">
        <v>281</v>
      </c>
      <c r="B117" s="75">
        <f t="shared" si="20"/>
        <v>1270310.5899999999</v>
      </c>
      <c r="C117" s="75">
        <v>0</v>
      </c>
      <c r="D117" s="75">
        <f t="shared" si="21"/>
        <v>1270310.5899999999</v>
      </c>
      <c r="E117" s="75">
        <v>1093312.98</v>
      </c>
      <c r="F117" s="75">
        <v>176997.61</v>
      </c>
      <c r="G117" s="75">
        <v>0</v>
      </c>
      <c r="H117" s="160"/>
      <c r="I117" s="76" t="s">
        <v>282</v>
      </c>
    </row>
    <row r="118" spans="1:9" s="76" customFormat="1">
      <c r="A118" s="74" t="s">
        <v>283</v>
      </c>
      <c r="B118" s="75">
        <f>D118-C118</f>
        <v>1285364</v>
      </c>
      <c r="C118" s="75">
        <v>0</v>
      </c>
      <c r="D118" s="75">
        <f>SUM(E118:G118)</f>
        <v>1285364</v>
      </c>
      <c r="E118" s="75">
        <v>1285364</v>
      </c>
      <c r="F118" s="75">
        <v>0</v>
      </c>
      <c r="G118" s="75">
        <v>0</v>
      </c>
      <c r="H118" s="160"/>
      <c r="I118" s="76" t="s">
        <v>282</v>
      </c>
    </row>
    <row r="119" spans="1:9" s="76" customFormat="1">
      <c r="A119" s="74" t="s">
        <v>284</v>
      </c>
      <c r="B119" s="75">
        <f t="shared" si="20"/>
        <v>-4442841.78</v>
      </c>
      <c r="C119" s="94">
        <f>-99579-89870.04+19131.52+1</f>
        <v>-170316.52</v>
      </c>
      <c r="D119" s="75">
        <f t="shared" si="21"/>
        <v>-4613158.3</v>
      </c>
      <c r="E119" s="75">
        <v>1625.24</v>
      </c>
      <c r="F119" s="75">
        <f>-4054026.24-412082-40883-89198-18594.3</f>
        <v>-4614783.54</v>
      </c>
      <c r="G119" s="75">
        <v>0</v>
      </c>
      <c r="H119" s="160"/>
      <c r="I119" s="76" t="s">
        <v>280</v>
      </c>
    </row>
    <row r="120" spans="1:9" s="76" customFormat="1" ht="15">
      <c r="A120" s="95" t="s">
        <v>157</v>
      </c>
      <c r="B120" s="78">
        <f t="shared" si="20"/>
        <v>16056092.939999999</v>
      </c>
      <c r="C120" s="96">
        <f>-16765-44819.46-5333.41-1</f>
        <v>-66918.87</v>
      </c>
      <c r="D120" s="78">
        <f t="shared" si="21"/>
        <v>15989174.07</v>
      </c>
      <c r="E120" s="78">
        <f>11155965.12-160918.72</f>
        <v>10995046.399999999</v>
      </c>
      <c r="F120" s="78">
        <f>-3883516.61-141997.28-601678.17+1622402.41+452965+89198</f>
        <v>-2462626.6499999994</v>
      </c>
      <c r="G120" s="78">
        <f>7738275.94+1157400-1416925.88-21995.74</f>
        <v>7456754.3200000012</v>
      </c>
      <c r="H120" s="157" t="s">
        <v>324</v>
      </c>
    </row>
    <row r="121" spans="1:9">
      <c r="A121" s="69" t="s">
        <v>285</v>
      </c>
      <c r="B121" s="77">
        <f t="shared" ref="B121:G121" si="22">SUM(B112:B120)</f>
        <v>58694819.950000003</v>
      </c>
      <c r="C121" s="77">
        <f t="shared" si="22"/>
        <v>26034815.069999997</v>
      </c>
      <c r="D121" s="77">
        <f t="shared" si="22"/>
        <v>84729635.020000011</v>
      </c>
      <c r="E121" s="77">
        <f t="shared" si="22"/>
        <v>54082638.770000003</v>
      </c>
      <c r="F121" s="77">
        <f t="shared" si="22"/>
        <v>14174316.050000004</v>
      </c>
      <c r="G121" s="77">
        <f t="shared" si="22"/>
        <v>16472680.199999999</v>
      </c>
      <c r="H121" s="159"/>
    </row>
    <row r="122" spans="1:9">
      <c r="A122" s="69"/>
      <c r="B122" s="77"/>
      <c r="C122" s="77"/>
      <c r="D122" s="77"/>
      <c r="E122" s="77"/>
      <c r="F122" s="77"/>
      <c r="G122" s="77"/>
      <c r="H122" s="159"/>
    </row>
    <row r="123" spans="1:9" s="76" customFormat="1">
      <c r="A123" s="74" t="s">
        <v>286</v>
      </c>
      <c r="B123" s="75">
        <f>D123-C123</f>
        <v>531752.38000000012</v>
      </c>
      <c r="C123" s="94">
        <f>-768967.78+99579+16765+44819.47+89870.04-20+5333.41-19131.52</f>
        <v>-531752.38000000012</v>
      </c>
      <c r="D123" s="75">
        <f>SUM(E123:G123)</f>
        <v>0</v>
      </c>
      <c r="E123" s="75">
        <v>0</v>
      </c>
      <c r="F123" s="75">
        <v>0</v>
      </c>
      <c r="G123" s="75">
        <v>0</v>
      </c>
      <c r="H123" s="160"/>
    </row>
    <row r="124" spans="1:9" s="82" customFormat="1" ht="12">
      <c r="A124" s="80"/>
      <c r="B124" s="81"/>
      <c r="C124" s="81"/>
      <c r="D124" s="81"/>
      <c r="E124" s="81"/>
      <c r="F124" s="81"/>
      <c r="G124" s="81"/>
      <c r="H124" s="161"/>
    </row>
    <row r="125" spans="1:9">
      <c r="A125" s="69" t="s">
        <v>287</v>
      </c>
      <c r="B125" s="77">
        <f t="shared" ref="B125:G125" si="23">B121+B123</f>
        <v>59226572.330000006</v>
      </c>
      <c r="C125" s="77">
        <f t="shared" si="23"/>
        <v>25503062.689999998</v>
      </c>
      <c r="D125" s="77">
        <f t="shared" si="23"/>
        <v>84729635.020000011</v>
      </c>
      <c r="E125" s="77">
        <f t="shared" si="23"/>
        <v>54082638.770000003</v>
      </c>
      <c r="F125" s="77">
        <f t="shared" si="23"/>
        <v>14174316.050000004</v>
      </c>
      <c r="G125" s="77">
        <f t="shared" si="23"/>
        <v>16472680.199999999</v>
      </c>
      <c r="H125" s="159"/>
    </row>
    <row r="126" spans="1:9" s="82" customFormat="1" ht="12">
      <c r="A126" s="80"/>
      <c r="B126" s="81"/>
      <c r="C126" s="81"/>
      <c r="D126" s="81"/>
      <c r="E126" s="81"/>
      <c r="F126" s="81"/>
      <c r="G126" s="81"/>
      <c r="H126" s="161"/>
    </row>
    <row r="127" spans="1:9" ht="13.5" thickBot="1">
      <c r="A127" s="69" t="s">
        <v>288</v>
      </c>
      <c r="B127" s="77">
        <f t="shared" ref="B127:G127" si="24">B106+B125</f>
        <v>595747396.19000006</v>
      </c>
      <c r="C127" s="77">
        <f t="shared" si="24"/>
        <v>25539814.209999997</v>
      </c>
      <c r="D127" s="77">
        <f t="shared" si="24"/>
        <v>621287210.39999998</v>
      </c>
      <c r="E127" s="77">
        <f t="shared" si="24"/>
        <v>426672482.51000005</v>
      </c>
      <c r="F127" s="77">
        <f t="shared" si="24"/>
        <v>52424723.910000004</v>
      </c>
      <c r="G127" s="77">
        <f t="shared" si="24"/>
        <v>142190003.97999999</v>
      </c>
      <c r="H127" s="159"/>
    </row>
    <row r="128" spans="1:9" s="82" customFormat="1" ht="13.5" thickTop="1" thickBot="1">
      <c r="A128" s="97"/>
      <c r="B128" s="98">
        <f t="shared" ref="B128:G128" si="25">B74-B127</f>
        <v>0</v>
      </c>
      <c r="C128" s="98">
        <f t="shared" si="25"/>
        <v>0</v>
      </c>
      <c r="D128" s="98">
        <f t="shared" si="25"/>
        <v>0</v>
      </c>
      <c r="E128" s="98">
        <f t="shared" si="25"/>
        <v>0</v>
      </c>
      <c r="F128" s="98">
        <f>F74-F127</f>
        <v>0</v>
      </c>
      <c r="G128" s="98">
        <f t="shared" si="25"/>
        <v>0</v>
      </c>
      <c r="H128" s="118"/>
    </row>
    <row r="129" spans="1:8" s="68" customFormat="1" ht="12">
      <c r="B129" s="67"/>
      <c r="C129" s="67"/>
      <c r="D129" s="67"/>
      <c r="E129" s="67"/>
      <c r="F129" s="67"/>
      <c r="G129" s="67"/>
      <c r="H129" s="104"/>
    </row>
    <row r="130" spans="1:8" hidden="1">
      <c r="A130" s="65" t="s">
        <v>289</v>
      </c>
      <c r="B130" s="99" t="s">
        <v>290</v>
      </c>
      <c r="C130" s="99" t="s">
        <v>291</v>
      </c>
      <c r="D130" s="99" t="s">
        <v>292</v>
      </c>
    </row>
    <row r="131" spans="1:8" hidden="1">
      <c r="A131" s="65" t="s">
        <v>293</v>
      </c>
      <c r="B131" s="90">
        <v>219475.28</v>
      </c>
      <c r="C131" s="79">
        <v>0</v>
      </c>
      <c r="D131" s="79">
        <f>B131+C131</f>
        <v>219475.28</v>
      </c>
    </row>
    <row r="132" spans="1:8" hidden="1">
      <c r="A132" s="65" t="s">
        <v>294</v>
      </c>
      <c r="B132" s="90">
        <v>84416.320000000007</v>
      </c>
      <c r="C132" s="79">
        <v>0</v>
      </c>
      <c r="D132" s="79">
        <f t="shared" ref="D132:D146" si="26">B132+C132</f>
        <v>84416.320000000007</v>
      </c>
    </row>
    <row r="133" spans="1:8" hidden="1">
      <c r="A133" s="65" t="s">
        <v>259</v>
      </c>
      <c r="B133" s="90">
        <v>0</v>
      </c>
      <c r="C133" s="79">
        <v>13680.63</v>
      </c>
      <c r="D133" s="79">
        <f t="shared" si="26"/>
        <v>13680.63</v>
      </c>
    </row>
    <row r="134" spans="1:8" hidden="1">
      <c r="A134" s="65" t="s">
        <v>295</v>
      </c>
      <c r="B134" s="90">
        <v>0</v>
      </c>
      <c r="C134" s="79">
        <v>27386.3</v>
      </c>
      <c r="D134" s="79">
        <f t="shared" si="26"/>
        <v>27386.3</v>
      </c>
    </row>
    <row r="135" spans="1:8" hidden="1">
      <c r="A135" s="65" t="s">
        <v>296</v>
      </c>
      <c r="B135" s="90">
        <v>341696.99</v>
      </c>
      <c r="C135" s="79">
        <v>143932.57</v>
      </c>
      <c r="D135" s="79">
        <f t="shared" si="26"/>
        <v>485629.56</v>
      </c>
    </row>
    <row r="136" spans="1:8" hidden="1">
      <c r="A136" s="65" t="s">
        <v>297</v>
      </c>
      <c r="B136" s="90">
        <v>288207.08</v>
      </c>
      <c r="C136" s="79">
        <v>31342.61</v>
      </c>
      <c r="D136" s="79">
        <f t="shared" si="26"/>
        <v>319549.69</v>
      </c>
    </row>
    <row r="137" spans="1:8" hidden="1">
      <c r="A137" s="65" t="s">
        <v>298</v>
      </c>
      <c r="B137" s="90">
        <v>0</v>
      </c>
      <c r="C137" s="79">
        <v>38999.949999999997</v>
      </c>
      <c r="D137" s="79">
        <f t="shared" si="26"/>
        <v>38999.949999999997</v>
      </c>
    </row>
    <row r="138" spans="1:8" hidden="1">
      <c r="A138" s="65" t="s">
        <v>299</v>
      </c>
      <c r="B138" s="90">
        <v>68740.600000000006</v>
      </c>
      <c r="C138" s="79">
        <v>36098.800000000003</v>
      </c>
      <c r="D138" s="79">
        <f t="shared" si="26"/>
        <v>104839.40000000001</v>
      </c>
    </row>
    <row r="139" spans="1:8" hidden="1">
      <c r="A139" s="65" t="s">
        <v>300</v>
      </c>
      <c r="B139" s="90">
        <v>71134.17</v>
      </c>
      <c r="C139" s="79">
        <v>0</v>
      </c>
      <c r="D139" s="79">
        <f t="shared" si="26"/>
        <v>71134.17</v>
      </c>
    </row>
    <row r="140" spans="1:8" hidden="1">
      <c r="A140" s="65" t="s">
        <v>301</v>
      </c>
      <c r="B140" s="90">
        <v>10329.620000000001</v>
      </c>
      <c r="C140" s="79">
        <v>0</v>
      </c>
      <c r="D140" s="79">
        <f t="shared" si="26"/>
        <v>10329.620000000001</v>
      </c>
    </row>
    <row r="141" spans="1:8" hidden="1">
      <c r="A141" s="65" t="s">
        <v>302</v>
      </c>
      <c r="B141" s="90">
        <v>2695.75</v>
      </c>
      <c r="C141" s="79">
        <v>0</v>
      </c>
      <c r="D141" s="79">
        <f t="shared" si="26"/>
        <v>2695.75</v>
      </c>
    </row>
    <row r="142" spans="1:8" hidden="1">
      <c r="A142" s="65" t="s">
        <v>303</v>
      </c>
      <c r="B142" s="90">
        <v>8333.36</v>
      </c>
      <c r="C142" s="79">
        <v>0</v>
      </c>
      <c r="D142" s="79">
        <f t="shared" si="26"/>
        <v>8333.36</v>
      </c>
    </row>
    <row r="143" spans="1:8" hidden="1">
      <c r="A143" s="65" t="s">
        <v>304</v>
      </c>
      <c r="B143" s="90">
        <f>6767.75+8280</f>
        <v>15047.75</v>
      </c>
      <c r="C143" s="79">
        <v>0</v>
      </c>
      <c r="D143" s="79">
        <f t="shared" si="26"/>
        <v>15047.75</v>
      </c>
    </row>
    <row r="144" spans="1:8" hidden="1">
      <c r="A144" s="65" t="s">
        <v>305</v>
      </c>
      <c r="B144" s="90">
        <v>0</v>
      </c>
      <c r="C144" s="79">
        <v>0</v>
      </c>
      <c r="D144" s="79">
        <f t="shared" si="26"/>
        <v>0</v>
      </c>
    </row>
    <row r="145" spans="1:4" hidden="1">
      <c r="A145" s="65" t="s">
        <v>306</v>
      </c>
      <c r="B145" s="90">
        <v>0</v>
      </c>
      <c r="C145" s="79">
        <v>0</v>
      </c>
      <c r="D145" s="79">
        <f t="shared" si="26"/>
        <v>0</v>
      </c>
    </row>
    <row r="146" spans="1:4" hidden="1">
      <c r="A146" s="65" t="s">
        <v>307</v>
      </c>
      <c r="B146" s="90">
        <v>0</v>
      </c>
      <c r="C146" s="79">
        <v>0</v>
      </c>
      <c r="D146" s="79">
        <f t="shared" si="26"/>
        <v>0</v>
      </c>
    </row>
    <row r="147" spans="1:4" hidden="1">
      <c r="B147" s="90"/>
      <c r="C147" s="79"/>
      <c r="D147" s="79"/>
    </row>
    <row r="148" spans="1:4" hidden="1">
      <c r="A148" s="65" t="s">
        <v>308</v>
      </c>
      <c r="B148" s="100">
        <f>SUM(B131:B147)</f>
        <v>1110076.9200000002</v>
      </c>
      <c r="C148" s="70">
        <f>SUM(C131:C147)</f>
        <v>291440.86</v>
      </c>
      <c r="D148" s="70">
        <f>SUM(D131:D147)</f>
        <v>1401517.78</v>
      </c>
    </row>
    <row r="149" spans="1:4" hidden="1">
      <c r="A149" s="76" t="s">
        <v>309</v>
      </c>
      <c r="B149" s="90">
        <v>857639.62</v>
      </c>
      <c r="C149" s="79">
        <v>354335.47</v>
      </c>
      <c r="D149" s="79"/>
    </row>
    <row r="150" spans="1:4" hidden="1">
      <c r="A150" s="65" t="s">
        <v>310</v>
      </c>
      <c r="B150" s="100">
        <f>B148-B149</f>
        <v>252437.30000000016</v>
      </c>
      <c r="C150" s="70">
        <f>C148-C149</f>
        <v>-62894.609999999986</v>
      </c>
    </row>
    <row r="151" spans="1:4" hidden="1">
      <c r="B151" s="100"/>
    </row>
    <row r="152" spans="1:4" hidden="1">
      <c r="A152" s="65" t="s">
        <v>311</v>
      </c>
      <c r="B152" s="100">
        <f>SUM(B135:B146)</f>
        <v>806185.32000000007</v>
      </c>
      <c r="C152" s="70">
        <f>SUM(C135:C146)</f>
        <v>250373.93</v>
      </c>
    </row>
    <row r="153" spans="1:4" hidden="1">
      <c r="A153" s="76" t="s">
        <v>312</v>
      </c>
      <c r="B153" s="90">
        <v>627667.35</v>
      </c>
      <c r="C153" s="79">
        <v>274411.15999999997</v>
      </c>
      <c r="D153" s="79"/>
    </row>
    <row r="154" spans="1:4" hidden="1">
      <c r="A154" s="65" t="s">
        <v>313</v>
      </c>
      <c r="B154" s="100">
        <f>B152-B153</f>
        <v>178517.97000000009</v>
      </c>
      <c r="C154" s="70">
        <f>C152-C153</f>
        <v>-24037.229999999981</v>
      </c>
    </row>
    <row r="155" spans="1:4" hidden="1"/>
    <row r="156" spans="1:4" hidden="1">
      <c r="A156" s="65" t="s">
        <v>314</v>
      </c>
      <c r="B156" s="100">
        <f>B131</f>
        <v>219475.28</v>
      </c>
      <c r="C156" s="70">
        <f>C134</f>
        <v>27386.3</v>
      </c>
    </row>
    <row r="157" spans="1:4" hidden="1">
      <c r="A157" s="76" t="s">
        <v>315</v>
      </c>
      <c r="B157" s="90">
        <v>138614.51999999999</v>
      </c>
      <c r="C157" s="79">
        <v>9959.74</v>
      </c>
      <c r="D157" s="79"/>
    </row>
    <row r="158" spans="1:4" hidden="1">
      <c r="A158" s="65" t="s">
        <v>313</v>
      </c>
      <c r="B158" s="100">
        <f>B156-B157</f>
        <v>80860.760000000009</v>
      </c>
      <c r="C158" s="70">
        <f>C156-C157</f>
        <v>17426.559999999998</v>
      </c>
    </row>
    <row r="159" spans="1:4" hidden="1"/>
    <row r="160" spans="1:4" hidden="1">
      <c r="A160" s="65" t="s">
        <v>316</v>
      </c>
      <c r="B160" s="100">
        <f>B132</f>
        <v>84416.320000000007</v>
      </c>
      <c r="C160" s="70">
        <f>C133</f>
        <v>13680.63</v>
      </c>
    </row>
    <row r="161" spans="1:8" hidden="1">
      <c r="A161" s="76" t="s">
        <v>315</v>
      </c>
      <c r="B161" s="90">
        <v>91357.75</v>
      </c>
      <c r="C161" s="79">
        <v>40595.17</v>
      </c>
      <c r="D161" s="79"/>
    </row>
    <row r="162" spans="1:8" hidden="1">
      <c r="A162" s="65" t="s">
        <v>313</v>
      </c>
      <c r="B162" s="100">
        <f>B160-B161</f>
        <v>-6941.429999999993</v>
      </c>
      <c r="C162" s="70">
        <f>C160-C161</f>
        <v>-26914.54</v>
      </c>
      <c r="D162" s="70">
        <f>D160-D161</f>
        <v>0</v>
      </c>
    </row>
    <row r="163" spans="1:8" s="68" customFormat="1" ht="12" hidden="1">
      <c r="B163" s="67"/>
      <c r="C163" s="67"/>
      <c r="D163" s="67"/>
      <c r="E163" s="67"/>
      <c r="F163" s="67"/>
      <c r="G163" s="67"/>
      <c r="H163" s="135"/>
    </row>
    <row r="164" spans="1:8" hidden="1">
      <c r="B164" s="101"/>
      <c r="C164" s="101"/>
      <c r="D164" s="101"/>
      <c r="E164" s="101"/>
      <c r="F164" s="101"/>
      <c r="G164" s="101"/>
      <c r="H164" s="135"/>
    </row>
    <row r="165" spans="1:8" hidden="1">
      <c r="B165" s="101"/>
      <c r="C165" s="101"/>
      <c r="D165" s="101"/>
      <c r="E165" s="101"/>
      <c r="F165" s="101"/>
      <c r="G165" s="101"/>
      <c r="H165" s="135"/>
    </row>
    <row r="166" spans="1:8" hidden="1">
      <c r="B166" s="101"/>
      <c r="C166" s="101"/>
      <c r="D166" s="101"/>
      <c r="E166" s="101"/>
      <c r="F166" s="101"/>
      <c r="G166" s="101"/>
      <c r="H166" s="135"/>
    </row>
    <row r="167" spans="1:8" hidden="1">
      <c r="B167" s="101"/>
      <c r="C167" s="101"/>
      <c r="D167" s="101"/>
      <c r="E167" s="101"/>
      <c r="F167" s="101"/>
      <c r="G167" s="101"/>
    </row>
    <row r="168" spans="1:8" hidden="1">
      <c r="B168" s="99"/>
      <c r="C168" s="99"/>
      <c r="D168" s="99"/>
    </row>
    <row r="169" spans="1:8" hidden="1">
      <c r="B169" s="90"/>
      <c r="C169" s="79"/>
      <c r="D169" s="79"/>
    </row>
    <row r="170" spans="1:8" hidden="1">
      <c r="A170" s="65" t="s">
        <v>289</v>
      </c>
      <c r="B170" s="99" t="s">
        <v>290</v>
      </c>
      <c r="C170" s="99" t="s">
        <v>291</v>
      </c>
      <c r="D170" s="99" t="s">
        <v>292</v>
      </c>
    </row>
    <row r="171" spans="1:8" hidden="1">
      <c r="A171" s="65" t="s">
        <v>293</v>
      </c>
      <c r="B171" s="90">
        <f>36577.45+28000+84904.3</f>
        <v>149481.75</v>
      </c>
      <c r="C171" s="79">
        <v>0</v>
      </c>
      <c r="D171" s="79">
        <v>0</v>
      </c>
    </row>
    <row r="172" spans="1:8" hidden="1">
      <c r="A172" s="65" t="s">
        <v>294</v>
      </c>
      <c r="B172" s="90">
        <f>30716.78+62894.43</f>
        <v>93611.209999999992</v>
      </c>
      <c r="C172" s="79">
        <v>0</v>
      </c>
      <c r="D172" s="79">
        <v>0</v>
      </c>
    </row>
    <row r="173" spans="1:8" hidden="1">
      <c r="A173" s="65" t="s">
        <v>259</v>
      </c>
      <c r="B173" s="90">
        <v>0</v>
      </c>
      <c r="C173" s="79">
        <v>12464.94</v>
      </c>
      <c r="D173" s="79">
        <v>0</v>
      </c>
    </row>
    <row r="174" spans="1:8" hidden="1">
      <c r="A174" s="65" t="s">
        <v>295</v>
      </c>
      <c r="B174" s="90">
        <v>0</v>
      </c>
      <c r="C174" s="79">
        <v>9959.74</v>
      </c>
      <c r="D174" s="79">
        <v>0</v>
      </c>
    </row>
    <row r="175" spans="1:8" hidden="1">
      <c r="A175" s="65" t="s">
        <v>296</v>
      </c>
      <c r="B175" s="90">
        <v>339356.51</v>
      </c>
      <c r="C175" s="79">
        <v>185072.61</v>
      </c>
      <c r="D175" s="79">
        <v>0</v>
      </c>
    </row>
    <row r="176" spans="1:8" hidden="1">
      <c r="A176" s="65" t="s">
        <v>297</v>
      </c>
      <c r="B176" s="90">
        <v>313268.53999999998</v>
      </c>
      <c r="C176" s="79">
        <v>57042.080000000002</v>
      </c>
      <c r="D176" s="79">
        <v>0</v>
      </c>
    </row>
    <row r="177" spans="1:4" hidden="1">
      <c r="A177" s="65" t="s">
        <v>298</v>
      </c>
      <c r="B177" s="90">
        <v>0</v>
      </c>
      <c r="C177" s="79">
        <v>45268.92</v>
      </c>
      <c r="D177" s="79">
        <v>0</v>
      </c>
    </row>
    <row r="178" spans="1:4" hidden="1">
      <c r="A178" s="65" t="s">
        <v>299</v>
      </c>
      <c r="B178" s="90">
        <v>93814.96</v>
      </c>
      <c r="C178" s="79">
        <v>44527.18</v>
      </c>
      <c r="D178" s="79">
        <v>0</v>
      </c>
    </row>
    <row r="179" spans="1:4" hidden="1">
      <c r="A179" s="65" t="s">
        <v>300</v>
      </c>
      <c r="B179" s="90">
        <v>88023.09</v>
      </c>
      <c r="C179" s="79">
        <v>0</v>
      </c>
      <c r="D179" s="79">
        <v>0</v>
      </c>
    </row>
    <row r="180" spans="1:4" hidden="1">
      <c r="A180" s="65" t="s">
        <v>301</v>
      </c>
      <c r="B180" s="90">
        <v>14973.58</v>
      </c>
      <c r="C180" s="79">
        <v>0</v>
      </c>
      <c r="D180" s="79">
        <v>0</v>
      </c>
    </row>
    <row r="181" spans="1:4" hidden="1">
      <c r="A181" s="65" t="s">
        <v>303</v>
      </c>
      <c r="B181" s="90">
        <v>0</v>
      </c>
      <c r="C181" s="79">
        <v>0</v>
      </c>
      <c r="D181" s="79">
        <f>B181+C181</f>
        <v>0</v>
      </c>
    </row>
    <row r="182" spans="1:4" hidden="1">
      <c r="A182" s="65" t="s">
        <v>304</v>
      </c>
      <c r="B182" s="90">
        <v>0</v>
      </c>
      <c r="C182" s="79">
        <v>0</v>
      </c>
      <c r="D182" s="79">
        <f>B182+C182</f>
        <v>0</v>
      </c>
    </row>
    <row r="183" spans="1:4" hidden="1">
      <c r="A183" s="65" t="s">
        <v>305</v>
      </c>
      <c r="B183" s="90">
        <v>0</v>
      </c>
      <c r="C183" s="79">
        <v>0</v>
      </c>
      <c r="D183" s="79">
        <f>B183+C183</f>
        <v>0</v>
      </c>
    </row>
    <row r="184" spans="1:4" hidden="1">
      <c r="A184" s="65" t="s">
        <v>306</v>
      </c>
      <c r="B184" s="90">
        <v>0</v>
      </c>
      <c r="C184" s="79">
        <v>0</v>
      </c>
      <c r="D184" s="79">
        <f>B184+C184</f>
        <v>0</v>
      </c>
    </row>
    <row r="185" spans="1:4" hidden="1">
      <c r="A185" s="65" t="s">
        <v>307</v>
      </c>
      <c r="B185" s="90">
        <v>0</v>
      </c>
      <c r="C185" s="79">
        <v>0</v>
      </c>
      <c r="D185" s="79">
        <f>B185+C185</f>
        <v>0</v>
      </c>
    </row>
    <row r="186" spans="1:4" hidden="1">
      <c r="B186" s="90"/>
      <c r="C186" s="79"/>
      <c r="D186" s="79"/>
    </row>
    <row r="187" spans="1:4" hidden="1">
      <c r="A187" s="65" t="s">
        <v>309</v>
      </c>
      <c r="B187" s="100">
        <f>SUM(B171:B186)</f>
        <v>1092529.6400000001</v>
      </c>
      <c r="C187" s="70">
        <f>SUM(C171:C186)</f>
        <v>354335.47</v>
      </c>
      <c r="D187" s="70">
        <f>SUM(D171:D186)</f>
        <v>0</v>
      </c>
    </row>
    <row r="188" spans="1:4" hidden="1">
      <c r="A188" s="76" t="s">
        <v>317</v>
      </c>
      <c r="B188" s="90">
        <v>857639.62</v>
      </c>
      <c r="C188" s="79">
        <v>362887.57</v>
      </c>
      <c r="D188" s="79"/>
    </row>
    <row r="189" spans="1:4" hidden="1">
      <c r="A189" s="65" t="s">
        <v>310</v>
      </c>
      <c r="B189" s="100">
        <f>B187-B188</f>
        <v>234890.02000000014</v>
      </c>
      <c r="C189" s="70">
        <f>C187-C188</f>
        <v>-8552.1000000000349</v>
      </c>
    </row>
    <row r="190" spans="1:4" hidden="1">
      <c r="B190" s="100"/>
    </row>
    <row r="191" spans="1:4" hidden="1">
      <c r="A191" s="65" t="s">
        <v>318</v>
      </c>
      <c r="B191" s="100">
        <f>SUM(B175:B185)</f>
        <v>849436.67999999993</v>
      </c>
      <c r="C191" s="70">
        <f>SUM(C175:C185)</f>
        <v>331910.78999999998</v>
      </c>
    </row>
    <row r="192" spans="1:4" hidden="1">
      <c r="A192" s="76" t="s">
        <v>319</v>
      </c>
      <c r="B192" s="90">
        <v>627667.35</v>
      </c>
      <c r="C192" s="79">
        <v>274411.15999999997</v>
      </c>
      <c r="D192" s="79"/>
    </row>
    <row r="193" spans="1:8" hidden="1">
      <c r="A193" s="65" t="s">
        <v>313</v>
      </c>
      <c r="B193" s="100">
        <f>B191-B192</f>
        <v>221769.32999999996</v>
      </c>
      <c r="C193" s="70">
        <f>C191-C192</f>
        <v>57499.630000000005</v>
      </c>
    </row>
    <row r="194" spans="1:8" hidden="1"/>
    <row r="195" spans="1:8" hidden="1">
      <c r="A195" s="65" t="s">
        <v>320</v>
      </c>
      <c r="B195" s="100">
        <f>B171</f>
        <v>149481.75</v>
      </c>
      <c r="C195" s="70">
        <f>C174</f>
        <v>9959.74</v>
      </c>
    </row>
    <row r="196" spans="1:8" hidden="1">
      <c r="A196" s="76" t="s">
        <v>321</v>
      </c>
      <c r="B196" s="90">
        <v>138614.51999999999</v>
      </c>
      <c r="C196" s="79">
        <v>47881.24</v>
      </c>
      <c r="D196" s="79"/>
    </row>
    <row r="197" spans="1:8" hidden="1">
      <c r="A197" s="65" t="s">
        <v>313</v>
      </c>
      <c r="B197" s="100">
        <f>B195-B196</f>
        <v>10867.23000000001</v>
      </c>
      <c r="C197" s="70">
        <f>C195-C196</f>
        <v>-37921.5</v>
      </c>
    </row>
    <row r="198" spans="1:8" hidden="1"/>
    <row r="199" spans="1:8" hidden="1">
      <c r="A199" s="65" t="s">
        <v>322</v>
      </c>
      <c r="B199" s="100">
        <f>B172</f>
        <v>93611.209999999992</v>
      </c>
      <c r="C199" s="70">
        <f>C173</f>
        <v>12464.94</v>
      </c>
    </row>
    <row r="200" spans="1:8" hidden="1">
      <c r="A200" s="76" t="s">
        <v>321</v>
      </c>
      <c r="B200" s="90">
        <v>91357.75</v>
      </c>
      <c r="C200" s="79">
        <v>40595.17</v>
      </c>
      <c r="D200" s="79"/>
    </row>
    <row r="201" spans="1:8" hidden="1">
      <c r="A201" s="65" t="s">
        <v>313</v>
      </c>
      <c r="B201" s="100">
        <f>B199-B200</f>
        <v>2253.4599999999919</v>
      </c>
      <c r="C201" s="70">
        <f>C199-C200</f>
        <v>-28130.229999999996</v>
      </c>
      <c r="D201" s="70">
        <f>D199-D200</f>
        <v>0</v>
      </c>
    </row>
    <row r="205" spans="1:8">
      <c r="H205"/>
    </row>
    <row r="206" spans="1:8" customFormat="1">
      <c r="A206" s="69" t="s">
        <v>329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330</v>
      </c>
      <c r="B207" s="142">
        <f>D207-C207</f>
        <v>16440103.789999999</v>
      </c>
      <c r="C207" s="142">
        <v>0</v>
      </c>
      <c r="D207" s="142">
        <f>SUM(E207:G207)</f>
        <v>16440103.789999999</v>
      </c>
      <c r="E207" s="142">
        <v>9672977.4100000001</v>
      </c>
      <c r="F207" s="142">
        <v>1860078.41</v>
      </c>
      <c r="G207" s="142">
        <v>4907047.97</v>
      </c>
      <c r="H207" s="157" t="s">
        <v>167</v>
      </c>
    </row>
    <row r="208" spans="1:8" customFormat="1" ht="15">
      <c r="A208" s="74" t="s">
        <v>159</v>
      </c>
      <c r="B208" s="142">
        <f>D208-C208</f>
        <v>1045297.3199999998</v>
      </c>
      <c r="C208" s="142">
        <v>0</v>
      </c>
      <c r="D208" s="142">
        <f>SUM(E208:G208)</f>
        <v>1045297.3199999998</v>
      </c>
      <c r="E208" s="142">
        <f>1556866.13-E232</f>
        <v>887653.94999999984</v>
      </c>
      <c r="F208" s="142">
        <f>147540.23-F232</f>
        <v>147540.23000000001</v>
      </c>
      <c r="G208" s="142">
        <f>-17077.15-G232</f>
        <v>10103.14</v>
      </c>
      <c r="H208" s="157" t="s">
        <v>168</v>
      </c>
    </row>
    <row r="209" spans="1:8" customFormat="1" ht="15">
      <c r="A209" s="74" t="s">
        <v>331</v>
      </c>
      <c r="B209" s="143">
        <f>D209-C209</f>
        <v>120599.19</v>
      </c>
      <c r="C209" s="156">
        <v>1034.19</v>
      </c>
      <c r="D209" s="143">
        <f>SUM(E209:G209)</f>
        <v>121633.38</v>
      </c>
      <c r="E209" s="143">
        <v>20540.77</v>
      </c>
      <c r="F209" s="143">
        <v>95599.99</v>
      </c>
      <c r="G209" s="143">
        <v>5492.62</v>
      </c>
      <c r="H209" s="157" t="s">
        <v>169</v>
      </c>
    </row>
    <row r="210" spans="1:8" customFormat="1">
      <c r="A210" s="69"/>
      <c r="B210" s="144">
        <f t="shared" ref="B210:G210" si="27">SUM(B207:B209)</f>
        <v>17606000.300000001</v>
      </c>
      <c r="C210" s="144">
        <f t="shared" si="27"/>
        <v>1034.19</v>
      </c>
      <c r="D210" s="144">
        <f t="shared" si="27"/>
        <v>17607034.489999998</v>
      </c>
      <c r="E210" s="144">
        <f>SUM(E207:E209)</f>
        <v>10581172.129999999</v>
      </c>
      <c r="F210" s="144">
        <f t="shared" si="27"/>
        <v>2103218.63</v>
      </c>
      <c r="G210" s="144">
        <f t="shared" si="27"/>
        <v>4922643.7299999995</v>
      </c>
      <c r="H210" s="6"/>
    </row>
    <row r="211" spans="1:8" customFormat="1">
      <c r="A211" s="74"/>
      <c r="B211" s="142"/>
      <c r="C211" s="142"/>
      <c r="D211" s="142"/>
      <c r="E211" s="142"/>
      <c r="F211" s="142"/>
      <c r="G211" s="142"/>
      <c r="H211" s="6"/>
    </row>
    <row r="212" spans="1:8" customFormat="1" ht="15">
      <c r="A212" s="74" t="s">
        <v>332</v>
      </c>
      <c r="B212" s="142">
        <f>D212-C212</f>
        <v>2243228.04</v>
      </c>
      <c r="C212" s="142">
        <v>0</v>
      </c>
      <c r="D212" s="142">
        <f>SUM(E212:G212)</f>
        <v>2243228.04</v>
      </c>
      <c r="E212" s="142">
        <v>1765850.14</v>
      </c>
      <c r="F212" s="142">
        <v>249996.68</v>
      </c>
      <c r="G212" s="142">
        <v>227381.22</v>
      </c>
      <c r="H212" s="157" t="s">
        <v>170</v>
      </c>
    </row>
    <row r="213" spans="1:8" customFormat="1" ht="15">
      <c r="A213" s="74" t="s">
        <v>333</v>
      </c>
      <c r="B213" s="142">
        <f>D213-C213</f>
        <v>1282108.19</v>
      </c>
      <c r="C213" s="142">
        <v>0</v>
      </c>
      <c r="D213" s="142">
        <f>SUM(E213:G213)</f>
        <v>1282108.19</v>
      </c>
      <c r="E213" s="142">
        <v>1061048.57</v>
      </c>
      <c r="F213" s="142">
        <v>0</v>
      </c>
      <c r="G213" s="142">
        <v>221059.62</v>
      </c>
      <c r="H213" s="157" t="s">
        <v>188</v>
      </c>
    </row>
    <row r="214" spans="1:8" customFormat="1">
      <c r="A214" s="145"/>
      <c r="B214" s="146"/>
      <c r="C214" s="146"/>
      <c r="D214" s="146"/>
      <c r="E214" s="146"/>
      <c r="F214" s="146"/>
      <c r="G214" s="146"/>
      <c r="H214" s="6"/>
    </row>
    <row r="215" spans="1:8" customFormat="1">
      <c r="A215" s="69" t="s">
        <v>334</v>
      </c>
      <c r="B215" s="144">
        <f t="shared" ref="B215:G215" si="28">B210+B212+B213</f>
        <v>21131336.530000001</v>
      </c>
      <c r="C215" s="144">
        <f t="shared" si="28"/>
        <v>1034.19</v>
      </c>
      <c r="D215" s="144">
        <f t="shared" si="28"/>
        <v>21132370.719999999</v>
      </c>
      <c r="E215" s="144">
        <f t="shared" si="28"/>
        <v>13408070.84</v>
      </c>
      <c r="F215" s="144">
        <f t="shared" si="28"/>
        <v>2353215.31</v>
      </c>
      <c r="G215" s="144">
        <f t="shared" si="28"/>
        <v>5371084.5699999994</v>
      </c>
      <c r="H215" s="6"/>
    </row>
    <row r="216" spans="1:8" customFormat="1">
      <c r="A216" s="145"/>
      <c r="B216" s="146"/>
      <c r="C216" s="146"/>
      <c r="D216" s="146"/>
      <c r="E216" s="146"/>
      <c r="F216" s="146"/>
      <c r="G216" s="146"/>
      <c r="H216" s="6"/>
    </row>
    <row r="217" spans="1:8" customFormat="1">
      <c r="A217" s="69" t="s">
        <v>109</v>
      </c>
      <c r="B217" s="101"/>
      <c r="C217" s="101"/>
      <c r="D217" s="101"/>
      <c r="E217" s="101"/>
      <c r="F217" s="101"/>
      <c r="G217" s="101"/>
      <c r="H217" s="6"/>
    </row>
    <row r="218" spans="1:8" customFormat="1">
      <c r="A218" s="74" t="s">
        <v>335</v>
      </c>
      <c r="B218" s="142">
        <f>D218-C218</f>
        <v>-4171752.0000000005</v>
      </c>
      <c r="C218" s="142">
        <f>-C209</f>
        <v>-1034.19</v>
      </c>
      <c r="D218" s="142">
        <f>SUM(E218:G218)</f>
        <v>-4172786.1900000004</v>
      </c>
      <c r="E218" s="142">
        <v>-3575736.64</v>
      </c>
      <c r="F218" s="142">
        <v>-597049.55000000005</v>
      </c>
      <c r="G218" s="142">
        <v>0</v>
      </c>
      <c r="H218" s="6"/>
    </row>
    <row r="219" spans="1:8" customFormat="1" ht="15">
      <c r="A219" s="74" t="s">
        <v>336</v>
      </c>
      <c r="B219" s="142">
        <f>D219-C219</f>
        <v>-7181368.4000000004</v>
      </c>
      <c r="C219" s="142">
        <v>0</v>
      </c>
      <c r="D219" s="142">
        <f>SUM(E219:G219)</f>
        <v>-7181368.4000000004</v>
      </c>
      <c r="E219" s="142">
        <v>-3948464.53</v>
      </c>
      <c r="F219" s="142">
        <v>-818978.67</v>
      </c>
      <c r="G219" s="142">
        <v>-2413925.2000000002</v>
      </c>
      <c r="H219" s="157" t="s">
        <v>171</v>
      </c>
    </row>
    <row r="220" spans="1:8" customFormat="1" ht="15">
      <c r="A220" s="74" t="s">
        <v>337</v>
      </c>
      <c r="B220" s="142">
        <f>D220-C220</f>
        <v>-614828.40999999992</v>
      </c>
      <c r="C220" s="142">
        <v>0</v>
      </c>
      <c r="D220" s="142">
        <f>SUM(E220:G220)</f>
        <v>-614828.40999999992</v>
      </c>
      <c r="E220" s="142">
        <v>-397123.86</v>
      </c>
      <c r="F220" s="142">
        <v>-57248.85</v>
      </c>
      <c r="G220" s="142">
        <v>-160455.70000000001</v>
      </c>
      <c r="H220" s="158" t="s">
        <v>126</v>
      </c>
    </row>
    <row r="221" spans="1:8" customFormat="1">
      <c r="A221" s="145"/>
      <c r="B221" s="146"/>
      <c r="C221" s="146"/>
      <c r="D221" s="146"/>
      <c r="E221" s="146"/>
      <c r="F221" s="146"/>
      <c r="G221" s="146"/>
      <c r="H221" s="6"/>
    </row>
    <row r="222" spans="1:8" customFormat="1">
      <c r="A222" s="69" t="s">
        <v>338</v>
      </c>
      <c r="B222" s="144">
        <f t="shared" ref="B222:G222" si="29">SUM(B218:B221)</f>
        <v>-11967948.810000001</v>
      </c>
      <c r="C222" s="144">
        <f t="shared" si="29"/>
        <v>-1034.19</v>
      </c>
      <c r="D222" s="144">
        <f t="shared" si="29"/>
        <v>-11968983</v>
      </c>
      <c r="E222" s="144">
        <f>SUM(E218:E221)</f>
        <v>-7921325.0300000003</v>
      </c>
      <c r="F222" s="144">
        <f>SUM(F218:F221)</f>
        <v>-1473277.0700000003</v>
      </c>
      <c r="G222" s="144">
        <f t="shared" si="29"/>
        <v>-2574380.9000000004</v>
      </c>
      <c r="H222" s="6"/>
    </row>
    <row r="223" spans="1:8" customFormat="1">
      <c r="A223" s="145"/>
      <c r="B223" s="146"/>
      <c r="C223" s="146"/>
      <c r="D223" s="146"/>
      <c r="E223" s="146"/>
      <c r="F223" s="146"/>
      <c r="G223" s="146"/>
      <c r="H223" s="6"/>
    </row>
    <row r="224" spans="1:8" customFormat="1">
      <c r="A224" s="69" t="s">
        <v>339</v>
      </c>
      <c r="B224" s="144">
        <f t="shared" ref="B224:G224" si="30">B215+B222</f>
        <v>9163387.7200000007</v>
      </c>
      <c r="C224" s="144">
        <f t="shared" si="30"/>
        <v>0</v>
      </c>
      <c r="D224" s="144">
        <f t="shared" si="30"/>
        <v>9163387.7199999988</v>
      </c>
      <c r="E224" s="144">
        <f t="shared" si="30"/>
        <v>5486745.8099999996</v>
      </c>
      <c r="F224" s="144">
        <f t="shared" si="30"/>
        <v>879938.23999999976</v>
      </c>
      <c r="G224" s="144">
        <f t="shared" si="30"/>
        <v>2796703.669999999</v>
      </c>
      <c r="H224" s="6"/>
    </row>
    <row r="225" spans="1:8" customFormat="1">
      <c r="A225" s="84" t="s">
        <v>202</v>
      </c>
      <c r="B225" s="101"/>
      <c r="C225" s="101"/>
      <c r="D225" s="101"/>
      <c r="E225" s="101"/>
      <c r="F225" s="101"/>
      <c r="G225" s="101"/>
      <c r="H225" s="6"/>
    </row>
    <row r="226" spans="1:8" customFormat="1" ht="15">
      <c r="A226" s="74" t="s">
        <v>340</v>
      </c>
      <c r="B226" s="142">
        <f>D226-C226</f>
        <v>-157170.81</v>
      </c>
      <c r="C226" s="142">
        <v>0</v>
      </c>
      <c r="D226" s="142">
        <f>SUM(E226:G226)</f>
        <v>-157170.81</v>
      </c>
      <c r="E226" s="142">
        <v>-102038.2</v>
      </c>
      <c r="F226" s="142">
        <f>-302020.38+297382.49</f>
        <v>-4637.890000000014</v>
      </c>
      <c r="G226" s="142">
        <v>-50494.720000000001</v>
      </c>
      <c r="H226" s="157" t="s">
        <v>154</v>
      </c>
    </row>
    <row r="227" spans="1:8" customFormat="1">
      <c r="A227" s="145"/>
      <c r="B227" s="146"/>
      <c r="C227" s="146"/>
      <c r="D227" s="146"/>
      <c r="E227" s="146"/>
      <c r="F227" s="146"/>
      <c r="G227" s="147" t="s">
        <v>341</v>
      </c>
      <c r="H227" s="6"/>
    </row>
    <row r="228" spans="1:8" customFormat="1">
      <c r="A228" s="69" t="s">
        <v>342</v>
      </c>
      <c r="B228" s="144">
        <f t="shared" ref="B228:G228" si="31">B224+B226</f>
        <v>9006216.9100000001</v>
      </c>
      <c r="C228" s="148">
        <f t="shared" si="31"/>
        <v>0</v>
      </c>
      <c r="D228" s="144">
        <f t="shared" si="31"/>
        <v>9006216.9099999983</v>
      </c>
      <c r="E228" s="144">
        <f>E224+E226</f>
        <v>5384707.6099999994</v>
      </c>
      <c r="F228" s="144">
        <f>F224+F226</f>
        <v>875300.34999999974</v>
      </c>
      <c r="G228" s="144">
        <f t="shared" si="31"/>
        <v>2746208.9499999988</v>
      </c>
      <c r="H228" s="6"/>
    </row>
    <row r="229" spans="1:8" customFormat="1">
      <c r="A229" s="145"/>
      <c r="B229" s="146"/>
      <c r="C229" s="146"/>
      <c r="D229" s="146"/>
      <c r="E229" s="146"/>
      <c r="F229" s="146"/>
      <c r="G229" s="146"/>
      <c r="H229" s="6"/>
    </row>
    <row r="230" spans="1:8" customFormat="1">
      <c r="A230" s="69" t="s">
        <v>343</v>
      </c>
      <c r="B230" s="101"/>
      <c r="C230" s="101"/>
      <c r="D230" s="101"/>
      <c r="E230" s="101"/>
      <c r="F230" s="101"/>
      <c r="G230" s="101"/>
      <c r="H230" s="6"/>
    </row>
    <row r="231" spans="1:8" customFormat="1">
      <c r="A231" s="74" t="s">
        <v>344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  <c r="H231" s="6"/>
    </row>
    <row r="232" spans="1:8" customFormat="1" ht="15">
      <c r="A232" s="74" t="s">
        <v>345</v>
      </c>
      <c r="B232" s="142">
        <f>D232-C232</f>
        <v>642031.89</v>
      </c>
      <c r="C232" s="142">
        <v>0</v>
      </c>
      <c r="D232" s="142">
        <f>SUM(E232:G232)</f>
        <v>642031.89</v>
      </c>
      <c r="E232" s="142">
        <v>669212.18000000005</v>
      </c>
      <c r="F232" s="142">
        <v>0</v>
      </c>
      <c r="G232" s="142">
        <v>-27180.29</v>
      </c>
      <c r="H232" s="157" t="s">
        <v>130</v>
      </c>
    </row>
    <row r="233" spans="1:8" customFormat="1">
      <c r="A233" s="74" t="s">
        <v>346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  <c r="H233" s="6"/>
    </row>
    <row r="234" spans="1:8" customFormat="1" ht="15">
      <c r="A234" s="74" t="s">
        <v>347</v>
      </c>
      <c r="B234" s="142">
        <f>D234-C234</f>
        <v>697301.59000000008</v>
      </c>
      <c r="C234" s="142">
        <v>0</v>
      </c>
      <c r="D234" s="142">
        <f>SUM(E234:G234)</f>
        <v>697301.59000000008</v>
      </c>
      <c r="E234" s="142">
        <v>586777.76</v>
      </c>
      <c r="F234" s="142">
        <v>6776.16</v>
      </c>
      <c r="G234" s="142">
        <v>103747.67</v>
      </c>
      <c r="H234" s="157" t="s">
        <v>130</v>
      </c>
    </row>
    <row r="235" spans="1:8" customFormat="1">
      <c r="A235" s="145"/>
      <c r="B235" s="146"/>
      <c r="C235" s="146"/>
      <c r="D235" s="146"/>
      <c r="E235" s="146"/>
      <c r="F235" s="146"/>
      <c r="G235" s="146"/>
      <c r="H235" s="6"/>
    </row>
    <row r="236" spans="1:8" customFormat="1">
      <c r="A236" s="69" t="s">
        <v>348</v>
      </c>
      <c r="B236" s="144">
        <f t="shared" ref="B236:G236" si="32">SUM(B231:B235)</f>
        <v>1339333.48</v>
      </c>
      <c r="C236" s="144">
        <f t="shared" si="32"/>
        <v>0</v>
      </c>
      <c r="D236" s="144">
        <f t="shared" si="32"/>
        <v>1339333.48</v>
      </c>
      <c r="E236" s="144">
        <f>SUM(E231:E235)</f>
        <v>1255989.94</v>
      </c>
      <c r="F236" s="144">
        <f t="shared" si="32"/>
        <v>6776.16</v>
      </c>
      <c r="G236" s="144">
        <f t="shared" si="32"/>
        <v>76567.38</v>
      </c>
      <c r="H236" s="6"/>
    </row>
    <row r="237" spans="1:8" customFormat="1">
      <c r="A237" s="84" t="s">
        <v>202</v>
      </c>
      <c r="B237" s="101"/>
      <c r="C237" s="101"/>
      <c r="D237" s="101"/>
      <c r="E237" s="101"/>
      <c r="F237" s="101"/>
      <c r="G237" s="101"/>
      <c r="H237" s="6"/>
    </row>
    <row r="238" spans="1:8" customFormat="1">
      <c r="A238" s="74" t="s">
        <v>349</v>
      </c>
      <c r="B238" s="149"/>
      <c r="C238" s="149"/>
      <c r="D238" s="149"/>
      <c r="E238" s="149"/>
      <c r="F238" s="149"/>
      <c r="G238" s="149"/>
      <c r="H238" s="6"/>
    </row>
    <row r="239" spans="1:8" customFormat="1">
      <c r="A239" s="74" t="s">
        <v>350</v>
      </c>
      <c r="B239" s="142">
        <f t="shared" ref="B239:B245" si="33">D239-C239</f>
        <v>2263349.44</v>
      </c>
      <c r="C239" s="142">
        <v>0</v>
      </c>
      <c r="D239" s="142">
        <f>SUM(E239:G239)</f>
        <v>2263349.44</v>
      </c>
      <c r="E239" s="142">
        <v>1614746.31</v>
      </c>
      <c r="F239" s="142">
        <v>318622</v>
      </c>
      <c r="G239" s="142">
        <v>329981.13</v>
      </c>
      <c r="H239" s="6"/>
    </row>
    <row r="240" spans="1:8" customFormat="1">
      <c r="A240" s="74" t="s">
        <v>351</v>
      </c>
      <c r="B240" s="142">
        <f t="shared" si="33"/>
        <v>407073.46</v>
      </c>
      <c r="C240" s="142">
        <v>0</v>
      </c>
      <c r="D240" s="142">
        <f t="shared" ref="D240:D245" si="34">SUM(E240:G240)</f>
        <v>407073.46</v>
      </c>
      <c r="E240" s="142">
        <v>407073.46</v>
      </c>
      <c r="F240" s="142">
        <v>0</v>
      </c>
      <c r="G240" s="142">
        <v>0</v>
      </c>
      <c r="H240" s="6"/>
    </row>
    <row r="241" spans="1:8" customFormat="1">
      <c r="A241" s="74" t="s">
        <v>352</v>
      </c>
      <c r="B241" s="142">
        <f t="shared" si="33"/>
        <v>235930.49</v>
      </c>
      <c r="C241" s="142">
        <v>0</v>
      </c>
      <c r="D241" s="142">
        <f t="shared" si="34"/>
        <v>235930.49</v>
      </c>
      <c r="E241" s="142">
        <v>198000</v>
      </c>
      <c r="F241" s="142">
        <v>5458.49</v>
      </c>
      <c r="G241" s="142">
        <v>32472</v>
      </c>
      <c r="H241" s="6"/>
    </row>
    <row r="242" spans="1:8" customFormat="1">
      <c r="A242" s="74" t="s">
        <v>353</v>
      </c>
      <c r="B242" s="142">
        <f t="shared" si="33"/>
        <v>345483.13</v>
      </c>
      <c r="C242" s="142">
        <v>0</v>
      </c>
      <c r="D242" s="142">
        <f t="shared" si="34"/>
        <v>345483.13</v>
      </c>
      <c r="E242" s="142">
        <v>288379.98</v>
      </c>
      <c r="F242" s="142">
        <v>8964.31</v>
      </c>
      <c r="G242" s="142">
        <v>48138.84</v>
      </c>
      <c r="H242" s="6"/>
    </row>
    <row r="243" spans="1:8" customFormat="1">
      <c r="A243" s="74" t="s">
        <v>354</v>
      </c>
      <c r="B243" s="142">
        <f t="shared" si="33"/>
        <v>94072.4</v>
      </c>
      <c r="C243" s="142">
        <v>0</v>
      </c>
      <c r="D243" s="142">
        <f t="shared" si="34"/>
        <v>94072.4</v>
      </c>
      <c r="E243" s="142">
        <v>43937.64</v>
      </c>
      <c r="F243" s="142">
        <v>41048.32</v>
      </c>
      <c r="G243" s="142">
        <v>9086.44</v>
      </c>
      <c r="H243" s="6"/>
    </row>
    <row r="244" spans="1:8" customFormat="1">
      <c r="A244" s="74" t="s">
        <v>355</v>
      </c>
      <c r="B244" s="142">
        <f t="shared" si="33"/>
        <v>80043.73</v>
      </c>
      <c r="C244" s="142">
        <v>0</v>
      </c>
      <c r="D244" s="142">
        <f t="shared" si="34"/>
        <v>80043.73</v>
      </c>
      <c r="E244" s="142">
        <v>61242.96</v>
      </c>
      <c r="F244" s="142">
        <v>0</v>
      </c>
      <c r="G244" s="142">
        <v>18800.77</v>
      </c>
      <c r="H244" s="6"/>
    </row>
    <row r="245" spans="1:8" customFormat="1">
      <c r="A245" s="74" t="s">
        <v>356</v>
      </c>
      <c r="B245" s="142">
        <f t="shared" si="33"/>
        <v>381764.62</v>
      </c>
      <c r="C245" s="142">
        <v>0</v>
      </c>
      <c r="D245" s="142">
        <f t="shared" si="34"/>
        <v>381764.62</v>
      </c>
      <c r="E245" s="142">
        <v>303010.39</v>
      </c>
      <c r="F245" s="142">
        <v>51669.81</v>
      </c>
      <c r="G245" s="142">
        <v>27084.42</v>
      </c>
      <c r="H245" s="6"/>
    </row>
    <row r="246" spans="1:8" customFormat="1" ht="15">
      <c r="A246" s="69" t="s">
        <v>357</v>
      </c>
      <c r="B246" s="144">
        <f t="shared" ref="B246:G246" si="35">SUM(B239:B245)</f>
        <v>3807717.2699999996</v>
      </c>
      <c r="C246" s="144">
        <f t="shared" si="35"/>
        <v>0</v>
      </c>
      <c r="D246" s="144">
        <f t="shared" si="35"/>
        <v>3807717.2699999996</v>
      </c>
      <c r="E246" s="144">
        <f t="shared" si="35"/>
        <v>2916390.74</v>
      </c>
      <c r="F246" s="144">
        <f t="shared" si="35"/>
        <v>425762.93</v>
      </c>
      <c r="G246" s="144">
        <f t="shared" si="35"/>
        <v>465563.6</v>
      </c>
      <c r="H246" s="157" t="s">
        <v>7</v>
      </c>
    </row>
    <row r="247" spans="1:8" customFormat="1" ht="26.25">
      <c r="A247" s="150" t="s">
        <v>202</v>
      </c>
      <c r="B247" s="151"/>
      <c r="C247" s="151"/>
      <c r="D247" s="151"/>
      <c r="E247" s="151"/>
      <c r="F247" s="151"/>
      <c r="G247" s="151"/>
      <c r="H247" s="6"/>
    </row>
    <row r="248" spans="1:8" customFormat="1">
      <c r="A248" s="74" t="s">
        <v>358</v>
      </c>
      <c r="B248" s="142">
        <f t="shared" ref="B248:B253" si="36">D248-C248</f>
        <v>31879.71</v>
      </c>
      <c r="C248" s="142">
        <v>0</v>
      </c>
      <c r="D248" s="142">
        <f t="shared" ref="D248:D253" si="37">SUM(E248:G248)</f>
        <v>31879.71</v>
      </c>
      <c r="E248" s="142">
        <v>23365.62</v>
      </c>
      <c r="F248" s="142">
        <v>0</v>
      </c>
      <c r="G248" s="142">
        <v>8514.09</v>
      </c>
      <c r="H248" s="6"/>
    </row>
    <row r="249" spans="1:8" customFormat="1">
      <c r="A249" s="74" t="s">
        <v>359</v>
      </c>
      <c r="B249" s="142">
        <f t="shared" si="36"/>
        <v>61052.41</v>
      </c>
      <c r="C249" s="142">
        <v>0</v>
      </c>
      <c r="D249" s="142">
        <f t="shared" si="37"/>
        <v>61052.41</v>
      </c>
      <c r="E249" s="142">
        <v>35636.53</v>
      </c>
      <c r="F249" s="142">
        <v>7983.32</v>
      </c>
      <c r="G249" s="142">
        <v>17432.560000000001</v>
      </c>
      <c r="H249" s="6"/>
    </row>
    <row r="250" spans="1:8" customFormat="1">
      <c r="A250" s="74" t="s">
        <v>360</v>
      </c>
      <c r="B250" s="142">
        <f t="shared" si="36"/>
        <v>27048.560000000001</v>
      </c>
      <c r="C250" s="142">
        <v>0</v>
      </c>
      <c r="D250" s="142">
        <f t="shared" si="37"/>
        <v>27048.560000000001</v>
      </c>
      <c r="E250" s="142">
        <v>17068.900000000001</v>
      </c>
      <c r="F250" s="142">
        <v>5701.47</v>
      </c>
      <c r="G250" s="142">
        <v>4278.1899999999996</v>
      </c>
      <c r="H250" s="6"/>
    </row>
    <row r="251" spans="1:8" customFormat="1">
      <c r="A251" s="74" t="s">
        <v>361</v>
      </c>
      <c r="B251" s="142">
        <f t="shared" si="36"/>
        <v>50187.59</v>
      </c>
      <c r="C251" s="142">
        <v>0</v>
      </c>
      <c r="D251" s="142">
        <f t="shared" si="37"/>
        <v>50187.59</v>
      </c>
      <c r="E251" s="142">
        <v>46375.519999999997</v>
      </c>
      <c r="F251" s="142">
        <v>0</v>
      </c>
      <c r="G251" s="142">
        <v>3812.07</v>
      </c>
      <c r="H251" s="6"/>
    </row>
    <row r="252" spans="1:8" customFormat="1">
      <c r="A252" s="74" t="s">
        <v>362</v>
      </c>
      <c r="B252" s="142">
        <f t="shared" si="36"/>
        <v>39256.36</v>
      </c>
      <c r="C252" s="142">
        <v>0</v>
      </c>
      <c r="D252" s="142">
        <f t="shared" si="37"/>
        <v>39256.36</v>
      </c>
      <c r="E252" s="142">
        <v>24374.06</v>
      </c>
      <c r="F252" s="142">
        <v>0</v>
      </c>
      <c r="G252" s="142">
        <v>14882.3</v>
      </c>
      <c r="H252" s="6"/>
    </row>
    <row r="253" spans="1:8" customFormat="1">
      <c r="A253" s="74" t="s">
        <v>363</v>
      </c>
      <c r="B253" s="142">
        <f t="shared" si="36"/>
        <v>59754.15</v>
      </c>
      <c r="C253" s="142">
        <v>0</v>
      </c>
      <c r="D253" s="142">
        <f t="shared" si="37"/>
        <v>59754.15</v>
      </c>
      <c r="E253" s="142">
        <v>53531.51</v>
      </c>
      <c r="F253" s="142">
        <v>0</v>
      </c>
      <c r="G253" s="142">
        <v>6222.64</v>
      </c>
      <c r="H253" s="6"/>
    </row>
    <row r="254" spans="1:8" customFormat="1" ht="15">
      <c r="A254" s="69" t="s">
        <v>364</v>
      </c>
      <c r="B254" s="144">
        <f t="shared" ref="B254:G254" si="38">SUM(B248:B253)</f>
        <v>269178.78000000003</v>
      </c>
      <c r="C254" s="144">
        <f t="shared" si="38"/>
        <v>0</v>
      </c>
      <c r="D254" s="144">
        <f t="shared" si="38"/>
        <v>269178.78000000003</v>
      </c>
      <c r="E254" s="144">
        <f t="shared" si="38"/>
        <v>200352.13999999998</v>
      </c>
      <c r="F254" s="144">
        <f t="shared" si="38"/>
        <v>13684.79</v>
      </c>
      <c r="G254" s="144">
        <f t="shared" si="38"/>
        <v>55141.850000000006</v>
      </c>
      <c r="H254" s="157" t="s">
        <v>8</v>
      </c>
    </row>
    <row r="255" spans="1:8" customFormat="1">
      <c r="A255" s="84" t="s">
        <v>202</v>
      </c>
      <c r="B255" s="101"/>
      <c r="C255" s="101"/>
      <c r="D255" s="101"/>
      <c r="E255" s="101"/>
      <c r="F255" s="101"/>
      <c r="G255" s="101"/>
      <c r="H255" s="6"/>
    </row>
    <row r="256" spans="1:8" customFormat="1" ht="15">
      <c r="A256" s="69" t="s">
        <v>365</v>
      </c>
      <c r="B256" s="144">
        <f>D256-C256</f>
        <v>471279.93000000005</v>
      </c>
      <c r="C256" s="144">
        <v>0</v>
      </c>
      <c r="D256" s="144">
        <f>SUM(E256:G256)</f>
        <v>471279.93000000005</v>
      </c>
      <c r="E256" s="144">
        <v>194187.9</v>
      </c>
      <c r="F256" s="144">
        <v>164392.75</v>
      </c>
      <c r="G256" s="144">
        <v>112699.28</v>
      </c>
      <c r="H256" s="157" t="s">
        <v>108</v>
      </c>
    </row>
    <row r="257" spans="1:8" customFormat="1">
      <c r="A257" s="84" t="s">
        <v>202</v>
      </c>
      <c r="B257" s="101"/>
      <c r="C257" s="101"/>
      <c r="D257" s="101"/>
      <c r="E257" s="101"/>
      <c r="F257" s="101"/>
      <c r="G257" s="101"/>
      <c r="H257" s="6"/>
    </row>
    <row r="258" spans="1:8" customFormat="1" ht="15">
      <c r="A258" s="69" t="s">
        <v>366</v>
      </c>
      <c r="B258" s="144">
        <f>D258-C258</f>
        <v>847742.6</v>
      </c>
      <c r="C258" s="144">
        <v>0</v>
      </c>
      <c r="D258" s="144">
        <f>SUM(E258:G258)</f>
        <v>847742.6</v>
      </c>
      <c r="E258" s="144">
        <v>388716.52</v>
      </c>
      <c r="F258" s="144">
        <v>249270.96</v>
      </c>
      <c r="G258" s="144">
        <v>209755.12</v>
      </c>
      <c r="H258" s="157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  <c r="H259" s="6"/>
    </row>
    <row r="260" spans="1:8" customFormat="1">
      <c r="A260" s="74" t="s">
        <v>367</v>
      </c>
      <c r="B260" s="142">
        <f t="shared" ref="B260:B266" si="39">D260-C260</f>
        <v>267066.61</v>
      </c>
      <c r="C260" s="142">
        <v>0</v>
      </c>
      <c r="D260" s="142">
        <f>SUM(E260:G260)</f>
        <v>267066.61</v>
      </c>
      <c r="E260" s="142">
        <v>194288.03</v>
      </c>
      <c r="F260" s="142">
        <v>29341.119999999999</v>
      </c>
      <c r="G260" s="142">
        <v>43437.46</v>
      </c>
      <c r="H260" s="6"/>
    </row>
    <row r="261" spans="1:8" customFormat="1">
      <c r="A261" s="74" t="s">
        <v>368</v>
      </c>
      <c r="B261" s="142">
        <f t="shared" si="39"/>
        <v>294854.03000000003</v>
      </c>
      <c r="C261" s="142">
        <v>0</v>
      </c>
      <c r="D261" s="142">
        <f t="shared" ref="D261:D266" si="40">SUM(E261:G261)</f>
        <v>294854.03000000003</v>
      </c>
      <c r="E261" s="142">
        <v>226617.45</v>
      </c>
      <c r="F261" s="142">
        <v>4365.58</v>
      </c>
      <c r="G261" s="142">
        <v>63871</v>
      </c>
      <c r="H261" s="6"/>
    </row>
    <row r="262" spans="1:8" customFormat="1">
      <c r="A262" s="74" t="s">
        <v>369</v>
      </c>
      <c r="B262" s="142">
        <f t="shared" si="39"/>
        <v>298305.14</v>
      </c>
      <c r="C262" s="142">
        <v>0</v>
      </c>
      <c r="D262" s="142">
        <f t="shared" si="40"/>
        <v>298305.14</v>
      </c>
      <c r="E262" s="142">
        <v>275682.11</v>
      </c>
      <c r="F262" s="142">
        <v>0</v>
      </c>
      <c r="G262" s="142">
        <v>22623.03</v>
      </c>
      <c r="H262" s="6"/>
    </row>
    <row r="263" spans="1:8" customFormat="1">
      <c r="A263" s="74" t="s">
        <v>370</v>
      </c>
      <c r="B263" s="142">
        <f t="shared" si="39"/>
        <v>63867.59</v>
      </c>
      <c r="C263" s="142">
        <v>0</v>
      </c>
      <c r="D263" s="142">
        <f t="shared" si="40"/>
        <v>63867.59</v>
      </c>
      <c r="E263" s="142">
        <v>52179.57</v>
      </c>
      <c r="F263" s="142">
        <v>8782.5300000000007</v>
      </c>
      <c r="G263" s="142">
        <v>2905.49</v>
      </c>
      <c r="H263" s="6"/>
    </row>
    <row r="264" spans="1:8" customFormat="1">
      <c r="A264" s="74" t="s">
        <v>371</v>
      </c>
      <c r="B264" s="142">
        <f t="shared" si="39"/>
        <v>152764.96</v>
      </c>
      <c r="C264" s="142">
        <v>0</v>
      </c>
      <c r="D264" s="142">
        <f t="shared" si="40"/>
        <v>152764.96</v>
      </c>
      <c r="E264" s="142">
        <v>97534.84</v>
      </c>
      <c r="F264" s="142">
        <v>12933.72</v>
      </c>
      <c r="G264" s="142">
        <v>42296.4</v>
      </c>
      <c r="H264" s="6"/>
    </row>
    <row r="265" spans="1:8" customFormat="1">
      <c r="A265" s="74" t="s">
        <v>372</v>
      </c>
      <c r="B265" s="142">
        <f t="shared" si="39"/>
        <v>66882.16</v>
      </c>
      <c r="C265" s="142">
        <v>0</v>
      </c>
      <c r="D265" s="142">
        <f t="shared" si="40"/>
        <v>66882.16</v>
      </c>
      <c r="E265" s="142">
        <v>45592.51</v>
      </c>
      <c r="F265" s="142">
        <v>13637.94</v>
      </c>
      <c r="G265" s="142">
        <v>7651.71</v>
      </c>
      <c r="H265" s="6"/>
    </row>
    <row r="266" spans="1:8" customFormat="1">
      <c r="A266" s="74" t="s">
        <v>373</v>
      </c>
      <c r="B266" s="142">
        <f t="shared" si="39"/>
        <v>686412.01</v>
      </c>
      <c r="C266" s="142">
        <v>0</v>
      </c>
      <c r="D266" s="142">
        <f t="shared" si="40"/>
        <v>686412.01</v>
      </c>
      <c r="E266" s="142">
        <v>379264.16</v>
      </c>
      <c r="F266" s="142">
        <f>103279.63-8391.3</f>
        <v>94888.33</v>
      </c>
      <c r="G266" s="142">
        <v>212259.52</v>
      </c>
      <c r="H266" s="6"/>
    </row>
    <row r="267" spans="1:8" customFormat="1" ht="15">
      <c r="A267" s="69" t="s">
        <v>374</v>
      </c>
      <c r="B267" s="144">
        <f t="shared" ref="B267:G267" si="41">SUM(B260:B266)</f>
        <v>1830152.5</v>
      </c>
      <c r="C267" s="144">
        <f t="shared" si="41"/>
        <v>0</v>
      </c>
      <c r="D267" s="144">
        <f t="shared" si="41"/>
        <v>1830152.5</v>
      </c>
      <c r="E267" s="144">
        <f t="shared" si="41"/>
        <v>1271158.67</v>
      </c>
      <c r="F267" s="144">
        <f t="shared" si="41"/>
        <v>163949.22</v>
      </c>
      <c r="G267" s="144">
        <f t="shared" si="41"/>
        <v>395044.61</v>
      </c>
      <c r="H267" s="157" t="s">
        <v>10</v>
      </c>
    </row>
    <row r="268" spans="1:8" customFormat="1">
      <c r="A268" s="145"/>
      <c r="B268" s="146"/>
      <c r="C268" s="146"/>
      <c r="D268" s="146"/>
      <c r="E268" s="146"/>
      <c r="F268" s="146"/>
      <c r="G268" s="146"/>
      <c r="H268" s="6"/>
    </row>
    <row r="269" spans="1:8" customFormat="1">
      <c r="A269" s="69" t="s">
        <v>375</v>
      </c>
      <c r="B269" s="144">
        <f t="shared" ref="B269:G269" si="42">B246+B254+B256+B258+B267</f>
        <v>7226071.0799999991</v>
      </c>
      <c r="C269" s="144">
        <f t="shared" si="42"/>
        <v>0</v>
      </c>
      <c r="D269" s="144">
        <f t="shared" si="42"/>
        <v>7226071.0799999991</v>
      </c>
      <c r="E269" s="144">
        <f t="shared" si="42"/>
        <v>4970805.9700000007</v>
      </c>
      <c r="F269" s="144">
        <f>F246+F254+F256+F258+F267</f>
        <v>1017060.6499999999</v>
      </c>
      <c r="G269" s="144">
        <f t="shared" si="42"/>
        <v>1238204.46</v>
      </c>
      <c r="H269" s="6"/>
    </row>
    <row r="270" spans="1:8" customFormat="1">
      <c r="A270" s="145"/>
      <c r="B270" s="146"/>
      <c r="C270" s="146"/>
      <c r="D270" s="146"/>
      <c r="E270" s="146"/>
      <c r="F270" s="146"/>
      <c r="G270" s="146"/>
      <c r="H270" s="6"/>
    </row>
    <row r="271" spans="1:8" customFormat="1">
      <c r="A271" s="69" t="s">
        <v>376</v>
      </c>
      <c r="B271" s="144">
        <f t="shared" ref="B271:G271" si="43">B228+B236-B269</f>
        <v>3119479.3100000015</v>
      </c>
      <c r="C271" s="144">
        <f t="shared" si="43"/>
        <v>0</v>
      </c>
      <c r="D271" s="144">
        <f t="shared" si="43"/>
        <v>3119479.3099999996</v>
      </c>
      <c r="E271" s="144">
        <f>E228+E236-E269</f>
        <v>1669891.5799999982</v>
      </c>
      <c r="F271" s="144">
        <f>F228+F236-F269</f>
        <v>-134984.14000000013</v>
      </c>
      <c r="G271" s="144">
        <f t="shared" si="43"/>
        <v>1584571.8699999987</v>
      </c>
      <c r="H271" s="6"/>
    </row>
    <row r="272" spans="1:8" customFormat="1">
      <c r="A272" s="84" t="s">
        <v>202</v>
      </c>
      <c r="B272" s="101"/>
      <c r="C272" s="101"/>
      <c r="D272" s="101"/>
      <c r="E272" s="101"/>
      <c r="F272" s="101"/>
      <c r="G272" s="101"/>
      <c r="H272" s="6"/>
    </row>
    <row r="273" spans="1:8" customFormat="1">
      <c r="A273" s="74" t="s">
        <v>377</v>
      </c>
      <c r="B273" s="142">
        <f>D273-C273</f>
        <v>916771.29</v>
      </c>
      <c r="C273" s="142">
        <v>0</v>
      </c>
      <c r="D273" s="142">
        <f>SUM(E273:G273)</f>
        <v>916771.29</v>
      </c>
      <c r="E273" s="142">
        <v>339581.76</v>
      </c>
      <c r="F273" s="142">
        <v>15973.09</v>
      </c>
      <c r="G273" s="142">
        <v>561216.43999999994</v>
      </c>
      <c r="H273" s="6"/>
    </row>
    <row r="274" spans="1:8" customFormat="1">
      <c r="A274" s="154" t="s">
        <v>378</v>
      </c>
      <c r="B274" s="142">
        <f>D274-C274</f>
        <v>-12464.83</v>
      </c>
      <c r="C274" s="142">
        <v>0</v>
      </c>
      <c r="D274" s="142">
        <f>SUM(E274:G274)</f>
        <v>-12464.83</v>
      </c>
      <c r="E274" s="142">
        <v>-4588.41</v>
      </c>
      <c r="F274" s="142">
        <v>-8959.9500000000007</v>
      </c>
      <c r="G274" s="142">
        <v>1083.53</v>
      </c>
      <c r="H274" s="6"/>
    </row>
    <row r="275" spans="1:8" customFormat="1" ht="15">
      <c r="A275" s="69" t="s">
        <v>379</v>
      </c>
      <c r="B275" s="144">
        <f t="shared" ref="B275:G275" si="44">SUM(B273:B274)</f>
        <v>904306.46000000008</v>
      </c>
      <c r="C275" s="144">
        <f t="shared" si="44"/>
        <v>0</v>
      </c>
      <c r="D275" s="144">
        <f t="shared" si="44"/>
        <v>904306.46000000008</v>
      </c>
      <c r="E275" s="144">
        <f t="shared" si="44"/>
        <v>334993.35000000003</v>
      </c>
      <c r="F275" s="144">
        <f t="shared" si="44"/>
        <v>7013.1399999999994</v>
      </c>
      <c r="G275" s="144">
        <f t="shared" si="44"/>
        <v>562299.97</v>
      </c>
      <c r="H275" s="157" t="s">
        <v>31</v>
      </c>
    </row>
    <row r="276" spans="1:8" customFormat="1">
      <c r="A276" s="145"/>
      <c r="B276" s="146"/>
      <c r="C276" s="146"/>
      <c r="D276" s="146"/>
      <c r="E276" s="146"/>
      <c r="F276" s="146"/>
      <c r="G276" s="146"/>
      <c r="H276" s="6"/>
    </row>
    <row r="277" spans="1:8" customFormat="1" ht="13.5" thickBot="1">
      <c r="A277" s="69" t="s">
        <v>380</v>
      </c>
      <c r="B277" s="155">
        <f t="shared" ref="B277:G277" si="45">B271-B275</f>
        <v>2215172.8500000015</v>
      </c>
      <c r="C277" s="155">
        <f t="shared" si="45"/>
        <v>0</v>
      </c>
      <c r="D277" s="155">
        <f t="shared" si="45"/>
        <v>2215172.8499999996</v>
      </c>
      <c r="E277" s="155">
        <f t="shared" si="45"/>
        <v>1334898.2299999981</v>
      </c>
      <c r="F277" s="155">
        <f>F271-F275</f>
        <v>-141997.28000000014</v>
      </c>
      <c r="G277" s="155">
        <f t="shared" si="45"/>
        <v>1022271.8999999987</v>
      </c>
      <c r="H277" s="6"/>
    </row>
    <row r="278" spans="1:8" customFormat="1" ht="13.5" thickTop="1"/>
    <row r="279" spans="1:8">
      <c r="H279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Est. de Ingr. Trim</vt:lpstr>
      <vt:lpstr>Balance</vt:lpstr>
      <vt:lpstr>ER</vt:lpstr>
      <vt:lpstr>MARZO</vt:lpstr>
      <vt:lpstr>JUNIO</vt:lpstr>
      <vt:lpstr>Balance!Área_de_impresión</vt:lpstr>
      <vt:lpstr>ER!Área_de_impresión</vt:lpstr>
      <vt:lpstr>'Est. de Ingr. Trim'!Área_de_impresión</vt:lpstr>
      <vt:lpstr>'Est. de Ingr. Trim'!Títulos_a_imprimir</vt:lpstr>
    </vt:vector>
  </TitlesOfParts>
  <Company>Wall Street Securities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</dc:creator>
  <cp:lastModifiedBy>Miguel Padilla</cp:lastModifiedBy>
  <cp:lastPrinted>2019-09-04T21:42:53Z</cp:lastPrinted>
  <dcterms:created xsi:type="dcterms:W3CDTF">1999-04-13T18:41:21Z</dcterms:created>
  <dcterms:modified xsi:type="dcterms:W3CDTF">2020-08-10T23:39:37Z</dcterms:modified>
</cp:coreProperties>
</file>