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15191\AppData\Local\Microsoft\Windows\INetCache\Content.Outlook\3V728YP6\"/>
    </mc:Choice>
  </mc:AlternateContent>
  <bookViews>
    <workbookView xWindow="0" yWindow="0" windowWidth="15360" windowHeight="765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  <sheet name="Intercompany Balance" sheetId="33" state="hidden" r:id="rId5"/>
    <sheet name="Intercompany Resultados" sheetId="34" state="hidden" r:id="rId6"/>
    <sheet name="Ventas CCF" sheetId="46" state="hidden" r:id="rId7"/>
    <sheet name="CONSUMIDOR FINAL" sheetId="49" state="hidden" r:id="rId8"/>
    <sheet name="Compras " sheetId="45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4" hidden="1">'Intercompany Balance'!$A$5:$I$5</definedName>
    <definedName name="_xlnm._FilterDatabase" localSheetId="5" hidden="1">'Intercompany Resultados'!$A$5:$L$35</definedName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 localSheetId="8">#REF!</definedName>
    <definedName name="CALCULO_DE_PAGO_A_CUENTA" localSheetId="6">#REF!</definedName>
    <definedName name="CALCULO_DE_PAGO_A_CUENTA">#REF!</definedName>
    <definedName name="cinco" localSheetId="8">#REF!</definedName>
    <definedName name="cinco" localSheetId="6">#REF!</definedName>
    <definedName name="cinco">#REF!</definedName>
    <definedName name="cuaiva" localSheetId="8">#REF!</definedName>
    <definedName name="cuaiva" localSheetId="6">#REF!</definedName>
    <definedName name="cuaiva">#REF!</definedName>
    <definedName name="cuatro" localSheetId="8">#REF!</definedName>
    <definedName name="cuatro" localSheetId="6">#REF!</definedName>
    <definedName name="cuatro">#REF!</definedName>
    <definedName name="dos" localSheetId="8">#REF!</definedName>
    <definedName name="dos" localSheetId="6">#REF!</definedName>
    <definedName name="dos">#REF!</definedName>
    <definedName name="seis" localSheetId="8">#REF!</definedName>
    <definedName name="seis" localSheetId="6">#REF!</definedName>
    <definedName name="seis">#REF!</definedName>
    <definedName name="siete" localSheetId="8">#REF!</definedName>
    <definedName name="siete" localSheetId="6">#REF!</definedName>
    <definedName name="siete">#REF!</definedName>
    <definedName name="_xlnm.Print_Titles" localSheetId="0">'Balance General SSF'!$1:$6</definedName>
    <definedName name="_xlnm.Print_Titles" localSheetId="8">'Compras '!$1:$4</definedName>
    <definedName name="_xlnm.Print_Titles" localSheetId="6">'Ventas CCF'!$1:$6</definedName>
    <definedName name="tres" localSheetId="8">#REF!</definedName>
    <definedName name="tres" localSheetId="6">#REF!</definedName>
    <definedName name="tres">#REF!</definedName>
    <definedName name="uno" localSheetId="8">#REF!</definedName>
    <definedName name="uno" localSheetId="6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E34" i="34" l="1"/>
  <c r="E33" i="34"/>
  <c r="E30" i="34"/>
  <c r="E29" i="34"/>
  <c r="E28" i="34"/>
  <c r="E27" i="34"/>
  <c r="E26" i="34"/>
  <c r="E24" i="34"/>
  <c r="E23" i="34"/>
  <c r="E22" i="34"/>
  <c r="E21" i="34"/>
  <c r="E20" i="34"/>
  <c r="E19" i="34"/>
  <c r="E18" i="34"/>
  <c r="E17" i="34"/>
  <c r="E14" i="34"/>
  <c r="E13" i="34"/>
  <c r="E12" i="34"/>
  <c r="E11" i="34"/>
  <c r="E10" i="34"/>
  <c r="E9" i="34"/>
  <c r="E8" i="34"/>
  <c r="E7" i="34"/>
  <c r="E6" i="34"/>
  <c r="V12" i="34"/>
  <c r="H720" i="49"/>
  <c r="H716" i="49"/>
  <c r="L712" i="49"/>
  <c r="K712" i="49"/>
  <c r="J712" i="49"/>
  <c r="I712" i="49"/>
  <c r="H712" i="49"/>
  <c r="G712" i="49"/>
  <c r="F712" i="49"/>
  <c r="H714" i="49" s="1"/>
  <c r="E706" i="49"/>
  <c r="E705" i="49"/>
  <c r="X1172" i="46"/>
  <c r="X1170" i="46"/>
  <c r="X1165" i="46"/>
  <c r="K1175" i="46"/>
  <c r="J1175" i="46"/>
  <c r="L1190" i="46" s="1"/>
  <c r="L1175" i="46"/>
  <c r="G1190" i="46"/>
  <c r="L1191" i="46"/>
  <c r="I1175" i="46"/>
  <c r="H1175" i="46"/>
  <c r="L1170" i="46"/>
  <c r="L1169" i="46"/>
  <c r="L1167" i="46"/>
  <c r="E1167" i="46"/>
  <c r="L1166" i="46"/>
  <c r="E1166" i="46"/>
  <c r="L1165" i="46"/>
  <c r="E1165" i="46"/>
  <c r="L1164" i="46"/>
  <c r="E1164" i="46"/>
  <c r="L1163" i="46"/>
  <c r="E1163" i="46"/>
  <c r="L1162" i="46"/>
  <c r="E1162" i="46"/>
  <c r="L1161" i="46"/>
  <c r="E1161" i="46"/>
  <c r="L1160" i="46"/>
  <c r="E1160" i="46"/>
  <c r="L1159" i="46"/>
  <c r="E1159" i="46"/>
  <c r="L1158" i="46"/>
  <c r="E1158" i="46"/>
  <c r="L1157" i="46"/>
  <c r="E1157" i="46"/>
  <c r="R1159" i="46" s="1"/>
  <c r="R1174" i="46" l="1"/>
  <c r="R1170" i="46"/>
  <c r="R1166" i="46"/>
  <c r="R1162" i="46"/>
  <c r="R1158" i="46"/>
  <c r="Y1155" i="46" s="1"/>
  <c r="R1173" i="46"/>
  <c r="R1169" i="46"/>
  <c r="R1165" i="46"/>
  <c r="R1161" i="46"/>
  <c r="R1157" i="46"/>
  <c r="G1191" i="46"/>
  <c r="G1193" i="46" s="1"/>
  <c r="R1172" i="46"/>
  <c r="R1168" i="46"/>
  <c r="R1164" i="46"/>
  <c r="R1160" i="46"/>
  <c r="Y1156" i="46" s="1"/>
  <c r="R1156" i="46"/>
  <c r="R1155" i="46"/>
  <c r="R1171" i="46"/>
  <c r="R1167" i="46"/>
  <c r="Y1159" i="46" s="1"/>
  <c r="Z1159" i="46" s="1"/>
  <c r="Z1165" i="46" s="1"/>
  <c r="R1163" i="46"/>
  <c r="R1175" i="46" s="1"/>
  <c r="X1171" i="46" s="1"/>
  <c r="X1173" i="46" s="1"/>
  <c r="H723" i="49"/>
  <c r="H721" i="49"/>
  <c r="H728" i="49" s="1"/>
  <c r="Y1165" i="46"/>
  <c r="L1193" i="46"/>
  <c r="E37" i="34" l="1"/>
  <c r="X1132" i="46"/>
  <c r="X1130" i="46"/>
  <c r="X1125" i="46"/>
  <c r="H690" i="49"/>
  <c r="H678" i="49"/>
  <c r="H676" i="49"/>
  <c r="L674" i="49"/>
  <c r="K674" i="49"/>
  <c r="J674" i="49"/>
  <c r="I674" i="49"/>
  <c r="H674" i="49"/>
  <c r="H685" i="49" s="1"/>
  <c r="G674" i="49"/>
  <c r="F674" i="49"/>
  <c r="E668" i="49"/>
  <c r="E667" i="49"/>
  <c r="E666" i="49"/>
  <c r="L1131" i="46"/>
  <c r="K1131" i="46"/>
  <c r="J1131" i="46"/>
  <c r="G1146" i="46"/>
  <c r="L1147" i="46"/>
  <c r="L1146" i="46"/>
  <c r="L1149" i="46" s="1"/>
  <c r="I1131" i="46"/>
  <c r="H1131" i="46"/>
  <c r="L1126" i="46"/>
  <c r="L1125" i="46"/>
  <c r="L1122" i="46"/>
  <c r="E1122" i="46"/>
  <c r="L1121" i="46"/>
  <c r="E1121" i="46"/>
  <c r="L1120" i="46"/>
  <c r="L1119" i="46"/>
  <c r="E1119" i="46"/>
  <c r="L1118" i="46"/>
  <c r="E1118" i="46"/>
  <c r="L1117" i="46"/>
  <c r="E1117" i="46"/>
  <c r="R1119" i="46" s="1"/>
  <c r="R1134" i="46" l="1"/>
  <c r="R1130" i="46"/>
  <c r="R1126" i="46"/>
  <c r="R1122" i="46"/>
  <c r="R1118" i="46"/>
  <c r="Y1115" i="46" s="1"/>
  <c r="G1147" i="46"/>
  <c r="G1149" i="46" s="1"/>
  <c r="R1133" i="46"/>
  <c r="R1129" i="46"/>
  <c r="R1125" i="46"/>
  <c r="R1121" i="46"/>
  <c r="R1117" i="46"/>
  <c r="R1132" i="46"/>
  <c r="R1128" i="46"/>
  <c r="R1124" i="46"/>
  <c r="R1120" i="46"/>
  <c r="Y1116" i="46" s="1"/>
  <c r="R1116" i="46"/>
  <c r="R1115" i="46"/>
  <c r="R1131" i="46"/>
  <c r="R1127" i="46"/>
  <c r="Y1119" i="46" s="1"/>
  <c r="Z1119" i="46" s="1"/>
  <c r="Z1125" i="46" s="1"/>
  <c r="R1123" i="46"/>
  <c r="F1146" i="46"/>
  <c r="F1148" i="46" s="1"/>
  <c r="R1135" i="46" l="1"/>
  <c r="X1131" i="46" s="1"/>
  <c r="X1133" i="46" s="1"/>
  <c r="Y1125" i="46"/>
  <c r="L1090" i="46"/>
  <c r="K1090" i="46"/>
  <c r="J1090" i="46"/>
  <c r="X1086" i="46" l="1"/>
  <c r="X1084" i="46"/>
  <c r="X1079" i="46"/>
  <c r="S961" i="45"/>
  <c r="R961" i="45"/>
  <c r="Q961" i="45"/>
  <c r="O961" i="45"/>
  <c r="M961" i="45"/>
  <c r="L961" i="45"/>
  <c r="K961" i="45"/>
  <c r="J961" i="45"/>
  <c r="I961" i="45"/>
  <c r="N953" i="45"/>
  <c r="H953" i="45"/>
  <c r="N952" i="45"/>
  <c r="H952" i="45"/>
  <c r="N951" i="45"/>
  <c r="H951" i="45"/>
  <c r="N950" i="45"/>
  <c r="H950" i="45"/>
  <c r="P949" i="45"/>
  <c r="P961" i="45" s="1"/>
  <c r="N949" i="45"/>
  <c r="H949" i="45"/>
  <c r="P948" i="45"/>
  <c r="N948" i="45"/>
  <c r="H948" i="45"/>
  <c r="N947" i="45"/>
  <c r="H947" i="45"/>
  <c r="N946" i="45"/>
  <c r="H946" i="45"/>
  <c r="P945" i="45"/>
  <c r="N945" i="45"/>
  <c r="H945" i="45"/>
  <c r="N944" i="45"/>
  <c r="H944" i="45"/>
  <c r="N943" i="45"/>
  <c r="N942" i="45"/>
  <c r="H942" i="45"/>
  <c r="N941" i="45"/>
  <c r="N961" i="45" s="1"/>
  <c r="H941" i="45"/>
  <c r="H643" i="49"/>
  <c r="H637" i="49"/>
  <c r="L635" i="49"/>
  <c r="K635" i="49"/>
  <c r="J635" i="49"/>
  <c r="I635" i="49"/>
  <c r="H635" i="49"/>
  <c r="G635" i="49"/>
  <c r="H639" i="49" s="1"/>
  <c r="F635" i="49"/>
  <c r="E624" i="49"/>
  <c r="E623" i="49"/>
  <c r="E622" i="49"/>
  <c r="E621" i="49"/>
  <c r="E620" i="49"/>
  <c r="E619" i="49"/>
  <c r="G1105" i="46"/>
  <c r="L1082" i="46"/>
  <c r="E1082" i="46"/>
  <c r="L1081" i="46"/>
  <c r="E1081" i="46"/>
  <c r="L1080" i="46"/>
  <c r="E1080" i="46"/>
  <c r="L1079" i="46"/>
  <c r="E1079" i="46"/>
  <c r="L1078" i="46"/>
  <c r="E1078" i="46"/>
  <c r="L1077" i="46"/>
  <c r="E1077" i="46"/>
  <c r="L1076" i="46"/>
  <c r="E1076" i="46"/>
  <c r="L1075" i="46"/>
  <c r="E1075" i="46"/>
  <c r="L1074" i="46"/>
  <c r="E1074" i="46"/>
  <c r="L1073" i="46"/>
  <c r="L1072" i="46"/>
  <c r="E1072" i="46"/>
  <c r="L1071" i="46"/>
  <c r="E1071" i="46"/>
  <c r="R1072" i="46" l="1"/>
  <c r="R1087" i="46"/>
  <c r="R1083" i="46"/>
  <c r="R1079" i="46"/>
  <c r="R1075" i="46"/>
  <c r="R1071" i="46"/>
  <c r="R1086" i="46"/>
  <c r="R1082" i="46"/>
  <c r="R1078" i="46"/>
  <c r="R1074" i="46"/>
  <c r="R1070" i="46"/>
  <c r="R1085" i="46"/>
  <c r="R1081" i="46"/>
  <c r="Y1073" i="46" s="1"/>
  <c r="Z1073" i="46" s="1"/>
  <c r="Z1079" i="46" s="1"/>
  <c r="R1077" i="46"/>
  <c r="R1073" i="46"/>
  <c r="R1088" i="46"/>
  <c r="R1084" i="46"/>
  <c r="R1080" i="46"/>
  <c r="R1076" i="46"/>
  <c r="R1069" i="46"/>
  <c r="Y1070" i="46"/>
  <c r="G1106" i="46"/>
  <c r="G1108" i="46" s="1"/>
  <c r="Y1069" i="46"/>
  <c r="H644" i="49"/>
  <c r="H651" i="49" s="1"/>
  <c r="S927" i="45"/>
  <c r="R927" i="45"/>
  <c r="Q927" i="45"/>
  <c r="O927" i="45"/>
  <c r="M927" i="45"/>
  <c r="L927" i="45"/>
  <c r="K927" i="45"/>
  <c r="N922" i="45"/>
  <c r="H922" i="45"/>
  <c r="N921" i="45"/>
  <c r="H921" i="45"/>
  <c r="N920" i="45"/>
  <c r="H920" i="45"/>
  <c r="N919" i="45"/>
  <c r="H919" i="45"/>
  <c r="P918" i="45"/>
  <c r="N918" i="45"/>
  <c r="H918" i="45"/>
  <c r="P917" i="45"/>
  <c r="N917" i="45"/>
  <c r="H917" i="45"/>
  <c r="N916" i="45"/>
  <c r="H916" i="45"/>
  <c r="N915" i="45"/>
  <c r="H915" i="45"/>
  <c r="P914" i="45"/>
  <c r="N914" i="45"/>
  <c r="H914" i="45"/>
  <c r="N913" i="45"/>
  <c r="H913" i="45"/>
  <c r="P912" i="45"/>
  <c r="P927" i="45" s="1"/>
  <c r="N912" i="45"/>
  <c r="H912" i="45"/>
  <c r="N911" i="45"/>
  <c r="N927" i="45" s="1"/>
  <c r="H911" i="45"/>
  <c r="X1042" i="46"/>
  <c r="L586" i="49"/>
  <c r="K586" i="49"/>
  <c r="J586" i="49"/>
  <c r="I586" i="49"/>
  <c r="H586" i="49"/>
  <c r="H594" i="49" s="1"/>
  <c r="G586" i="49"/>
  <c r="H590" i="49" s="1"/>
  <c r="F586" i="49"/>
  <c r="H588" i="49" s="1"/>
  <c r="E582" i="49"/>
  <c r="E581" i="49"/>
  <c r="E580" i="49"/>
  <c r="E579" i="49"/>
  <c r="E578" i="49"/>
  <c r="E577" i="49"/>
  <c r="E576" i="49"/>
  <c r="E575" i="49"/>
  <c r="X1037" i="46"/>
  <c r="X984" i="46"/>
  <c r="X1044" i="46"/>
  <c r="K1048" i="46"/>
  <c r="J1048" i="46"/>
  <c r="G1058" i="46"/>
  <c r="G1059" i="46" s="1"/>
  <c r="L1043" i="46"/>
  <c r="L1042" i="46"/>
  <c r="L1040" i="46"/>
  <c r="E1040" i="46"/>
  <c r="L1039" i="46"/>
  <c r="E1039" i="46"/>
  <c r="L1038" i="46"/>
  <c r="E1038" i="46"/>
  <c r="L1037" i="46"/>
  <c r="E1037" i="46"/>
  <c r="L1036" i="46"/>
  <c r="E1036" i="46"/>
  <c r="L1035" i="46"/>
  <c r="L1048" i="46" s="1"/>
  <c r="E1035" i="46"/>
  <c r="L1034" i="46"/>
  <c r="L1033" i="46"/>
  <c r="E1033" i="46"/>
  <c r="L1032" i="46"/>
  <c r="E1032" i="46"/>
  <c r="L1031" i="46"/>
  <c r="E1031" i="46"/>
  <c r="L1030" i="46"/>
  <c r="E1030" i="46"/>
  <c r="L1029" i="46"/>
  <c r="E1029" i="46"/>
  <c r="R1045" i="46" l="1"/>
  <c r="R1089" i="46"/>
  <c r="X1085" i="46" s="1"/>
  <c r="X1087" i="46" s="1"/>
  <c r="L1058" i="46"/>
  <c r="L1105" i="46"/>
  <c r="L1059" i="46"/>
  <c r="L1061" i="46" s="1"/>
  <c r="L1106" i="46"/>
  <c r="Y1079" i="46"/>
  <c r="H646" i="49"/>
  <c r="R1030" i="46"/>
  <c r="Y1027" i="46" s="1"/>
  <c r="R1038" i="46"/>
  <c r="R1027" i="46"/>
  <c r="R1031" i="46"/>
  <c r="R1035" i="46"/>
  <c r="R1039" i="46"/>
  <c r="R1043" i="46"/>
  <c r="R1028" i="46"/>
  <c r="R1032" i="46"/>
  <c r="Y1028" i="46" s="1"/>
  <c r="R1036" i="46"/>
  <c r="R1040" i="46"/>
  <c r="R1044" i="46"/>
  <c r="G1061" i="46"/>
  <c r="R1034" i="46"/>
  <c r="R1042" i="46"/>
  <c r="R1046" i="46"/>
  <c r="R1029" i="46"/>
  <c r="R1033" i="46"/>
  <c r="R1037" i="46"/>
  <c r="R1041" i="46"/>
  <c r="H595" i="49"/>
  <c r="H602" i="49" s="1"/>
  <c r="L1108" i="46" l="1"/>
  <c r="R1047" i="46"/>
  <c r="X1043" i="46" s="1"/>
  <c r="X1045" i="46" s="1"/>
  <c r="Y1031" i="46"/>
  <c r="H597" i="49"/>
  <c r="Z1031" i="46" l="1"/>
  <c r="Z1037" i="46" s="1"/>
  <c r="Y1037" i="46"/>
  <c r="E15" i="34" l="1"/>
  <c r="H550" i="49"/>
  <c r="H551" i="49" s="1"/>
  <c r="L542" i="49"/>
  <c r="K542" i="49"/>
  <c r="J542" i="49"/>
  <c r="I542" i="49"/>
  <c r="H542" i="49"/>
  <c r="G542" i="49"/>
  <c r="H546" i="49" s="1"/>
  <c r="F542" i="49"/>
  <c r="H544" i="49" s="1"/>
  <c r="E531" i="49"/>
  <c r="E530" i="49"/>
  <c r="E529" i="49"/>
  <c r="E528" i="49"/>
  <c r="E527" i="49"/>
  <c r="E526" i="49"/>
  <c r="E525" i="49"/>
  <c r="E524" i="49"/>
  <c r="L976" i="46"/>
  <c r="X986" i="46"/>
  <c r="R970" i="46"/>
  <c r="R971" i="46"/>
  <c r="R972" i="46"/>
  <c r="R973" i="46"/>
  <c r="R974" i="46"/>
  <c r="Y970" i="46" s="1"/>
  <c r="R975" i="46"/>
  <c r="R976" i="46"/>
  <c r="R977" i="46"/>
  <c r="R978" i="46"/>
  <c r="R979" i="46"/>
  <c r="R980" i="46"/>
  <c r="R981" i="46"/>
  <c r="R982" i="46"/>
  <c r="R983" i="46"/>
  <c r="R984" i="46"/>
  <c r="R985" i="46"/>
  <c r="R986" i="46"/>
  <c r="R987" i="46"/>
  <c r="R988" i="46"/>
  <c r="R969" i="46"/>
  <c r="Y978" i="46"/>
  <c r="X979" i="46"/>
  <c r="Y969" i="46"/>
  <c r="K1002" i="46"/>
  <c r="L1018" i="46" s="1"/>
  <c r="J1002" i="46"/>
  <c r="L1017" i="46" s="1"/>
  <c r="G1017" i="46"/>
  <c r="I1002" i="46"/>
  <c r="I1048" i="46" s="1"/>
  <c r="I1090" i="46" s="1"/>
  <c r="H1002" i="46"/>
  <c r="H1048" i="46" s="1"/>
  <c r="H1090" i="46" s="1"/>
  <c r="G1002" i="46"/>
  <c r="L997" i="46"/>
  <c r="L996" i="46"/>
  <c r="L994" i="46"/>
  <c r="L993" i="46"/>
  <c r="L992" i="46"/>
  <c r="L991" i="46"/>
  <c r="L990" i="46"/>
  <c r="L989" i="46"/>
  <c r="L988" i="46"/>
  <c r="L987" i="46"/>
  <c r="L986" i="46"/>
  <c r="L985" i="46"/>
  <c r="L984" i="46"/>
  <c r="L983" i="46"/>
  <c r="L982" i="46"/>
  <c r="L981" i="46"/>
  <c r="L980" i="46"/>
  <c r="L979" i="46"/>
  <c r="L978" i="46"/>
  <c r="L977" i="46"/>
  <c r="L975" i="46"/>
  <c r="L974" i="46"/>
  <c r="L973" i="46"/>
  <c r="L972" i="46"/>
  <c r="L971" i="46"/>
  <c r="M862" i="45"/>
  <c r="L862" i="45"/>
  <c r="K862" i="45"/>
  <c r="J862" i="45"/>
  <c r="I862" i="45"/>
  <c r="S862" i="45"/>
  <c r="R862" i="45"/>
  <c r="Q862" i="45"/>
  <c r="O862" i="45"/>
  <c r="L894" i="45"/>
  <c r="K894" i="45"/>
  <c r="J894" i="45"/>
  <c r="J927" i="45" s="1"/>
  <c r="I894" i="45"/>
  <c r="I927" i="45" s="1"/>
  <c r="S894" i="45"/>
  <c r="R894" i="45"/>
  <c r="Q894" i="45"/>
  <c r="O894" i="45"/>
  <c r="M894" i="45"/>
  <c r="N891" i="45"/>
  <c r="H891" i="45"/>
  <c r="N890" i="45"/>
  <c r="H890" i="45"/>
  <c r="P889" i="45"/>
  <c r="N889" i="45"/>
  <c r="H889" i="45"/>
  <c r="P888" i="45"/>
  <c r="N888" i="45"/>
  <c r="H888" i="45"/>
  <c r="N887" i="45"/>
  <c r="H887" i="45"/>
  <c r="P886" i="45"/>
  <c r="P894" i="45" s="1"/>
  <c r="N886" i="45"/>
  <c r="H886" i="45"/>
  <c r="N885" i="45"/>
  <c r="H885" i="45"/>
  <c r="N884" i="45"/>
  <c r="H884" i="45"/>
  <c r="N883" i="45"/>
  <c r="H883" i="45"/>
  <c r="P882" i="45"/>
  <c r="N882" i="45"/>
  <c r="H882" i="45"/>
  <c r="N881" i="45"/>
  <c r="H881" i="45"/>
  <c r="P880" i="45"/>
  <c r="N880" i="45"/>
  <c r="H880" i="45"/>
  <c r="N879" i="45"/>
  <c r="H879" i="45"/>
  <c r="N878" i="45"/>
  <c r="H878" i="45"/>
  <c r="N877" i="45"/>
  <c r="H877" i="45"/>
  <c r="N876" i="45"/>
  <c r="H876" i="45"/>
  <c r="N875" i="45"/>
  <c r="N894" i="45" s="1"/>
  <c r="H875" i="45"/>
  <c r="L1002" i="46" l="1"/>
  <c r="H558" i="49"/>
  <c r="H553" i="49"/>
  <c r="Y973" i="46"/>
  <c r="Z973" i="46" s="1"/>
  <c r="Z979" i="46" s="1"/>
  <c r="R989" i="46"/>
  <c r="X985" i="46" s="1"/>
  <c r="X987" i="46" s="1"/>
  <c r="L1020" i="46"/>
  <c r="G1018" i="46"/>
  <c r="G1020" i="46" l="1"/>
  <c r="G1048" i="46" s="1"/>
  <c r="G1090" i="46" s="1"/>
  <c r="G1131" i="46" s="1"/>
  <c r="G1175" i="46" s="1"/>
  <c r="Y979" i="46"/>
  <c r="N859" i="45" l="1"/>
  <c r="N857" i="45"/>
  <c r="N856" i="45"/>
  <c r="H856" i="45"/>
  <c r="N855" i="45"/>
  <c r="H855" i="45"/>
  <c r="N854" i="45"/>
  <c r="H854" i="45"/>
  <c r="N853" i="45"/>
  <c r="H853" i="45"/>
  <c r="N852" i="45"/>
  <c r="H852" i="45"/>
  <c r="N851" i="45"/>
  <c r="H851" i="45"/>
  <c r="N850" i="45"/>
  <c r="H850" i="45"/>
  <c r="N849" i="45"/>
  <c r="H849" i="45"/>
  <c r="N848" i="45"/>
  <c r="H848" i="45"/>
  <c r="N847" i="45"/>
  <c r="H847" i="45"/>
  <c r="N846" i="45"/>
  <c r="H846" i="45"/>
  <c r="P845" i="45"/>
  <c r="N845" i="45"/>
  <c r="H845" i="45"/>
  <c r="P844" i="45"/>
  <c r="N844" i="45"/>
  <c r="H844" i="45"/>
  <c r="P843" i="45"/>
  <c r="N843" i="45"/>
  <c r="H843" i="45"/>
  <c r="N842" i="45"/>
  <c r="H842" i="45"/>
  <c r="N841" i="45"/>
  <c r="H841" i="45"/>
  <c r="P840" i="45"/>
  <c r="N840" i="45"/>
  <c r="H840" i="45"/>
  <c r="N839" i="45"/>
  <c r="H839" i="45"/>
  <c r="N838" i="45"/>
  <c r="H838" i="45"/>
  <c r="N837" i="45"/>
  <c r="H837" i="45"/>
  <c r="P862" i="45" l="1"/>
  <c r="N862" i="45"/>
  <c r="S784" i="45"/>
  <c r="R784" i="45"/>
  <c r="Q784" i="45"/>
  <c r="O784" i="45"/>
  <c r="M784" i="45"/>
  <c r="L784" i="45"/>
  <c r="K784" i="45"/>
  <c r="J784" i="45"/>
  <c r="I784" i="45"/>
  <c r="N781" i="45"/>
  <c r="N767" i="45"/>
  <c r="H767" i="45"/>
  <c r="N766" i="45"/>
  <c r="H766" i="45"/>
  <c r="N765" i="45"/>
  <c r="H765" i="45"/>
  <c r="N764" i="45"/>
  <c r="H764" i="45"/>
  <c r="N763" i="45"/>
  <c r="H763" i="45"/>
  <c r="N762" i="45"/>
  <c r="H762" i="45"/>
  <c r="N761" i="45"/>
  <c r="H761" i="45"/>
  <c r="N760" i="45"/>
  <c r="H760" i="45"/>
  <c r="N759" i="45"/>
  <c r="H759" i="45"/>
  <c r="N758" i="45"/>
  <c r="H758" i="45"/>
  <c r="N757" i="45"/>
  <c r="H757" i="45"/>
  <c r="P756" i="45"/>
  <c r="N756" i="45"/>
  <c r="H756" i="45"/>
  <c r="N755" i="45"/>
  <c r="H755" i="45"/>
  <c r="N754" i="45"/>
  <c r="H754" i="45"/>
  <c r="N753" i="45"/>
  <c r="H753" i="45"/>
  <c r="N752" i="45"/>
  <c r="H752" i="45"/>
  <c r="N751" i="45"/>
  <c r="H751" i="45"/>
  <c r="N750" i="45"/>
  <c r="H750" i="45"/>
  <c r="P749" i="45"/>
  <c r="N749" i="45"/>
  <c r="H749" i="45"/>
  <c r="P748" i="45"/>
  <c r="N748" i="45"/>
  <c r="H748" i="45"/>
  <c r="N747" i="45"/>
  <c r="H747" i="45"/>
  <c r="P746" i="45"/>
  <c r="N746" i="45"/>
  <c r="H746" i="45"/>
  <c r="N745" i="45"/>
  <c r="H745" i="45"/>
  <c r="N744" i="45"/>
  <c r="H744" i="45"/>
  <c r="P784" i="45" l="1"/>
  <c r="N784" i="45"/>
  <c r="X953" i="46"/>
  <c r="X951" i="46" l="1"/>
  <c r="R940" i="46" l="1"/>
  <c r="R944" i="46"/>
  <c r="R948" i="46"/>
  <c r="R952" i="46"/>
  <c r="X946" i="46"/>
  <c r="H501" i="49"/>
  <c r="L493" i="49"/>
  <c r="K493" i="49"/>
  <c r="J493" i="49"/>
  <c r="I493" i="49"/>
  <c r="H493" i="49"/>
  <c r="G493" i="49"/>
  <c r="H497" i="49" s="1"/>
  <c r="F493" i="49"/>
  <c r="H495" i="49" s="1"/>
  <c r="E491" i="49"/>
  <c r="E490" i="49"/>
  <c r="E489" i="49"/>
  <c r="E488" i="49"/>
  <c r="E487" i="49"/>
  <c r="E486" i="49"/>
  <c r="E485" i="49"/>
  <c r="E484" i="49"/>
  <c r="R936" i="46"/>
  <c r="L963" i="46"/>
  <c r="L962" i="46"/>
  <c r="L961" i="46"/>
  <c r="L960" i="46"/>
  <c r="L959" i="46"/>
  <c r="L958" i="46"/>
  <c r="L957" i="46"/>
  <c r="L956" i="46"/>
  <c r="L955" i="46"/>
  <c r="L954" i="46"/>
  <c r="L953" i="46"/>
  <c r="L952" i="46"/>
  <c r="L951" i="46"/>
  <c r="L950" i="46"/>
  <c r="L949" i="46"/>
  <c r="L948" i="46"/>
  <c r="L947" i="46"/>
  <c r="L946" i="46"/>
  <c r="L945" i="46"/>
  <c r="L942" i="46"/>
  <c r="L941" i="46"/>
  <c r="L940" i="46"/>
  <c r="R938" i="46"/>
  <c r="L939" i="46"/>
  <c r="R937" i="46"/>
  <c r="R955" i="46" l="1"/>
  <c r="Y940" i="46" s="1"/>
  <c r="R951" i="46"/>
  <c r="Y945" i="46" s="1"/>
  <c r="R947" i="46"/>
  <c r="R943" i="46"/>
  <c r="R939" i="46"/>
  <c r="Y936" i="46" s="1"/>
  <c r="R954" i="46"/>
  <c r="R950" i="46"/>
  <c r="R946" i="46"/>
  <c r="R942" i="46"/>
  <c r="R909" i="46"/>
  <c r="R953" i="46"/>
  <c r="R949" i="46"/>
  <c r="R945" i="46"/>
  <c r="R941" i="46"/>
  <c r="Y937" i="46" s="1"/>
  <c r="H502" i="49"/>
  <c r="H509" i="49" s="1"/>
  <c r="H504" i="49" l="1"/>
  <c r="Z940" i="46"/>
  <c r="Z946" i="46" s="1"/>
  <c r="Y946" i="46"/>
  <c r="R956" i="46"/>
  <c r="X952" i="46" s="1"/>
  <c r="X954" i="46" s="1"/>
  <c r="L452" i="49"/>
  <c r="K452" i="49"/>
  <c r="J452" i="49"/>
  <c r="I452" i="49"/>
  <c r="H452" i="49"/>
  <c r="H460" i="49" s="1"/>
  <c r="G452" i="49"/>
  <c r="H456" i="49" s="1"/>
  <c r="F452" i="49"/>
  <c r="H454" i="49" s="1"/>
  <c r="E449" i="49"/>
  <c r="X926" i="46"/>
  <c r="X924" i="46"/>
  <c r="X919" i="46"/>
  <c r="L919" i="46"/>
  <c r="L918" i="46"/>
  <c r="L917" i="46"/>
  <c r="L916" i="46"/>
  <c r="L915" i="46"/>
  <c r="L914" i="46"/>
  <c r="L913" i="46"/>
  <c r="L912" i="46"/>
  <c r="L911" i="46"/>
  <c r="R913" i="46" l="1"/>
  <c r="R924" i="46"/>
  <c r="Y918" i="46" s="1"/>
  <c r="R916" i="46"/>
  <c r="R920" i="46"/>
  <c r="R928" i="46"/>
  <c r="R912" i="46"/>
  <c r="Y909" i="46" s="1"/>
  <c r="R927" i="46"/>
  <c r="R923" i="46"/>
  <c r="R919" i="46"/>
  <c r="R915" i="46"/>
  <c r="R911" i="46"/>
  <c r="R926" i="46"/>
  <c r="R922" i="46"/>
  <c r="R918" i="46"/>
  <c r="R914" i="46"/>
  <c r="Y910" i="46" s="1"/>
  <c r="R910" i="46"/>
  <c r="R925" i="46"/>
  <c r="R921" i="46"/>
  <c r="Y913" i="46" s="1"/>
  <c r="Z913" i="46" s="1"/>
  <c r="Z919" i="46" s="1"/>
  <c r="R917" i="46"/>
  <c r="H463" i="49"/>
  <c r="H461" i="49"/>
  <c r="H468" i="49" s="1"/>
  <c r="Y919" i="46" l="1"/>
  <c r="R929" i="46"/>
  <c r="X868" i="46"/>
  <c r="X866" i="46"/>
  <c r="X861" i="46"/>
  <c r="L898" i="46"/>
  <c r="G900" i="46"/>
  <c r="H900" i="46"/>
  <c r="I900" i="46"/>
  <c r="J900" i="46"/>
  <c r="K900" i="46"/>
  <c r="L896" i="46"/>
  <c r="L895" i="46"/>
  <c r="L894" i="46"/>
  <c r="L893" i="46"/>
  <c r="L892" i="46"/>
  <c r="L891" i="46"/>
  <c r="L890" i="46"/>
  <c r="L889" i="46"/>
  <c r="L888" i="46"/>
  <c r="L887" i="46"/>
  <c r="L886" i="46"/>
  <c r="L885" i="46"/>
  <c r="L884" i="46"/>
  <c r="L883" i="46"/>
  <c r="L882" i="46"/>
  <c r="L881" i="46"/>
  <c r="L880" i="46"/>
  <c r="L879" i="46"/>
  <c r="L878" i="46"/>
  <c r="L877" i="46"/>
  <c r="L876" i="46"/>
  <c r="L875" i="46"/>
  <c r="L874" i="46"/>
  <c r="L873" i="46"/>
  <c r="L872" i="46"/>
  <c r="L871" i="46"/>
  <c r="L870" i="46"/>
  <c r="L869" i="46"/>
  <c r="L868" i="46"/>
  <c r="L867" i="46"/>
  <c r="L866" i="46"/>
  <c r="L865" i="46"/>
  <c r="L864" i="46"/>
  <c r="L863" i="46"/>
  <c r="L862" i="46"/>
  <c r="L861" i="46"/>
  <c r="L860" i="46"/>
  <c r="L859" i="46"/>
  <c r="L858" i="46"/>
  <c r="L857" i="46"/>
  <c r="L856" i="46"/>
  <c r="L855" i="46"/>
  <c r="L854" i="46"/>
  <c r="L853" i="46"/>
  <c r="X925" i="46" l="1"/>
  <c r="X927" i="46" s="1"/>
  <c r="R868" i="46"/>
  <c r="R851" i="46"/>
  <c r="R869" i="46"/>
  <c r="R867" i="46"/>
  <c r="R853" i="46"/>
  <c r="R857" i="46"/>
  <c r="R861" i="46"/>
  <c r="R865" i="46"/>
  <c r="R854" i="46"/>
  <c r="R858" i="46"/>
  <c r="R862" i="46"/>
  <c r="R866" i="46"/>
  <c r="R870" i="46"/>
  <c r="R855" i="46"/>
  <c r="R859" i="46"/>
  <c r="R863" i="46"/>
  <c r="R852" i="46"/>
  <c r="R856" i="46"/>
  <c r="R860" i="46"/>
  <c r="R864" i="46"/>
  <c r="L900" i="46"/>
  <c r="E17" i="33" l="1"/>
  <c r="G17" i="33" s="1"/>
  <c r="M348" i="49" l="1"/>
  <c r="L348" i="49"/>
  <c r="K348" i="49"/>
  <c r="J348" i="49"/>
  <c r="I348" i="49"/>
  <c r="I356" i="49" s="1"/>
  <c r="H348" i="49"/>
  <c r="I352" i="49" s="1"/>
  <c r="G348" i="49"/>
  <c r="I350" i="49" s="1"/>
  <c r="F343" i="49"/>
  <c r="F342" i="49"/>
  <c r="F341" i="49"/>
  <c r="F340" i="49"/>
  <c r="F339" i="49"/>
  <c r="F337" i="49"/>
  <c r="F336" i="49"/>
  <c r="C329" i="49"/>
  <c r="S700" i="45"/>
  <c r="R700" i="45"/>
  <c r="Q700" i="45"/>
  <c r="O700" i="45"/>
  <c r="M700" i="45"/>
  <c r="L700" i="45"/>
  <c r="K700" i="45"/>
  <c r="J700" i="45"/>
  <c r="I700" i="45"/>
  <c r="N697" i="45"/>
  <c r="N686" i="45"/>
  <c r="H686" i="45"/>
  <c r="N685" i="45"/>
  <c r="H685" i="45"/>
  <c r="N684" i="45"/>
  <c r="H684" i="45"/>
  <c r="N683" i="45"/>
  <c r="H683" i="45"/>
  <c r="N682" i="45"/>
  <c r="H682" i="45"/>
  <c r="N681" i="45"/>
  <c r="H681" i="45"/>
  <c r="P680" i="45"/>
  <c r="P700" i="45" s="1"/>
  <c r="N680" i="45"/>
  <c r="H680" i="45"/>
  <c r="N679" i="45"/>
  <c r="H679" i="45"/>
  <c r="N678" i="45"/>
  <c r="H678" i="45"/>
  <c r="N677" i="45"/>
  <c r="H677" i="45"/>
  <c r="N676" i="45"/>
  <c r="H676" i="45"/>
  <c r="N675" i="45"/>
  <c r="H675" i="45"/>
  <c r="I357" i="49" l="1"/>
  <c r="I359" i="49" s="1"/>
  <c r="N700" i="45"/>
  <c r="S730" i="45" l="1"/>
  <c r="R730" i="45"/>
  <c r="Q730" i="45"/>
  <c r="O730" i="45"/>
  <c r="M730" i="45"/>
  <c r="L730" i="45"/>
  <c r="K730" i="45"/>
  <c r="J730" i="45"/>
  <c r="I730" i="45"/>
  <c r="N727" i="45"/>
  <c r="N723" i="45"/>
  <c r="H723" i="45"/>
  <c r="N722" i="45"/>
  <c r="H722" i="45"/>
  <c r="N721" i="45"/>
  <c r="H721" i="45"/>
  <c r="P720" i="45"/>
  <c r="N720" i="45"/>
  <c r="H720" i="45"/>
  <c r="N719" i="45"/>
  <c r="H719" i="45"/>
  <c r="N718" i="45"/>
  <c r="H718" i="45"/>
  <c r="N717" i="45"/>
  <c r="H717" i="45"/>
  <c r="N716" i="45"/>
  <c r="H716" i="45"/>
  <c r="N715" i="45"/>
  <c r="H715" i="45"/>
  <c r="N714" i="45"/>
  <c r="H714" i="45"/>
  <c r="P713" i="45"/>
  <c r="P730" i="45" s="1"/>
  <c r="N713" i="45"/>
  <c r="H713" i="45"/>
  <c r="L378" i="49"/>
  <c r="K378" i="49"/>
  <c r="J378" i="49"/>
  <c r="I378" i="49"/>
  <c r="H378" i="49"/>
  <c r="H386" i="49" s="1"/>
  <c r="G378" i="49"/>
  <c r="H382" i="49" s="1"/>
  <c r="F378" i="49"/>
  <c r="H380" i="49" s="1"/>
  <c r="E374" i="49"/>
  <c r="X842" i="46"/>
  <c r="X840" i="46"/>
  <c r="X835" i="46"/>
  <c r="L840" i="46"/>
  <c r="E840" i="46"/>
  <c r="L839" i="46"/>
  <c r="E839" i="46"/>
  <c r="L838" i="46"/>
  <c r="E838" i="46"/>
  <c r="L837" i="46"/>
  <c r="E837" i="46"/>
  <c r="L836" i="46"/>
  <c r="E836" i="46"/>
  <c r="L835" i="46"/>
  <c r="E835" i="46"/>
  <c r="L834" i="46"/>
  <c r="E834" i="46"/>
  <c r="L833" i="46"/>
  <c r="E833" i="46"/>
  <c r="L832" i="46"/>
  <c r="E832" i="46"/>
  <c r="L831" i="46"/>
  <c r="E831" i="46"/>
  <c r="L830" i="46"/>
  <c r="E830" i="46"/>
  <c r="L829" i="46"/>
  <c r="E829" i="46"/>
  <c r="L828" i="46"/>
  <c r="E828" i="46"/>
  <c r="R842" i="46" l="1"/>
  <c r="Y855" i="46"/>
  <c r="Z855" i="46" s="1"/>
  <c r="Z861" i="46" s="1"/>
  <c r="Y851" i="46"/>
  <c r="Y860" i="46"/>
  <c r="Y852" i="46"/>
  <c r="R827" i="46"/>
  <c r="R831" i="46"/>
  <c r="R835" i="46"/>
  <c r="R839" i="46"/>
  <c r="R843" i="46"/>
  <c r="R828" i="46"/>
  <c r="Y825" i="46" s="1"/>
  <c r="R832" i="46"/>
  <c r="R836" i="46"/>
  <c r="R840" i="46"/>
  <c r="Y834" i="46" s="1"/>
  <c r="R844" i="46"/>
  <c r="R825" i="46"/>
  <c r="R829" i="46"/>
  <c r="R833" i="46"/>
  <c r="R837" i="46"/>
  <c r="Y829" i="46" s="1"/>
  <c r="Z829" i="46" s="1"/>
  <c r="Z835" i="46" s="1"/>
  <c r="R841" i="46"/>
  <c r="R826" i="46"/>
  <c r="R830" i="46"/>
  <c r="Y826" i="46" s="1"/>
  <c r="R834" i="46"/>
  <c r="R838" i="46"/>
  <c r="N730" i="45"/>
  <c r="H387" i="49"/>
  <c r="H394" i="49" s="1"/>
  <c r="X808" i="46"/>
  <c r="X806" i="46"/>
  <c r="X801" i="46"/>
  <c r="L803" i="46"/>
  <c r="E803" i="46"/>
  <c r="L802" i="46"/>
  <c r="E802" i="46"/>
  <c r="L801" i="46"/>
  <c r="E801" i="46"/>
  <c r="L800" i="46"/>
  <c r="E800" i="46"/>
  <c r="L799" i="46"/>
  <c r="E799" i="46"/>
  <c r="L798" i="46"/>
  <c r="E798" i="46"/>
  <c r="L797" i="46"/>
  <c r="E797" i="46"/>
  <c r="L796" i="46"/>
  <c r="E796" i="46"/>
  <c r="L795" i="46"/>
  <c r="E795" i="46"/>
  <c r="L794" i="46"/>
  <c r="E794" i="46"/>
  <c r="R871" i="46" l="1"/>
  <c r="X867" i="46" s="1"/>
  <c r="X869" i="46" s="1"/>
  <c r="Y861" i="46"/>
  <c r="R802" i="46"/>
  <c r="R809" i="46"/>
  <c r="R806" i="46"/>
  <c r="Y800" i="46" s="1"/>
  <c r="R845" i="46"/>
  <c r="X841" i="46" s="1"/>
  <c r="X843" i="46" s="1"/>
  <c r="Y835" i="46"/>
  <c r="R794" i="46"/>
  <c r="Y791" i="46" s="1"/>
  <c r="R798" i="46"/>
  <c r="H389" i="49"/>
  <c r="R810" i="46"/>
  <c r="R791" i="46"/>
  <c r="R795" i="46"/>
  <c r="R799" i="46"/>
  <c r="R803" i="46"/>
  <c r="Y795" i="46" s="1"/>
  <c r="Z795" i="46" s="1"/>
  <c r="Z801" i="46" s="1"/>
  <c r="R807" i="46"/>
  <c r="R792" i="46"/>
  <c r="R796" i="46"/>
  <c r="Y792" i="46" s="1"/>
  <c r="R800" i="46"/>
  <c r="R804" i="46"/>
  <c r="R808" i="46"/>
  <c r="R793" i="46"/>
  <c r="R797" i="46"/>
  <c r="R801" i="46"/>
  <c r="R805" i="46"/>
  <c r="O660" i="45"/>
  <c r="M660" i="45"/>
  <c r="L660" i="45"/>
  <c r="K660" i="45"/>
  <c r="J660" i="45"/>
  <c r="I660" i="45"/>
  <c r="N657" i="45"/>
  <c r="N646" i="45"/>
  <c r="H646" i="45"/>
  <c r="P645" i="45"/>
  <c r="P660" i="45" s="1"/>
  <c r="N645" i="45"/>
  <c r="H645" i="45"/>
  <c r="N644" i="45"/>
  <c r="H644" i="45"/>
  <c r="N643" i="45"/>
  <c r="H643" i="45"/>
  <c r="N642" i="45"/>
  <c r="H642" i="45"/>
  <c r="N641" i="45"/>
  <c r="H641" i="45"/>
  <c r="N640" i="45"/>
  <c r="H640" i="45"/>
  <c r="N639" i="45"/>
  <c r="H639" i="45"/>
  <c r="N638" i="45"/>
  <c r="H638" i="45"/>
  <c r="N637" i="45"/>
  <c r="H637" i="45"/>
  <c r="N636" i="45"/>
  <c r="N635" i="45"/>
  <c r="H635" i="45"/>
  <c r="N634" i="45"/>
  <c r="H634" i="45"/>
  <c r="N633" i="45"/>
  <c r="H633" i="45"/>
  <c r="N632" i="45"/>
  <c r="H632" i="45"/>
  <c r="N631" i="45"/>
  <c r="H631" i="45"/>
  <c r="N630" i="45"/>
  <c r="H630" i="45"/>
  <c r="N629" i="45"/>
  <c r="H629" i="45"/>
  <c r="L306" i="49"/>
  <c r="K306" i="49"/>
  <c r="J306" i="49"/>
  <c r="I306" i="49"/>
  <c r="H306" i="49"/>
  <c r="H314" i="49" s="1"/>
  <c r="G306" i="49"/>
  <c r="H310" i="49" s="1"/>
  <c r="F306" i="49"/>
  <c r="H308" i="49" s="1"/>
  <c r="E303" i="49"/>
  <c r="E302" i="49"/>
  <c r="L783" i="46"/>
  <c r="E783" i="46"/>
  <c r="L782" i="46"/>
  <c r="E782" i="46"/>
  <c r="L781" i="46"/>
  <c r="L780" i="46"/>
  <c r="L779" i="46"/>
  <c r="E779" i="46"/>
  <c r="L778" i="46"/>
  <c r="E778" i="46"/>
  <c r="L777" i="46"/>
  <c r="E777" i="46"/>
  <c r="L776" i="46"/>
  <c r="E776" i="46"/>
  <c r="L775" i="46"/>
  <c r="E775" i="46"/>
  <c r="L774" i="46"/>
  <c r="L773" i="46"/>
  <c r="E773" i="46"/>
  <c r="X772" i="46"/>
  <c r="L772" i="46"/>
  <c r="E772" i="46"/>
  <c r="L771" i="46"/>
  <c r="E771" i="46"/>
  <c r="X770" i="46"/>
  <c r="L770" i="46"/>
  <c r="E770" i="46"/>
  <c r="L769" i="46"/>
  <c r="L768" i="46"/>
  <c r="L767" i="46"/>
  <c r="E767" i="46"/>
  <c r="L766" i="46"/>
  <c r="E766" i="46"/>
  <c r="X765" i="46"/>
  <c r="L765" i="46"/>
  <c r="E765" i="46"/>
  <c r="L764" i="46"/>
  <c r="E764" i="46"/>
  <c r="L763" i="46"/>
  <c r="E763" i="46"/>
  <c r="L762" i="46"/>
  <c r="E762" i="46"/>
  <c r="L761" i="46"/>
  <c r="E761" i="46"/>
  <c r="L760" i="46"/>
  <c r="E760" i="46"/>
  <c r="L759" i="46"/>
  <c r="L758" i="46"/>
  <c r="R769" i="46" l="1"/>
  <c r="R756" i="46"/>
  <c r="R758" i="46"/>
  <c r="Y755" i="46" s="1"/>
  <c r="R773" i="46"/>
  <c r="Y801" i="46"/>
  <c r="N660" i="45"/>
  <c r="R811" i="46"/>
  <c r="X807" i="46" s="1"/>
  <c r="X809" i="46" s="1"/>
  <c r="H315" i="49"/>
  <c r="H322" i="49" s="1"/>
  <c r="R763" i="46"/>
  <c r="R767" i="46"/>
  <c r="R762" i="46"/>
  <c r="R766" i="46"/>
  <c r="R755" i="46"/>
  <c r="R757" i="46"/>
  <c r="R759" i="46"/>
  <c r="R761" i="46"/>
  <c r="R768" i="46"/>
  <c r="R774" i="46"/>
  <c r="R760" i="46"/>
  <c r="Y756" i="46" s="1"/>
  <c r="R764" i="46"/>
  <c r="R765" i="46"/>
  <c r="R770" i="46"/>
  <c r="Y764" i="46" s="1"/>
  <c r="R771" i="46"/>
  <c r="R772" i="46"/>
  <c r="H317" i="49" l="1"/>
  <c r="Y759" i="46"/>
  <c r="Z759" i="46" s="1"/>
  <c r="Z765" i="46" s="1"/>
  <c r="R775" i="46"/>
  <c r="X771" i="46" s="1"/>
  <c r="X773" i="46" s="1"/>
  <c r="Y765" i="46" l="1"/>
  <c r="X697" i="46" l="1"/>
  <c r="O612" i="45"/>
  <c r="L612" i="45"/>
  <c r="K612" i="45"/>
  <c r="J612" i="45"/>
  <c r="I612" i="45"/>
  <c r="N609" i="45"/>
  <c r="H598" i="45"/>
  <c r="H597" i="45"/>
  <c r="H596" i="45"/>
  <c r="N595" i="45"/>
  <c r="H595" i="45"/>
  <c r="N594" i="45"/>
  <c r="H594" i="45"/>
  <c r="N593" i="45"/>
  <c r="H593" i="45"/>
  <c r="P592" i="45"/>
  <c r="N592" i="45"/>
  <c r="H592" i="45"/>
  <c r="N591" i="45"/>
  <c r="H591" i="45"/>
  <c r="M590" i="45"/>
  <c r="N590" i="45" s="1"/>
  <c r="H590" i="45"/>
  <c r="M589" i="45"/>
  <c r="N589" i="45" s="1"/>
  <c r="H589" i="45"/>
  <c r="M588" i="45"/>
  <c r="N588" i="45" s="1"/>
  <c r="H588" i="45"/>
  <c r="M587" i="45"/>
  <c r="N587" i="45" s="1"/>
  <c r="H587" i="45"/>
  <c r="M586" i="45"/>
  <c r="N586" i="45" s="1"/>
  <c r="H586" i="45"/>
  <c r="M585" i="45"/>
  <c r="N585" i="45" s="1"/>
  <c r="H585" i="45"/>
  <c r="N584" i="45"/>
  <c r="H584" i="45"/>
  <c r="N583" i="45"/>
  <c r="H583" i="45"/>
  <c r="N582" i="45"/>
  <c r="H582" i="45"/>
  <c r="N581" i="45"/>
  <c r="H581" i="45"/>
  <c r="N580" i="45"/>
  <c r="H580" i="45"/>
  <c r="N579" i="45"/>
  <c r="H579" i="45"/>
  <c r="P578" i="45"/>
  <c r="P612" i="45" s="1"/>
  <c r="N578" i="45"/>
  <c r="H578" i="45"/>
  <c r="N577" i="45"/>
  <c r="H577" i="45"/>
  <c r="N576" i="45"/>
  <c r="H576" i="45"/>
  <c r="N575" i="45"/>
  <c r="H575" i="45"/>
  <c r="N574" i="45"/>
  <c r="H574" i="45"/>
  <c r="N573" i="45"/>
  <c r="H573" i="45"/>
  <c r="N572" i="45"/>
  <c r="H572" i="45"/>
  <c r="M268" i="49"/>
  <c r="L268" i="49"/>
  <c r="K268" i="49"/>
  <c r="J268" i="49"/>
  <c r="I268" i="49"/>
  <c r="I276" i="49" s="1"/>
  <c r="I277" i="49" s="1"/>
  <c r="I284" i="49" s="1"/>
  <c r="H268" i="49"/>
  <c r="I272" i="49" s="1"/>
  <c r="G268" i="49"/>
  <c r="I270" i="49" s="1"/>
  <c r="F264" i="49"/>
  <c r="X695" i="46"/>
  <c r="X690" i="46"/>
  <c r="G740" i="46"/>
  <c r="K725" i="46"/>
  <c r="L741" i="46" s="1"/>
  <c r="J725" i="46"/>
  <c r="L740" i="46" s="1"/>
  <c r="I725" i="46"/>
  <c r="H725" i="46"/>
  <c r="G725" i="46"/>
  <c r="L720" i="46"/>
  <c r="L719" i="46"/>
  <c r="L717" i="46"/>
  <c r="E717" i="46"/>
  <c r="L716" i="46"/>
  <c r="E716" i="46"/>
  <c r="L715" i="46"/>
  <c r="E715" i="46"/>
  <c r="L714" i="46"/>
  <c r="E714" i="46"/>
  <c r="L713" i="46"/>
  <c r="E713" i="46"/>
  <c r="L712" i="46"/>
  <c r="E712" i="46"/>
  <c r="L711" i="46"/>
  <c r="E711" i="46"/>
  <c r="L710" i="46"/>
  <c r="E710" i="46"/>
  <c r="L709" i="46"/>
  <c r="E709" i="46"/>
  <c r="L708" i="46"/>
  <c r="E708" i="46"/>
  <c r="L707" i="46"/>
  <c r="E707" i="46"/>
  <c r="L706" i="46"/>
  <c r="E706" i="46"/>
  <c r="L705" i="46"/>
  <c r="E705" i="46"/>
  <c r="L704" i="46"/>
  <c r="E704" i="46"/>
  <c r="L703" i="46"/>
  <c r="E703" i="46"/>
  <c r="L702" i="46"/>
  <c r="E702" i="46"/>
  <c r="L701" i="46"/>
  <c r="E701" i="46"/>
  <c r="L700" i="46"/>
  <c r="E700" i="46"/>
  <c r="L699" i="46"/>
  <c r="E699" i="46"/>
  <c r="L698" i="46"/>
  <c r="E698" i="46"/>
  <c r="L697" i="46"/>
  <c r="E697" i="46"/>
  <c r="L696" i="46"/>
  <c r="E696" i="46"/>
  <c r="L695" i="46"/>
  <c r="E695" i="46"/>
  <c r="L694" i="46"/>
  <c r="E694" i="46"/>
  <c r="L693" i="46"/>
  <c r="E693" i="46"/>
  <c r="L692" i="46"/>
  <c r="E692" i="46"/>
  <c r="L691" i="46"/>
  <c r="E691" i="46"/>
  <c r="L690" i="46"/>
  <c r="E690" i="46"/>
  <c r="L689" i="46"/>
  <c r="E689" i="46"/>
  <c r="L688" i="46"/>
  <c r="E688" i="46"/>
  <c r="L687" i="46"/>
  <c r="E687" i="46"/>
  <c r="L686" i="46"/>
  <c r="E686" i="46"/>
  <c r="L685" i="46"/>
  <c r="E685" i="46"/>
  <c r="L684" i="46"/>
  <c r="E684" i="46"/>
  <c r="L683" i="46"/>
  <c r="E683" i="46"/>
  <c r="R697" i="46" l="1"/>
  <c r="L725" i="46"/>
  <c r="L743" i="46"/>
  <c r="R694" i="46"/>
  <c r="R682" i="46"/>
  <c r="R698" i="46"/>
  <c r="R696" i="46"/>
  <c r="R686" i="46"/>
  <c r="R690" i="46"/>
  <c r="G741" i="46"/>
  <c r="G743" i="46" s="1"/>
  <c r="R683" i="46"/>
  <c r="Y680" i="46" s="1"/>
  <c r="R687" i="46"/>
  <c r="R691" i="46"/>
  <c r="R695" i="46"/>
  <c r="Y689" i="46" s="1"/>
  <c r="R699" i="46"/>
  <c r="R680" i="46"/>
  <c r="R684" i="46"/>
  <c r="R688" i="46"/>
  <c r="R692" i="46"/>
  <c r="Y684" i="46" s="1"/>
  <c r="Z684" i="46" s="1"/>
  <c r="Z690" i="46" s="1"/>
  <c r="R681" i="46"/>
  <c r="R685" i="46"/>
  <c r="Y681" i="46" s="1"/>
  <c r="R689" i="46"/>
  <c r="R693" i="46"/>
  <c r="N612" i="45"/>
  <c r="M612" i="45"/>
  <c r="I279" i="49"/>
  <c r="Y690" i="46" l="1"/>
  <c r="R700" i="46"/>
  <c r="X696" i="46" s="1"/>
  <c r="X698" i="46" s="1"/>
  <c r="E16" i="34"/>
  <c r="E25" i="34"/>
  <c r="E31" i="34"/>
  <c r="E32" i="34"/>
  <c r="X649" i="46" l="1"/>
  <c r="J669" i="46"/>
  <c r="K669" i="46"/>
  <c r="X647" i="46"/>
  <c r="X642" i="46"/>
  <c r="M232" i="49"/>
  <c r="L232" i="49"/>
  <c r="K232" i="49"/>
  <c r="J232" i="49"/>
  <c r="I232" i="49"/>
  <c r="I240" i="49" s="1"/>
  <c r="H232" i="49"/>
  <c r="I236" i="49" s="1"/>
  <c r="G232" i="49"/>
  <c r="I234" i="49" s="1"/>
  <c r="F221" i="49"/>
  <c r="F220" i="49"/>
  <c r="F219" i="49"/>
  <c r="F218" i="49"/>
  <c r="F217" i="49"/>
  <c r="F216" i="49"/>
  <c r="F215" i="49"/>
  <c r="F214" i="49"/>
  <c r="F213" i="49"/>
  <c r="F212" i="49"/>
  <c r="S554" i="45"/>
  <c r="R554" i="45"/>
  <c r="Q554" i="45"/>
  <c r="O554" i="45"/>
  <c r="L554" i="45"/>
  <c r="K554" i="45"/>
  <c r="J554" i="45"/>
  <c r="I554" i="45"/>
  <c r="N551" i="45"/>
  <c r="H540" i="45"/>
  <c r="H539" i="45"/>
  <c r="H538" i="45"/>
  <c r="N537" i="45"/>
  <c r="H537" i="45"/>
  <c r="N536" i="45"/>
  <c r="H536" i="45"/>
  <c r="N535" i="45"/>
  <c r="H535" i="45"/>
  <c r="P534" i="45"/>
  <c r="N534" i="45"/>
  <c r="H534" i="45"/>
  <c r="N533" i="45"/>
  <c r="H533" i="45"/>
  <c r="N532" i="45"/>
  <c r="H532" i="45"/>
  <c r="P531" i="45"/>
  <c r="N531" i="45"/>
  <c r="H531" i="45"/>
  <c r="M530" i="45"/>
  <c r="N530" i="45" s="1"/>
  <c r="H530" i="45"/>
  <c r="M529" i="45"/>
  <c r="N529" i="45" s="1"/>
  <c r="H529" i="45"/>
  <c r="M528" i="45"/>
  <c r="N528" i="45" s="1"/>
  <c r="H528" i="45"/>
  <c r="P527" i="45"/>
  <c r="M527" i="45"/>
  <c r="N527" i="45" s="1"/>
  <c r="H527" i="45"/>
  <c r="M526" i="45"/>
  <c r="N526" i="45" s="1"/>
  <c r="H526" i="45"/>
  <c r="M525" i="45"/>
  <c r="N525" i="45" s="1"/>
  <c r="H525" i="45"/>
  <c r="P524" i="45"/>
  <c r="M524" i="45"/>
  <c r="N524" i="45" s="1"/>
  <c r="H524" i="45"/>
  <c r="M523" i="45"/>
  <c r="N523" i="45" s="1"/>
  <c r="H523" i="45"/>
  <c r="M522" i="45"/>
  <c r="N522" i="45" s="1"/>
  <c r="H522" i="45"/>
  <c r="M521" i="45"/>
  <c r="N521" i="45" s="1"/>
  <c r="H521" i="45"/>
  <c r="M520" i="45"/>
  <c r="N520" i="45" s="1"/>
  <c r="H520" i="45"/>
  <c r="M519" i="45"/>
  <c r="N519" i="45" s="1"/>
  <c r="H519" i="45"/>
  <c r="P518" i="45"/>
  <c r="M518" i="45"/>
  <c r="N518" i="45" s="1"/>
  <c r="H518" i="45"/>
  <c r="M517" i="45"/>
  <c r="N517" i="45" s="1"/>
  <c r="H517" i="45"/>
  <c r="M516" i="45"/>
  <c r="N516" i="45" s="1"/>
  <c r="H516" i="45"/>
  <c r="M515" i="45"/>
  <c r="N515" i="45" s="1"/>
  <c r="H515" i="45"/>
  <c r="M514" i="45"/>
  <c r="H514" i="45"/>
  <c r="I669" i="46"/>
  <c r="H669" i="46"/>
  <c r="G669" i="46"/>
  <c r="L659" i="46"/>
  <c r="E659" i="46"/>
  <c r="L658" i="46"/>
  <c r="E658" i="46"/>
  <c r="L657" i="46"/>
  <c r="E657" i="46"/>
  <c r="L656" i="46"/>
  <c r="E656" i="46"/>
  <c r="L655" i="46"/>
  <c r="E655" i="46"/>
  <c r="L654" i="46"/>
  <c r="E654" i="46"/>
  <c r="L653" i="46"/>
  <c r="E653" i="46"/>
  <c r="L652" i="46"/>
  <c r="E652" i="46"/>
  <c r="L651" i="46"/>
  <c r="E651" i="46"/>
  <c r="L650" i="46"/>
  <c r="E650" i="46"/>
  <c r="L649" i="46"/>
  <c r="E649" i="46"/>
  <c r="L648" i="46"/>
  <c r="E648" i="46"/>
  <c r="L647" i="46"/>
  <c r="E647" i="46"/>
  <c r="L646" i="46"/>
  <c r="E646" i="46"/>
  <c r="L645" i="46"/>
  <c r="E645" i="46"/>
  <c r="L644" i="46"/>
  <c r="E644" i="46"/>
  <c r="L643" i="46"/>
  <c r="E643" i="46"/>
  <c r="L642" i="46"/>
  <c r="E642" i="46"/>
  <c r="L641" i="46"/>
  <c r="E641" i="46"/>
  <c r="L640" i="46"/>
  <c r="E640" i="46"/>
  <c r="L639" i="46"/>
  <c r="E639" i="46"/>
  <c r="L638" i="46"/>
  <c r="E638" i="46"/>
  <c r="L637" i="46"/>
  <c r="E637" i="46"/>
  <c r="L636" i="46"/>
  <c r="E636" i="46"/>
  <c r="L635" i="46"/>
  <c r="E635" i="46"/>
  <c r="R651" i="46" l="1"/>
  <c r="L669" i="46"/>
  <c r="P554" i="45"/>
  <c r="M554" i="45"/>
  <c r="R649" i="46"/>
  <c r="R644" i="46"/>
  <c r="Y636" i="46" s="1"/>
  <c r="Z636" i="46" s="1"/>
  <c r="Z642" i="46" s="1"/>
  <c r="R641" i="46"/>
  <c r="R645" i="46"/>
  <c r="R634" i="46"/>
  <c r="R638" i="46"/>
  <c r="R642" i="46"/>
  <c r="R646" i="46"/>
  <c r="R650" i="46"/>
  <c r="R632" i="46"/>
  <c r="R636" i="46"/>
  <c r="R640" i="46"/>
  <c r="R648" i="46"/>
  <c r="R633" i="46"/>
  <c r="R637" i="46"/>
  <c r="Y633" i="46" s="1"/>
  <c r="R635" i="46"/>
  <c r="Y632" i="46" s="1"/>
  <c r="R639" i="46"/>
  <c r="R643" i="46"/>
  <c r="R647" i="46"/>
  <c r="Y641" i="46" s="1"/>
  <c r="I241" i="49"/>
  <c r="I248" i="49" s="1"/>
  <c r="N514" i="45"/>
  <c r="N554" i="45" s="1"/>
  <c r="Y642" i="46" l="1"/>
  <c r="R652" i="46"/>
  <c r="X648" i="46" s="1"/>
  <c r="X650" i="46" s="1"/>
  <c r="I243" i="49"/>
  <c r="X579" i="46" l="1"/>
  <c r="R581" i="46"/>
  <c r="R580" i="46"/>
  <c r="R579" i="46"/>
  <c r="R578" i="46"/>
  <c r="R577" i="46"/>
  <c r="Y569" i="46" s="1"/>
  <c r="R576" i="46"/>
  <c r="R575" i="46"/>
  <c r="R574" i="46"/>
  <c r="R573" i="46"/>
  <c r="R572" i="46"/>
  <c r="R571" i="46"/>
  <c r="R570" i="46"/>
  <c r="R569" i="46"/>
  <c r="R568" i="46"/>
  <c r="R567" i="46"/>
  <c r="R566" i="46"/>
  <c r="R565" i="46"/>
  <c r="R564" i="46"/>
  <c r="R563" i="46"/>
  <c r="R562" i="46"/>
  <c r="X577" i="46"/>
  <c r="X570" i="46"/>
  <c r="Y563" i="46"/>
  <c r="Y562" i="46"/>
  <c r="G615" i="46"/>
  <c r="K600" i="46"/>
  <c r="L616" i="46" s="1"/>
  <c r="J600" i="46"/>
  <c r="L615" i="46" s="1"/>
  <c r="L618" i="46" s="1"/>
  <c r="I600" i="46"/>
  <c r="H600" i="46"/>
  <c r="G600" i="46"/>
  <c r="L595" i="46"/>
  <c r="L594" i="46"/>
  <c r="L590" i="46"/>
  <c r="L589" i="46"/>
  <c r="L588" i="46"/>
  <c r="L587" i="46"/>
  <c r="L586" i="46"/>
  <c r="L585" i="46"/>
  <c r="L584" i="46"/>
  <c r="L583" i="46"/>
  <c r="L582" i="46"/>
  <c r="L581" i="46"/>
  <c r="L580" i="46"/>
  <c r="L579" i="46"/>
  <c r="L578" i="46"/>
  <c r="L577" i="46"/>
  <c r="L576" i="46"/>
  <c r="L575" i="46"/>
  <c r="L574" i="46"/>
  <c r="L573" i="46"/>
  <c r="L572" i="46"/>
  <c r="L571" i="46"/>
  <c r="L570" i="46"/>
  <c r="L569" i="46"/>
  <c r="L568" i="46"/>
  <c r="L567" i="46"/>
  <c r="L566" i="46"/>
  <c r="L565" i="46"/>
  <c r="L564" i="46"/>
  <c r="M182" i="49"/>
  <c r="L182" i="49"/>
  <c r="K182" i="49"/>
  <c r="J182" i="49"/>
  <c r="I182" i="49"/>
  <c r="I190" i="49" s="1"/>
  <c r="H182" i="49"/>
  <c r="I186" i="49" s="1"/>
  <c r="G182" i="49"/>
  <c r="I184" i="49" s="1"/>
  <c r="F171" i="49"/>
  <c r="F170" i="49"/>
  <c r="F169" i="49"/>
  <c r="F168" i="49"/>
  <c r="F167" i="49"/>
  <c r="F166" i="49"/>
  <c r="F165" i="49"/>
  <c r="F164" i="49"/>
  <c r="F163" i="49"/>
  <c r="F162" i="49"/>
  <c r="S493" i="45"/>
  <c r="R493" i="45"/>
  <c r="Q493" i="45"/>
  <c r="O493" i="45"/>
  <c r="L493" i="45"/>
  <c r="K493" i="45"/>
  <c r="J493" i="45"/>
  <c r="I493" i="45"/>
  <c r="N490" i="45"/>
  <c r="M479" i="45"/>
  <c r="N479" i="45" s="1"/>
  <c r="H479" i="45"/>
  <c r="M478" i="45"/>
  <c r="N478" i="45" s="1"/>
  <c r="H478" i="45"/>
  <c r="M477" i="45"/>
  <c r="N477" i="45" s="1"/>
  <c r="H477" i="45"/>
  <c r="P476" i="45"/>
  <c r="M476" i="45"/>
  <c r="N476" i="45" s="1"/>
  <c r="H476" i="45"/>
  <c r="M475" i="45"/>
  <c r="N475" i="45" s="1"/>
  <c r="H475" i="45"/>
  <c r="M474" i="45"/>
  <c r="N474" i="45" s="1"/>
  <c r="H474" i="45"/>
  <c r="P473" i="45"/>
  <c r="M473" i="45"/>
  <c r="N473" i="45" s="1"/>
  <c r="H473" i="45"/>
  <c r="M472" i="45"/>
  <c r="N472" i="45" s="1"/>
  <c r="H472" i="45"/>
  <c r="M471" i="45"/>
  <c r="N471" i="45" s="1"/>
  <c r="H471" i="45"/>
  <c r="N470" i="45"/>
  <c r="H470" i="45"/>
  <c r="P469" i="45"/>
  <c r="M469" i="45"/>
  <c r="N469" i="45" s="1"/>
  <c r="H469" i="45"/>
  <c r="M468" i="45"/>
  <c r="N468" i="45" s="1"/>
  <c r="H468" i="45"/>
  <c r="M467" i="45"/>
  <c r="N467" i="45" s="1"/>
  <c r="H467" i="45"/>
  <c r="M466" i="45"/>
  <c r="N466" i="45" s="1"/>
  <c r="H466" i="45"/>
  <c r="M465" i="45"/>
  <c r="N465" i="45" s="1"/>
  <c r="H465" i="45"/>
  <c r="M464" i="45"/>
  <c r="N464" i="45" s="1"/>
  <c r="H464" i="45"/>
  <c r="P463" i="45"/>
  <c r="M463" i="45"/>
  <c r="N463" i="45" s="1"/>
  <c r="H463" i="45"/>
  <c r="P493" i="45" l="1"/>
  <c r="Y566" i="46"/>
  <c r="Z566" i="46" s="1"/>
  <c r="Z570" i="46" s="1"/>
  <c r="R582" i="46"/>
  <c r="X578" i="46" s="1"/>
  <c r="X580" i="46" s="1"/>
  <c r="G616" i="46"/>
  <c r="G618" i="46" s="1"/>
  <c r="L600" i="46"/>
  <c r="I191" i="49"/>
  <c r="I198" i="49" s="1"/>
  <c r="N493" i="45"/>
  <c r="M493" i="45"/>
  <c r="Y570" i="46" l="1"/>
  <c r="I193" i="49"/>
  <c r="X508" i="46" l="1"/>
  <c r="X506" i="46"/>
  <c r="X499" i="46"/>
  <c r="G539" i="46"/>
  <c r="K524" i="46"/>
  <c r="L540" i="46" s="1"/>
  <c r="J524" i="46"/>
  <c r="L539" i="46" s="1"/>
  <c r="L542" i="46" s="1"/>
  <c r="I524" i="46"/>
  <c r="H524" i="46"/>
  <c r="G524" i="46"/>
  <c r="L519" i="46"/>
  <c r="L518" i="46"/>
  <c r="L517" i="46"/>
  <c r="L516" i="46"/>
  <c r="L515" i="46"/>
  <c r="L514" i="46"/>
  <c r="L513" i="46"/>
  <c r="L512" i="46"/>
  <c r="L511" i="46"/>
  <c r="L510" i="46"/>
  <c r="L509" i="46"/>
  <c r="L508" i="46"/>
  <c r="E508" i="46"/>
  <c r="L507" i="46"/>
  <c r="E507" i="46"/>
  <c r="L506" i="46"/>
  <c r="E506" i="46"/>
  <c r="L505" i="46"/>
  <c r="E505" i="46"/>
  <c r="L504" i="46"/>
  <c r="E504" i="46"/>
  <c r="L503" i="46"/>
  <c r="E503" i="46"/>
  <c r="L502" i="46"/>
  <c r="E502" i="46"/>
  <c r="L501" i="46"/>
  <c r="E501" i="46"/>
  <c r="L500" i="46"/>
  <c r="E500" i="46"/>
  <c r="L499" i="46"/>
  <c r="E499" i="46"/>
  <c r="L498" i="46"/>
  <c r="E498" i="46"/>
  <c r="L497" i="46"/>
  <c r="E497" i="46"/>
  <c r="L496" i="46"/>
  <c r="E496" i="46"/>
  <c r="L495" i="46"/>
  <c r="E495" i="46"/>
  <c r="L494" i="46"/>
  <c r="E494" i="46"/>
  <c r="S445" i="45"/>
  <c r="R445" i="45"/>
  <c r="Q445" i="45"/>
  <c r="O445" i="45"/>
  <c r="L445" i="45"/>
  <c r="K445" i="45"/>
  <c r="J445" i="45"/>
  <c r="I445" i="45"/>
  <c r="N442" i="45"/>
  <c r="P432" i="45"/>
  <c r="N432" i="45"/>
  <c r="M431" i="45"/>
  <c r="N431" i="45" s="1"/>
  <c r="H431" i="45"/>
  <c r="P430" i="45"/>
  <c r="M430" i="45"/>
  <c r="N430" i="45" s="1"/>
  <c r="H430" i="45"/>
  <c r="M429" i="45"/>
  <c r="N429" i="45" s="1"/>
  <c r="H429" i="45"/>
  <c r="M428" i="45"/>
  <c r="N428" i="45" s="1"/>
  <c r="H428" i="45"/>
  <c r="M427" i="45"/>
  <c r="N427" i="45" s="1"/>
  <c r="H427" i="45"/>
  <c r="M426" i="45"/>
  <c r="N426" i="45" s="1"/>
  <c r="H426" i="45"/>
  <c r="P425" i="45"/>
  <c r="M425" i="45"/>
  <c r="N425" i="45" s="1"/>
  <c r="H425" i="45"/>
  <c r="P424" i="45"/>
  <c r="M424" i="45"/>
  <c r="N424" i="45" s="1"/>
  <c r="H424" i="45"/>
  <c r="M423" i="45"/>
  <c r="N423" i="45" s="1"/>
  <c r="H423" i="45"/>
  <c r="M422" i="45"/>
  <c r="N422" i="45" s="1"/>
  <c r="H422" i="45"/>
  <c r="M421" i="45"/>
  <c r="N421" i="45" s="1"/>
  <c r="H421" i="45"/>
  <c r="M420" i="45"/>
  <c r="N420" i="45" s="1"/>
  <c r="H420" i="45"/>
  <c r="M419" i="45"/>
  <c r="N419" i="45" s="1"/>
  <c r="H419" i="45"/>
  <c r="P418" i="45"/>
  <c r="M418" i="45"/>
  <c r="N418" i="45" s="1"/>
  <c r="H418" i="45"/>
  <c r="N417" i="45"/>
  <c r="M417" i="45"/>
  <c r="H417" i="45"/>
  <c r="M132" i="49"/>
  <c r="L132" i="49"/>
  <c r="K132" i="49"/>
  <c r="J132" i="49"/>
  <c r="I132" i="49"/>
  <c r="I140" i="49" s="1"/>
  <c r="I141" i="49" s="1"/>
  <c r="H132" i="49"/>
  <c r="I136" i="49" s="1"/>
  <c r="G132" i="49"/>
  <c r="I134" i="49" s="1"/>
  <c r="Q128" i="49"/>
  <c r="R128" i="49" s="1"/>
  <c r="F121" i="49"/>
  <c r="F120" i="49"/>
  <c r="F119" i="49"/>
  <c r="F118" i="49"/>
  <c r="F117" i="49"/>
  <c r="F116" i="49"/>
  <c r="F115" i="49"/>
  <c r="F114" i="49"/>
  <c r="F113" i="49"/>
  <c r="F112" i="49"/>
  <c r="P445" i="45" l="1"/>
  <c r="L524" i="46"/>
  <c r="N445" i="45"/>
  <c r="M445" i="45"/>
  <c r="R508" i="46"/>
  <c r="R493" i="46"/>
  <c r="R497" i="46"/>
  <c r="R501" i="46"/>
  <c r="R505" i="46"/>
  <c r="R509" i="46"/>
  <c r="R494" i="46"/>
  <c r="Y491" i="46" s="1"/>
  <c r="R498" i="46"/>
  <c r="R502" i="46"/>
  <c r="R506" i="46"/>
  <c r="Y498" i="46" s="1"/>
  <c r="R510" i="46"/>
  <c r="R491" i="46"/>
  <c r="R495" i="46"/>
  <c r="R499" i="46"/>
  <c r="R503" i="46"/>
  <c r="R507" i="46"/>
  <c r="R511" i="46"/>
  <c r="G540" i="46"/>
  <c r="G542" i="46" s="1"/>
  <c r="R492" i="46"/>
  <c r="R496" i="46"/>
  <c r="Y492" i="46" s="1"/>
  <c r="R500" i="46"/>
  <c r="R504" i="46"/>
  <c r="I148" i="49"/>
  <c r="I143" i="49"/>
  <c r="Y495" i="46" l="1"/>
  <c r="Z495" i="46" s="1"/>
  <c r="Z499" i="46" s="1"/>
  <c r="R512" i="46"/>
  <c r="X507" i="46" s="1"/>
  <c r="X509" i="46" s="1"/>
  <c r="Y496" i="46"/>
  <c r="X438" i="46"/>
  <c r="R431" i="46"/>
  <c r="R432" i="46"/>
  <c r="R433" i="46"/>
  <c r="R434" i="46"/>
  <c r="R435" i="46"/>
  <c r="Y431" i="46" s="1"/>
  <c r="R436" i="46"/>
  <c r="R437" i="46"/>
  <c r="R438" i="46"/>
  <c r="R439" i="46"/>
  <c r="R440" i="46"/>
  <c r="R441" i="46"/>
  <c r="R442" i="46"/>
  <c r="R443" i="46"/>
  <c r="R444" i="46"/>
  <c r="R445" i="46"/>
  <c r="Y437" i="46" s="1"/>
  <c r="R446" i="46"/>
  <c r="R447" i="46"/>
  <c r="R448" i="46"/>
  <c r="R449" i="46"/>
  <c r="R450" i="46"/>
  <c r="R430" i="46"/>
  <c r="S393" i="45"/>
  <c r="R393" i="45"/>
  <c r="Q393" i="45"/>
  <c r="O393" i="45"/>
  <c r="L393" i="45"/>
  <c r="K393" i="45"/>
  <c r="J393" i="45"/>
  <c r="I393" i="45"/>
  <c r="N390" i="45"/>
  <c r="H379" i="45"/>
  <c r="H378" i="45"/>
  <c r="P377" i="45"/>
  <c r="P393" i="45" s="1"/>
  <c r="N377" i="45"/>
  <c r="H377" i="45"/>
  <c r="N376" i="45"/>
  <c r="H376" i="45"/>
  <c r="N375" i="45"/>
  <c r="H375" i="45"/>
  <c r="N374" i="45"/>
  <c r="H374" i="45"/>
  <c r="N373" i="45"/>
  <c r="H373" i="45"/>
  <c r="N372" i="45"/>
  <c r="H372" i="45"/>
  <c r="N371" i="45"/>
  <c r="H371" i="45"/>
  <c r="N370" i="45"/>
  <c r="H370" i="45"/>
  <c r="N369" i="45"/>
  <c r="H369" i="45"/>
  <c r="N368" i="45"/>
  <c r="H368" i="45"/>
  <c r="M367" i="45"/>
  <c r="N367" i="45" s="1"/>
  <c r="M366" i="45"/>
  <c r="N366" i="45" s="1"/>
  <c r="H366" i="45"/>
  <c r="M365" i="45"/>
  <c r="H365" i="45"/>
  <c r="M80" i="49"/>
  <c r="L80" i="49"/>
  <c r="K80" i="49"/>
  <c r="J80" i="49"/>
  <c r="I80" i="49"/>
  <c r="I88" i="49" s="1"/>
  <c r="H80" i="49"/>
  <c r="I84" i="49" s="1"/>
  <c r="G80" i="49"/>
  <c r="I82" i="49" s="1"/>
  <c r="Q76" i="49"/>
  <c r="R76" i="49" s="1"/>
  <c r="F74" i="49"/>
  <c r="F73" i="49"/>
  <c r="F72" i="49"/>
  <c r="X447" i="46"/>
  <c r="X445" i="46"/>
  <c r="Y430" i="46"/>
  <c r="G471" i="46"/>
  <c r="G472" i="46" s="1"/>
  <c r="K456" i="46"/>
  <c r="L472" i="46" s="1"/>
  <c r="J456" i="46"/>
  <c r="L471" i="46" s="1"/>
  <c r="I456" i="46"/>
  <c r="H456" i="46"/>
  <c r="G456" i="46"/>
  <c r="L451" i="46"/>
  <c r="L450" i="46"/>
  <c r="L449" i="46"/>
  <c r="L448" i="46"/>
  <c r="L447" i="46"/>
  <c r="L446" i="46"/>
  <c r="L445" i="46"/>
  <c r="L444" i="46"/>
  <c r="L443" i="46"/>
  <c r="L442" i="46"/>
  <c r="L441" i="46"/>
  <c r="L440" i="46"/>
  <c r="L439" i="46"/>
  <c r="L438" i="46"/>
  <c r="L437" i="46"/>
  <c r="L436" i="46"/>
  <c r="L435" i="46"/>
  <c r="L434" i="46"/>
  <c r="L433" i="46"/>
  <c r="Y499" i="46" l="1"/>
  <c r="Y435" i="46"/>
  <c r="Y434" i="46"/>
  <c r="Z434" i="46" s="1"/>
  <c r="Z438" i="46" s="1"/>
  <c r="M393" i="45"/>
  <c r="N365" i="45"/>
  <c r="N393" i="45" s="1"/>
  <c r="G474" i="46"/>
  <c r="R451" i="46"/>
  <c r="X446" i="46" s="1"/>
  <c r="X448" i="46" s="1"/>
  <c r="I89" i="49"/>
  <c r="I96" i="49" s="1"/>
  <c r="L456" i="46"/>
  <c r="L474" i="46"/>
  <c r="Y438" i="46" l="1"/>
  <c r="I91" i="49"/>
  <c r="H33" i="49" l="1"/>
  <c r="L31" i="49"/>
  <c r="K31" i="49"/>
  <c r="J31" i="49"/>
  <c r="I31" i="49"/>
  <c r="H31" i="49"/>
  <c r="H39" i="49" s="1"/>
  <c r="G31" i="49"/>
  <c r="H35" i="49" s="1"/>
  <c r="F31" i="49"/>
  <c r="P27" i="49"/>
  <c r="E20" i="49"/>
  <c r="E19" i="49"/>
  <c r="E18" i="49"/>
  <c r="E17" i="49"/>
  <c r="E16" i="49"/>
  <c r="E15" i="49"/>
  <c r="E14" i="49"/>
  <c r="E13" i="49"/>
  <c r="E12" i="49"/>
  <c r="E11" i="49"/>
  <c r="B5" i="49"/>
  <c r="X392" i="46"/>
  <c r="X390" i="46"/>
  <c r="X383" i="46"/>
  <c r="S349" i="45"/>
  <c r="R349" i="45"/>
  <c r="Q349" i="45"/>
  <c r="O349" i="45"/>
  <c r="M349" i="45"/>
  <c r="L349" i="45"/>
  <c r="K349" i="45"/>
  <c r="J349" i="45"/>
  <c r="I349" i="45"/>
  <c r="N346" i="45"/>
  <c r="N339" i="45"/>
  <c r="H339" i="45"/>
  <c r="N338" i="45"/>
  <c r="H338" i="45"/>
  <c r="N337" i="45"/>
  <c r="H337" i="45"/>
  <c r="P336" i="45"/>
  <c r="N336" i="45"/>
  <c r="H336" i="45"/>
  <c r="N335" i="45"/>
  <c r="H335" i="45"/>
  <c r="N334" i="45"/>
  <c r="H334" i="45"/>
  <c r="P333" i="45"/>
  <c r="N333" i="45"/>
  <c r="H333" i="45"/>
  <c r="P332" i="45"/>
  <c r="N332" i="45"/>
  <c r="H332" i="45"/>
  <c r="P331" i="45"/>
  <c r="N331" i="45"/>
  <c r="H331" i="45"/>
  <c r="P330" i="45"/>
  <c r="N330" i="45"/>
  <c r="H330" i="45"/>
  <c r="N329" i="45"/>
  <c r="H329" i="45"/>
  <c r="P328" i="45"/>
  <c r="N328" i="45"/>
  <c r="H328" i="45"/>
  <c r="N327" i="45"/>
  <c r="H327" i="45"/>
  <c r="N326" i="45"/>
  <c r="H326" i="45"/>
  <c r="N325" i="45"/>
  <c r="H325" i="45"/>
  <c r="N324" i="45"/>
  <c r="H324" i="45"/>
  <c r="N323" i="45"/>
  <c r="H323" i="45"/>
  <c r="N322" i="45"/>
  <c r="H322" i="45"/>
  <c r="P321" i="45"/>
  <c r="N321" i="45"/>
  <c r="H321" i="45"/>
  <c r="N320" i="45"/>
  <c r="H320" i="45"/>
  <c r="N319" i="45"/>
  <c r="H319" i="45"/>
  <c r="P318" i="45"/>
  <c r="N318" i="45"/>
  <c r="H318" i="45"/>
  <c r="N317" i="45"/>
  <c r="H317" i="45"/>
  <c r="N316" i="45"/>
  <c r="H316" i="45"/>
  <c r="G414" i="46"/>
  <c r="K404" i="46"/>
  <c r="L415" i="46" s="1"/>
  <c r="J404" i="46"/>
  <c r="L414" i="46" s="1"/>
  <c r="I404" i="46"/>
  <c r="H404" i="46"/>
  <c r="G404" i="46"/>
  <c r="L402" i="46"/>
  <c r="L401" i="46"/>
  <c r="L400" i="46"/>
  <c r="L399" i="46"/>
  <c r="E399" i="46"/>
  <c r="L398" i="46"/>
  <c r="E398" i="46"/>
  <c r="L397" i="46"/>
  <c r="E397" i="46"/>
  <c r="L396" i="46"/>
  <c r="E396" i="46"/>
  <c r="L395" i="46"/>
  <c r="E395" i="46"/>
  <c r="L394" i="46"/>
  <c r="E394" i="46"/>
  <c r="L393" i="46"/>
  <c r="E393" i="46"/>
  <c r="L392" i="46"/>
  <c r="E392" i="46"/>
  <c r="L391" i="46"/>
  <c r="E391" i="46"/>
  <c r="L390" i="46"/>
  <c r="E390" i="46"/>
  <c r="L389" i="46"/>
  <c r="E389" i="46"/>
  <c r="L388" i="46"/>
  <c r="E388" i="46"/>
  <c r="L387" i="46"/>
  <c r="E387" i="46"/>
  <c r="L386" i="46"/>
  <c r="E386" i="46"/>
  <c r="L385" i="46"/>
  <c r="E385" i="46"/>
  <c r="L384" i="46"/>
  <c r="E384" i="46"/>
  <c r="L383" i="46"/>
  <c r="E383" i="46"/>
  <c r="L382" i="46"/>
  <c r="E382" i="46"/>
  <c r="L381" i="46"/>
  <c r="E381" i="46"/>
  <c r="L380" i="46"/>
  <c r="E380" i="46"/>
  <c r="L379" i="46"/>
  <c r="E379" i="46"/>
  <c r="L378" i="46"/>
  <c r="E378" i="46"/>
  <c r="L377" i="46"/>
  <c r="E377" i="46"/>
  <c r="N349" i="45" l="1"/>
  <c r="R376" i="46"/>
  <c r="P349" i="45"/>
  <c r="R395" i="46"/>
  <c r="R391" i="46"/>
  <c r="R387" i="46"/>
  <c r="Y379" i="46" s="1"/>
  <c r="Z379" i="46" s="1"/>
  <c r="Z383" i="46" s="1"/>
  <c r="R383" i="46"/>
  <c r="R379" i="46"/>
  <c r="R394" i="46"/>
  <c r="R390" i="46"/>
  <c r="Y382" i="46" s="1"/>
  <c r="R386" i="46"/>
  <c r="R382" i="46"/>
  <c r="R378" i="46"/>
  <c r="Y375" i="46" s="1"/>
  <c r="R393" i="46"/>
  <c r="R389" i="46"/>
  <c r="R385" i="46"/>
  <c r="R381" i="46"/>
  <c r="R377" i="46"/>
  <c r="R375" i="46"/>
  <c r="R392" i="46"/>
  <c r="R388" i="46"/>
  <c r="R384" i="46"/>
  <c r="R380" i="46"/>
  <c r="Y376" i="46" s="1"/>
  <c r="H40" i="49"/>
  <c r="H47" i="49" s="1"/>
  <c r="L404" i="46"/>
  <c r="L417" i="46"/>
  <c r="G415" i="46"/>
  <c r="G417" i="46" s="1"/>
  <c r="Y380" i="46" l="1"/>
  <c r="Y383" i="46" s="1"/>
  <c r="R396" i="46"/>
  <c r="X391" i="46" s="1"/>
  <c r="X393" i="46" s="1"/>
  <c r="H42" i="49"/>
  <c r="X332" i="46" l="1"/>
  <c r="X325" i="46"/>
  <c r="L335" i="46"/>
  <c r="E335" i="46"/>
  <c r="L334" i="46"/>
  <c r="E334" i="46"/>
  <c r="L333" i="46"/>
  <c r="E333" i="46"/>
  <c r="L332" i="46"/>
  <c r="E332" i="46"/>
  <c r="L331" i="46"/>
  <c r="E331" i="46"/>
  <c r="L330" i="46"/>
  <c r="E330" i="46"/>
  <c r="L329" i="46"/>
  <c r="E329" i="46"/>
  <c r="L328" i="46"/>
  <c r="E328" i="46"/>
  <c r="L327" i="46"/>
  <c r="E327" i="46"/>
  <c r="L326" i="46"/>
  <c r="E326" i="46"/>
  <c r="L325" i="46"/>
  <c r="E325" i="46"/>
  <c r="L324" i="46"/>
  <c r="E324" i="46"/>
  <c r="L323" i="46"/>
  <c r="E323" i="46"/>
  <c r="L322" i="46"/>
  <c r="E322" i="46"/>
  <c r="L321" i="46"/>
  <c r="E321" i="46"/>
  <c r="L320" i="46"/>
  <c r="E320" i="46"/>
  <c r="S299" i="45"/>
  <c r="R299" i="45"/>
  <c r="Q299" i="45"/>
  <c r="P299" i="45"/>
  <c r="O299" i="45"/>
  <c r="M299" i="45"/>
  <c r="L299" i="45"/>
  <c r="K299" i="45"/>
  <c r="J299" i="45"/>
  <c r="I299" i="45"/>
  <c r="N296" i="45"/>
  <c r="N284" i="45"/>
  <c r="H284" i="45"/>
  <c r="N283" i="45"/>
  <c r="H283" i="45"/>
  <c r="N282" i="45"/>
  <c r="H282" i="45"/>
  <c r="N281" i="45"/>
  <c r="H281" i="45"/>
  <c r="N280" i="45"/>
  <c r="H280" i="45"/>
  <c r="N279" i="45"/>
  <c r="H279" i="45"/>
  <c r="N278" i="45"/>
  <c r="H278" i="45"/>
  <c r="N277" i="45"/>
  <c r="H277" i="45"/>
  <c r="N276" i="45"/>
  <c r="H276" i="45"/>
  <c r="N299" i="45" l="1"/>
  <c r="R336" i="46"/>
  <c r="R320" i="46"/>
  <c r="Y317" i="46" s="1"/>
  <c r="R324" i="46"/>
  <c r="R328" i="46"/>
  <c r="R332" i="46"/>
  <c r="Y324" i="46" s="1"/>
  <c r="R337" i="46"/>
  <c r="R317" i="46"/>
  <c r="R321" i="46"/>
  <c r="R325" i="46"/>
  <c r="R329" i="46"/>
  <c r="R333" i="46"/>
  <c r="R318" i="46"/>
  <c r="R322" i="46"/>
  <c r="Y318" i="46" s="1"/>
  <c r="R326" i="46"/>
  <c r="R330" i="46"/>
  <c r="R334" i="46"/>
  <c r="R319" i="46"/>
  <c r="R323" i="46"/>
  <c r="R327" i="46"/>
  <c r="R331" i="46"/>
  <c r="R335" i="46"/>
  <c r="Y322" i="46" l="1"/>
  <c r="Y321" i="46"/>
  <c r="Z321" i="46" s="1"/>
  <c r="Z325" i="46" s="1"/>
  <c r="R338" i="46"/>
  <c r="X333" i="46" s="1"/>
  <c r="X335" i="46" s="1"/>
  <c r="Y325" i="46" l="1"/>
  <c r="R284" i="46"/>
  <c r="R283" i="46"/>
  <c r="R282" i="46"/>
  <c r="R281" i="46"/>
  <c r="R280" i="46"/>
  <c r="R279" i="46"/>
  <c r="R278" i="46"/>
  <c r="R277" i="46"/>
  <c r="R276" i="46"/>
  <c r="R275" i="46"/>
  <c r="R274" i="46"/>
  <c r="R273" i="46"/>
  <c r="R272" i="46"/>
  <c r="R271" i="46"/>
  <c r="R270" i="46"/>
  <c r="R269" i="46"/>
  <c r="Y265" i="46" s="1"/>
  <c r="R268" i="46"/>
  <c r="R267" i="46"/>
  <c r="Y264" i="46" s="1"/>
  <c r="R266" i="46"/>
  <c r="R265" i="46"/>
  <c r="R264" i="46"/>
  <c r="Y269" i="46"/>
  <c r="X277" i="46"/>
  <c r="X270" i="46"/>
  <c r="X230" i="46"/>
  <c r="X220" i="46"/>
  <c r="X223" i="46" s="1"/>
  <c r="Y266" i="46" l="1"/>
  <c r="Z266" i="46" s="1"/>
  <c r="Z270" i="46" s="1"/>
  <c r="Y267" i="46"/>
  <c r="R285" i="46"/>
  <c r="X278" i="46" s="1"/>
  <c r="X280" i="46" s="1"/>
  <c r="Y270" i="46" l="1"/>
  <c r="J278" i="46"/>
  <c r="L293" i="46" s="1"/>
  <c r="K278" i="46"/>
  <c r="L294" i="46" s="1"/>
  <c r="L273" i="46"/>
  <c r="L272" i="46"/>
  <c r="L270" i="46"/>
  <c r="L269" i="46"/>
  <c r="L268" i="46"/>
  <c r="L267" i="46"/>
  <c r="L278" i="46" l="1"/>
  <c r="L296" i="46"/>
  <c r="R237" i="46" l="1"/>
  <c r="R236" i="46"/>
  <c r="R235" i="46"/>
  <c r="R234" i="46"/>
  <c r="R233" i="46"/>
  <c r="R232" i="46"/>
  <c r="Y222" i="46" s="1"/>
  <c r="R231" i="46"/>
  <c r="R230" i="46"/>
  <c r="Y220" i="46" s="1"/>
  <c r="R229" i="46"/>
  <c r="R228" i="46"/>
  <c r="R227" i="46"/>
  <c r="R226" i="46"/>
  <c r="R225" i="46"/>
  <c r="R224" i="46"/>
  <c r="R223" i="46"/>
  <c r="R222" i="46"/>
  <c r="Y218" i="46" s="1"/>
  <c r="R221" i="46"/>
  <c r="R219" i="46"/>
  <c r="R218" i="46"/>
  <c r="R217" i="46"/>
  <c r="R220" i="46"/>
  <c r="Y217" i="46" s="1"/>
  <c r="G245" i="46"/>
  <c r="K230" i="46"/>
  <c r="L246" i="46" s="1"/>
  <c r="J230" i="46"/>
  <c r="L245" i="46" s="1"/>
  <c r="I230" i="46"/>
  <c r="I278" i="46" s="1"/>
  <c r="H230" i="46"/>
  <c r="H278" i="46" s="1"/>
  <c r="G230" i="46"/>
  <c r="L225" i="46"/>
  <c r="L224" i="46"/>
  <c r="L223" i="46"/>
  <c r="L222" i="46"/>
  <c r="L221" i="46"/>
  <c r="L220" i="46"/>
  <c r="Z217" i="46" l="1"/>
  <c r="Y219" i="46"/>
  <c r="Z219" i="46" s="1"/>
  <c r="G246" i="46"/>
  <c r="G248" i="46" s="1"/>
  <c r="G278" i="46"/>
  <c r="Z218" i="46"/>
  <c r="R238" i="46"/>
  <c r="X231" i="46" s="1"/>
  <c r="X233" i="46" s="1"/>
  <c r="L230" i="46"/>
  <c r="L248" i="46"/>
  <c r="Z223" i="46" l="1"/>
  <c r="Y223" i="46"/>
  <c r="D9" i="34" l="1"/>
  <c r="D10" i="34"/>
  <c r="D28" i="34"/>
  <c r="D29" i="34"/>
  <c r="R195" i="46"/>
  <c r="Y191" i="46" s="1"/>
  <c r="Z191" i="46" s="1"/>
  <c r="K197" i="46"/>
  <c r="L197" i="46" s="1"/>
  <c r="R193" i="46"/>
  <c r="Y190" i="46" s="1"/>
  <c r="Z190" i="46" s="1"/>
  <c r="R192" i="46"/>
  <c r="K196" i="46"/>
  <c r="L196" i="46" s="1"/>
  <c r="X205" i="46"/>
  <c r="X203" i="46"/>
  <c r="X194" i="46"/>
  <c r="R210" i="46"/>
  <c r="R209" i="46"/>
  <c r="R208" i="46"/>
  <c r="R207" i="46"/>
  <c r="R206" i="46"/>
  <c r="R205" i="46"/>
  <c r="R204" i="46"/>
  <c r="R203" i="46"/>
  <c r="R202" i="46"/>
  <c r="R201" i="46"/>
  <c r="R200" i="46"/>
  <c r="R199" i="46"/>
  <c r="R198" i="46"/>
  <c r="R197" i="46"/>
  <c r="R196" i="46"/>
  <c r="R194" i="46"/>
  <c r="R191" i="46"/>
  <c r="R190" i="46"/>
  <c r="S184" i="45"/>
  <c r="R184" i="45"/>
  <c r="Q184" i="45"/>
  <c r="P184" i="45"/>
  <c r="O184" i="45"/>
  <c r="M184" i="45"/>
  <c r="L184" i="45"/>
  <c r="K184" i="45"/>
  <c r="J184" i="45"/>
  <c r="I184" i="45"/>
  <c r="N181" i="45"/>
  <c r="N168" i="45"/>
  <c r="N167" i="45"/>
  <c r="N166" i="45"/>
  <c r="N165" i="45"/>
  <c r="N164" i="45"/>
  <c r="L195" i="46"/>
  <c r="L194" i="46"/>
  <c r="L193" i="46"/>
  <c r="Y192" i="46" l="1"/>
  <c r="Z192" i="46" s="1"/>
  <c r="Z194" i="46" s="1"/>
  <c r="R211" i="46"/>
  <c r="X204" i="46" s="1"/>
  <c r="X206" i="46" s="1"/>
  <c r="Y194" i="46" l="1"/>
  <c r="X166" i="46"/>
  <c r="X164" i="46"/>
  <c r="R170" i="46"/>
  <c r="R169" i="46"/>
  <c r="R168" i="46"/>
  <c r="R167" i="46"/>
  <c r="R166" i="46"/>
  <c r="R165" i="46"/>
  <c r="R164" i="46"/>
  <c r="R163" i="46"/>
  <c r="R162" i="46"/>
  <c r="R161" i="46"/>
  <c r="R160" i="46"/>
  <c r="R159" i="46"/>
  <c r="R158" i="46"/>
  <c r="R157" i="46"/>
  <c r="R156" i="46"/>
  <c r="R155" i="46"/>
  <c r="Y153" i="46" s="1"/>
  <c r="Z153" i="46" s="1"/>
  <c r="R154" i="46"/>
  <c r="Y152" i="46" s="1"/>
  <c r="R153" i="46"/>
  <c r="R152" i="46"/>
  <c r="N144" i="45"/>
  <c r="N184" i="45" s="1"/>
  <c r="N143" i="45"/>
  <c r="N142" i="45"/>
  <c r="N141" i="45"/>
  <c r="N140" i="45"/>
  <c r="N139" i="45"/>
  <c r="N138" i="45"/>
  <c r="N137" i="45"/>
  <c r="N136" i="45"/>
  <c r="Y154" i="46" l="1"/>
  <c r="Z154" i="46" s="1"/>
  <c r="Z152" i="46"/>
  <c r="R171" i="46"/>
  <c r="Z156" i="46" l="1"/>
  <c r="Y156" i="46"/>
  <c r="X165" i="46" s="1"/>
  <c r="X167" i="46" s="1"/>
  <c r="R125" i="46" l="1"/>
  <c r="R126" i="46"/>
  <c r="R127" i="46"/>
  <c r="R128" i="46"/>
  <c r="R129" i="46"/>
  <c r="R130" i="46"/>
  <c r="R131" i="46"/>
  <c r="R132" i="46"/>
  <c r="R133" i="46"/>
  <c r="R134" i="46"/>
  <c r="R135" i="46"/>
  <c r="R136" i="46"/>
  <c r="R137" i="46"/>
  <c r="R138" i="46"/>
  <c r="R139" i="46"/>
  <c r="R121" i="46"/>
  <c r="X131" i="46"/>
  <c r="R124" i="46"/>
  <c r="Y122" i="46" s="1"/>
  <c r="Z122" i="46" s="1"/>
  <c r="R123" i="46"/>
  <c r="Y121" i="46" s="1"/>
  <c r="R122" i="46"/>
  <c r="L134" i="46"/>
  <c r="N118" i="45"/>
  <c r="N102" i="45"/>
  <c r="N103" i="45"/>
  <c r="N104" i="45"/>
  <c r="N105" i="45"/>
  <c r="N106" i="45"/>
  <c r="N107" i="45"/>
  <c r="N108" i="45"/>
  <c r="N109" i="45"/>
  <c r="N110" i="45"/>
  <c r="N111" i="45"/>
  <c r="N112" i="45"/>
  <c r="Y123" i="46" l="1"/>
  <c r="Z123" i="46" s="1"/>
  <c r="R140" i="46"/>
  <c r="Z121" i="46"/>
  <c r="Z125" i="46" l="1"/>
  <c r="Y125" i="46"/>
  <c r="X132" i="46" s="1"/>
  <c r="X134" i="46" l="1"/>
  <c r="Z99" i="46" l="1"/>
  <c r="Y98" i="46"/>
  <c r="X109" i="46"/>
  <c r="X111" i="46" l="1"/>
  <c r="Z98" i="46"/>
  <c r="K105" i="46" l="1"/>
  <c r="K139" i="46" s="1"/>
  <c r="J105" i="46"/>
  <c r="J139" i="46" s="1"/>
  <c r="I105" i="46"/>
  <c r="I139" i="46" s="1"/>
  <c r="H105" i="46"/>
  <c r="H139" i="46" s="1"/>
  <c r="G105" i="46"/>
  <c r="G139" i="46" s="1"/>
  <c r="L100" i="46"/>
  <c r="L99" i="46"/>
  <c r="E99" i="46"/>
  <c r="L98" i="46"/>
  <c r="E98" i="46"/>
  <c r="L97" i="46"/>
  <c r="E97" i="46"/>
  <c r="S89" i="45"/>
  <c r="S121" i="45" s="1"/>
  <c r="R89" i="45"/>
  <c r="R121" i="45" s="1"/>
  <c r="Q89" i="45"/>
  <c r="Q121" i="45" s="1"/>
  <c r="P89" i="45"/>
  <c r="P121" i="45" s="1"/>
  <c r="O89" i="45"/>
  <c r="O121" i="45" s="1"/>
  <c r="M89" i="45"/>
  <c r="M121" i="45" s="1"/>
  <c r="L89" i="45"/>
  <c r="L121" i="45" s="1"/>
  <c r="K89" i="45"/>
  <c r="K121" i="45" s="1"/>
  <c r="J89" i="45"/>
  <c r="J121" i="45" s="1"/>
  <c r="I89" i="45"/>
  <c r="I121" i="45" s="1"/>
  <c r="N86" i="45"/>
  <c r="H75" i="45"/>
  <c r="H74" i="45"/>
  <c r="H73" i="45"/>
  <c r="H72" i="45"/>
  <c r="H71" i="45"/>
  <c r="L105" i="46" l="1"/>
  <c r="L139" i="46" s="1"/>
  <c r="N89" i="45"/>
  <c r="N121" i="45" s="1"/>
  <c r="R100" i="46"/>
  <c r="R104" i="46"/>
  <c r="R108" i="46"/>
  <c r="R112" i="46"/>
  <c r="R101" i="46"/>
  <c r="R105" i="46"/>
  <c r="R109" i="46"/>
  <c r="R113" i="46"/>
  <c r="R98" i="46"/>
  <c r="R102" i="46"/>
  <c r="R106" i="46"/>
  <c r="R110" i="46"/>
  <c r="R97" i="46"/>
  <c r="R99" i="46"/>
  <c r="R103" i="46"/>
  <c r="R107" i="46"/>
  <c r="R111" i="46"/>
  <c r="Y97" i="46" l="1"/>
  <c r="R114" i="46"/>
  <c r="Y100" i="46" l="1"/>
  <c r="X110" i="46" s="1"/>
  <c r="X112" i="46" s="1"/>
  <c r="Z97" i="46"/>
  <c r="Z100" i="46" s="1"/>
  <c r="X79" i="46" l="1"/>
  <c r="R65" i="46"/>
  <c r="X77" i="46"/>
  <c r="Y69" i="46"/>
  <c r="Z69" i="46" s="1"/>
  <c r="Y68" i="46"/>
  <c r="Z68" i="46" s="1"/>
  <c r="Y66" i="46"/>
  <c r="Z66" i="46" s="1"/>
  <c r="Y65" i="46"/>
  <c r="Z65" i="46" s="1"/>
  <c r="R81" i="46"/>
  <c r="R80" i="46"/>
  <c r="R79" i="46"/>
  <c r="R78" i="46"/>
  <c r="R77" i="46"/>
  <c r="R76" i="46"/>
  <c r="R75" i="46"/>
  <c r="R74" i="46"/>
  <c r="R73" i="46"/>
  <c r="R72" i="46"/>
  <c r="R71" i="46"/>
  <c r="R70" i="46"/>
  <c r="R69" i="46"/>
  <c r="R68" i="46"/>
  <c r="R67" i="46"/>
  <c r="R66" i="46"/>
  <c r="Y67" i="46" l="1"/>
  <c r="Z67" i="46" s="1"/>
  <c r="Z71" i="46" s="1"/>
  <c r="R82" i="46"/>
  <c r="Y71" i="46" l="1"/>
  <c r="X78" i="46" s="1"/>
  <c r="X80" i="46" l="1"/>
  <c r="R31" i="46"/>
  <c r="R30" i="46"/>
  <c r="R29" i="46"/>
  <c r="R28" i="46"/>
  <c r="R27" i="46"/>
  <c r="R26" i="46"/>
  <c r="R25" i="46"/>
  <c r="R24" i="46"/>
  <c r="R23" i="46"/>
  <c r="R22" i="46"/>
  <c r="R21" i="46"/>
  <c r="R20" i="46"/>
  <c r="R19" i="46"/>
  <c r="R18" i="46"/>
  <c r="R17" i="46"/>
  <c r="R16" i="46"/>
  <c r="R15" i="46"/>
  <c r="Y15" i="46" s="1"/>
  <c r="Y20" i="46"/>
  <c r="Z20" i="46" s="1"/>
  <c r="Y18" i="46"/>
  <c r="Z18" i="46" s="1"/>
  <c r="Y19" i="46" l="1"/>
  <c r="Y16" i="46" l="1"/>
  <c r="Z16" i="46" s="1"/>
  <c r="Z15" i="46"/>
  <c r="Z19" i="46" l="1"/>
  <c r="Y17" i="46"/>
  <c r="Z17" i="46" s="1"/>
  <c r="X22" i="46"/>
  <c r="Z22" i="46" l="1"/>
  <c r="Y22" i="46"/>
  <c r="R32" i="46"/>
  <c r="H32" i="34" l="1"/>
  <c r="H31" i="34"/>
  <c r="I35" i="34" l="1"/>
  <c r="H20" i="34"/>
  <c r="H19" i="34"/>
  <c r="D75" i="37" l="1"/>
  <c r="E16" i="33" l="1"/>
  <c r="E15" i="33"/>
  <c r="E14" i="33"/>
  <c r="E13" i="33"/>
  <c r="E12" i="33"/>
  <c r="E11" i="33"/>
  <c r="E10" i="33"/>
  <c r="E9" i="33"/>
  <c r="E8" i="33"/>
  <c r="E7" i="33"/>
  <c r="E6" i="33"/>
  <c r="E75" i="37" l="1"/>
  <c r="E38" i="34" l="1"/>
  <c r="E35" i="34"/>
  <c r="H6" i="34"/>
  <c r="H25" i="34" l="1"/>
  <c r="H14" i="34" l="1"/>
  <c r="E50" i="39" l="1"/>
  <c r="D50" i="39"/>
  <c r="E62" i="38"/>
  <c r="D62" i="38"/>
  <c r="E84" i="40"/>
  <c r="D84" i="40"/>
  <c r="G11" i="33" l="1"/>
  <c r="D11" i="33"/>
  <c r="D7" i="33"/>
  <c r="D8" i="33"/>
  <c r="D9" i="33"/>
  <c r="D10" i="33"/>
  <c r="D12" i="33"/>
  <c r="D13" i="33"/>
  <c r="D14" i="33"/>
  <c r="D15" i="33"/>
  <c r="D16" i="33"/>
  <c r="D6" i="33"/>
  <c r="G9" i="33"/>
  <c r="G8" i="33"/>
  <c r="D7" i="34" l="1"/>
  <c r="D8" i="34"/>
  <c r="D11" i="34"/>
  <c r="D12" i="34"/>
  <c r="D13" i="34"/>
  <c r="D14" i="34"/>
  <c r="D15" i="34"/>
  <c r="D17" i="34"/>
  <c r="D18" i="34"/>
  <c r="D21" i="34"/>
  <c r="D22" i="34"/>
  <c r="D26" i="34"/>
  <c r="D27" i="34"/>
  <c r="D30" i="34"/>
  <c r="D6" i="34"/>
  <c r="H26" i="34" l="1"/>
  <c r="H15" i="34" l="1"/>
  <c r="H13" i="34" l="1"/>
  <c r="H12" i="34"/>
  <c r="H21" i="34"/>
  <c r="H11" i="34"/>
  <c r="H30" i="34"/>
  <c r="H29" i="34"/>
  <c r="H27" i="34"/>
  <c r="H22" i="34"/>
  <c r="H18" i="34"/>
  <c r="H17" i="34"/>
  <c r="H10" i="34"/>
  <c r="H8" i="34"/>
  <c r="H7" i="34"/>
  <c r="G6" i="33" l="1"/>
  <c r="K18" i="38" l="1"/>
  <c r="K107" i="37"/>
  <c r="K86" i="37"/>
  <c r="K57" i="37"/>
  <c r="G10" i="33" l="1"/>
  <c r="G7" i="33"/>
  <c r="G13" i="33"/>
  <c r="G16" i="33"/>
  <c r="G15" i="33"/>
  <c r="G12" i="33"/>
  <c r="G14" i="33"/>
  <c r="H71" i="40" l="1"/>
  <c r="E39" i="34" l="1"/>
  <c r="E41" i="34" s="1"/>
</calcChain>
</file>

<file path=xl/comments1.xml><?xml version="1.0" encoding="utf-8"?>
<comments xmlns="http://schemas.openxmlformats.org/spreadsheetml/2006/main">
  <authors>
    <author>am78643</author>
  </authors>
  <commentList>
    <comment ref="H5" authorId="0" shapeId="0">
      <text>
        <r>
          <rPr>
            <sz val="8"/>
            <color indexed="81"/>
            <rFont val="Tahoma"/>
            <family val="2"/>
          </rPr>
          <t>Dejar en cero(0) o en blanco si moviemiento es de balance</t>
        </r>
      </text>
    </comment>
  </commentList>
</comments>
</file>

<file path=xl/comments2.xml><?xml version="1.0" encoding="utf-8"?>
<comments xmlns="http://schemas.openxmlformats.org/spreadsheetml/2006/main">
  <authors>
    <author>am78643</author>
  </authors>
  <commentList>
    <comment ref="I5" authorId="0" shapeId="0">
      <text>
        <r>
          <rPr>
            <sz val="8"/>
            <color indexed="81"/>
            <rFont val="Tahoma"/>
            <family val="2"/>
          </rPr>
          <t>Dejar en cero(0) o en blanco si movimiento es de balance</t>
        </r>
      </text>
    </comment>
  </commentList>
</comments>
</file>

<file path=xl/comments3.xml><?xml version="1.0" encoding="utf-8"?>
<comments xmlns="http://schemas.openxmlformats.org/spreadsheetml/2006/main">
  <authors>
    <author>AVAL</author>
    <author>Coto Corea, Nelson Enrique [DIV-SLV NE]</author>
  </authors>
  <commentList>
    <comment ref="D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0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0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0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7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7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09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</t>
        </r>
      </text>
    </comment>
    <comment ref="D314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4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4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36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6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67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No domiciliado</t>
        </r>
      </text>
    </comment>
    <comment ref="O410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15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15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15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56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461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61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61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51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1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1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565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570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70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70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22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</t>
        </r>
      </text>
    </comment>
    <comment ref="D627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27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27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6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 ANTES SE LE RETENIA, PERO APROX  EN MAYO CAMBIO DE CLASIFICACION YYA NO SE LE RETIENE 1%</t>
        </r>
      </text>
    </comment>
    <comment ref="D67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67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7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06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711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11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11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37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742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42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42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830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KPMG , central de depositos
RANSA,  APROX  EN MAYO CAMBIO DE CLASIFICACION Y YA NO SE LE RETIENE 1%</t>
        </r>
      </text>
    </comment>
    <comment ref="D835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5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35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868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, central de depositos
RANSA,  APROX  EN MAYO CAMBIO DE CLASIFICACION Y YA NO SE LE RETIENE 1%
O &amp; R MARKETING COMMUNICATIONS, S.A DE C.V.</t>
        </r>
      </text>
    </comment>
    <comment ref="D873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73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73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04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, central de depositos
RANSA,  APROX  EN MAYO CAMBIO DE CLASIFICACION Y YA NO SE LE RETIENE 1%
O &amp; R MARKETING COMMUNICATIONS, S.A DE C.V.</t>
        </r>
      </text>
    </comment>
    <comment ref="D90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0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0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34" authorId="1" shapeId="0">
      <text>
        <r>
          <rPr>
            <b/>
            <sz val="9"/>
            <color indexed="81"/>
            <rFont val="Tahoma"/>
            <family val="2"/>
          </rPr>
          <t>Coto Corea, Nelson Enrique [DIV-SLV NE]:</t>
        </r>
        <r>
          <rPr>
            <sz val="9"/>
            <color indexed="81"/>
            <rFont val="Tahoma"/>
            <family val="2"/>
          </rPr>
          <t xml:space="preserve">
Solo se le retiene a 
KPMG 
 CENTRAL DE DEPOSITOS 
O &amp; R MARKETING COMMUNICATIONS, S.A DE C.V.</t>
        </r>
      </text>
    </comment>
    <comment ref="D939" authorId="0" shapeId="0">
      <text>
        <r>
          <rPr>
            <sz val="10"/>
            <color indexed="81"/>
            <rFont val="Tahoma"/>
            <family val="2"/>
          </rPr>
          <t xml:space="preserve">Fecha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39" authorId="0" shapeId="0">
      <text>
        <r>
          <rPr>
            <sz val="10"/>
            <color indexed="81"/>
            <rFont val="Tahoma"/>
            <family val="2"/>
          </rPr>
          <t xml:space="preserve">Número del Crédito Fiscal que emite el proveedor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39" authorId="0" shapeId="0">
      <text>
        <r>
          <rPr>
            <sz val="10"/>
            <color indexed="81"/>
            <rFont val="Tahoma"/>
            <family val="2"/>
          </rPr>
          <t>Número del documento de Retención de IVA que emite AVAL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<sst xmlns="http://schemas.openxmlformats.org/spreadsheetml/2006/main" count="6544" uniqueCount="1207">
  <si>
    <t>SISA</t>
  </si>
  <si>
    <t>REVALUACIONES</t>
  </si>
  <si>
    <t>COMISIONES COBRADAS POR OPERACIONES DE REPORTO EN BOLSA</t>
  </si>
  <si>
    <t>INGxSERV COLOC MERC PRIM-CASA</t>
  </si>
  <si>
    <t>COMIS.CASA MERC.SECUNDARIO</t>
  </si>
  <si>
    <t>GARANTIAS OTORGADAS</t>
  </si>
  <si>
    <t>ACTIVOS INTANGIBLES</t>
  </si>
  <si>
    <t>GASTOS FINANCIEROS</t>
  </si>
  <si>
    <t xml:space="preserve">VAL. DE EMIS. EXISTENCIA xNEGOCIAR </t>
  </si>
  <si>
    <t>DIVIDENDOS BVES</t>
  </si>
  <si>
    <t>PASIVO NO CORRIENTE</t>
  </si>
  <si>
    <t>INTERESES</t>
  </si>
  <si>
    <t>OBLIGACIONES POR FONDOS RECIBIDOS DE CLIENTES</t>
  </si>
  <si>
    <t>CONTRACUENTA VALORES Y BIENES PROPIOS EN CUSTODIA</t>
  </si>
  <si>
    <t>LIBRO DE VENTAS AL CONTRIBUYENTE</t>
  </si>
  <si>
    <t>Moneda: US Dolares</t>
  </si>
  <si>
    <t>TIPO</t>
  </si>
  <si>
    <t>CAPITAL SOCIAL</t>
  </si>
  <si>
    <t>-</t>
  </si>
  <si>
    <t>99</t>
  </si>
  <si>
    <t>INGRESOS DIVERSOS</t>
  </si>
  <si>
    <t>OTROS INGRESOS</t>
  </si>
  <si>
    <t>SISA VIDA, S.A. SEGUROS DE PERSONAS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</si>
  <si>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</si>
  <si>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</si>
  <si>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</si>
  <si>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</si>
  <si>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</si>
  <si>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</si>
  <si>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</si>
  <si>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</si>
  <si>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</si>
  <si>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</si>
  <si>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</si>
  <si>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</si>
  <si>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</si>
  <si>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</si>
  <si>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</si>
  <si>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</si>
  <si>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DESCRIPCION CUENTA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</si>
  <si>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</si>
  <si>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</si>
  <si>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</si>
  <si>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</si>
  <si>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</si>
  <si>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</si>
  <si>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IVA</t>
  </si>
  <si>
    <t>146-5</t>
  </si>
  <si>
    <t>VENTAS</t>
  </si>
  <si>
    <t>CUENTAS POR PAGAR</t>
  </si>
  <si>
    <t>RESULTADOS</t>
  </si>
  <si>
    <t>CUENTAS BANCARIAS - ADMINISTRACION DE CARTERA</t>
  </si>
  <si>
    <t>RENDIMIENTOS POR COBRAR</t>
  </si>
  <si>
    <t>RESULTADOS ACUMULADOS</t>
  </si>
  <si>
    <t>VALORES CUSCATLAN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</si>
  <si>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</si>
  <si>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</si>
  <si>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</si>
  <si>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</si>
  <si>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</si>
  <si>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</si>
  <si>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</si>
  <si>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</si>
  <si>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</si>
  <si>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</si>
  <si>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</si>
  <si>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</si>
  <si>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</si>
  <si>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</si>
  <si>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</si>
  <si>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</si>
  <si>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INGxSERV COLOC MERC PRIM-BOLSA</t>
  </si>
  <si>
    <t>INGRESOS POR INTERESES DPF</t>
  </si>
  <si>
    <t>OTROS INGRESOS EXTRAORDINARIOS</t>
  </si>
  <si>
    <t xml:space="preserve">NO. DE </t>
  </si>
  <si>
    <t>V E N T A S    I N T E R N A S</t>
  </si>
  <si>
    <t>DIA</t>
  </si>
  <si>
    <t>CCF</t>
  </si>
  <si>
    <t>NOMBRE DEL CLIENTE</t>
  </si>
  <si>
    <t>EXPORTACIONES</t>
  </si>
  <si>
    <t>VENTAS GRAVADAS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</si>
  <si>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</si>
  <si>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</si>
  <si>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</si>
  <si>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</si>
  <si>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</si>
  <si>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</si>
  <si>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</si>
  <si>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</si>
  <si>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NOV</t>
  </si>
  <si>
    <t>DIC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</si>
  <si>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</si>
  <si>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</si>
  <si>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</si>
  <si>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</si>
  <si>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COMISION BOLSA OPERAC.EXTERIOR</t>
  </si>
  <si>
    <t>VALORES CUSCATLAN EL SALVADOR, S.A. DE C.V.</t>
  </si>
  <si>
    <t xml:space="preserve"> </t>
  </si>
  <si>
    <t>VALORES RECIBIDOS PARA CUSTODIA Y COBRO</t>
  </si>
  <si>
    <t>EMPRESA1</t>
  </si>
  <si>
    <t>PAIS1</t>
  </si>
  <si>
    <t>IMPUESTOS POR PAGAR PROPIOS</t>
  </si>
  <si>
    <t>OTRAS CONTINGENCIAS Y COMPROMISOS</t>
  </si>
  <si>
    <t>MANUAL</t>
  </si>
  <si>
    <t>SISA VIDA, S.A.</t>
  </si>
  <si>
    <t>INTERESES POR SALDOS EN CUENTAS DE AHORROS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</si>
  <si>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</si>
  <si>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</si>
  <si>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</si>
  <si>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</si>
  <si>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</si>
  <si>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</si>
  <si>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</si>
  <si>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</si>
  <si>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</si>
  <si>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</si>
  <si>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</si>
  <si>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</si>
  <si>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</si>
  <si>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</si>
  <si>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</si>
  <si>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</si>
  <si>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</si>
  <si>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</si>
  <si>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</si>
  <si>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</si>
  <si>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</si>
  <si>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SEGUROS E INVERSIONES, S.A.</t>
  </si>
  <si>
    <t>COMISIONES COBRADAS POR  SERVICIOS DE CEDEVAL</t>
  </si>
  <si>
    <t>COMISIONES POR OPERACIONE EN BOLSA</t>
  </si>
  <si>
    <t>RESPONSABILIDAD POR GARANTIAS OTORGADAS</t>
  </si>
  <si>
    <t>CUENTAS POR PAGAR RELACIONADAS</t>
  </si>
  <si>
    <t>PATRIMONIO</t>
  </si>
  <si>
    <t>RESERVAS DE CAPITAL</t>
  </si>
  <si>
    <t>Actividad Económica:CASA CORREDORA DE BOLSA</t>
  </si>
  <si>
    <t>NIT:  0614-180192-101-3</t>
  </si>
  <si>
    <t>FECHA</t>
  </si>
  <si>
    <t xml:space="preserve">No. DEL </t>
  </si>
  <si>
    <t xml:space="preserve">CUENTAS Y DOCUMENTOS POR COBRAR </t>
  </si>
  <si>
    <t>NOMBRE DEL PROVEEDOR</t>
  </si>
  <si>
    <t>TOTAL</t>
  </si>
  <si>
    <t>DOCUMENTO</t>
  </si>
  <si>
    <t>REGISTRO</t>
  </si>
  <si>
    <t>MUEBLES</t>
  </si>
  <si>
    <t>Valores Cuscatlan, S.A. de C.V.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</si>
  <si>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</si>
  <si>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</si>
  <si>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</si>
  <si>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</si>
  <si>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</si>
  <si>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</si>
  <si>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COMISIONES COBRADAS POR OPERACIONES EN BOLSA</t>
  </si>
  <si>
    <t>COMISIONES COBRADAS POR OPERACIONES DE CUSTODIA CEDEVAL</t>
  </si>
  <si>
    <t>IMPUESTO SOBRE LA RENTA</t>
  </si>
  <si>
    <t>CUENTA_CONTABLE1</t>
  </si>
  <si>
    <t>SLD_MONEDA_LOCAL1</t>
  </si>
  <si>
    <t>Booking Entity</t>
  </si>
  <si>
    <t>TASA_CAMBIO1</t>
  </si>
  <si>
    <t>SLD_MONEDA_DOLAR1</t>
  </si>
  <si>
    <t>MonthlyRevenue</t>
  </si>
  <si>
    <t>EMPRESA2</t>
  </si>
  <si>
    <t>Destiny Entity Code</t>
  </si>
  <si>
    <t>PAIS2</t>
  </si>
  <si>
    <t>SV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</si>
  <si>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</si>
  <si>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</si>
  <si>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</si>
  <si>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</si>
  <si>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</si>
  <si>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</si>
  <si>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</si>
  <si>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</si>
  <si>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</si>
  <si>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</si>
  <si>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</si>
  <si>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</si>
  <si>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NO SUJETAS</t>
  </si>
  <si>
    <t>EXENTAS</t>
  </si>
  <si>
    <t xml:space="preserve">VALOR NETO </t>
  </si>
  <si>
    <t>589-4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</si>
  <si>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</si>
  <si>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</si>
  <si>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</si>
  <si>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</si>
  <si>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Diferencia</t>
  </si>
  <si>
    <t>216</t>
  </si>
  <si>
    <t>CAPITAL</t>
  </si>
  <si>
    <t>SEGUROS E INVERSIONES, S.A DE C.V.</t>
  </si>
  <si>
    <t>627-0</t>
  </si>
  <si>
    <t>VALORES CUSCATLAN, S. A. DE C.V.   REGISTRO 57974-2</t>
  </si>
  <si>
    <t>REPORTE DE VENTAS CONSUMIDOR FINAL</t>
  </si>
  <si>
    <t>DISPONIBLE RESTRINGIDO</t>
  </si>
  <si>
    <t>SEGUROS PARA EL PERSONAL - ADMO</t>
  </si>
  <si>
    <t>COMIS.BOLSA MERC.SECUNDARIO</t>
  </si>
  <si>
    <t>INGR x SERV REPORTO BOLSA</t>
  </si>
  <si>
    <t>INGRESO x SERV REPORTO CASA</t>
  </si>
  <si>
    <t>COMISION CASA OPERAC EXTERIOR</t>
  </si>
  <si>
    <t>CUENTA_CONTABLE COBIS</t>
  </si>
  <si>
    <t>COMISION CEDEVAL</t>
  </si>
  <si>
    <t>COMISION MERCADO PRIMARIO</t>
  </si>
  <si>
    <t>PORTAFOLIO INVERSION A PLAZO</t>
  </si>
  <si>
    <t>PORTAFOLIO PRO RETIRO</t>
  </si>
  <si>
    <t>PORTAFOLIO MAS PN</t>
  </si>
  <si>
    <t>ALQUILER DE LOCALES INTERCOMPANY EDIFICIO PIRAMIDE</t>
  </si>
  <si>
    <t>Jesy Yanira Quijada</t>
  </si>
  <si>
    <t xml:space="preserve"> Jefe de Contraloría</t>
  </si>
  <si>
    <t>SEGURO DE PERSONAL</t>
  </si>
  <si>
    <t>BOLSA DE VALORES DE EL SALVADOR, S.A. DE C.V.</t>
  </si>
  <si>
    <t>27287-6</t>
  </si>
  <si>
    <t>KPMG, S.A.</t>
  </si>
  <si>
    <t>88004-3</t>
  </si>
  <si>
    <t>COMUNICACIÓN CREATIVA SA DE CV</t>
  </si>
  <si>
    <t>77485-5</t>
  </si>
  <si>
    <t>CENTRAL DE DEPOSITO DE VALORES, S.A. DE C.V.</t>
  </si>
  <si>
    <t>GANANCIA VENTA MUEBLES</t>
  </si>
  <si>
    <t>GANANCIA VENTA EQUIPO</t>
  </si>
  <si>
    <t>INVERSIONES FINANCIERAS CUSCATLAN</t>
  </si>
  <si>
    <t>Shearlene Márquez</t>
  </si>
  <si>
    <r>
      <t xml:space="preserve">VALORES CUSCATLAN, S. A. DE C.V.   </t>
    </r>
    <r>
      <rPr>
        <sz val="16"/>
        <rFont val="Calibri"/>
        <family val="2"/>
        <scheme val="minor"/>
      </rPr>
      <t>REGISTRO 57974-2</t>
    </r>
  </si>
  <si>
    <t>MES</t>
  </si>
  <si>
    <t>20 - 25</t>
  </si>
  <si>
    <t>No.</t>
  </si>
  <si>
    <t xml:space="preserve">No. DOCUMENTO </t>
  </si>
  <si>
    <t>No. DE</t>
  </si>
  <si>
    <t>COMPRAS  EXENTAS</t>
  </si>
  <si>
    <t>COMPRAS GRAVADAS</t>
  </si>
  <si>
    <t>MONTO SUJETO</t>
  </si>
  <si>
    <t>ANTICIPO A CTA</t>
  </si>
  <si>
    <t>SUJETOS</t>
  </si>
  <si>
    <t xml:space="preserve">RETENCION </t>
  </si>
  <si>
    <t>CONTABILIZADO</t>
  </si>
  <si>
    <t>RETENCION</t>
  </si>
  <si>
    <t>INTERNAS</t>
  </si>
  <si>
    <t>IMPORTACION</t>
  </si>
  <si>
    <t>COMPRAS</t>
  </si>
  <si>
    <t>A RETENCION</t>
  </si>
  <si>
    <t>IVA RETENIDO</t>
  </si>
  <si>
    <t>EXCLUIDOS</t>
  </si>
  <si>
    <t xml:space="preserve"> SERV PROF</t>
  </si>
  <si>
    <t>A NO DOMICILIADOS</t>
  </si>
  <si>
    <r>
      <t xml:space="preserve">EJERCICIO FISCAL          </t>
    </r>
    <r>
      <rPr>
        <b/>
        <sz val="10"/>
        <rFont val="Cambria"/>
        <family val="1"/>
        <scheme val="major"/>
      </rPr>
      <t>MES:</t>
    </r>
  </si>
  <si>
    <t>CF</t>
  </si>
  <si>
    <t>BANCO CUSCATLAN DE EL SALVADOR S.A.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</si>
  <si>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</si>
  <si>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</si>
  <si>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</si>
  <si>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</si>
  <si>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Ingresos Mensuales</t>
  </si>
  <si>
    <t>SEGURO DE PROPIEDAD</t>
  </si>
  <si>
    <t>SEGURO RIESGOS BANCARIOS</t>
  </si>
  <si>
    <t xml:space="preserve">GASTO MENSUAL DE SEGURO PAGADO POR ANTICIPADO </t>
  </si>
  <si>
    <t>GASTO DE ARRENDAMIENTOS BANCO CUSCATLAN</t>
  </si>
  <si>
    <t>AlQUILER DE ESPACIO EDIFICIO PIRAMIDE</t>
  </si>
  <si>
    <t>CUENTAS AREEDORAS POR OBLIGACIONES POR SERVICIOS EN ADMINISTRACION DE CARTERA</t>
  </si>
  <si>
    <t>399</t>
  </si>
  <si>
    <t>Ingresos operativos</t>
  </si>
  <si>
    <t>Ingresos Intercompany</t>
  </si>
  <si>
    <t>Intercompany</t>
  </si>
  <si>
    <t>INVERSIONES FINANCIERAS IMPERIA CUSCATLAN, S.A.</t>
  </si>
  <si>
    <t>ANULADO</t>
  </si>
  <si>
    <t>Citibank NA</t>
  </si>
  <si>
    <t>TOTALES GENERALES</t>
  </si>
  <si>
    <t>Cod</t>
  </si>
  <si>
    <t>Cliente</t>
  </si>
  <si>
    <t>Banco Cuscatlan</t>
  </si>
  <si>
    <t>SISA VIDA</t>
  </si>
  <si>
    <t>Ingresos intercompany</t>
  </si>
  <si>
    <t>Gastos intercompany</t>
  </si>
  <si>
    <t>Resultados intercompany</t>
  </si>
  <si>
    <t>INVERSIONES FINANCIERAS IMPERIA CUSCATLAN, SA</t>
  </si>
  <si>
    <t>250443-6</t>
  </si>
  <si>
    <t>CUENTAS CONTINGENTES DE COMPROMISO DEUDORAS</t>
  </si>
  <si>
    <t>38</t>
  </si>
  <si>
    <t>LIQ IVA COMPRAS DEL MES</t>
  </si>
  <si>
    <t>COLOCACION EN PERCADO PRIMARIO</t>
  </si>
  <si>
    <t>Venta con Factura</t>
  </si>
  <si>
    <t>Devolucion de comision por inactividad de cuentas de ahorro</t>
  </si>
  <si>
    <t>4384597</t>
  </si>
  <si>
    <t>1933</t>
  </si>
  <si>
    <t>945</t>
  </si>
  <si>
    <t>328</t>
  </si>
  <si>
    <t>334</t>
  </si>
  <si>
    <t>354</t>
  </si>
  <si>
    <t>363</t>
  </si>
  <si>
    <t>378</t>
  </si>
  <si>
    <t>1385</t>
  </si>
  <si>
    <t>946</t>
  </si>
  <si>
    <t>39</t>
  </si>
  <si>
    <t>43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</si>
  <si>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</si>
  <si>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</si>
  <si>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</si>
  <si>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</si>
  <si>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</si>
  <si>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</si>
  <si>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</si>
  <si>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</si>
  <si>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</si>
  <si>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</si>
  <si>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</si>
  <si>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</si>
  <si>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</si>
  <si>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</si>
  <si>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</si>
  <si>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</si>
  <si>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</si>
  <si>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</si>
  <si>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</si>
  <si>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</si>
  <si>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</si>
  <si>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</si>
  <si>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</si>
  <si>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</si>
  <si>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</si>
  <si>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</si>
  <si>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</si>
  <si>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</si>
  <si>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</si>
  <si>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0097</t>
  </si>
  <si>
    <t>00419</t>
  </si>
  <si>
    <t>00420</t>
  </si>
  <si>
    <t>LIQ. IVA DEBITO FISCAL DEL MES - COMP. CREDITO FISCAL</t>
  </si>
  <si>
    <t>LIQ. IVA DEBITO FISCAL DEL MES - PAGO DEL REMANENTE</t>
  </si>
  <si>
    <t>CITIBANK, N.A. SUCURSAL EL SALVADOR</t>
  </si>
  <si>
    <t>17</t>
  </si>
  <si>
    <t>947</t>
  </si>
  <si>
    <t>115266-3</t>
  </si>
  <si>
    <t>4395695</t>
  </si>
  <si>
    <t>339</t>
  </si>
  <si>
    <t>1582</t>
  </si>
  <si>
    <t>948</t>
  </si>
  <si>
    <t>470</t>
  </si>
  <si>
    <t>1999</t>
  </si>
  <si>
    <t>949</t>
  </si>
  <si>
    <t>475</t>
  </si>
  <si>
    <t>14845</t>
  </si>
  <si>
    <t>1674-8</t>
  </si>
  <si>
    <t>168</t>
  </si>
  <si>
    <t>950</t>
  </si>
  <si>
    <t>6000002588</t>
  </si>
  <si>
    <t>962</t>
  </si>
  <si>
    <t>157889-5</t>
  </si>
  <si>
    <t>6000002078</t>
  </si>
  <si>
    <t>15083</t>
  </si>
  <si>
    <t>99838-9</t>
  </si>
  <si>
    <t>ASOCIACION SALVADOREÑA DE INTERMEDIARIOS BURSATILES</t>
  </si>
  <si>
    <t xml:space="preserve">BANCO HIPOTECARIO DE EL SALVADOR SA </t>
  </si>
  <si>
    <t>OPERADORES LOGISTICOS RANSA, S.A. DE C.V.</t>
  </si>
  <si>
    <t>DIRECCION GENERAL DE ESTADISTICAS Y CENSO</t>
  </si>
  <si>
    <t>00421</t>
  </si>
  <si>
    <t>00422</t>
  </si>
  <si>
    <t>00423</t>
  </si>
  <si>
    <t>00424</t>
  </si>
  <si>
    <t>00425</t>
  </si>
  <si>
    <t>00426</t>
  </si>
  <si>
    <t>00427</t>
  </si>
  <si>
    <t>1737</t>
  </si>
  <si>
    <t>963</t>
  </si>
  <si>
    <t>2008</t>
  </si>
  <si>
    <t>964</t>
  </si>
  <si>
    <t>514</t>
  </si>
  <si>
    <t>284</t>
  </si>
  <si>
    <t>283</t>
  </si>
  <si>
    <t>00428</t>
  </si>
  <si>
    <t>00429</t>
  </si>
  <si>
    <t>00430</t>
  </si>
  <si>
    <t>4420565</t>
  </si>
  <si>
    <t>727</t>
  </si>
  <si>
    <t>1864</t>
  </si>
  <si>
    <t>965</t>
  </si>
  <si>
    <t>966</t>
  </si>
  <si>
    <t>967</t>
  </si>
  <si>
    <t>968</t>
  </si>
  <si>
    <t>4430865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</si>
  <si>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</si>
  <si>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</si>
  <si>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</si>
  <si>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</si>
  <si>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</si>
  <si>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</si>
  <si>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</si>
  <si>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</si>
  <si>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832</t>
  </si>
  <si>
    <t>4436089</t>
  </si>
  <si>
    <t>1994</t>
  </si>
  <si>
    <t>969</t>
  </si>
  <si>
    <t>872</t>
  </si>
  <si>
    <t>2090</t>
  </si>
  <si>
    <t>970</t>
  </si>
  <si>
    <t>772</t>
  </si>
  <si>
    <t>826</t>
  </si>
  <si>
    <t>524</t>
  </si>
  <si>
    <t>523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</si>
  <si>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</si>
  <si>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</si>
  <si>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</si>
  <si>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</si>
  <si>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</si>
  <si>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</si>
  <si>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</si>
  <si>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</si>
  <si>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</si>
  <si>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</si>
  <si>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</si>
  <si>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</si>
  <si>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</si>
  <si>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</si>
  <si>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</si>
  <si>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</si>
  <si>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</t>
  </si>
  <si>
    <t>9613797</t>
  </si>
  <si>
    <t>51-5</t>
  </si>
  <si>
    <t>4449548</t>
  </si>
  <si>
    <t>75</t>
  </si>
  <si>
    <t>971</t>
  </si>
  <si>
    <t>142</t>
  </si>
  <si>
    <t>972</t>
  </si>
  <si>
    <t>1071</t>
  </si>
  <si>
    <t>R.R. DONNELLEY DE EL SALVADOR, S.A. DE C.V.</t>
  </si>
  <si>
    <t>SEPTIEMBRE</t>
  </si>
  <si>
    <t>240</t>
  </si>
  <si>
    <t>973</t>
  </si>
  <si>
    <t>626</t>
  </si>
  <si>
    <t>644</t>
  </si>
  <si>
    <t>4463872</t>
  </si>
  <si>
    <t>239</t>
  </si>
  <si>
    <t>974</t>
  </si>
  <si>
    <t>890</t>
  </si>
  <si>
    <t>2134</t>
  </si>
  <si>
    <t>975</t>
  </si>
  <si>
    <t>JULIO RAFAEL RAMIREZ RICORD</t>
  </si>
  <si>
    <t>1008</t>
  </si>
  <si>
    <t>1087</t>
  </si>
  <si>
    <t>2175</t>
  </si>
  <si>
    <t>976</t>
  </si>
  <si>
    <t>752</t>
  </si>
  <si>
    <t>751</t>
  </si>
  <si>
    <t>6000005027</t>
  </si>
  <si>
    <t>977</t>
  </si>
  <si>
    <t>6000005679</t>
  </si>
  <si>
    <t>978</t>
  </si>
  <si>
    <t>00457</t>
  </si>
  <si>
    <t>00458</t>
  </si>
  <si>
    <t>00459</t>
  </si>
  <si>
    <t>00460</t>
  </si>
  <si>
    <t>VENTAS CONSUMIDOR FINAL</t>
  </si>
  <si>
    <t>VENTAS CONTRIBUYENTES</t>
  </si>
  <si>
    <t>VENTAS EXENTAS</t>
  </si>
  <si>
    <t>CALCULO DEL DEBITO FISCAL</t>
  </si>
  <si>
    <t>13% IMPUESTO</t>
  </si>
  <si>
    <t>TOTAL VENTAS GRAVADAS</t>
  </si>
  <si>
    <t>4474582</t>
  </si>
  <si>
    <t>392</t>
  </si>
  <si>
    <t>979</t>
  </si>
  <si>
    <t>6000006341</t>
  </si>
  <si>
    <t>980</t>
  </si>
  <si>
    <t>1226</t>
  </si>
  <si>
    <t>1273</t>
  </si>
  <si>
    <t>1325</t>
  </si>
  <si>
    <t>862</t>
  </si>
  <si>
    <t>861</t>
  </si>
  <si>
    <t>174450</t>
  </si>
  <si>
    <t>213-5</t>
  </si>
  <si>
    <t>174452</t>
  </si>
  <si>
    <t>174453</t>
  </si>
  <si>
    <t>174447</t>
  </si>
  <si>
    <t>174451</t>
  </si>
  <si>
    <t>174454</t>
  </si>
  <si>
    <t>174449</t>
  </si>
  <si>
    <t>174448</t>
  </si>
  <si>
    <t>174446</t>
  </si>
  <si>
    <t>391</t>
  </si>
  <si>
    <t>981</t>
  </si>
  <si>
    <t>00461</t>
  </si>
  <si>
    <t>00462</t>
  </si>
  <si>
    <t>00463</t>
  </si>
  <si>
    <t>00464</t>
  </si>
  <si>
    <t>2215</t>
  </si>
  <si>
    <t>982</t>
  </si>
  <si>
    <t>1399</t>
  </si>
  <si>
    <t>4491325</t>
  </si>
  <si>
    <t>544</t>
  </si>
  <si>
    <t>983</t>
  </si>
  <si>
    <t>1425</t>
  </si>
  <si>
    <t>543</t>
  </si>
  <si>
    <t>984</t>
  </si>
  <si>
    <t>1454</t>
  </si>
  <si>
    <t>1478</t>
  </si>
  <si>
    <t>1504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</si>
  <si>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</si>
  <si>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</si>
  <si>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</si>
  <si>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</si>
  <si>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</si>
  <si>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</si>
  <si>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</si>
  <si>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</si>
  <si>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</si>
  <si>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</si>
  <si>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</si>
  <si>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</si>
  <si>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</si>
  <si>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</si>
  <si>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</si>
  <si>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</si>
  <si>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</si>
  <si>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</si>
  <si>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</si>
  <si>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</si>
  <si>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00486</t>
  </si>
  <si>
    <t>00485</t>
  </si>
  <si>
    <t>00487</t>
  </si>
  <si>
    <t>00488</t>
  </si>
  <si>
    <t>00489</t>
  </si>
  <si>
    <t>00490</t>
  </si>
  <si>
    <t>00496</t>
  </si>
  <si>
    <t>00495</t>
  </si>
  <si>
    <t>00492</t>
  </si>
  <si>
    <t>00493</t>
  </si>
  <si>
    <t>00491</t>
  </si>
  <si>
    <t>00497</t>
  </si>
  <si>
    <t>00498</t>
  </si>
  <si>
    <t>00499</t>
  </si>
  <si>
    <t>00500</t>
  </si>
  <si>
    <t>00001</t>
  </si>
  <si>
    <t>00002</t>
  </si>
  <si>
    <t>0003</t>
  </si>
  <si>
    <t>0004</t>
  </si>
  <si>
    <t>OCTUBRE</t>
  </si>
  <si>
    <t>1515</t>
  </si>
  <si>
    <t>1522</t>
  </si>
  <si>
    <t>2256</t>
  </si>
  <si>
    <t>0985</t>
  </si>
  <si>
    <t>1372</t>
  </si>
  <si>
    <t>1139</t>
  </si>
  <si>
    <t>774</t>
  </si>
  <si>
    <t>0986</t>
  </si>
  <si>
    <t>1550</t>
  </si>
  <si>
    <t>1573</t>
  </si>
  <si>
    <t>1606</t>
  </si>
  <si>
    <t>1613</t>
  </si>
  <si>
    <t>1620</t>
  </si>
  <si>
    <t>1431</t>
  </si>
  <si>
    <t>2296</t>
  </si>
  <si>
    <t>0987</t>
  </si>
  <si>
    <t>1627</t>
  </si>
  <si>
    <t>07067</t>
  </si>
  <si>
    <t>0990</t>
  </si>
  <si>
    <t>07726</t>
  </si>
  <si>
    <t>08055</t>
  </si>
  <si>
    <t>0773</t>
  </si>
  <si>
    <t>0988</t>
  </si>
  <si>
    <t>4511379</t>
  </si>
  <si>
    <t>3279</t>
  </si>
  <si>
    <t>28-0</t>
  </si>
  <si>
    <t>3278</t>
  </si>
  <si>
    <t>0989</t>
  </si>
  <si>
    <t>1664</t>
  </si>
  <si>
    <t>1670</t>
  </si>
  <si>
    <t>1099</t>
  </si>
  <si>
    <r>
      <t xml:space="preserve">VALORES CUSCATLAN, S. A. DE C.V.   </t>
    </r>
    <r>
      <rPr>
        <sz val="16"/>
        <rFont val="Cambria"/>
        <family val="1"/>
        <scheme val="major"/>
      </rPr>
      <t>REGISTRO 57974-2</t>
    </r>
  </si>
  <si>
    <t xml:space="preserve">Numero de </t>
  </si>
  <si>
    <t>1% retencion IVA</t>
  </si>
  <si>
    <t>DEL NO.</t>
  </si>
  <si>
    <t>AL NO.</t>
  </si>
  <si>
    <t>GRAVADAS</t>
  </si>
  <si>
    <t>Comprobante de retencion</t>
  </si>
  <si>
    <t>Entidades de gobierno</t>
  </si>
  <si>
    <t>01987</t>
  </si>
  <si>
    <t>01982</t>
  </si>
  <si>
    <t>1983</t>
  </si>
  <si>
    <t>1984</t>
  </si>
  <si>
    <t>1991</t>
  </si>
  <si>
    <t>TOTAL VENTAS NO SUJETAS</t>
  </si>
  <si>
    <t>TOTAL VENTAS EXENTAS</t>
  </si>
  <si>
    <t>Liq. IVA deb. del mes factura</t>
  </si>
  <si>
    <t>Total del mes</t>
  </si>
  <si>
    <t>F</t>
  </si>
  <si>
    <t>Contador General.</t>
  </si>
  <si>
    <t>0005</t>
  </si>
  <si>
    <t>0006</t>
  </si>
  <si>
    <t>0007</t>
  </si>
  <si>
    <t>0008</t>
  </si>
  <si>
    <t>0009</t>
  </si>
  <si>
    <t>0010</t>
  </si>
  <si>
    <t>0011</t>
  </si>
  <si>
    <t>0012</t>
  </si>
  <si>
    <t>00015</t>
  </si>
  <si>
    <t>00016</t>
  </si>
  <si>
    <t>00014</t>
  </si>
  <si>
    <t>00013</t>
  </si>
  <si>
    <t>00017</t>
  </si>
  <si>
    <t>00018</t>
  </si>
  <si>
    <t>00019</t>
  </si>
  <si>
    <t>00020</t>
  </si>
  <si>
    <t>NOVIEMBRE</t>
  </si>
  <si>
    <t>1993</t>
  </si>
  <si>
    <t>1992</t>
  </si>
  <si>
    <t>1686</t>
  </si>
  <si>
    <t>1693</t>
  </si>
  <si>
    <t>321</t>
  </si>
  <si>
    <t>1711</t>
  </si>
  <si>
    <t>1758</t>
  </si>
  <si>
    <t>4522438</t>
  </si>
  <si>
    <t>2338</t>
  </si>
  <si>
    <t>1578</t>
  </si>
  <si>
    <t>1785</t>
  </si>
  <si>
    <t>1816</t>
  </si>
  <si>
    <t>DICIEMBRE</t>
  </si>
  <si>
    <t>1995</t>
  </si>
  <si>
    <t>1996</t>
  </si>
  <si>
    <t>1997</t>
  </si>
  <si>
    <t>1998</t>
  </si>
  <si>
    <t>1854</t>
  </si>
  <si>
    <t>1188</t>
  </si>
  <si>
    <t>1863</t>
  </si>
  <si>
    <t>1870</t>
  </si>
  <si>
    <t>1893</t>
  </si>
  <si>
    <t>4534842</t>
  </si>
  <si>
    <t>1900</t>
  </si>
  <si>
    <t>9130</t>
  </si>
  <si>
    <t>1187</t>
  </si>
  <si>
    <t>1024</t>
  </si>
  <si>
    <t>19/12/2018</t>
  </si>
  <si>
    <t>3815</t>
  </si>
  <si>
    <t>1875</t>
  </si>
  <si>
    <t>1729</t>
  </si>
  <si>
    <t>2383</t>
  </si>
  <si>
    <t>3823</t>
  </si>
  <si>
    <t>07/12/2018</t>
  </si>
  <si>
    <t>00021</t>
  </si>
  <si>
    <t>00022</t>
  </si>
  <si>
    <t>00027</t>
  </si>
  <si>
    <t>00028</t>
  </si>
  <si>
    <t>00031</t>
  </si>
  <si>
    <t>00032</t>
  </si>
  <si>
    <t>00033</t>
  </si>
  <si>
    <t>00034</t>
  </si>
  <si>
    <t>00035</t>
  </si>
  <si>
    <t>00036</t>
  </si>
  <si>
    <t>00039</t>
  </si>
  <si>
    <t>00038</t>
  </si>
  <si>
    <t>00037</t>
  </si>
  <si>
    <t>0023</t>
  </si>
  <si>
    <t>0024</t>
  </si>
  <si>
    <t>CONTINGENTES DE COMPROMISO Y CONTROL ACREEDORAS</t>
  </si>
  <si>
    <t>1388</t>
  </si>
  <si>
    <t>1982</t>
  </si>
  <si>
    <t>2005</t>
  </si>
  <si>
    <t>4548727</t>
  </si>
  <si>
    <t>2011</t>
  </si>
  <si>
    <t>200</t>
  </si>
  <si>
    <t>2030</t>
  </si>
  <si>
    <t>2037</t>
  </si>
  <si>
    <t>2053</t>
  </si>
  <si>
    <t>2418</t>
  </si>
  <si>
    <t>2059</t>
  </si>
  <si>
    <t>2065</t>
  </si>
  <si>
    <t>9894</t>
  </si>
  <si>
    <t>2084</t>
  </si>
  <si>
    <t>02005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</si>
  <si>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</si>
  <si>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</si>
  <si>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</si>
  <si>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</si>
  <si>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</si>
  <si>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</si>
  <si>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</si>
  <si>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</si>
  <si>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</si>
  <si>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</si>
  <si>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</si>
  <si>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00053</t>
  </si>
  <si>
    <t>00054</t>
  </si>
  <si>
    <t>00055</t>
  </si>
  <si>
    <t>00056</t>
  </si>
  <si>
    <t>00057</t>
  </si>
  <si>
    <t>00058</t>
  </si>
  <si>
    <t>23/01/2019</t>
  </si>
  <si>
    <t>00059</t>
  </si>
  <si>
    <t>00060</t>
  </si>
  <si>
    <t>00063</t>
  </si>
  <si>
    <t>00064</t>
  </si>
  <si>
    <t>00067</t>
  </si>
  <si>
    <t>00068</t>
  </si>
  <si>
    <t>30-001-2019</t>
  </si>
  <si>
    <t>00069</t>
  </si>
  <si>
    <t>00070</t>
  </si>
  <si>
    <t>00065</t>
  </si>
  <si>
    <t>00066</t>
  </si>
  <si>
    <t>ENERO - 2019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</si>
  <si>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</si>
  <si>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</si>
  <si>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</si>
  <si>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</si>
  <si>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</si>
  <si>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</si>
  <si>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</si>
  <si>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</si>
  <si>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00081</t>
  </si>
  <si>
    <t>00082</t>
  </si>
  <si>
    <t>00083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</si>
  <si>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</si>
  <si>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</si>
  <si>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</si>
  <si>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</si>
  <si>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</si>
  <si>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</si>
  <si>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</si>
  <si>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</si>
  <si>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</si>
  <si>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</si>
  <si>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</si>
  <si>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</si>
  <si>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</si>
  <si>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</si>
  <si>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FEBRERO 2019</t>
  </si>
  <si>
    <t>2131</t>
  </si>
  <si>
    <t>2147</t>
  </si>
  <si>
    <t>2151</t>
  </si>
  <si>
    <t>4038</t>
  </si>
  <si>
    <t>1559</t>
  </si>
  <si>
    <t>2161</t>
  </si>
  <si>
    <t>2182</t>
  </si>
  <si>
    <t>2200</t>
  </si>
  <si>
    <t>2017</t>
  </si>
  <si>
    <t>2464</t>
  </si>
  <si>
    <t>2189</t>
  </si>
  <si>
    <t>2195</t>
  </si>
  <si>
    <t>9150</t>
  </si>
  <si>
    <t>4566519</t>
  </si>
  <si>
    <t>02006</t>
  </si>
  <si>
    <t>01/03/2019</t>
  </si>
  <si>
    <t>2245</t>
  </si>
  <si>
    <t>2250</t>
  </si>
  <si>
    <t>05/03/2019</t>
  </si>
  <si>
    <t>2258</t>
  </si>
  <si>
    <t>4571732</t>
  </si>
  <si>
    <t>2263</t>
  </si>
  <si>
    <t>07/03/2019</t>
  </si>
  <si>
    <t>2269</t>
  </si>
  <si>
    <t>1722</t>
  </si>
  <si>
    <t>00008</t>
  </si>
  <si>
    <t>2288</t>
  </si>
  <si>
    <t>2408</t>
  </si>
  <si>
    <t>2316</t>
  </si>
  <si>
    <t>2327</t>
  </si>
  <si>
    <t>2337</t>
  </si>
  <si>
    <t>2344</t>
  </si>
  <si>
    <t>22/03/2019</t>
  </si>
  <si>
    <t>4299</t>
  </si>
  <si>
    <t>4300</t>
  </si>
  <si>
    <t>25/03/2019</t>
  </si>
  <si>
    <t>2414</t>
  </si>
  <si>
    <t>2421</t>
  </si>
  <si>
    <t>100</t>
  </si>
  <si>
    <t>04/03/2019</t>
  </si>
  <si>
    <t>101</t>
  </si>
  <si>
    <t>102</t>
  </si>
  <si>
    <t>103</t>
  </si>
  <si>
    <t>104</t>
  </si>
  <si>
    <t>06/03/2019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</si>
  <si>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</si>
  <si>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</si>
  <si>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</si>
  <si>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</si>
  <si>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</si>
  <si>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</si>
  <si>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</si>
  <si>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</si>
  <si>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</si>
  <si>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</si>
  <si>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</si>
  <si>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</si>
  <si>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</si>
  <si>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</si>
  <si>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</si>
  <si>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</si>
  <si>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</si>
  <si>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121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</si>
  <si>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</si>
  <si>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</si>
  <si>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</si>
  <si>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</si>
  <si>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</si>
  <si>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</si>
  <si>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</si>
  <si>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</si>
  <si>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</si>
  <si>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</si>
  <si>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</si>
  <si>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2007</t>
  </si>
  <si>
    <t>MARZO 2019</t>
  </si>
  <si>
    <t>ABRIL 2019</t>
  </si>
  <si>
    <t>00141</t>
  </si>
  <si>
    <t>00142</t>
  </si>
  <si>
    <t>00139</t>
  </si>
  <si>
    <t>00140</t>
  </si>
  <si>
    <t>00143</t>
  </si>
  <si>
    <t>00144</t>
  </si>
  <si>
    <t>00145</t>
  </si>
  <si>
    <t>00146</t>
  </si>
  <si>
    <t>00147</t>
  </si>
  <si>
    <t>00148</t>
  </si>
  <si>
    <t>00137</t>
  </si>
  <si>
    <t>00138</t>
  </si>
  <si>
    <t>00149</t>
  </si>
  <si>
    <t>00150</t>
  </si>
  <si>
    <t>00151</t>
  </si>
  <si>
    <t>00152</t>
  </si>
  <si>
    <t>00126</t>
  </si>
  <si>
    <t>00153</t>
  </si>
  <si>
    <t>00154</t>
  </si>
  <si>
    <t>00155</t>
  </si>
  <si>
    <t>00159</t>
  </si>
  <si>
    <t>00160</t>
  </si>
  <si>
    <t>00157</t>
  </si>
  <si>
    <t>00158</t>
  </si>
  <si>
    <t>00161</t>
  </si>
  <si>
    <t>00162</t>
  </si>
  <si>
    <t>01/04/2019</t>
  </si>
  <si>
    <t>2449</t>
  </si>
  <si>
    <t>02/04/2019</t>
  </si>
  <si>
    <t>2455</t>
  </si>
  <si>
    <t>03/04/2019</t>
  </si>
  <si>
    <t>2461</t>
  </si>
  <si>
    <t>2310</t>
  </si>
  <si>
    <t>9</t>
  </si>
  <si>
    <t>2165</t>
  </si>
  <si>
    <t>04/04/2019</t>
  </si>
  <si>
    <t>2467</t>
  </si>
  <si>
    <t>05/04/2019</t>
  </si>
  <si>
    <t>1852</t>
  </si>
  <si>
    <t>10/04/2019</t>
  </si>
  <si>
    <t>2492</t>
  </si>
  <si>
    <t>2499</t>
  </si>
  <si>
    <t>22/04/2019</t>
  </si>
  <si>
    <t>0044</t>
  </si>
  <si>
    <t>10</t>
  </si>
  <si>
    <t>25/04/2019</t>
  </si>
  <si>
    <t>4456</t>
  </si>
  <si>
    <t>11</t>
  </si>
  <si>
    <t>4457</t>
  </si>
  <si>
    <t>2557</t>
  </si>
  <si>
    <t>2569</t>
  </si>
  <si>
    <t>liquidacion pendiente de Marzo</t>
  </si>
  <si>
    <t>00163</t>
  </si>
  <si>
    <t>00164</t>
  </si>
  <si>
    <t>00165</t>
  </si>
  <si>
    <t>00166</t>
  </si>
  <si>
    <t>22/05/2019</t>
  </si>
  <si>
    <t>00167</t>
  </si>
  <si>
    <t>00168</t>
  </si>
  <si>
    <t>00169</t>
  </si>
  <si>
    <t>00170</t>
  </si>
  <si>
    <t>00171</t>
  </si>
  <si>
    <t>00172</t>
  </si>
  <si>
    <t>MAYO 2019</t>
  </si>
  <si>
    <t>00173</t>
  </si>
  <si>
    <t>00174</t>
  </si>
  <si>
    <t>11/06/2019</t>
  </si>
  <si>
    <t>00175</t>
  </si>
  <si>
    <t>00176</t>
  </si>
  <si>
    <t>13/06/2019</t>
  </si>
  <si>
    <t>00177</t>
  </si>
  <si>
    <t>00178</t>
  </si>
  <si>
    <t>18/06/2019</t>
  </si>
  <si>
    <t>00179</t>
  </si>
  <si>
    <t>00180</t>
  </si>
  <si>
    <t>19/06/2019</t>
  </si>
  <si>
    <t>00181</t>
  </si>
  <si>
    <t>00182</t>
  </si>
  <si>
    <t>24/06/2019</t>
  </si>
  <si>
    <t>00183</t>
  </si>
  <si>
    <t>00184</t>
  </si>
  <si>
    <t>00185</t>
  </si>
  <si>
    <t>JUNIO 2019</t>
  </si>
  <si>
    <t>2012</t>
  </si>
  <si>
    <t>04/06/2019</t>
  </si>
  <si>
    <t>18</t>
  </si>
  <si>
    <t>4614641</t>
  </si>
  <si>
    <t>2744</t>
  </si>
  <si>
    <t>2750</t>
  </si>
  <si>
    <t>2772</t>
  </si>
  <si>
    <t>2783</t>
  </si>
  <si>
    <t>2789</t>
  </si>
  <si>
    <t>2099</t>
  </si>
  <si>
    <t>19</t>
  </si>
  <si>
    <t>1897</t>
  </si>
  <si>
    <t>4822</t>
  </si>
  <si>
    <t>4643</t>
  </si>
  <si>
    <t>4598828</t>
  </si>
  <si>
    <t>4598817</t>
  </si>
  <si>
    <t>424</t>
  </si>
  <si>
    <t>2643</t>
  </si>
  <si>
    <t>2655</t>
  </si>
  <si>
    <t>0082</t>
  </si>
  <si>
    <t>2503</t>
  </si>
  <si>
    <t>2631</t>
  </si>
  <si>
    <t>2685</t>
  </si>
  <si>
    <t>01181</t>
  </si>
  <si>
    <t>2695</t>
  </si>
  <si>
    <t>02002</t>
  </si>
  <si>
    <t>02003</t>
  </si>
  <si>
    <t>02004</t>
  </si>
  <si>
    <t>02009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</si>
  <si>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</si>
  <si>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</si>
  <si>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</si>
  <si>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</si>
  <si>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</si>
  <si>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</si>
  <si>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</si>
  <si>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</si>
  <si>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</si>
  <si>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</si>
  <si>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</si>
  <si>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</si>
  <si>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</si>
  <si>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</si>
  <si>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</si>
  <si>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</si>
  <si>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</si>
  <si>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</si>
  <si>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</si>
  <si>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</si>
  <si>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</si>
  <si>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</si>
  <si>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</si>
  <si>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</si>
  <si>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</si>
  <si>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22/07/2019</t>
  </si>
  <si>
    <t>213</t>
  </si>
  <si>
    <t>249</t>
  </si>
  <si>
    <t>250</t>
  </si>
  <si>
    <t>214</t>
  </si>
  <si>
    <t>215</t>
  </si>
  <si>
    <t>217</t>
  </si>
  <si>
    <t>218</t>
  </si>
  <si>
    <t>219</t>
  </si>
  <si>
    <t>220</t>
  </si>
  <si>
    <t>247</t>
  </si>
  <si>
    <t>248</t>
  </si>
  <si>
    <t>221</t>
  </si>
  <si>
    <t>222</t>
  </si>
  <si>
    <t>223</t>
  </si>
  <si>
    <t>224</t>
  </si>
  <si>
    <t>225</t>
  </si>
  <si>
    <t>226</t>
  </si>
  <si>
    <t>JULIO 2019</t>
  </si>
  <si>
    <t>00227</t>
  </si>
  <si>
    <t>00228</t>
  </si>
  <si>
    <t>15/08/2019</t>
  </si>
  <si>
    <t>00229</t>
  </si>
  <si>
    <t>00230</t>
  </si>
  <si>
    <t>16/08/2019</t>
  </si>
  <si>
    <t>00231</t>
  </si>
  <si>
    <t>00232</t>
  </si>
  <si>
    <t>00233</t>
  </si>
  <si>
    <t>22/08/2019</t>
  </si>
  <si>
    <t>00235</t>
  </si>
  <si>
    <t>00236</t>
  </si>
  <si>
    <t>AGOSTO 2019</t>
  </si>
  <si>
    <t>02018</t>
  </si>
  <si>
    <t>00237</t>
  </si>
  <si>
    <t>00238</t>
  </si>
  <si>
    <t>00243</t>
  </si>
  <si>
    <t>00244</t>
  </si>
  <si>
    <t>00245</t>
  </si>
  <si>
    <t>00246</t>
  </si>
  <si>
    <t>00241</t>
  </si>
  <si>
    <t>00242</t>
  </si>
  <si>
    <t>00239</t>
  </si>
  <si>
    <t>00240</t>
  </si>
  <si>
    <t>00253</t>
  </si>
  <si>
    <t>00254</t>
  </si>
  <si>
    <t>00251</t>
  </si>
  <si>
    <t>00252</t>
  </si>
  <si>
    <t>12/09/2019</t>
  </si>
  <si>
    <t>00255</t>
  </si>
  <si>
    <t>00256</t>
  </si>
  <si>
    <t>00257</t>
  </si>
  <si>
    <t>00258</t>
  </si>
  <si>
    <t>00234</t>
  </si>
  <si>
    <t>00262</t>
  </si>
  <si>
    <t>00259</t>
  </si>
  <si>
    <t>00260</t>
  </si>
  <si>
    <t>00261</t>
  </si>
  <si>
    <t>00263</t>
  </si>
  <si>
    <t>00264</t>
  </si>
  <si>
    <t>SEPTIEMBRE 2019</t>
  </si>
  <si>
    <t>2019</t>
  </si>
  <si>
    <t>2020</t>
  </si>
  <si>
    <t>00342</t>
  </si>
  <si>
    <t>00343</t>
  </si>
  <si>
    <t>00344</t>
  </si>
  <si>
    <t>00345</t>
  </si>
  <si>
    <t>2840</t>
  </si>
  <si>
    <t>2846</t>
  </si>
  <si>
    <t>2057</t>
  </si>
  <si>
    <t>2760</t>
  </si>
  <si>
    <t>0120</t>
  </si>
  <si>
    <t>2202</t>
  </si>
  <si>
    <t>2869</t>
  </si>
  <si>
    <t>2880</t>
  </si>
  <si>
    <t>2901</t>
  </si>
  <si>
    <t>2912</t>
  </si>
  <si>
    <t>2918</t>
  </si>
  <si>
    <t>4630811</t>
  </si>
  <si>
    <t>2201</t>
  </si>
  <si>
    <t>2563</t>
  </si>
  <si>
    <t>2935</t>
  </si>
  <si>
    <t>2925</t>
  </si>
  <si>
    <t>2942</t>
  </si>
  <si>
    <t>2948</t>
  </si>
  <si>
    <t>4990</t>
  </si>
  <si>
    <t>2954</t>
  </si>
  <si>
    <t>2960</t>
  </si>
  <si>
    <t>2965</t>
  </si>
  <si>
    <t>2971</t>
  </si>
  <si>
    <t>07/08/2019</t>
  </si>
  <si>
    <t>08/08/2019</t>
  </si>
  <si>
    <t>4641488</t>
  </si>
  <si>
    <t>0155</t>
  </si>
  <si>
    <t>00024</t>
  </si>
  <si>
    <t>14/08/2019</t>
  </si>
  <si>
    <t>00025</t>
  </si>
  <si>
    <t>0047</t>
  </si>
  <si>
    <t>20/08/2019</t>
  </si>
  <si>
    <t>0018</t>
  </si>
  <si>
    <t>0193</t>
  </si>
  <si>
    <t>00026</t>
  </si>
  <si>
    <t>2417</t>
  </si>
  <si>
    <t>0072</t>
  </si>
  <si>
    <t>10160</t>
  </si>
  <si>
    <t>O &amp; R MARKETING COMMUNICATIONS, S.A DE C.V.</t>
  </si>
  <si>
    <t>10131</t>
  </si>
  <si>
    <t>SEPT</t>
  </si>
  <si>
    <t>0115</t>
  </si>
  <si>
    <t>0122</t>
  </si>
  <si>
    <t>0142</t>
  </si>
  <si>
    <t>10/09/2019</t>
  </si>
  <si>
    <t>0158</t>
  </si>
  <si>
    <t>0169</t>
  </si>
  <si>
    <t>4656773</t>
  </si>
  <si>
    <t>0183</t>
  </si>
  <si>
    <t>19/09/2019</t>
  </si>
  <si>
    <t>2562</t>
  </si>
  <si>
    <t>00029</t>
  </si>
  <si>
    <t>10358</t>
  </si>
  <si>
    <t>217727</t>
  </si>
  <si>
    <t>217729</t>
  </si>
  <si>
    <t>217721</t>
  </si>
  <si>
    <t>217724</t>
  </si>
  <si>
    <t>217722</t>
  </si>
  <si>
    <t>217725</t>
  </si>
  <si>
    <t>217723</t>
  </si>
  <si>
    <t>217720</t>
  </si>
  <si>
    <t>0219</t>
  </si>
  <si>
    <t>32110092019</t>
  </si>
  <si>
    <t>01/10/2019</t>
  </si>
  <si>
    <t>0244</t>
  </si>
  <si>
    <t>222101</t>
  </si>
  <si>
    <t>0250</t>
  </si>
  <si>
    <t>0257</t>
  </si>
  <si>
    <t>03/10/2019</t>
  </si>
  <si>
    <t>0126</t>
  </si>
  <si>
    <t>0232</t>
  </si>
  <si>
    <t>30</t>
  </si>
  <si>
    <t>08/10/2019</t>
  </si>
  <si>
    <t>275</t>
  </si>
  <si>
    <t>2755</t>
  </si>
  <si>
    <t>31</t>
  </si>
  <si>
    <t>0287</t>
  </si>
  <si>
    <t>0313</t>
  </si>
  <si>
    <t>4671079</t>
  </si>
  <si>
    <t>2754</t>
  </si>
  <si>
    <t>32</t>
  </si>
  <si>
    <t>24/10/2019</t>
  </si>
  <si>
    <t>4960</t>
  </si>
  <si>
    <t>10526</t>
  </si>
  <si>
    <t>33</t>
  </si>
  <si>
    <t>10525</t>
  </si>
  <si>
    <t>28/10/2019</t>
  </si>
  <si>
    <t>0360</t>
  </si>
  <si>
    <t>00265</t>
  </si>
  <si>
    <t>00266</t>
  </si>
  <si>
    <t>00267</t>
  </si>
  <si>
    <t>00268</t>
  </si>
  <si>
    <t>00297</t>
  </si>
  <si>
    <t>00298</t>
  </si>
  <si>
    <t>00299</t>
  </si>
  <si>
    <t>00300</t>
  </si>
  <si>
    <t>00269</t>
  </si>
  <si>
    <t>00270</t>
  </si>
  <si>
    <t>00273</t>
  </si>
  <si>
    <t>00274</t>
  </si>
  <si>
    <t>00271</t>
  </si>
  <si>
    <t>00272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</si>
  <si>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</si>
  <si>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</si>
  <si>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</si>
  <si>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</si>
  <si>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</si>
  <si>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</si>
  <si>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</si>
  <si>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</si>
  <si>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29/10/2019</t>
  </si>
  <si>
    <t>00295</t>
  </si>
  <si>
    <t>00296</t>
  </si>
  <si>
    <t>2021</t>
  </si>
  <si>
    <t>2022</t>
  </si>
  <si>
    <t>2023</t>
  </si>
  <si>
    <t>2024</t>
  </si>
  <si>
    <t>2025</t>
  </si>
  <si>
    <t>2026</t>
  </si>
  <si>
    <t>11-11-019</t>
  </si>
  <si>
    <t>285</t>
  </si>
  <si>
    <t>286</t>
  </si>
  <si>
    <t>289</t>
  </si>
  <si>
    <t>290</t>
  </si>
  <si>
    <t>288</t>
  </si>
  <si>
    <t>287</t>
  </si>
  <si>
    <t>25/11/2019</t>
  </si>
  <si>
    <t>291</t>
  </si>
  <si>
    <t>292</t>
  </si>
  <si>
    <t>293</t>
  </si>
  <si>
    <t>294</t>
  </si>
  <si>
    <t>2033</t>
  </si>
  <si>
    <t>2034</t>
  </si>
  <si>
    <t>Noviembre</t>
  </si>
  <si>
    <t>07/11/2019</t>
  </si>
  <si>
    <t>0296</t>
  </si>
  <si>
    <t>270</t>
  </si>
  <si>
    <t>0034</t>
  </si>
  <si>
    <t>11/11/2019</t>
  </si>
  <si>
    <t>0414</t>
  </si>
  <si>
    <t>2943</t>
  </si>
  <si>
    <t>0035</t>
  </si>
  <si>
    <t>14/11/2019</t>
  </si>
  <si>
    <t>0440</t>
  </si>
  <si>
    <t>419</t>
  </si>
  <si>
    <t>310</t>
  </si>
  <si>
    <t>0036</t>
  </si>
  <si>
    <t>0037</t>
  </si>
  <si>
    <t>4688809</t>
  </si>
  <si>
    <t>5661</t>
  </si>
  <si>
    <t>471</t>
  </si>
  <si>
    <t>0488</t>
  </si>
  <si>
    <t>05/12/2019</t>
  </si>
  <si>
    <t>301</t>
  </si>
  <si>
    <t>302</t>
  </si>
  <si>
    <t>304</t>
  </si>
  <si>
    <t>06/12/2019</t>
  </si>
  <si>
    <t>306</t>
  </si>
  <si>
    <t>303</t>
  </si>
  <si>
    <t>305</t>
  </si>
  <si>
    <t>13/12/2019</t>
  </si>
  <si>
    <t>308</t>
  </si>
  <si>
    <t>307</t>
  </si>
  <si>
    <t>309</t>
  </si>
  <si>
    <t>312</t>
  </si>
  <si>
    <t>311</t>
  </si>
  <si>
    <t>2035</t>
  </si>
  <si>
    <t>2036</t>
  </si>
  <si>
    <t>2027</t>
  </si>
  <si>
    <t>2028</t>
  </si>
  <si>
    <t>2029</t>
  </si>
  <si>
    <t>0512</t>
  </si>
  <si>
    <t>11/12/2019</t>
  </si>
  <si>
    <t>10988</t>
  </si>
  <si>
    <t>0564</t>
  </si>
  <si>
    <t>7450</t>
  </si>
  <si>
    <t>7606</t>
  </si>
  <si>
    <t>0131</t>
  </si>
  <si>
    <t>574</t>
  </si>
  <si>
    <t>0522</t>
  </si>
  <si>
    <t>10885</t>
  </si>
  <si>
    <t>4703618</t>
  </si>
  <si>
    <t>343</t>
  </si>
  <si>
    <t>344</t>
  </si>
  <si>
    <t>345</t>
  </si>
  <si>
    <t>346</t>
  </si>
  <si>
    <t>313</t>
  </si>
  <si>
    <t>314</t>
  </si>
  <si>
    <t>2039</t>
  </si>
  <si>
    <t xml:space="preserve">ENERO </t>
  </si>
  <si>
    <t xml:space="preserve"> ENERO 2020</t>
  </si>
  <si>
    <t>Ingresos con Relacionadas 2020</t>
  </si>
  <si>
    <t>Empresas Relacionadas</t>
  </si>
  <si>
    <t>Saldos de cuentas de Balance con empresas Relacionadas a Febrero 2020</t>
  </si>
  <si>
    <t>Ingresos y Gastos con Empresas Relacionadas correspondiente al mes de FEBRERO de 2020</t>
  </si>
  <si>
    <t>315</t>
  </si>
  <si>
    <t>316</t>
  </si>
  <si>
    <t>317</t>
  </si>
  <si>
    <t>318</t>
  </si>
  <si>
    <t>319</t>
  </si>
  <si>
    <t>320</t>
  </si>
  <si>
    <t>325</t>
  </si>
  <si>
    <t>326</t>
  </si>
  <si>
    <t>324</t>
  </si>
  <si>
    <t>323</t>
  </si>
  <si>
    <t xml:space="preserve"> FEBRERO 2020</t>
  </si>
  <si>
    <t>BALANCE GENERAL AL 31 DE MARZO DE 2020</t>
  </si>
  <si>
    <t>PERIODO DEL 1  DE ENERO AL 31 DE MARZO DE 2020</t>
  </si>
  <si>
    <t>ESTADO DE OPERACIONES BURSATILES AL 31 DE MARZO DE 2020</t>
  </si>
  <si>
    <t>ESTADO DE ADMINISTRACION DE CARTERA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</si>
</sst>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dd/mm/yyyy;@"/>
    <numFmt numFmtId="168" formatCode="[$-C0A]d\-mmm;@"/>
    <numFmt numFmtId="169" formatCode="0_)"/>
    <numFmt numFmtId="170" formatCode="0.00_);[Red]\(0.00\)"/>
    <numFmt numFmtId="171" formatCode="[$-409]mmm\-yy;@"/>
    <numFmt numFmtId="172" formatCode="#,##0.000"/>
    <numFmt numFmtId="173" formatCode="_([$€-2]* #,##0.00_);_([$€-2]* \(#,##0.00\);_([$€-2]* &quot;-&quot;??_)"/>
    <numFmt numFmtId="174" formatCode="&quot;$&quot;#,##0.00"/>
    <numFmt numFmtId="175" formatCode="General_)"/>
    <numFmt numFmtId="176" formatCode="#,##0.00000000000_);[Red]\(#,##0.00000000000\)"/>
    <numFmt numFmtId="177" formatCode="0_);\(0\)"/>
  </numFmts>
  <fonts count="2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b/>
      <u/>
      <sz val="10"/>
      <color indexed="10"/>
      <name val="Arial"/>
      <family val="2"/>
    </font>
    <font>
      <sz val="10"/>
      <name val="Arial"/>
      <family val="2"/>
    </font>
    <font>
      <b/>
      <u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3"/>
      <name val="Cambria"/>
      <family val="1"/>
      <scheme val="major"/>
    </font>
    <font>
      <b/>
      <sz val="14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color rgb="FFFF0000"/>
      <name val="Arial"/>
      <family val="2"/>
    </font>
    <font>
      <b/>
      <sz val="10"/>
      <color theme="0"/>
      <name val="Cambria"/>
      <family val="1"/>
      <scheme val="major"/>
    </font>
    <font>
      <b/>
      <u val="singleAccounting"/>
      <sz val="8"/>
      <name val="Arial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10"/>
      <name val="Cambria"/>
      <family val="1"/>
      <scheme val="major"/>
    </font>
    <font>
      <b/>
      <sz val="12"/>
      <color indexed="10"/>
      <name val="Cambria"/>
      <family val="1"/>
      <scheme val="major"/>
    </font>
    <font>
      <u/>
      <sz val="10"/>
      <color indexed="12"/>
      <name val="Arial"/>
      <family val="2"/>
    </font>
    <font>
      <b/>
      <sz val="14"/>
      <name val="Calibri"/>
      <family val="2"/>
      <scheme val="minor"/>
    </font>
    <font>
      <sz val="9"/>
      <name val="Cambria"/>
      <family val="1"/>
      <scheme val="major"/>
    </font>
    <font>
      <sz val="9"/>
      <color rgb="FFFF0000"/>
      <name val="Calibri"/>
      <family val="2"/>
      <scheme val="minor"/>
    </font>
    <font>
      <b/>
      <sz val="10"/>
      <color theme="0" tint="-0.249977111117893"/>
      <name val="Arial"/>
      <family val="2"/>
    </font>
    <font>
      <sz val="10"/>
      <color theme="0" tint="-0.249977111117893"/>
      <name val="Cambria"/>
      <family val="1"/>
      <scheme val="major"/>
    </font>
    <font>
      <sz val="10"/>
      <color theme="0" tint="-0.249977111117893"/>
      <name val="Arial"/>
      <family val="2"/>
    </font>
    <font>
      <b/>
      <sz val="10"/>
      <color theme="0" tint="-0.249977111117893"/>
      <name val="Cambria"/>
      <family val="1"/>
      <scheme val="major"/>
    </font>
    <font>
      <sz val="8"/>
      <color theme="0" tint="-0.249977111117893"/>
      <name val="Arial"/>
      <family val="2"/>
    </font>
    <font>
      <b/>
      <sz val="11"/>
      <name val="Cambria"/>
      <family val="1"/>
      <scheme val="major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7">
    <xf numFmtId="0" fontId="0" fillId="0" borderId="0"/>
    <xf numFmtId="0" fontId="183" fillId="0" borderId="0"/>
    <xf numFmtId="0" fontId="154" fillId="0" borderId="0"/>
    <xf numFmtId="0" fontId="165" fillId="2" borderId="0" applyNumberFormat="0" applyBorder="0" applyAlignment="0" applyProtection="0"/>
    <xf numFmtId="165" fontId="156" fillId="0" borderId="0" applyFont="0" applyFill="0" applyBorder="0" applyAlignment="0" applyProtection="0"/>
    <xf numFmtId="0" fontId="164" fillId="3" borderId="0" applyNumberFormat="0" applyBorder="0" applyAlignment="0" applyProtection="0"/>
    <xf numFmtId="165" fontId="154" fillId="0" borderId="0" applyFont="0" applyFill="0" applyBorder="0" applyAlignment="0" applyProtection="0"/>
    <xf numFmtId="164" fontId="154" fillId="0" borderId="0" applyFont="0" applyFill="0" applyBorder="0" applyAlignment="0" applyProtection="0"/>
    <xf numFmtId="0" fontId="154" fillId="0" borderId="0"/>
    <xf numFmtId="0" fontId="156" fillId="0" borderId="0"/>
    <xf numFmtId="39" fontId="174" fillId="0" borderId="0"/>
    <xf numFmtId="0" fontId="163" fillId="0" borderId="0"/>
    <xf numFmtId="9" fontId="154" fillId="0" borderId="0" applyFont="0" applyFill="0" applyBorder="0" applyAlignment="0" applyProtection="0"/>
    <xf numFmtId="0" fontId="185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54" fillId="0" borderId="0"/>
    <xf numFmtId="0" fontId="154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165" fontId="53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165" fontId="44" fillId="0" borderId="0" applyFont="0" applyFill="0" applyBorder="0" applyAlignment="0" applyProtection="0"/>
    <xf numFmtId="0" fontId="43" fillId="0" borderId="0"/>
    <xf numFmtId="0" fontId="42" fillId="0" borderId="0"/>
    <xf numFmtId="0" fontId="41" fillId="0" borderId="0"/>
    <xf numFmtId="0" fontId="40" fillId="0" borderId="0"/>
    <xf numFmtId="165" fontId="40" fillId="0" borderId="0" applyFont="0" applyFill="0" applyBorder="0" applyAlignment="0" applyProtection="0"/>
    <xf numFmtId="0" fontId="39" fillId="0" borderId="0"/>
    <xf numFmtId="165" fontId="39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165" fontId="36" fillId="0" borderId="0" applyFont="0" applyFill="0" applyBorder="0" applyAlignment="0" applyProtection="0"/>
    <xf numFmtId="0" fontId="35" fillId="0" borderId="0"/>
    <xf numFmtId="0" fontId="34" fillId="0" borderId="0"/>
    <xf numFmtId="0" fontId="33" fillId="0" borderId="0"/>
    <xf numFmtId="165" fontId="33" fillId="0" borderId="0" applyFont="0" applyFill="0" applyBorder="0" applyAlignment="0" applyProtection="0"/>
    <xf numFmtId="173" fontId="154" fillId="0" borderId="0" applyFont="0" applyFill="0" applyBorder="0" applyAlignment="0" applyProtection="0"/>
    <xf numFmtId="0" fontId="32" fillId="0" borderId="0"/>
    <xf numFmtId="0" fontId="31" fillId="0" borderId="0"/>
    <xf numFmtId="165" fontId="31" fillId="0" borderId="0" applyFont="0" applyFill="0" applyBorder="0" applyAlignment="0" applyProtection="0"/>
    <xf numFmtId="9" fontId="154" fillId="0" borderId="0" applyFont="0" applyFill="0" applyBorder="0" applyAlignment="0" applyProtection="0"/>
    <xf numFmtId="0" fontId="30" fillId="0" borderId="0"/>
    <xf numFmtId="0" fontId="154" fillId="0" borderId="0"/>
    <xf numFmtId="0" fontId="164" fillId="3" borderId="0" applyNumberFormat="0" applyBorder="0" applyAlignment="0" applyProtection="0"/>
    <xf numFmtId="165" fontId="154" fillId="0" borderId="0" applyFont="0" applyFill="0" applyBorder="0" applyAlignment="0" applyProtection="0"/>
    <xf numFmtId="164" fontId="154" fillId="0" borderId="0" applyFont="0" applyFill="0" applyBorder="0" applyAlignment="0" applyProtection="0"/>
    <xf numFmtId="9" fontId="15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49">
    <xf numFmtId="0" fontId="0" fillId="0" borderId="0" xfId="0"/>
    <xf numFmtId="0" fontId="157" fillId="0" borderId="0" xfId="1" applyFont="1" applyAlignment="1">
      <alignment horizontal="left"/>
    </xf>
    <xf numFmtId="0" fontId="157" fillId="0" borderId="0" xfId="1" applyFont="1" applyFill="1"/>
    <xf numFmtId="0" fontId="156" fillId="0" borderId="0" xfId="1" applyFont="1"/>
    <xf numFmtId="165" fontId="154" fillId="0" borderId="0" xfId="6"/>
    <xf numFmtId="0" fontId="172" fillId="4" borderId="12" xfId="11" applyFont="1" applyFill="1" applyBorder="1" applyAlignment="1"/>
    <xf numFmtId="0" fontId="172" fillId="7" borderId="12" xfId="9" applyFont="1" applyFill="1" applyBorder="1" applyAlignment="1"/>
    <xf numFmtId="0" fontId="173" fillId="0" borderId="0" xfId="9" applyFont="1" applyAlignment="1"/>
    <xf numFmtId="0" fontId="157" fillId="0" borderId="0" xfId="9" applyFont="1" applyFill="1" applyProtection="1">
      <protection locked="0"/>
    </xf>
    <xf numFmtId="0" fontId="157" fillId="0" borderId="0" xfId="9" applyFont="1" applyFill="1" applyBorder="1"/>
    <xf numFmtId="0" fontId="173" fillId="0" borderId="0" xfId="9" applyFont="1" applyFill="1" applyAlignment="1"/>
    <xf numFmtId="0" fontId="172" fillId="4" borderId="12" xfId="11" applyFont="1" applyFill="1" applyBorder="1" applyAlignment="1">
      <alignment horizontal="left"/>
    </xf>
    <xf numFmtId="0" fontId="156" fillId="5" borderId="0" xfId="1" applyFont="1" applyFill="1"/>
    <xf numFmtId="165" fontId="154" fillId="5" borderId="0" xfId="6" applyFill="1"/>
    <xf numFmtId="0" fontId="176" fillId="5" borderId="0" xfId="1" applyFont="1" applyFill="1"/>
    <xf numFmtId="0" fontId="168" fillId="5" borderId="0" xfId="1" applyFont="1" applyFill="1" applyAlignment="1"/>
    <xf numFmtId="165" fontId="168" fillId="5" borderId="0" xfId="6" applyFont="1" applyFill="1"/>
    <xf numFmtId="0" fontId="155" fillId="5" borderId="0" xfId="1" applyFont="1" applyFill="1"/>
    <xf numFmtId="0" fontId="168" fillId="5" borderId="0" xfId="1" applyFont="1" applyFill="1"/>
    <xf numFmtId="165" fontId="155" fillId="5" borderId="0" xfId="1" applyNumberFormat="1" applyFont="1" applyFill="1"/>
    <xf numFmtId="165" fontId="156" fillId="5" borderId="0" xfId="1" applyNumberFormat="1" applyFont="1" applyFill="1"/>
    <xf numFmtId="165" fontId="176" fillId="5" borderId="0" xfId="1" applyNumberFormat="1" applyFont="1" applyFill="1"/>
    <xf numFmtId="165" fontId="154" fillId="5" borderId="8" xfId="6" applyFill="1" applyBorder="1"/>
    <xf numFmtId="165" fontId="156" fillId="5" borderId="8" xfId="1" applyNumberFormat="1" applyFont="1" applyFill="1" applyBorder="1"/>
    <xf numFmtId="0" fontId="156" fillId="5" borderId="8" xfId="1" applyFont="1" applyFill="1" applyBorder="1"/>
    <xf numFmtId="165" fontId="154" fillId="5" borderId="0" xfId="6" applyFill="1" applyBorder="1"/>
    <xf numFmtId="0" fontId="156" fillId="5" borderId="0" xfId="1" applyFont="1" applyFill="1" applyBorder="1"/>
    <xf numFmtId="165" fontId="154" fillId="5" borderId="11" xfId="6" applyFill="1" applyBorder="1"/>
    <xf numFmtId="0" fontId="156" fillId="5" borderId="11" xfId="1" applyFont="1" applyFill="1" applyBorder="1"/>
    <xf numFmtId="165" fontId="155" fillId="5" borderId="10" xfId="1" applyNumberFormat="1" applyFont="1" applyFill="1" applyBorder="1"/>
    <xf numFmtId="165" fontId="155" fillId="5" borderId="0" xfId="6" applyFont="1" applyFill="1"/>
    <xf numFmtId="2" fontId="156" fillId="5" borderId="0" xfId="1" applyNumberFormat="1" applyFont="1" applyFill="1"/>
    <xf numFmtId="0" fontId="177" fillId="5" borderId="0" xfId="1" applyFont="1" applyFill="1"/>
    <xf numFmtId="0" fontId="166" fillId="5" borderId="0" xfId="1" applyFont="1" applyFill="1"/>
    <xf numFmtId="165" fontId="166" fillId="5" borderId="0" xfId="6" applyFont="1" applyFill="1"/>
    <xf numFmtId="165" fontId="166" fillId="5" borderId="10" xfId="1" applyNumberFormat="1" applyFont="1" applyFill="1" applyBorder="1"/>
    <xf numFmtId="0" fontId="178" fillId="5" borderId="0" xfId="1" applyFont="1" applyFill="1"/>
    <xf numFmtId="0" fontId="179" fillId="5" borderId="0" xfId="1" applyFont="1" applyFill="1"/>
    <xf numFmtId="0" fontId="181" fillId="5" borderId="0" xfId="1" applyFont="1" applyFill="1"/>
    <xf numFmtId="165" fontId="181" fillId="5" borderId="0" xfId="6" applyFont="1" applyFill="1"/>
    <xf numFmtId="165" fontId="170" fillId="5" borderId="0" xfId="6" applyFont="1" applyFill="1"/>
    <xf numFmtId="165" fontId="177" fillId="5" borderId="0" xfId="1" applyNumberFormat="1" applyFont="1" applyFill="1"/>
    <xf numFmtId="0" fontId="154" fillId="5" borderId="0" xfId="1" applyFont="1" applyFill="1"/>
    <xf numFmtId="165" fontId="167" fillId="5" borderId="0" xfId="6" applyFont="1" applyFill="1"/>
    <xf numFmtId="0" fontId="175" fillId="5" borderId="0" xfId="1" applyFont="1" applyFill="1"/>
    <xf numFmtId="0" fontId="167" fillId="5" borderId="0" xfId="1" applyFont="1" applyFill="1"/>
    <xf numFmtId="165" fontId="155" fillId="5" borderId="0" xfId="1" applyNumberFormat="1" applyFont="1" applyFill="1" applyBorder="1"/>
    <xf numFmtId="165" fontId="155" fillId="5" borderId="11" xfId="1" applyNumberFormat="1" applyFont="1" applyFill="1" applyBorder="1"/>
    <xf numFmtId="0" fontId="155" fillId="5" borderId="0" xfId="1" applyFont="1" applyFill="1" applyBorder="1"/>
    <xf numFmtId="0" fontId="155" fillId="5" borderId="11" xfId="1" applyFont="1" applyFill="1" applyBorder="1"/>
    <xf numFmtId="165" fontId="167" fillId="5" borderId="0" xfId="6" applyFont="1" applyFill="1" applyBorder="1"/>
    <xf numFmtId="4" fontId="167" fillId="5" borderId="0" xfId="1" applyNumberFormat="1" applyFont="1" applyFill="1" applyBorder="1"/>
    <xf numFmtId="4" fontId="167" fillId="5" borderId="10" xfId="1" applyNumberFormat="1" applyFont="1" applyFill="1" applyBorder="1"/>
    <xf numFmtId="4" fontId="176" fillId="5" borderId="0" xfId="1" applyNumberFormat="1" applyFont="1" applyFill="1"/>
    <xf numFmtId="0" fontId="167" fillId="5" borderId="0" xfId="1" applyFont="1" applyFill="1" applyBorder="1"/>
    <xf numFmtId="166" fontId="167" fillId="5" borderId="0" xfId="6" applyNumberFormat="1" applyFont="1" applyFill="1"/>
    <xf numFmtId="0" fontId="175" fillId="5" borderId="0" xfId="1" applyFont="1" applyFill="1" applyBorder="1"/>
    <xf numFmtId="165" fontId="175" fillId="5" borderId="0" xfId="1" applyNumberFormat="1" applyFont="1" applyFill="1"/>
    <xf numFmtId="165" fontId="156" fillId="5" borderId="11" xfId="1" applyNumberFormat="1" applyFont="1" applyFill="1" applyBorder="1"/>
    <xf numFmtId="165" fontId="175" fillId="5" borderId="0" xfId="6" applyFont="1" applyFill="1"/>
    <xf numFmtId="0" fontId="182" fillId="0" borderId="0" xfId="1" applyFont="1" applyFill="1"/>
    <xf numFmtId="0" fontId="156" fillId="5" borderId="0" xfId="1" applyFont="1" applyFill="1" applyAlignment="1">
      <alignment horizontal="left"/>
    </xf>
    <xf numFmtId="0" fontId="175" fillId="5" borderId="0" xfId="1" applyFont="1" applyFill="1" applyAlignment="1">
      <alignment horizontal="left"/>
    </xf>
    <xf numFmtId="0" fontId="155" fillId="5" borderId="0" xfId="1" applyFont="1" applyFill="1" applyAlignment="1">
      <alignment horizontal="left"/>
    </xf>
    <xf numFmtId="0" fontId="181" fillId="5" borderId="0" xfId="1" applyFont="1" applyFill="1" applyAlignment="1">
      <alignment horizontal="left"/>
    </xf>
    <xf numFmtId="0" fontId="173" fillId="0" borderId="0" xfId="9" applyFont="1" applyFill="1" applyAlignment="1">
      <alignment horizontal="center"/>
    </xf>
    <xf numFmtId="40" fontId="157" fillId="0" borderId="0" xfId="4" applyNumberFormat="1" applyFont="1" applyFill="1" applyBorder="1" applyAlignment="1">
      <alignment horizontal="right"/>
    </xf>
    <xf numFmtId="0" fontId="159" fillId="4" borderId="12" xfId="11" applyFont="1" applyFill="1" applyBorder="1" applyAlignment="1"/>
    <xf numFmtId="0" fontId="159" fillId="4" borderId="12" xfId="11" applyFont="1" applyFill="1" applyBorder="1" applyAlignment="1">
      <alignment horizontal="left"/>
    </xf>
    <xf numFmtId="165" fontId="159" fillId="4" borderId="12" xfId="4" applyFont="1" applyFill="1" applyBorder="1" applyAlignment="1"/>
    <xf numFmtId="0" fontId="159" fillId="6" borderId="12" xfId="11" applyFont="1" applyFill="1" applyBorder="1" applyAlignment="1"/>
    <xf numFmtId="0" fontId="159" fillId="7" borderId="12" xfId="9" applyFont="1" applyFill="1" applyBorder="1" applyAlignment="1"/>
    <xf numFmtId="0" fontId="159" fillId="0" borderId="12" xfId="11" applyFont="1" applyFill="1" applyBorder="1" applyAlignment="1"/>
    <xf numFmtId="0" fontId="157" fillId="0" borderId="0" xfId="9" applyFont="1" applyFill="1" applyAlignment="1"/>
    <xf numFmtId="0" fontId="184" fillId="0" borderId="0" xfId="1" applyFont="1" applyFill="1"/>
    <xf numFmtId="0" fontId="157" fillId="0" borderId="0" xfId="0" applyFont="1"/>
    <xf numFmtId="40" fontId="157" fillId="0" borderId="0" xfId="4" applyNumberFormat="1" applyFont="1" applyFill="1" applyAlignment="1" applyProtection="1">
      <alignment horizontal="right"/>
      <protection locked="0"/>
    </xf>
    <xf numFmtId="40" fontId="157" fillId="0" borderId="0" xfId="4" applyNumberFormat="1" applyFont="1" applyFill="1" applyAlignment="1">
      <alignment horizontal="right"/>
    </xf>
    <xf numFmtId="40" fontId="157" fillId="0" borderId="0" xfId="9" applyNumberFormat="1" applyFont="1" applyFill="1" applyAlignment="1">
      <alignment horizontal="right"/>
    </xf>
    <xf numFmtId="0" fontId="157" fillId="8" borderId="0" xfId="1" applyFont="1" applyFill="1"/>
    <xf numFmtId="0" fontId="157" fillId="8" borderId="0" xfId="9" applyFont="1" applyFill="1" applyBorder="1"/>
    <xf numFmtId="0" fontId="157" fillId="8" borderId="0" xfId="9" applyFont="1" applyFill="1" applyProtection="1">
      <protection locked="0"/>
    </xf>
    <xf numFmtId="40" fontId="157" fillId="8" borderId="0" xfId="4" applyNumberFormat="1" applyFont="1" applyFill="1" applyAlignment="1" applyProtection="1">
      <alignment horizontal="right"/>
      <protection locked="0"/>
    </xf>
    <xf numFmtId="0" fontId="157" fillId="0" borderId="0" xfId="1" applyFont="1" applyAlignment="1">
      <alignment horizontal="center"/>
    </xf>
    <xf numFmtId="0" fontId="159" fillId="4" borderId="12" xfId="11" applyFont="1" applyFill="1" applyBorder="1" applyAlignment="1">
      <alignment horizontal="center"/>
    </xf>
    <xf numFmtId="40" fontId="157" fillId="8" borderId="0" xfId="4" applyNumberFormat="1" applyFont="1" applyFill="1" applyAlignment="1">
      <alignment horizontal="right"/>
    </xf>
    <xf numFmtId="0" fontId="154" fillId="0" borderId="0" xfId="33" applyFont="1"/>
    <xf numFmtId="0" fontId="154" fillId="0" borderId="0" xfId="0" applyFont="1"/>
    <xf numFmtId="0" fontId="154" fillId="0" borderId="0" xfId="1" applyFont="1" applyAlignment="1">
      <alignment horizontal="center"/>
    </xf>
    <xf numFmtId="0" fontId="154" fillId="0" borderId="0" xfId="1" applyFont="1" applyAlignment="1">
      <alignment horizontal="left"/>
    </xf>
    <xf numFmtId="0" fontId="154" fillId="0" borderId="0" xfId="1" applyFont="1" applyFill="1"/>
    <xf numFmtId="0" fontId="157" fillId="8" borderId="0" xfId="65" applyFont="1" applyFill="1"/>
    <xf numFmtId="0" fontId="157" fillId="0" borderId="0" xfId="65" applyFont="1" applyFill="1"/>
    <xf numFmtId="172" fontId="167" fillId="5" borderId="0" xfId="1" applyNumberFormat="1" applyFont="1" applyFill="1"/>
    <xf numFmtId="165" fontId="155" fillId="0" borderId="9" xfId="1" applyNumberFormat="1" applyFont="1" applyFill="1" applyBorder="1"/>
    <xf numFmtId="165" fontId="156" fillId="0" borderId="0" xfId="1" applyNumberFormat="1" applyFont="1" applyFill="1"/>
    <xf numFmtId="0" fontId="154" fillId="0" borderId="0" xfId="146" quotePrefix="1" applyNumberFormat="1" applyFont="1" applyFill="1"/>
    <xf numFmtId="0" fontId="156" fillId="0" borderId="0" xfId="13" quotePrefix="1" applyNumberFormat="1" applyFont="1"/>
    <xf numFmtId="0" fontId="157" fillId="0" borderId="0" xfId="1" applyNumberFormat="1" applyFont="1" applyFill="1" applyAlignment="1">
      <alignment horizontal="center"/>
    </xf>
    <xf numFmtId="0" fontId="157" fillId="0" borderId="0" xfId="9" applyNumberFormat="1" applyFont="1" applyFill="1" applyAlignment="1" applyProtection="1">
      <alignment horizontal="center" vertical="justify"/>
      <protection locked="0"/>
    </xf>
    <xf numFmtId="40" fontId="0" fillId="0" borderId="0" xfId="0" applyNumberFormat="1"/>
    <xf numFmtId="40" fontId="172" fillId="4" borderId="12" xfId="11" applyNumberFormat="1" applyFont="1" applyFill="1" applyBorder="1" applyAlignment="1"/>
    <xf numFmtId="40" fontId="173" fillId="0" borderId="0" xfId="9" applyNumberFormat="1" applyFont="1" applyFill="1" applyAlignment="1"/>
    <xf numFmtId="40" fontId="173" fillId="0" borderId="0" xfId="9" applyNumberFormat="1" applyFont="1" applyAlignment="1"/>
    <xf numFmtId="40" fontId="172" fillId="0" borderId="0" xfId="11" applyNumberFormat="1" applyFont="1" applyFill="1" applyBorder="1" applyAlignment="1"/>
    <xf numFmtId="40" fontId="172" fillId="0" borderId="0" xfId="4" applyNumberFormat="1" applyFont="1" applyFill="1" applyBorder="1" applyAlignment="1"/>
    <xf numFmtId="0" fontId="173" fillId="0" borderId="0" xfId="9" applyFont="1" applyFill="1" applyAlignment="1">
      <alignment horizontal="left"/>
    </xf>
    <xf numFmtId="0" fontId="154" fillId="5" borderId="0" xfId="8" applyFont="1" applyFill="1"/>
    <xf numFmtId="0" fontId="162" fillId="5" borderId="0" xfId="1" applyFont="1" applyFill="1"/>
    <xf numFmtId="165" fontId="154" fillId="5" borderId="0" xfId="6" applyFont="1" applyFill="1"/>
    <xf numFmtId="4" fontId="154" fillId="5" borderId="0" xfId="8" applyNumberFormat="1" applyFont="1" applyFill="1"/>
    <xf numFmtId="164" fontId="154" fillId="5" borderId="0" xfId="7" applyFont="1" applyFill="1"/>
    <xf numFmtId="165" fontId="154" fillId="5" borderId="0" xfId="1" applyNumberFormat="1" applyFont="1" applyFill="1"/>
    <xf numFmtId="0" fontId="154" fillId="5" borderId="0" xfId="8" applyFont="1" applyFill="1" applyBorder="1"/>
    <xf numFmtId="164" fontId="154" fillId="5" borderId="10" xfId="7" applyFont="1" applyFill="1" applyBorder="1"/>
    <xf numFmtId="0" fontId="154" fillId="5" borderId="8" xfId="8" applyFont="1" applyFill="1" applyBorder="1"/>
    <xf numFmtId="164" fontId="154" fillId="5" borderId="0" xfId="7" applyFont="1" applyFill="1" applyBorder="1"/>
    <xf numFmtId="164" fontId="154" fillId="5" borderId="9" xfId="7" applyFont="1" applyFill="1" applyBorder="1"/>
    <xf numFmtId="0" fontId="171" fillId="5" borderId="0" xfId="8" applyFont="1" applyFill="1"/>
    <xf numFmtId="165" fontId="154" fillId="5" borderId="0" xfId="8" applyNumberFormat="1" applyFont="1" applyFill="1"/>
    <xf numFmtId="39" fontId="187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39" fontId="194" fillId="9" borderId="0" xfId="10" quotePrefix="1" applyFont="1" applyFill="1" applyAlignment="1" applyProtection="1">
      <alignment horizontal="left"/>
      <protection locked="0"/>
    </xf>
    <xf numFmtId="39" fontId="194" fillId="9" borderId="0" xfId="10" applyFont="1" applyFill="1" applyAlignment="1" applyProtection="1">
      <alignment horizontal="left"/>
      <protection locked="0"/>
    </xf>
    <xf numFmtId="40" fontId="194" fillId="9" borderId="0" xfId="10" applyNumberFormat="1" applyFont="1" applyFill="1" applyAlignment="1" applyProtection="1">
      <alignment horizontal="left"/>
      <protection locked="0"/>
    </xf>
    <xf numFmtId="40" fontId="194" fillId="9" borderId="0" xfId="10" applyNumberFormat="1" applyFont="1" applyFill="1" applyProtection="1">
      <protection locked="0"/>
    </xf>
    <xf numFmtId="39" fontId="194" fillId="9" borderId="0" xfId="10" applyFont="1" applyFill="1" applyProtection="1">
      <protection locked="0"/>
    </xf>
    <xf numFmtId="39" fontId="195" fillId="9" borderId="0" xfId="10" applyFont="1" applyFill="1" applyAlignment="1" applyProtection="1">
      <alignment horizontal="left"/>
      <protection locked="0"/>
    </xf>
    <xf numFmtId="171" fontId="195" fillId="9" borderId="0" xfId="10" applyNumberFormat="1" applyFont="1" applyFill="1" applyAlignment="1" applyProtection="1">
      <alignment horizontal="left"/>
      <protection locked="0"/>
    </xf>
    <xf numFmtId="39" fontId="187" fillId="9" borderId="0" xfId="10" applyFont="1" applyFill="1" applyAlignment="1" applyProtection="1">
      <alignment horizontal="left"/>
      <protection locked="0"/>
    </xf>
    <xf numFmtId="0" fontId="195" fillId="9" borderId="0" xfId="10" applyNumberFormat="1" applyFont="1" applyFill="1" applyAlignment="1" applyProtection="1">
      <alignment horizontal="center"/>
      <protection locked="0"/>
    </xf>
    <xf numFmtId="40" fontId="187" fillId="9" borderId="0" xfId="10" applyNumberFormat="1" applyFont="1" applyFill="1" applyProtection="1">
      <protection locked="0"/>
    </xf>
    <xf numFmtId="9" fontId="187" fillId="9" borderId="0" xfId="12" applyFont="1" applyFill="1" applyBorder="1" applyProtection="1"/>
    <xf numFmtId="9" fontId="187" fillId="9" borderId="0" xfId="12" applyFont="1" applyFill="1" applyBorder="1" applyAlignment="1" applyProtection="1">
      <alignment horizontal="center"/>
    </xf>
    <xf numFmtId="165" fontId="199" fillId="9" borderId="0" xfId="6" applyFont="1" applyFill="1" applyBorder="1" applyAlignment="1" applyProtection="1"/>
    <xf numFmtId="165" fontId="199" fillId="9" borderId="0" xfId="6" applyFont="1" applyFill="1" applyBorder="1" applyAlignment="1" applyProtection="1">
      <alignment horizontal="right"/>
    </xf>
    <xf numFmtId="0" fontId="187" fillId="9" borderId="0" xfId="64" applyFont="1" applyFill="1"/>
    <xf numFmtId="49" fontId="187" fillId="9" borderId="0" xfId="64" applyNumberFormat="1" applyFont="1" applyFill="1" applyAlignment="1">
      <alignment horizontal="right"/>
    </xf>
    <xf numFmtId="168" fontId="187" fillId="9" borderId="0" xfId="64" applyNumberFormat="1" applyFont="1" applyFill="1"/>
    <xf numFmtId="0" fontId="187" fillId="9" borderId="0" xfId="64" applyFont="1" applyFill="1" applyAlignment="1">
      <alignment horizontal="center"/>
    </xf>
    <xf numFmtId="0" fontId="187" fillId="9" borderId="0" xfId="64" applyFont="1" applyFill="1" applyAlignment="1">
      <alignment horizontal="left"/>
    </xf>
    <xf numFmtId="40" fontId="187" fillId="9" borderId="0" xfId="64" applyNumberFormat="1" applyFont="1" applyFill="1"/>
    <xf numFmtId="0" fontId="200" fillId="0" borderId="0" xfId="64" applyFont="1" applyBorder="1"/>
    <xf numFmtId="164" fontId="200" fillId="0" borderId="0" xfId="7" applyFont="1"/>
    <xf numFmtId="0" fontId="200" fillId="0" borderId="0" xfId="64" applyFont="1"/>
    <xf numFmtId="0" fontId="201" fillId="0" borderId="0" xfId="64" applyNumberFormat="1" applyFont="1" applyFill="1" applyBorder="1" applyAlignment="1">
      <alignment horizontal="left"/>
    </xf>
    <xf numFmtId="1" fontId="200" fillId="0" borderId="0" xfId="64" applyNumberFormat="1" applyFont="1" applyFill="1" applyBorder="1" applyAlignment="1" applyProtection="1">
      <alignment horizontal="right"/>
    </xf>
    <xf numFmtId="0" fontId="200" fillId="0" borderId="0" xfId="64" applyFont="1" applyFill="1" applyBorder="1" applyAlignment="1">
      <alignment horizontal="right"/>
    </xf>
    <xf numFmtId="1" fontId="200" fillId="0" borderId="0" xfId="64" quotePrefix="1" applyNumberFormat="1" applyFont="1" applyFill="1" applyBorder="1" applyAlignment="1" applyProtection="1">
      <alignment horizontal="left"/>
    </xf>
    <xf numFmtId="0" fontId="200" fillId="0" borderId="0" xfId="64" applyNumberFormat="1" applyFont="1" applyFill="1" applyBorder="1" applyAlignment="1">
      <alignment horizontal="left"/>
    </xf>
    <xf numFmtId="0" fontId="200" fillId="9" borderId="0" xfId="64" applyFont="1" applyFill="1" applyBorder="1" applyAlignment="1">
      <alignment horizontal="right"/>
    </xf>
    <xf numFmtId="15" fontId="200" fillId="0" borderId="0" xfId="64" applyNumberFormat="1" applyFont="1" applyFill="1" applyBorder="1" applyAlignment="1" applyProtection="1">
      <alignment horizontal="right"/>
    </xf>
    <xf numFmtId="49" fontId="200" fillId="0" borderId="0" xfId="64" applyNumberFormat="1" applyFont="1" applyBorder="1"/>
    <xf numFmtId="0" fontId="201" fillId="0" borderId="0" xfId="64" applyFont="1"/>
    <xf numFmtId="165" fontId="200" fillId="0" borderId="0" xfId="6" applyFont="1" applyFill="1" applyBorder="1" applyAlignment="1">
      <alignment horizontal="center"/>
    </xf>
    <xf numFmtId="165" fontId="200" fillId="0" borderId="0" xfId="6" applyFont="1" applyFill="1" applyBorder="1"/>
    <xf numFmtId="165" fontId="200" fillId="0" borderId="0" xfId="6" applyFont="1"/>
    <xf numFmtId="40" fontId="158" fillId="0" borderId="0" xfId="0" applyNumberFormat="1" applyFont="1"/>
    <xf numFmtId="0" fontId="156" fillId="9" borderId="0" xfId="1" applyFont="1" applyFill="1" applyAlignment="1">
      <alignment horizontal="left"/>
    </xf>
    <xf numFmtId="0" fontId="156" fillId="9" borderId="0" xfId="13" quotePrefix="1" applyNumberFormat="1" applyFont="1" applyFill="1"/>
    <xf numFmtId="165" fontId="180" fillId="5" borderId="8" xfId="6" applyFont="1" applyFill="1" applyBorder="1" applyAlignment="1">
      <alignment horizontal="center"/>
    </xf>
    <xf numFmtId="165" fontId="181" fillId="5" borderId="8" xfId="6" applyFont="1" applyFill="1" applyBorder="1" applyAlignment="1">
      <alignment horizontal="center"/>
    </xf>
    <xf numFmtId="49" fontId="196" fillId="9" borderId="0" xfId="0" applyNumberFormat="1" applyFont="1" applyFill="1" applyBorder="1" applyAlignment="1">
      <alignment horizontal="center"/>
    </xf>
    <xf numFmtId="15" fontId="187" fillId="9" borderId="0" xfId="0" quotePrefix="1" applyNumberFormat="1" applyFont="1" applyFill="1" applyBorder="1" applyAlignment="1" applyProtection="1">
      <alignment horizontal="left"/>
    </xf>
    <xf numFmtId="49" fontId="187" fillId="9" borderId="0" xfId="0" applyNumberFormat="1" applyFont="1" applyFill="1" applyBorder="1" applyAlignment="1">
      <alignment horizontal="right"/>
    </xf>
    <xf numFmtId="168" fontId="187" fillId="9" borderId="0" xfId="0" applyNumberFormat="1" applyFont="1" applyFill="1" applyBorder="1"/>
    <xf numFmtId="1" fontId="187" fillId="9" borderId="0" xfId="0" applyNumberFormat="1" applyFont="1" applyFill="1" applyBorder="1" applyAlignment="1" applyProtection="1">
      <alignment horizontal="right"/>
    </xf>
    <xf numFmtId="1" fontId="187" fillId="9" borderId="0" xfId="0" applyNumberFormat="1" applyFont="1" applyFill="1" applyBorder="1" applyAlignment="1" applyProtection="1">
      <alignment horizontal="center"/>
    </xf>
    <xf numFmtId="0" fontId="187" fillId="9" borderId="0" xfId="0" applyFont="1" applyFill="1" applyBorder="1"/>
    <xf numFmtId="4" fontId="187" fillId="9" borderId="0" xfId="0" applyNumberFormat="1" applyFont="1" applyFill="1" applyBorder="1" applyAlignment="1" applyProtection="1">
      <alignment horizontal="right"/>
    </xf>
    <xf numFmtId="39" fontId="187" fillId="9" borderId="0" xfId="0" applyNumberFormat="1" applyFont="1" applyFill="1" applyBorder="1" applyProtection="1"/>
    <xf numFmtId="40" fontId="187" fillId="9" borderId="0" xfId="0" applyNumberFormat="1" applyFont="1" applyFill="1" applyBorder="1" applyProtection="1"/>
    <xf numFmtId="4" fontId="187" fillId="9" borderId="0" xfId="0" applyNumberFormat="1" applyFont="1" applyFill="1" applyBorder="1" applyAlignment="1" applyProtection="1">
      <alignment horizontal="center"/>
    </xf>
    <xf numFmtId="0" fontId="196" fillId="9" borderId="0" xfId="0" applyFont="1" applyFill="1" applyBorder="1" applyAlignment="1">
      <alignment horizontal="left"/>
    </xf>
    <xf numFmtId="0" fontId="188" fillId="9" borderId="0" xfId="0" quotePrefix="1" applyFont="1" applyFill="1" applyBorder="1" applyAlignment="1">
      <alignment horizontal="right"/>
    </xf>
    <xf numFmtId="169" fontId="187" fillId="9" borderId="0" xfId="0" applyNumberFormat="1" applyFont="1" applyFill="1" applyBorder="1"/>
    <xf numFmtId="49" fontId="187" fillId="9" borderId="0" xfId="0" applyNumberFormat="1" applyFont="1" applyFill="1" applyBorder="1" applyAlignment="1" applyProtection="1">
      <alignment horizontal="right"/>
    </xf>
    <xf numFmtId="168" fontId="187" fillId="9" borderId="0" xfId="0" applyNumberFormat="1" applyFont="1" applyFill="1" applyBorder="1" applyProtection="1"/>
    <xf numFmtId="0" fontId="187" fillId="9" borderId="0" xfId="0" applyFont="1" applyFill="1" applyBorder="1" applyAlignment="1">
      <alignment horizontal="left"/>
    </xf>
    <xf numFmtId="169" fontId="198" fillId="9" borderId="5" xfId="0" applyNumberFormat="1" applyFont="1" applyFill="1" applyBorder="1" applyAlignment="1">
      <alignment horizontal="center"/>
    </xf>
    <xf numFmtId="49" fontId="198" fillId="9" borderId="5" xfId="0" applyNumberFormat="1" applyFont="1" applyFill="1" applyBorder="1" applyAlignment="1">
      <alignment horizontal="left"/>
    </xf>
    <xf numFmtId="168" fontId="198" fillId="9" borderId="5" xfId="0" applyNumberFormat="1" applyFont="1" applyFill="1" applyBorder="1" applyAlignment="1">
      <alignment horizontal="center"/>
    </xf>
    <xf numFmtId="1" fontId="198" fillId="9" borderId="5" xfId="0" quotePrefix="1" applyNumberFormat="1" applyFont="1" applyFill="1" applyBorder="1" applyAlignment="1" applyProtection="1">
      <alignment horizontal="center"/>
    </xf>
    <xf numFmtId="39" fontId="198" fillId="9" borderId="14" xfId="0" applyNumberFormat="1" applyFont="1" applyFill="1" applyBorder="1" applyAlignment="1" applyProtection="1">
      <alignment horizontal="center"/>
    </xf>
    <xf numFmtId="39" fontId="198" fillId="9" borderId="14" xfId="0" quotePrefix="1" applyNumberFormat="1" applyFont="1" applyFill="1" applyBorder="1" applyAlignment="1" applyProtection="1">
      <alignment horizontal="center"/>
    </xf>
    <xf numFmtId="4" fontId="197" fillId="9" borderId="5" xfId="0" applyNumberFormat="1" applyFont="1" applyFill="1" applyBorder="1" applyAlignment="1" applyProtection="1">
      <alignment horizontal="center"/>
    </xf>
    <xf numFmtId="169" fontId="198" fillId="9" borderId="6" xfId="0" applyNumberFormat="1" applyFont="1" applyFill="1" applyBorder="1" applyAlignment="1">
      <alignment horizontal="center"/>
    </xf>
    <xf numFmtId="49" fontId="198" fillId="9" borderId="6" xfId="0" quotePrefix="1" applyNumberFormat="1" applyFont="1" applyFill="1" applyBorder="1" applyAlignment="1" applyProtection="1">
      <alignment horizontal="left"/>
    </xf>
    <xf numFmtId="168" fontId="198" fillId="9" borderId="6" xfId="0" quotePrefix="1" applyNumberFormat="1" applyFont="1" applyFill="1" applyBorder="1" applyAlignment="1">
      <alignment horizontal="center"/>
    </xf>
    <xf numFmtId="15" fontId="198" fillId="9" borderId="6" xfId="0" quotePrefix="1" applyNumberFormat="1" applyFont="1" applyFill="1" applyBorder="1" applyAlignment="1">
      <alignment horizontal="center"/>
    </xf>
    <xf numFmtId="15" fontId="198" fillId="9" borderId="6" xfId="0" applyNumberFormat="1" applyFont="1" applyFill="1" applyBorder="1" applyAlignment="1">
      <alignment horizontal="center"/>
    </xf>
    <xf numFmtId="39" fontId="198" fillId="9" borderId="15" xfId="0" applyNumberFormat="1" applyFont="1" applyFill="1" applyBorder="1" applyAlignment="1" applyProtection="1">
      <alignment horizontal="center"/>
    </xf>
    <xf numFmtId="4" fontId="197" fillId="9" borderId="6" xfId="0" applyNumberFormat="1" applyFont="1" applyFill="1" applyBorder="1" applyAlignment="1" applyProtection="1">
      <alignment horizontal="center"/>
    </xf>
    <xf numFmtId="169" fontId="199" fillId="9" borderId="0" xfId="0" applyNumberFormat="1" applyFont="1" applyFill="1" applyBorder="1" applyAlignment="1">
      <alignment horizontal="center"/>
    </xf>
    <xf numFmtId="167" fontId="199" fillId="9" borderId="0" xfId="0" applyNumberFormat="1" applyFont="1" applyFill="1" applyBorder="1" applyAlignment="1" applyProtection="1"/>
    <xf numFmtId="49" fontId="199" fillId="9" borderId="0" xfId="0" applyNumberFormat="1" applyFont="1" applyFill="1" applyBorder="1" applyAlignment="1">
      <alignment horizontal="center"/>
    </xf>
    <xf numFmtId="49" fontId="199" fillId="9" borderId="0" xfId="0" applyNumberFormat="1" applyFont="1" applyFill="1" applyBorder="1" applyAlignment="1">
      <alignment horizontal="left"/>
    </xf>
    <xf numFmtId="0" fontId="199" fillId="9" borderId="0" xfId="0" applyFont="1" applyFill="1" applyBorder="1" applyAlignment="1">
      <alignment horizontal="left" vertical="center"/>
    </xf>
    <xf numFmtId="169" fontId="199" fillId="11" borderId="0" xfId="0" applyNumberFormat="1" applyFont="1" applyFill="1" applyBorder="1" applyAlignment="1">
      <alignment horizontal="center"/>
    </xf>
    <xf numFmtId="167" fontId="199" fillId="11" borderId="0" xfId="0" applyNumberFormat="1" applyFont="1" applyFill="1" applyBorder="1" applyAlignment="1" applyProtection="1"/>
    <xf numFmtId="49" fontId="199" fillId="11" borderId="0" xfId="0" applyNumberFormat="1" applyFont="1" applyFill="1" applyBorder="1" applyAlignment="1">
      <alignment horizontal="center"/>
    </xf>
    <xf numFmtId="49" fontId="199" fillId="11" borderId="0" xfId="0" applyNumberFormat="1" applyFont="1" applyFill="1" applyBorder="1" applyAlignment="1">
      <alignment horizontal="left"/>
    </xf>
    <xf numFmtId="0" fontId="199" fillId="11" borderId="0" xfId="0" applyFont="1" applyFill="1" applyBorder="1" applyAlignment="1">
      <alignment horizontal="left" vertical="center"/>
    </xf>
    <xf numFmtId="165" fontId="199" fillId="11" borderId="0" xfId="6" applyFont="1" applyFill="1" applyBorder="1" applyAlignment="1" applyProtection="1"/>
    <xf numFmtId="165" fontId="199" fillId="11" borderId="0" xfId="6" applyFont="1" applyFill="1" applyBorder="1" applyAlignment="1" applyProtection="1">
      <alignment horizontal="right"/>
    </xf>
    <xf numFmtId="15" fontId="200" fillId="0" borderId="0" xfId="0" quotePrefix="1" applyNumberFormat="1" applyFont="1" applyFill="1" applyBorder="1" applyAlignment="1" applyProtection="1">
      <alignment horizontal="left"/>
    </xf>
    <xf numFmtId="0" fontId="200" fillId="0" borderId="0" xfId="0" applyFont="1" applyBorder="1"/>
    <xf numFmtId="49" fontId="200" fillId="0" borderId="0" xfId="0" applyNumberFormat="1" applyFont="1" applyBorder="1"/>
    <xf numFmtId="171" fontId="202" fillId="0" borderId="0" xfId="0" applyNumberFormat="1" applyFont="1" applyBorder="1" applyAlignment="1">
      <alignment horizontal="center"/>
    </xf>
    <xf numFmtId="0" fontId="201" fillId="0" borderId="0" xfId="0" applyFont="1" applyBorder="1"/>
    <xf numFmtId="0" fontId="203" fillId="0" borderId="0" xfId="0" applyFont="1" applyBorder="1" applyAlignment="1">
      <alignment horizontal="left"/>
    </xf>
    <xf numFmtId="4" fontId="201" fillId="0" borderId="0" xfId="0" quotePrefix="1" applyNumberFormat="1" applyFont="1" applyFill="1" applyBorder="1" applyAlignment="1" applyProtection="1">
      <alignment horizontal="left"/>
    </xf>
    <xf numFmtId="15" fontId="200" fillId="0" borderId="0" xfId="0" applyNumberFormat="1" applyFont="1" applyFill="1" applyBorder="1" applyProtection="1"/>
    <xf numFmtId="1" fontId="200" fillId="0" borderId="0" xfId="0" applyNumberFormat="1" applyFont="1" applyFill="1" applyBorder="1" applyAlignment="1" applyProtection="1">
      <alignment horizontal="right"/>
    </xf>
    <xf numFmtId="0" fontId="200" fillId="0" borderId="0" xfId="0" applyFont="1" applyFill="1" applyBorder="1" applyAlignment="1">
      <alignment horizontal="right"/>
    </xf>
    <xf numFmtId="0" fontId="204" fillId="0" borderId="0" xfId="0" quotePrefix="1" applyFont="1" applyBorder="1" applyAlignment="1">
      <alignment horizontal="left"/>
    </xf>
    <xf numFmtId="0" fontId="201" fillId="0" borderId="0" xfId="0" applyFont="1"/>
    <xf numFmtId="15" fontId="205" fillId="6" borderId="5" xfId="0" applyNumberFormat="1" applyFont="1" applyFill="1" applyBorder="1" applyAlignment="1">
      <alignment horizontal="center"/>
    </xf>
    <xf numFmtId="0" fontId="205" fillId="6" borderId="5" xfId="0" quotePrefix="1" applyFont="1" applyFill="1" applyBorder="1" applyAlignment="1">
      <alignment horizontal="center"/>
    </xf>
    <xf numFmtId="0" fontId="205" fillId="6" borderId="5" xfId="0" applyFont="1" applyFill="1" applyBorder="1" applyAlignment="1">
      <alignment horizontal="center"/>
    </xf>
    <xf numFmtId="0" fontId="205" fillId="6" borderId="13" xfId="0" applyFont="1" applyFill="1" applyBorder="1" applyAlignment="1">
      <alignment horizontal="centerContinuous"/>
    </xf>
    <xf numFmtId="0" fontId="205" fillId="6" borderId="3" xfId="0" applyFont="1" applyFill="1" applyBorder="1" applyAlignment="1">
      <alignment horizontal="centerContinuous"/>
    </xf>
    <xf numFmtId="15" fontId="205" fillId="6" borderId="7" xfId="0" applyNumberFormat="1" applyFont="1" applyFill="1" applyBorder="1" applyAlignment="1" applyProtection="1">
      <alignment horizontal="center"/>
    </xf>
    <xf numFmtId="0" fontId="205" fillId="6" borderId="7" xfId="0" applyFont="1" applyFill="1" applyBorder="1" applyAlignment="1">
      <alignment horizontal="center"/>
    </xf>
    <xf numFmtId="0" fontId="205" fillId="6" borderId="2" xfId="0" applyFont="1" applyFill="1" applyBorder="1" applyAlignment="1">
      <alignment horizontal="centerContinuous"/>
    </xf>
    <xf numFmtId="0" fontId="205" fillId="6" borderId="6" xfId="0" applyFont="1" applyFill="1" applyBorder="1" applyAlignment="1">
      <alignment horizontal="center"/>
    </xf>
    <xf numFmtId="0" fontId="205" fillId="6" borderId="6" xfId="0" quotePrefix="1" applyFont="1" applyFill="1" applyBorder="1" applyAlignment="1">
      <alignment horizontal="center"/>
    </xf>
    <xf numFmtId="0" fontId="205" fillId="6" borderId="1" xfId="0" quotePrefix="1" applyFont="1" applyFill="1" applyBorder="1" applyAlignment="1">
      <alignment horizontal="center"/>
    </xf>
    <xf numFmtId="0" fontId="205" fillId="6" borderId="1" xfId="0" applyFont="1" applyFill="1" applyBorder="1" applyAlignment="1">
      <alignment horizontal="center"/>
    </xf>
    <xf numFmtId="170" fontId="200" fillId="0" borderId="0" xfId="0" applyNumberFormat="1" applyFont="1" applyFill="1" applyBorder="1" applyAlignment="1">
      <alignment horizontal="center"/>
    </xf>
    <xf numFmtId="49" fontId="200" fillId="0" borderId="0" xfId="0" applyNumberFormat="1" applyFont="1" applyFill="1" applyBorder="1" applyAlignment="1">
      <alignment horizontal="center"/>
    </xf>
    <xf numFmtId="0" fontId="200" fillId="0" borderId="0" xfId="0" applyFont="1" applyFill="1" applyBorder="1" applyAlignment="1">
      <alignment horizontal="center"/>
    </xf>
    <xf numFmtId="4" fontId="200" fillId="0" borderId="0" xfId="0" applyNumberFormat="1" applyFont="1" applyFill="1" applyBorder="1" applyAlignment="1">
      <alignment horizontal="center"/>
    </xf>
    <xf numFmtId="14" fontId="200" fillId="0" borderId="0" xfId="0" applyNumberFormat="1" applyFont="1" applyFill="1" applyBorder="1" applyAlignment="1">
      <alignment horizontal="center"/>
    </xf>
    <xf numFmtId="0" fontId="200" fillId="0" borderId="0" xfId="0" applyFont="1" applyFill="1" applyBorder="1"/>
    <xf numFmtId="2" fontId="200" fillId="9" borderId="0" xfId="0" applyNumberFormat="1" applyFont="1" applyFill="1"/>
    <xf numFmtId="165" fontId="200" fillId="0" borderId="0" xfId="64" applyNumberFormat="1" applyFont="1"/>
    <xf numFmtId="165" fontId="200" fillId="0" borderId="0" xfId="6" applyFont="1" applyFill="1"/>
    <xf numFmtId="49" fontId="196" fillId="11" borderId="0" xfId="0" applyNumberFormat="1" applyFont="1" applyFill="1" applyBorder="1" applyAlignment="1">
      <alignment horizontal="center"/>
    </xf>
    <xf numFmtId="0" fontId="205" fillId="8" borderId="5" xfId="0" applyFont="1" applyFill="1" applyBorder="1" applyAlignment="1">
      <alignment horizontal="center"/>
    </xf>
    <xf numFmtId="0" fontId="205" fillId="8" borderId="7" xfId="0" applyFont="1" applyFill="1" applyBorder="1" applyAlignment="1">
      <alignment horizontal="center"/>
    </xf>
    <xf numFmtId="0" fontId="205" fillId="8" borderId="1" xfId="0" applyFont="1" applyFill="1" applyBorder="1" applyAlignment="1">
      <alignment horizontal="center"/>
    </xf>
    <xf numFmtId="0" fontId="205" fillId="8" borderId="6" xfId="0" applyFont="1" applyFill="1" applyBorder="1" applyAlignment="1">
      <alignment horizontal="center"/>
    </xf>
    <xf numFmtId="1" fontId="188" fillId="9" borderId="0" xfId="0" applyNumberFormat="1" applyFont="1" applyFill="1" applyBorder="1" applyAlignment="1" applyProtection="1">
      <alignment horizontal="center"/>
    </xf>
    <xf numFmtId="0" fontId="198" fillId="0" borderId="5" xfId="0" quotePrefix="1" applyFont="1" applyFill="1" applyBorder="1" applyAlignment="1">
      <alignment horizontal="left"/>
    </xf>
    <xf numFmtId="4" fontId="197" fillId="0" borderId="2" xfId="0" applyNumberFormat="1" applyFont="1" applyFill="1" applyBorder="1" applyAlignment="1" applyProtection="1">
      <alignment horizontal="centerContinuous"/>
    </xf>
    <xf numFmtId="39" fontId="197" fillId="0" borderId="4" xfId="0" applyNumberFormat="1" applyFont="1" applyFill="1" applyBorder="1" applyAlignment="1" applyProtection="1">
      <alignment horizontal="centerContinuous"/>
    </xf>
    <xf numFmtId="40" fontId="197" fillId="0" borderId="2" xfId="0" applyNumberFormat="1" applyFont="1" applyFill="1" applyBorder="1" applyAlignment="1" applyProtection="1">
      <alignment horizontal="centerContinuous"/>
    </xf>
    <xf numFmtId="39" fontId="197" fillId="0" borderId="3" xfId="0" applyNumberFormat="1" applyFont="1" applyFill="1" applyBorder="1" applyAlignment="1" applyProtection="1">
      <alignment horizontal="centerContinuous"/>
    </xf>
    <xf numFmtId="40" fontId="197" fillId="0" borderId="4" xfId="0" applyNumberFormat="1" applyFont="1" applyFill="1" applyBorder="1" applyAlignment="1">
      <alignment horizontal="centerContinuous"/>
    </xf>
    <xf numFmtId="40" fontId="197" fillId="0" borderId="14" xfId="0" applyNumberFormat="1" applyFont="1" applyFill="1" applyBorder="1" applyAlignment="1" applyProtection="1">
      <alignment horizontal="center"/>
    </xf>
    <xf numFmtId="15" fontId="198" fillId="0" borderId="6" xfId="0" applyNumberFormat="1" applyFont="1" applyFill="1" applyBorder="1" applyAlignment="1" applyProtection="1">
      <alignment horizontal="left"/>
    </xf>
    <xf numFmtId="4" fontId="197" fillId="0" borderId="1" xfId="0" applyNumberFormat="1" applyFont="1" applyFill="1" applyBorder="1" applyAlignment="1" applyProtection="1">
      <alignment horizontal="center"/>
    </xf>
    <xf numFmtId="39" fontId="197" fillId="0" borderId="1" xfId="0" quotePrefix="1" applyNumberFormat="1" applyFont="1" applyFill="1" applyBorder="1" applyAlignment="1" applyProtection="1">
      <alignment horizontal="center"/>
    </xf>
    <xf numFmtId="39" fontId="197" fillId="0" borderId="6" xfId="0" applyNumberFormat="1" applyFont="1" applyFill="1" applyBorder="1" applyAlignment="1" applyProtection="1">
      <alignment horizontal="center"/>
    </xf>
    <xf numFmtId="40" fontId="197" fillId="0" borderId="15" xfId="0" applyNumberFormat="1" applyFont="1" applyFill="1" applyBorder="1" applyAlignment="1" applyProtection="1">
      <alignment horizontal="center"/>
    </xf>
    <xf numFmtId="167" fontId="199" fillId="9" borderId="0" xfId="0" applyNumberFormat="1" applyFont="1" applyFill="1" applyBorder="1" applyAlignment="1" applyProtection="1">
      <alignment horizontal="right"/>
    </xf>
    <xf numFmtId="49" fontId="196" fillId="9" borderId="0" xfId="0" applyNumberFormat="1" applyFont="1" applyFill="1" applyBorder="1" applyAlignment="1">
      <alignment horizontal="center" vertical="center" wrapText="1"/>
    </xf>
    <xf numFmtId="40" fontId="200" fillId="0" borderId="0" xfId="64" applyNumberFormat="1" applyFont="1"/>
    <xf numFmtId="165" fontId="201" fillId="0" borderId="0" xfId="6" applyFont="1"/>
    <xf numFmtId="171" fontId="200" fillId="0" borderId="0" xfId="64" applyNumberFormat="1" applyFont="1"/>
    <xf numFmtId="165" fontId="158" fillId="0" borderId="0" xfId="0" applyNumberFormat="1" applyFont="1"/>
    <xf numFmtId="165" fontId="200" fillId="12" borderId="0" xfId="6" applyFont="1" applyFill="1"/>
    <xf numFmtId="0" fontId="200" fillId="12" borderId="0" xfId="64" applyFont="1" applyFill="1"/>
    <xf numFmtId="40" fontId="157" fillId="0" borderId="0" xfId="1" applyNumberFormat="1" applyFont="1" applyFill="1"/>
    <xf numFmtId="169" fontId="187" fillId="9" borderId="11" xfId="0" applyNumberFormat="1" applyFont="1" applyFill="1" applyBorder="1"/>
    <xf numFmtId="49" fontId="187" fillId="9" borderId="11" xfId="0" applyNumberFormat="1" applyFont="1" applyFill="1" applyBorder="1" applyAlignment="1" applyProtection="1">
      <alignment horizontal="right"/>
    </xf>
    <xf numFmtId="168" fontId="188" fillId="9" borderId="11" xfId="0" applyNumberFormat="1" applyFont="1" applyFill="1" applyBorder="1" applyAlignment="1" applyProtection="1">
      <alignment horizontal="center"/>
    </xf>
    <xf numFmtId="49" fontId="187" fillId="9" borderId="11" xfId="0" applyNumberFormat="1" applyFont="1" applyFill="1" applyBorder="1" applyAlignment="1" applyProtection="1">
      <alignment horizontal="center"/>
    </xf>
    <xf numFmtId="49" fontId="187" fillId="9" borderId="11" xfId="0" applyNumberFormat="1" applyFont="1" applyFill="1" applyBorder="1" applyAlignment="1">
      <alignment horizontal="left"/>
    </xf>
    <xf numFmtId="0" fontId="187" fillId="9" borderId="11" xfId="0" applyFont="1" applyFill="1" applyBorder="1" applyAlignment="1">
      <alignment horizontal="left"/>
    </xf>
    <xf numFmtId="40" fontId="187" fillId="9" borderId="11" xfId="0" applyNumberFormat="1" applyFont="1" applyFill="1" applyBorder="1" applyAlignment="1" applyProtection="1">
      <alignment horizontal="right"/>
    </xf>
    <xf numFmtId="40" fontId="187" fillId="9" borderId="11" xfId="0" applyNumberFormat="1" applyFont="1" applyFill="1" applyBorder="1" applyProtection="1"/>
    <xf numFmtId="0" fontId="187" fillId="9" borderId="11" xfId="0" applyFont="1" applyFill="1" applyBorder="1"/>
    <xf numFmtId="40" fontId="187" fillId="9" borderId="11" xfId="0" applyNumberFormat="1" applyFont="1" applyFill="1" applyBorder="1" applyAlignment="1" applyProtection="1"/>
    <xf numFmtId="168" fontId="187" fillId="9" borderId="0" xfId="0" applyNumberFormat="1" applyFont="1" applyFill="1" applyBorder="1" applyAlignment="1" applyProtection="1">
      <alignment horizontal="center"/>
    </xf>
    <xf numFmtId="49" fontId="187" fillId="9" borderId="0" xfId="0" applyNumberFormat="1" applyFont="1" applyFill="1" applyBorder="1" applyAlignment="1" applyProtection="1">
      <alignment horizontal="center"/>
    </xf>
    <xf numFmtId="49" fontId="187" fillId="9" borderId="0" xfId="0" applyNumberFormat="1" applyFont="1" applyFill="1" applyBorder="1" applyAlignment="1">
      <alignment horizontal="left"/>
    </xf>
    <xf numFmtId="40" fontId="187" fillId="9" borderId="0" xfId="0" applyNumberFormat="1" applyFont="1" applyFill="1" applyBorder="1" applyAlignment="1" applyProtection="1">
      <alignment horizontal="right"/>
    </xf>
    <xf numFmtId="40" fontId="187" fillId="9" borderId="0" xfId="0" applyNumberFormat="1" applyFont="1" applyFill="1" applyBorder="1"/>
    <xf numFmtId="40" fontId="187" fillId="9" borderId="0" xfId="0" applyNumberFormat="1" applyFont="1" applyFill="1" applyBorder="1" applyAlignment="1" applyProtection="1"/>
    <xf numFmtId="49" fontId="187" fillId="9" borderId="0" xfId="0" applyNumberFormat="1" applyFont="1" applyFill="1" applyBorder="1" applyAlignment="1">
      <alignment horizontal="center"/>
    </xf>
    <xf numFmtId="40" fontId="187" fillId="9" borderId="0" xfId="0" applyNumberFormat="1" applyFont="1" applyFill="1" applyBorder="1" applyAlignment="1">
      <alignment horizontal="center"/>
    </xf>
    <xf numFmtId="49" fontId="187" fillId="9" borderId="11" xfId="0" applyNumberFormat="1" applyFont="1" applyFill="1" applyBorder="1" applyAlignment="1">
      <alignment horizontal="right"/>
    </xf>
    <xf numFmtId="168" fontId="187" fillId="9" borderId="11" xfId="0" applyNumberFormat="1" applyFont="1" applyFill="1" applyBorder="1"/>
    <xf numFmtId="49" fontId="187" fillId="9" borderId="11" xfId="0" applyNumberFormat="1" applyFont="1" applyFill="1" applyBorder="1" applyAlignment="1">
      <alignment horizontal="center"/>
    </xf>
    <xf numFmtId="40" fontId="187" fillId="9" borderId="11" xfId="0" applyNumberFormat="1" applyFont="1" applyFill="1" applyBorder="1" applyAlignment="1">
      <alignment horizontal="center"/>
    </xf>
    <xf numFmtId="40" fontId="187" fillId="9" borderId="11" xfId="0" applyNumberFormat="1" applyFont="1" applyFill="1" applyBorder="1"/>
    <xf numFmtId="165" fontId="188" fillId="9" borderId="11" xfId="6" applyFont="1" applyFill="1" applyBorder="1"/>
    <xf numFmtId="4" fontId="200" fillId="0" borderId="0" xfId="0" applyNumberFormat="1" applyFont="1" applyBorder="1"/>
    <xf numFmtId="165" fontId="201" fillId="0" borderId="0" xfId="64" applyNumberFormat="1" applyFont="1"/>
    <xf numFmtId="0" fontId="207" fillId="13" borderId="0" xfId="64" applyFont="1" applyFill="1"/>
    <xf numFmtId="165" fontId="208" fillId="0" borderId="0" xfId="0" applyNumberFormat="1" applyFont="1"/>
    <xf numFmtId="0" fontId="200" fillId="0" borderId="0" xfId="0" applyFont="1" applyFill="1"/>
    <xf numFmtId="2" fontId="200" fillId="0" borderId="0" xfId="0" applyNumberFormat="1" applyFont="1" applyFill="1"/>
    <xf numFmtId="0" fontId="200" fillId="0" borderId="8" xfId="0" applyFont="1" applyBorder="1"/>
    <xf numFmtId="49" fontId="200" fillId="0" borderId="8" xfId="0" applyNumberFormat="1" applyFont="1" applyBorder="1"/>
    <xf numFmtId="4" fontId="200" fillId="0" borderId="8" xfId="0" applyNumberFormat="1" applyFont="1" applyBorder="1"/>
    <xf numFmtId="174" fontId="201" fillId="0" borderId="0" xfId="0" applyNumberFormat="1" applyFont="1" applyBorder="1"/>
    <xf numFmtId="2" fontId="199" fillId="9" borderId="0" xfId="6" applyNumberFormat="1" applyFont="1" applyFill="1" applyBorder="1" applyAlignment="1" applyProtection="1"/>
    <xf numFmtId="165" fontId="200" fillId="0" borderId="8" xfId="64" applyNumberFormat="1" applyFont="1" applyBorder="1"/>
    <xf numFmtId="165" fontId="156" fillId="5" borderId="0" xfId="6" applyFont="1" applyFill="1"/>
    <xf numFmtId="165" fontId="206" fillId="5" borderId="0" xfId="1" applyNumberFormat="1" applyFont="1" applyFill="1"/>
    <xf numFmtId="0" fontId="205" fillId="10" borderId="0" xfId="64" applyFont="1" applyFill="1" applyAlignment="1">
      <alignment horizontal="center"/>
    </xf>
    <xf numFmtId="165" fontId="200" fillId="0" borderId="8" xfId="6" applyFont="1" applyBorder="1"/>
    <xf numFmtId="165" fontId="157" fillId="0" borderId="0" xfId="1" applyNumberFormat="1" applyFont="1" applyFill="1"/>
    <xf numFmtId="14" fontId="200" fillId="12" borderId="0" xfId="0" applyNumberFormat="1" applyFont="1" applyFill="1" applyBorder="1" applyAlignment="1">
      <alignment horizontal="center"/>
    </xf>
    <xf numFmtId="49" fontId="200" fillId="12" borderId="0" xfId="0" applyNumberFormat="1" applyFont="1" applyFill="1" applyBorder="1" applyAlignment="1">
      <alignment horizontal="center"/>
    </xf>
    <xf numFmtId="0" fontId="200" fillId="12" borderId="0" xfId="0" applyFont="1" applyFill="1" applyBorder="1"/>
    <xf numFmtId="165" fontId="200" fillId="12" borderId="0" xfId="6" applyFont="1" applyFill="1" applyBorder="1" applyAlignment="1">
      <alignment horizontal="center"/>
    </xf>
    <xf numFmtId="165" fontId="200" fillId="12" borderId="0" xfId="6" applyFont="1" applyFill="1" applyBorder="1"/>
    <xf numFmtId="2" fontId="200" fillId="12" borderId="0" xfId="0" applyNumberFormat="1" applyFont="1" applyFill="1"/>
    <xf numFmtId="0" fontId="198" fillId="9" borderId="5" xfId="0" quotePrefix="1" applyFont="1" applyFill="1" applyBorder="1" applyAlignment="1">
      <alignment horizontal="left"/>
    </xf>
    <xf numFmtId="40" fontId="197" fillId="11" borderId="14" xfId="0" applyNumberFormat="1" applyFont="1" applyFill="1" applyBorder="1" applyAlignment="1" applyProtection="1">
      <alignment horizontal="center"/>
    </xf>
    <xf numFmtId="15" fontId="198" fillId="9" borderId="6" xfId="0" applyNumberFormat="1" applyFont="1" applyFill="1" applyBorder="1" applyAlignment="1" applyProtection="1">
      <alignment horizontal="left"/>
    </xf>
    <xf numFmtId="4" fontId="197" fillId="9" borderId="1" xfId="0" applyNumberFormat="1" applyFont="1" applyFill="1" applyBorder="1" applyAlignment="1" applyProtection="1">
      <alignment horizontal="center"/>
    </xf>
    <xf numFmtId="39" fontId="197" fillId="9" borderId="1" xfId="0" quotePrefix="1" applyNumberFormat="1" applyFont="1" applyFill="1" applyBorder="1" applyAlignment="1" applyProtection="1">
      <alignment horizontal="center"/>
    </xf>
    <xf numFmtId="4" fontId="197" fillId="11" borderId="1" xfId="0" applyNumberFormat="1" applyFont="1" applyFill="1" applyBorder="1" applyAlignment="1" applyProtection="1">
      <alignment horizontal="center"/>
    </xf>
    <xf numFmtId="39" fontId="197" fillId="9" borderId="6" xfId="0" applyNumberFormat="1" applyFont="1" applyFill="1" applyBorder="1" applyAlignment="1" applyProtection="1">
      <alignment horizontal="center"/>
    </xf>
    <xf numFmtId="40" fontId="197" fillId="11" borderId="15" xfId="0" applyNumberFormat="1" applyFont="1" applyFill="1" applyBorder="1" applyAlignment="1" applyProtection="1">
      <alignment horizontal="center"/>
    </xf>
    <xf numFmtId="49" fontId="196" fillId="9" borderId="0" xfId="0" applyNumberFormat="1" applyFont="1" applyFill="1" applyBorder="1" applyAlignment="1">
      <alignment horizontal="center" wrapText="1"/>
    </xf>
    <xf numFmtId="49" fontId="196" fillId="9" borderId="0" xfId="0" applyNumberFormat="1" applyFont="1" applyFill="1" applyBorder="1" applyAlignment="1"/>
    <xf numFmtId="4" fontId="197" fillId="9" borderId="2" xfId="0" applyNumberFormat="1" applyFont="1" applyFill="1" applyBorder="1" applyAlignment="1" applyProtection="1">
      <alignment horizontal="center"/>
    </xf>
    <xf numFmtId="39" fontId="197" fillId="9" borderId="4" xfId="0" applyNumberFormat="1" applyFont="1" applyFill="1" applyBorder="1" applyAlignment="1" applyProtection="1">
      <alignment horizontal="center"/>
    </xf>
    <xf numFmtId="40" fontId="197" fillId="9" borderId="2" xfId="0" applyNumberFormat="1" applyFont="1" applyFill="1" applyBorder="1" applyAlignment="1" applyProtection="1">
      <alignment horizontal="center"/>
    </xf>
    <xf numFmtId="39" fontId="197" fillId="9" borderId="3" xfId="0" applyNumberFormat="1" applyFont="1" applyFill="1" applyBorder="1" applyAlignment="1" applyProtection="1">
      <alignment horizontal="center"/>
    </xf>
    <xf numFmtId="40" fontId="197" fillId="9" borderId="4" xfId="0" applyNumberFormat="1" applyFont="1" applyFill="1" applyBorder="1" applyAlignment="1">
      <alignment horizontal="center"/>
    </xf>
    <xf numFmtId="165" fontId="157" fillId="11" borderId="0" xfId="0" applyNumberFormat="1" applyFont="1" applyFill="1"/>
    <xf numFmtId="4" fontId="197" fillId="9" borderId="2" xfId="0" applyNumberFormat="1" applyFont="1" applyFill="1" applyBorder="1" applyAlignment="1" applyProtection="1">
      <alignment horizontal="centerContinuous"/>
    </xf>
    <xf numFmtId="39" fontId="197" fillId="9" borderId="4" xfId="0" applyNumberFormat="1" applyFont="1" applyFill="1" applyBorder="1" applyAlignment="1" applyProtection="1">
      <alignment horizontal="centerContinuous"/>
    </xf>
    <xf numFmtId="40" fontId="197" fillId="9" borderId="2" xfId="0" applyNumberFormat="1" applyFont="1" applyFill="1" applyBorder="1" applyAlignment="1" applyProtection="1">
      <alignment horizontal="centerContinuous"/>
    </xf>
    <xf numFmtId="39" fontId="197" fillId="9" borderId="3" xfId="0" applyNumberFormat="1" applyFont="1" applyFill="1" applyBorder="1" applyAlignment="1" applyProtection="1">
      <alignment horizontal="centerContinuous"/>
    </xf>
    <xf numFmtId="40" fontId="197" fillId="9" borderId="4" xfId="0" applyNumberFormat="1" applyFont="1" applyFill="1" applyBorder="1" applyAlignment="1">
      <alignment horizontal="centerContinuous"/>
    </xf>
    <xf numFmtId="49" fontId="196" fillId="9" borderId="0" xfId="0" applyNumberFormat="1" applyFont="1" applyFill="1" applyBorder="1" applyAlignment="1">
      <alignment horizontal="center" vertical="center"/>
    </xf>
    <xf numFmtId="165" fontId="199" fillId="0" borderId="0" xfId="6" applyFont="1" applyFill="1" applyBorder="1" applyAlignment="1" applyProtection="1"/>
    <xf numFmtId="164" fontId="204" fillId="0" borderId="0" xfId="7" applyFont="1" applyAlignment="1">
      <alignment horizontal="center"/>
    </xf>
    <xf numFmtId="164" fontId="200" fillId="0" borderId="0" xfId="7" applyFont="1" applyFill="1"/>
    <xf numFmtId="164" fontId="200" fillId="0" borderId="0" xfId="7" applyFont="1" applyBorder="1"/>
    <xf numFmtId="14" fontId="200" fillId="11" borderId="0" xfId="0" applyNumberFormat="1" applyFont="1" applyFill="1" applyBorder="1" applyAlignment="1">
      <alignment horizontal="center"/>
    </xf>
    <xf numFmtId="49" fontId="200" fillId="11" borderId="0" xfId="0" applyNumberFormat="1" applyFont="1" applyFill="1" applyBorder="1" applyAlignment="1">
      <alignment horizontal="center"/>
    </xf>
    <xf numFmtId="0" fontId="200" fillId="11" borderId="0" xfId="0" applyFont="1" applyFill="1" applyBorder="1"/>
    <xf numFmtId="165" fontId="200" fillId="11" borderId="0" xfId="6" applyFont="1" applyFill="1" applyBorder="1"/>
    <xf numFmtId="2" fontId="200" fillId="11" borderId="0" xfId="0" applyNumberFormat="1" applyFont="1" applyFill="1"/>
    <xf numFmtId="165" fontId="200" fillId="11" borderId="0" xfId="6" applyFont="1" applyFill="1" applyBorder="1" applyAlignment="1">
      <alignment horizontal="center"/>
    </xf>
    <xf numFmtId="0" fontId="200" fillId="11" borderId="0" xfId="64" applyFont="1" applyFill="1"/>
    <xf numFmtId="165" fontId="201" fillId="11" borderId="0" xfId="6" applyFont="1" applyFill="1" applyBorder="1"/>
    <xf numFmtId="0" fontId="199" fillId="14" borderId="0" xfId="0" applyFont="1" applyFill="1" applyBorder="1" applyAlignment="1">
      <alignment horizontal="left" vertical="center"/>
    </xf>
    <xf numFmtId="165" fontId="200" fillId="9" borderId="0" xfId="6" applyFont="1" applyFill="1"/>
    <xf numFmtId="0" fontId="154" fillId="15" borderId="0" xfId="146" quotePrefix="1" applyNumberFormat="1" applyFont="1" applyFill="1"/>
    <xf numFmtId="0" fontId="200" fillId="15" borderId="0" xfId="64" applyFont="1" applyFill="1"/>
    <xf numFmtId="165" fontId="200" fillId="15" borderId="0" xfId="6" applyFont="1" applyFill="1"/>
    <xf numFmtId="0" fontId="200" fillId="9" borderId="0" xfId="64" applyFont="1" applyFill="1"/>
    <xf numFmtId="167" fontId="199" fillId="11" borderId="0" xfId="0" applyNumberFormat="1" applyFont="1" applyFill="1" applyBorder="1" applyAlignment="1" applyProtection="1">
      <alignment horizontal="right"/>
    </xf>
    <xf numFmtId="165" fontId="200" fillId="0" borderId="8" xfId="6" applyFont="1" applyFill="1" applyBorder="1"/>
    <xf numFmtId="165" fontId="201" fillId="0" borderId="0" xfId="6" applyFont="1" applyFill="1" applyBorder="1"/>
    <xf numFmtId="168" fontId="187" fillId="9" borderId="11" xfId="0" applyNumberFormat="1" applyFont="1" applyFill="1" applyBorder="1" applyAlignment="1" applyProtection="1">
      <alignment horizontal="center"/>
    </xf>
    <xf numFmtId="165" fontId="200" fillId="0" borderId="0" xfId="6" applyFont="1" applyBorder="1"/>
    <xf numFmtId="165" fontId="201" fillId="0" borderId="0" xfId="6" applyFont="1" applyBorder="1"/>
    <xf numFmtId="0" fontId="200" fillId="16" borderId="0" xfId="64" applyFont="1" applyFill="1"/>
    <xf numFmtId="0" fontId="200" fillId="0" borderId="8" xfId="64" applyFont="1" applyBorder="1"/>
    <xf numFmtId="49" fontId="200" fillId="0" borderId="8" xfId="64" applyNumberFormat="1" applyFont="1" applyBorder="1"/>
    <xf numFmtId="14" fontId="200" fillId="11" borderId="0" xfId="64" applyNumberFormat="1" applyFont="1" applyFill="1" applyBorder="1"/>
    <xf numFmtId="49" fontId="200" fillId="11" borderId="0" xfId="64" applyNumberFormat="1" applyFont="1" applyFill="1" applyBorder="1"/>
    <xf numFmtId="165" fontId="200" fillId="11" borderId="0" xfId="6" applyNumberFormat="1" applyFont="1" applyFill="1" applyBorder="1"/>
    <xf numFmtId="0" fontId="204" fillId="0" borderId="0" xfId="0" applyFont="1" applyAlignment="1">
      <alignment horizontal="center"/>
    </xf>
    <xf numFmtId="0" fontId="200" fillId="0" borderId="0" xfId="0" applyFont="1"/>
    <xf numFmtId="174" fontId="200" fillId="0" borderId="0" xfId="0" applyNumberFormat="1" applyFont="1" applyBorder="1"/>
    <xf numFmtId="39" fontId="187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39" fontId="194" fillId="9" borderId="0" xfId="10" quotePrefix="1" applyFont="1" applyFill="1" applyAlignment="1" applyProtection="1">
      <alignment horizontal="left"/>
      <protection locked="0"/>
    </xf>
    <xf numFmtId="39" fontId="194" fillId="9" borderId="0" xfId="10" applyFont="1" applyFill="1" applyAlignment="1" applyProtection="1">
      <alignment horizontal="left"/>
      <protection locked="0"/>
    </xf>
    <xf numFmtId="40" fontId="194" fillId="9" borderId="0" xfId="10" applyNumberFormat="1" applyFont="1" applyFill="1" applyAlignment="1" applyProtection="1">
      <alignment horizontal="left"/>
      <protection locked="0"/>
    </xf>
    <xf numFmtId="40" fontId="194" fillId="9" borderId="0" xfId="10" applyNumberFormat="1" applyFont="1" applyFill="1" applyProtection="1">
      <protection locked="0"/>
    </xf>
    <xf numFmtId="39" fontId="194" fillId="9" borderId="0" xfId="10" applyFont="1" applyFill="1" applyProtection="1">
      <protection locked="0"/>
    </xf>
    <xf numFmtId="39" fontId="195" fillId="9" borderId="0" xfId="10" applyFont="1" applyFill="1" applyAlignment="1" applyProtection="1">
      <alignment horizontal="left"/>
      <protection locked="0"/>
    </xf>
    <xf numFmtId="171" fontId="195" fillId="9" borderId="0" xfId="10" applyNumberFormat="1" applyFont="1" applyFill="1" applyAlignment="1" applyProtection="1">
      <alignment horizontal="left"/>
      <protection locked="0"/>
    </xf>
    <xf numFmtId="39" fontId="187" fillId="9" borderId="0" xfId="10" applyFont="1" applyFill="1" applyAlignment="1" applyProtection="1">
      <alignment horizontal="left"/>
      <protection locked="0"/>
    </xf>
    <xf numFmtId="0" fontId="195" fillId="9" borderId="0" xfId="10" applyNumberFormat="1" applyFont="1" applyFill="1" applyAlignment="1" applyProtection="1">
      <alignment horizontal="center"/>
      <protection locked="0"/>
    </xf>
    <xf numFmtId="49" fontId="196" fillId="9" borderId="0" xfId="186" applyNumberFormat="1" applyFont="1" applyFill="1" applyBorder="1" applyAlignment="1">
      <alignment horizontal="center"/>
    </xf>
    <xf numFmtId="40" fontId="187" fillId="9" borderId="0" xfId="10" applyNumberFormat="1" applyFont="1" applyFill="1" applyProtection="1">
      <protection locked="0"/>
    </xf>
    <xf numFmtId="15" fontId="187" fillId="9" borderId="0" xfId="186" quotePrefix="1" applyNumberFormat="1" applyFont="1" applyFill="1" applyBorder="1" applyAlignment="1" applyProtection="1">
      <alignment horizontal="left"/>
    </xf>
    <xf numFmtId="49" fontId="187" fillId="9" borderId="0" xfId="186" applyNumberFormat="1" applyFont="1" applyFill="1" applyBorder="1" applyAlignment="1">
      <alignment horizontal="right"/>
    </xf>
    <xf numFmtId="168" fontId="187" fillId="9" borderId="0" xfId="186" applyNumberFormat="1" applyFont="1" applyFill="1" applyBorder="1"/>
    <xf numFmtId="1" fontId="187" fillId="9" borderId="0" xfId="186" applyNumberFormat="1" applyFont="1" applyFill="1" applyBorder="1" applyAlignment="1" applyProtection="1">
      <alignment horizontal="right"/>
    </xf>
    <xf numFmtId="1" fontId="187" fillId="9" borderId="0" xfId="186" applyNumberFormat="1" applyFont="1" applyFill="1" applyBorder="1" applyAlignment="1" applyProtection="1">
      <alignment horizontal="center"/>
    </xf>
    <xf numFmtId="0" fontId="187" fillId="9" borderId="0" xfId="186" applyFont="1" applyFill="1" applyBorder="1"/>
    <xf numFmtId="4" fontId="187" fillId="9" borderId="0" xfId="186" applyNumberFormat="1" applyFont="1" applyFill="1" applyBorder="1" applyAlignment="1" applyProtection="1">
      <alignment horizontal="right"/>
    </xf>
    <xf numFmtId="39" fontId="187" fillId="9" borderId="0" xfId="186" applyNumberFormat="1" applyFont="1" applyFill="1" applyBorder="1" applyProtection="1"/>
    <xf numFmtId="40" fontId="187" fillId="9" borderId="0" xfId="186" applyNumberFormat="1" applyFont="1" applyFill="1" applyBorder="1" applyProtection="1"/>
    <xf numFmtId="4" fontId="187" fillId="9" borderId="0" xfId="186" applyNumberFormat="1" applyFont="1" applyFill="1" applyBorder="1" applyAlignment="1" applyProtection="1">
      <alignment horizontal="center"/>
    </xf>
    <xf numFmtId="1" fontId="188" fillId="9" borderId="0" xfId="186" applyNumberFormat="1" applyFont="1" applyFill="1" applyBorder="1" applyAlignment="1" applyProtection="1">
      <alignment horizontal="center"/>
    </xf>
    <xf numFmtId="0" fontId="196" fillId="9" borderId="0" xfId="186" applyFont="1" applyFill="1" applyBorder="1" applyAlignment="1">
      <alignment horizontal="left"/>
    </xf>
    <xf numFmtId="0" fontId="188" fillId="9" borderId="0" xfId="186" quotePrefix="1" applyFont="1" applyFill="1" applyBorder="1" applyAlignment="1">
      <alignment horizontal="right"/>
    </xf>
    <xf numFmtId="169" fontId="187" fillId="9" borderId="0" xfId="186" applyNumberFormat="1" applyFont="1" applyFill="1" applyBorder="1"/>
    <xf numFmtId="49" fontId="187" fillId="9" borderId="0" xfId="186" applyNumberFormat="1" applyFont="1" applyFill="1" applyBorder="1" applyAlignment="1" applyProtection="1">
      <alignment horizontal="right"/>
    </xf>
    <xf numFmtId="168" fontId="187" fillId="9" borderId="0" xfId="186" applyNumberFormat="1" applyFont="1" applyFill="1" applyBorder="1" applyProtection="1"/>
    <xf numFmtId="0" fontId="187" fillId="9" borderId="0" xfId="186" applyFont="1" applyFill="1" applyBorder="1" applyAlignment="1">
      <alignment horizontal="left"/>
    </xf>
    <xf numFmtId="9" fontId="187" fillId="9" borderId="0" xfId="12" applyFont="1" applyFill="1" applyBorder="1" applyProtection="1"/>
    <xf numFmtId="9" fontId="187" fillId="9" borderId="0" xfId="12" applyFont="1" applyFill="1" applyBorder="1" applyAlignment="1" applyProtection="1">
      <alignment horizontal="center"/>
    </xf>
    <xf numFmtId="169" fontId="198" fillId="9" borderId="5" xfId="186" applyNumberFormat="1" applyFont="1" applyFill="1" applyBorder="1" applyAlignment="1">
      <alignment horizontal="center"/>
    </xf>
    <xf numFmtId="49" fontId="198" fillId="9" borderId="5" xfId="186" applyNumberFormat="1" applyFont="1" applyFill="1" applyBorder="1" applyAlignment="1">
      <alignment horizontal="left"/>
    </xf>
    <xf numFmtId="168" fontId="198" fillId="9" borderId="5" xfId="186" applyNumberFormat="1" applyFont="1" applyFill="1" applyBorder="1" applyAlignment="1">
      <alignment horizontal="center"/>
    </xf>
    <xf numFmtId="1" fontId="198" fillId="9" borderId="5" xfId="186" quotePrefix="1" applyNumberFormat="1" applyFont="1" applyFill="1" applyBorder="1" applyAlignment="1" applyProtection="1">
      <alignment horizontal="center"/>
    </xf>
    <xf numFmtId="0" fontId="198" fillId="9" borderId="5" xfId="186" quotePrefix="1" applyFont="1" applyFill="1" applyBorder="1" applyAlignment="1">
      <alignment horizontal="left"/>
    </xf>
    <xf numFmtId="4" fontId="197" fillId="9" borderId="2" xfId="186" applyNumberFormat="1" applyFont="1" applyFill="1" applyBorder="1" applyAlignment="1" applyProtection="1">
      <alignment horizontal="centerContinuous"/>
    </xf>
    <xf numFmtId="39" fontId="197" fillId="9" borderId="4" xfId="186" applyNumberFormat="1" applyFont="1" applyFill="1" applyBorder="1" applyAlignment="1" applyProtection="1">
      <alignment horizontal="centerContinuous"/>
    </xf>
    <xf numFmtId="40" fontId="197" fillId="9" borderId="2" xfId="186" applyNumberFormat="1" applyFont="1" applyFill="1" applyBorder="1" applyAlignment="1" applyProtection="1">
      <alignment horizontal="centerContinuous"/>
    </xf>
    <xf numFmtId="39" fontId="197" fillId="9" borderId="3" xfId="186" applyNumberFormat="1" applyFont="1" applyFill="1" applyBorder="1" applyAlignment="1" applyProtection="1">
      <alignment horizontal="centerContinuous"/>
    </xf>
    <xf numFmtId="40" fontId="197" fillId="9" borderId="4" xfId="186" applyNumberFormat="1" applyFont="1" applyFill="1" applyBorder="1" applyAlignment="1">
      <alignment horizontal="centerContinuous"/>
    </xf>
    <xf numFmtId="40" fontId="197" fillId="11" borderId="14" xfId="186" applyNumberFormat="1" applyFont="1" applyFill="1" applyBorder="1" applyAlignment="1" applyProtection="1">
      <alignment horizontal="center"/>
    </xf>
    <xf numFmtId="39" fontId="198" fillId="9" borderId="14" xfId="186" applyNumberFormat="1" applyFont="1" applyFill="1" applyBorder="1" applyAlignment="1" applyProtection="1">
      <alignment horizontal="center"/>
    </xf>
    <xf numFmtId="39" fontId="198" fillId="9" borderId="14" xfId="186" quotePrefix="1" applyNumberFormat="1" applyFont="1" applyFill="1" applyBorder="1" applyAlignment="1" applyProtection="1">
      <alignment horizontal="center"/>
    </xf>
    <xf numFmtId="4" fontId="197" fillId="9" borderId="5" xfId="186" applyNumberFormat="1" applyFont="1" applyFill="1" applyBorder="1" applyAlignment="1" applyProtection="1">
      <alignment horizontal="center"/>
    </xf>
    <xf numFmtId="169" fontId="198" fillId="9" borderId="6" xfId="186" applyNumberFormat="1" applyFont="1" applyFill="1" applyBorder="1" applyAlignment="1">
      <alignment horizontal="center"/>
    </xf>
    <xf numFmtId="49" fontId="198" fillId="9" borderId="6" xfId="186" quotePrefix="1" applyNumberFormat="1" applyFont="1" applyFill="1" applyBorder="1" applyAlignment="1" applyProtection="1">
      <alignment horizontal="left"/>
    </xf>
    <xf numFmtId="168" fontId="198" fillId="9" borderId="6" xfId="186" quotePrefix="1" applyNumberFormat="1" applyFont="1" applyFill="1" applyBorder="1" applyAlignment="1">
      <alignment horizontal="center"/>
    </xf>
    <xf numFmtId="15" fontId="198" fillId="9" borderId="6" xfId="186" quotePrefix="1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 applyProtection="1">
      <alignment horizontal="left"/>
    </xf>
    <xf numFmtId="4" fontId="197" fillId="9" borderId="1" xfId="186" applyNumberFormat="1" applyFont="1" applyFill="1" applyBorder="1" applyAlignment="1" applyProtection="1">
      <alignment horizontal="center"/>
    </xf>
    <xf numFmtId="39" fontId="197" fillId="9" borderId="1" xfId="186" quotePrefix="1" applyNumberFormat="1" applyFont="1" applyFill="1" applyBorder="1" applyAlignment="1" applyProtection="1">
      <alignment horizontal="center"/>
    </xf>
    <xf numFmtId="4" fontId="197" fillId="11" borderId="1" xfId="186" applyNumberFormat="1" applyFont="1" applyFill="1" applyBorder="1" applyAlignment="1" applyProtection="1">
      <alignment horizontal="center"/>
    </xf>
    <xf numFmtId="39" fontId="197" fillId="9" borderId="6" xfId="186" applyNumberFormat="1" applyFont="1" applyFill="1" applyBorder="1" applyAlignment="1" applyProtection="1">
      <alignment horizontal="center"/>
    </xf>
    <xf numFmtId="40" fontId="197" fillId="11" borderId="15" xfId="186" applyNumberFormat="1" applyFont="1" applyFill="1" applyBorder="1" applyAlignment="1" applyProtection="1">
      <alignment horizontal="center"/>
    </xf>
    <xf numFmtId="39" fontId="198" fillId="9" borderId="15" xfId="186" applyNumberFormat="1" applyFont="1" applyFill="1" applyBorder="1" applyAlignment="1" applyProtection="1">
      <alignment horizontal="center"/>
    </xf>
    <xf numFmtId="4" fontId="197" fillId="9" borderId="6" xfId="186" applyNumberFormat="1" applyFont="1" applyFill="1" applyBorder="1" applyAlignment="1" applyProtection="1">
      <alignment horizontal="center"/>
    </xf>
    <xf numFmtId="169" fontId="199" fillId="9" borderId="0" xfId="186" applyNumberFormat="1" applyFont="1" applyFill="1" applyBorder="1" applyAlignment="1">
      <alignment horizontal="center"/>
    </xf>
    <xf numFmtId="167" fontId="199" fillId="9" borderId="0" xfId="186" applyNumberFormat="1" applyFont="1" applyFill="1" applyBorder="1" applyAlignment="1" applyProtection="1"/>
    <xf numFmtId="49" fontId="199" fillId="9" borderId="0" xfId="186" applyNumberFormat="1" applyFont="1" applyFill="1" applyBorder="1" applyAlignment="1">
      <alignment horizontal="center"/>
    </xf>
    <xf numFmtId="49" fontId="199" fillId="9" borderId="0" xfId="186" applyNumberFormat="1" applyFont="1" applyFill="1" applyBorder="1" applyAlignment="1">
      <alignment horizontal="left"/>
    </xf>
    <xf numFmtId="0" fontId="199" fillId="9" borderId="0" xfId="186" applyFont="1" applyFill="1" applyBorder="1" applyAlignment="1">
      <alignment horizontal="left" vertical="center"/>
    </xf>
    <xf numFmtId="165" fontId="199" fillId="9" borderId="0" xfId="6" applyFont="1" applyFill="1" applyBorder="1" applyAlignment="1" applyProtection="1"/>
    <xf numFmtId="165" fontId="199" fillId="9" borderId="0" xfId="6" applyFont="1" applyFill="1" applyBorder="1" applyAlignment="1" applyProtection="1">
      <alignment horizontal="right"/>
    </xf>
    <xf numFmtId="165" fontId="199" fillId="11" borderId="0" xfId="6" applyFont="1" applyFill="1" applyBorder="1" applyAlignment="1" applyProtection="1"/>
    <xf numFmtId="167" fontId="199" fillId="9" borderId="0" xfId="186" applyNumberFormat="1" applyFont="1" applyFill="1" applyBorder="1" applyAlignment="1" applyProtection="1">
      <alignment horizontal="right"/>
    </xf>
    <xf numFmtId="49" fontId="196" fillId="9" borderId="0" xfId="186" applyNumberFormat="1" applyFont="1" applyFill="1" applyBorder="1" applyAlignment="1">
      <alignment horizontal="center" vertical="center" wrapText="1"/>
    </xf>
    <xf numFmtId="2" fontId="199" fillId="9" borderId="0" xfId="6" applyNumberFormat="1" applyFont="1" applyFill="1" applyBorder="1" applyAlignment="1" applyProtection="1"/>
    <xf numFmtId="49" fontId="196" fillId="9" borderId="0" xfId="186" applyNumberFormat="1" applyFont="1" applyFill="1" applyBorder="1" applyAlignment="1">
      <alignment horizontal="center" vertical="center"/>
    </xf>
    <xf numFmtId="169" fontId="187" fillId="9" borderId="11" xfId="186" applyNumberFormat="1" applyFont="1" applyFill="1" applyBorder="1"/>
    <xf numFmtId="49" fontId="187" fillId="9" borderId="11" xfId="186" applyNumberFormat="1" applyFont="1" applyFill="1" applyBorder="1" applyAlignment="1" applyProtection="1">
      <alignment horizontal="right"/>
    </xf>
    <xf numFmtId="168" fontId="188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>
      <alignment horizontal="left"/>
    </xf>
    <xf numFmtId="0" fontId="187" fillId="9" borderId="11" xfId="186" applyFont="1" applyFill="1" applyBorder="1" applyAlignment="1">
      <alignment horizontal="left"/>
    </xf>
    <xf numFmtId="40" fontId="187" fillId="9" borderId="11" xfId="186" applyNumberFormat="1" applyFont="1" applyFill="1" applyBorder="1" applyAlignment="1" applyProtection="1">
      <alignment horizontal="right"/>
    </xf>
    <xf numFmtId="40" fontId="187" fillId="9" borderId="11" xfId="186" applyNumberFormat="1" applyFont="1" applyFill="1" applyBorder="1" applyProtection="1"/>
    <xf numFmtId="0" fontId="187" fillId="9" borderId="11" xfId="186" applyFont="1" applyFill="1" applyBorder="1"/>
    <xf numFmtId="40" fontId="187" fillId="9" borderId="11" xfId="186" applyNumberFormat="1" applyFont="1" applyFill="1" applyBorder="1" applyAlignment="1" applyProtection="1"/>
    <xf numFmtId="168" fontId="187" fillId="9" borderId="0" xfId="186" applyNumberFormat="1" applyFont="1" applyFill="1" applyBorder="1" applyAlignment="1" applyProtection="1">
      <alignment horizontal="center"/>
    </xf>
    <xf numFmtId="49" fontId="187" fillId="9" borderId="0" xfId="186" applyNumberFormat="1" applyFont="1" applyFill="1" applyBorder="1" applyAlignment="1" applyProtection="1">
      <alignment horizontal="center"/>
    </xf>
    <xf numFmtId="49" fontId="187" fillId="9" borderId="0" xfId="186" applyNumberFormat="1" applyFont="1" applyFill="1" applyBorder="1" applyAlignment="1">
      <alignment horizontal="left"/>
    </xf>
    <xf numFmtId="40" fontId="187" fillId="9" borderId="0" xfId="186" applyNumberFormat="1" applyFont="1" applyFill="1" applyBorder="1" applyAlignment="1" applyProtection="1">
      <alignment horizontal="right"/>
    </xf>
    <xf numFmtId="40" fontId="187" fillId="9" borderId="0" xfId="186" applyNumberFormat="1" applyFont="1" applyFill="1" applyBorder="1"/>
    <xf numFmtId="40" fontId="187" fillId="9" borderId="0" xfId="186" applyNumberFormat="1" applyFont="1" applyFill="1" applyBorder="1" applyAlignment="1" applyProtection="1"/>
    <xf numFmtId="49" fontId="187" fillId="9" borderId="0" xfId="186" applyNumberFormat="1" applyFont="1" applyFill="1" applyBorder="1" applyAlignment="1">
      <alignment horizontal="center"/>
    </xf>
    <xf numFmtId="40" fontId="187" fillId="9" borderId="0" xfId="186" applyNumberFormat="1" applyFont="1" applyFill="1" applyBorder="1" applyAlignment="1">
      <alignment horizontal="center"/>
    </xf>
    <xf numFmtId="49" fontId="187" fillId="9" borderId="11" xfId="186" applyNumberFormat="1" applyFont="1" applyFill="1" applyBorder="1" applyAlignment="1">
      <alignment horizontal="right"/>
    </xf>
    <xf numFmtId="168" fontId="187" fillId="9" borderId="11" xfId="186" applyNumberFormat="1" applyFont="1" applyFill="1" applyBorder="1"/>
    <xf numFmtId="49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/>
    <xf numFmtId="165" fontId="188" fillId="9" borderId="11" xfId="6" applyFont="1" applyFill="1" applyBorder="1"/>
    <xf numFmtId="164" fontId="200" fillId="0" borderId="0" xfId="7" applyFont="1"/>
    <xf numFmtId="164" fontId="204" fillId="0" borderId="0" xfId="7" applyFont="1" applyAlignment="1">
      <alignment horizontal="center"/>
    </xf>
    <xf numFmtId="165" fontId="200" fillId="0" borderId="0" xfId="6" applyFont="1" applyFill="1" applyBorder="1" applyAlignment="1">
      <alignment horizontal="center"/>
    </xf>
    <xf numFmtId="165" fontId="200" fillId="0" borderId="0" xfId="6" applyFont="1" applyFill="1" applyBorder="1"/>
    <xf numFmtId="164" fontId="200" fillId="0" borderId="0" xfId="7" applyFont="1" applyBorder="1"/>
    <xf numFmtId="40" fontId="200" fillId="0" borderId="0" xfId="0" applyNumberFormat="1" applyFont="1" applyBorder="1"/>
    <xf numFmtId="40" fontId="200" fillId="0" borderId="8" xfId="0" applyNumberFormat="1" applyFont="1" applyBorder="1"/>
    <xf numFmtId="40" fontId="200" fillId="0" borderId="9" xfId="0" applyNumberFormat="1" applyFont="1" applyBorder="1"/>
    <xf numFmtId="0" fontId="199" fillId="8" borderId="0" xfId="186" applyFont="1" applyFill="1" applyBorder="1" applyAlignment="1">
      <alignment horizontal="left" vertical="center"/>
    </xf>
    <xf numFmtId="165" fontId="199" fillId="8" borderId="0" xfId="6" applyFont="1" applyFill="1" applyBorder="1" applyAlignment="1" applyProtection="1"/>
    <xf numFmtId="165" fontId="199" fillId="8" borderId="0" xfId="6" applyFont="1" applyFill="1" applyBorder="1" applyAlignment="1" applyProtection="1">
      <alignment horizontal="right"/>
    </xf>
    <xf numFmtId="0" fontId="196" fillId="8" borderId="0" xfId="186" applyFont="1" applyFill="1" applyBorder="1" applyAlignment="1">
      <alignment horizontal="left" vertical="center"/>
    </xf>
    <xf numFmtId="165" fontId="196" fillId="8" borderId="0" xfId="6" applyFont="1" applyFill="1" applyBorder="1" applyAlignment="1" applyProtection="1"/>
    <xf numFmtId="165" fontId="196" fillId="8" borderId="0" xfId="6" applyFont="1" applyFill="1" applyBorder="1" applyAlignment="1" applyProtection="1">
      <alignment horizontal="right"/>
    </xf>
    <xf numFmtId="0" fontId="200" fillId="8" borderId="0" xfId="0" applyFont="1" applyFill="1" applyBorder="1"/>
    <xf numFmtId="165" fontId="200" fillId="8" borderId="0" xfId="6" applyFont="1" applyFill="1" applyBorder="1" applyAlignment="1">
      <alignment horizontal="center"/>
    </xf>
    <xf numFmtId="165" fontId="200" fillId="8" borderId="0" xfId="6" applyFont="1" applyFill="1" applyBorder="1"/>
    <xf numFmtId="0" fontId="201" fillId="8" borderId="0" xfId="0" applyFont="1" applyFill="1" applyBorder="1"/>
    <xf numFmtId="165" fontId="201" fillId="8" borderId="0" xfId="6" applyFont="1" applyFill="1" applyBorder="1" applyAlignment="1">
      <alignment horizontal="center"/>
    </xf>
    <xf numFmtId="165" fontId="201" fillId="8" borderId="0" xfId="6" applyFont="1" applyFill="1" applyBorder="1"/>
    <xf numFmtId="2" fontId="201" fillId="8" borderId="0" xfId="0" applyNumberFormat="1" applyFont="1" applyFill="1"/>
    <xf numFmtId="0" fontId="154" fillId="8" borderId="0" xfId="146" quotePrefix="1" applyNumberFormat="1" applyFont="1" applyFill="1" applyAlignment="1">
      <alignment horizontal="left"/>
    </xf>
    <xf numFmtId="0" fontId="201" fillId="0" borderId="0" xfId="0" applyNumberFormat="1" applyFont="1" applyFill="1" applyBorder="1" applyAlignment="1">
      <alignment horizontal="left"/>
    </xf>
    <xf numFmtId="1" fontId="200" fillId="0" borderId="0" xfId="0" quotePrefix="1" applyNumberFormat="1" applyFont="1" applyFill="1" applyBorder="1" applyAlignment="1" applyProtection="1">
      <alignment horizontal="left"/>
    </xf>
    <xf numFmtId="0" fontId="154" fillId="8" borderId="0" xfId="146" quotePrefix="1" applyNumberFormat="1" applyFont="1" applyFill="1"/>
    <xf numFmtId="165" fontId="200" fillId="8" borderId="0" xfId="6" applyFont="1" applyFill="1"/>
    <xf numFmtId="0" fontId="199" fillId="8" borderId="0" xfId="0" applyFont="1" applyFill="1" applyBorder="1" applyAlignment="1">
      <alignment horizontal="left" vertical="center"/>
    </xf>
    <xf numFmtId="15" fontId="200" fillId="0" borderId="0" xfId="0" applyNumberFormat="1" applyFont="1" applyFill="1" applyBorder="1" applyAlignment="1" applyProtection="1">
      <alignment horizontal="right"/>
    </xf>
    <xf numFmtId="0" fontId="200" fillId="9" borderId="0" xfId="0" applyFont="1" applyFill="1" applyBorder="1" applyAlignment="1">
      <alignment horizontal="right"/>
    </xf>
    <xf numFmtId="0" fontId="200" fillId="0" borderId="0" xfId="0" applyNumberFormat="1" applyFont="1" applyFill="1" applyBorder="1" applyAlignment="1">
      <alignment horizontal="left"/>
    </xf>
    <xf numFmtId="39" fontId="187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39" fontId="194" fillId="9" borderId="0" xfId="10" quotePrefix="1" applyFont="1" applyFill="1" applyAlignment="1" applyProtection="1">
      <alignment horizontal="left"/>
      <protection locked="0"/>
    </xf>
    <xf numFmtId="39" fontId="194" fillId="9" borderId="0" xfId="10" applyFont="1" applyFill="1" applyAlignment="1" applyProtection="1">
      <alignment horizontal="left"/>
      <protection locked="0"/>
    </xf>
    <xf numFmtId="40" fontId="194" fillId="9" borderId="0" xfId="10" applyNumberFormat="1" applyFont="1" applyFill="1" applyAlignment="1" applyProtection="1">
      <alignment horizontal="left"/>
      <protection locked="0"/>
    </xf>
    <xf numFmtId="40" fontId="194" fillId="9" borderId="0" xfId="10" applyNumberFormat="1" applyFont="1" applyFill="1" applyProtection="1">
      <protection locked="0"/>
    </xf>
    <xf numFmtId="39" fontId="194" fillId="9" borderId="0" xfId="10" applyFont="1" applyFill="1" applyProtection="1">
      <protection locked="0"/>
    </xf>
    <xf numFmtId="39" fontId="195" fillId="9" borderId="0" xfId="10" applyFont="1" applyFill="1" applyAlignment="1" applyProtection="1">
      <alignment horizontal="left"/>
      <protection locked="0"/>
    </xf>
    <xf numFmtId="171" fontId="195" fillId="9" borderId="0" xfId="10" applyNumberFormat="1" applyFont="1" applyFill="1" applyAlignment="1" applyProtection="1">
      <alignment horizontal="left"/>
      <protection locked="0"/>
    </xf>
    <xf numFmtId="39" fontId="187" fillId="9" borderId="0" xfId="10" applyFont="1" applyFill="1" applyAlignment="1" applyProtection="1">
      <alignment horizontal="left"/>
      <protection locked="0"/>
    </xf>
    <xf numFmtId="0" fontId="195" fillId="9" borderId="0" xfId="10" applyNumberFormat="1" applyFont="1" applyFill="1" applyAlignment="1" applyProtection="1">
      <alignment horizontal="center"/>
      <protection locked="0"/>
    </xf>
    <xf numFmtId="49" fontId="196" fillId="9" borderId="0" xfId="186" applyNumberFormat="1" applyFont="1" applyFill="1" applyBorder="1" applyAlignment="1">
      <alignment horizontal="center"/>
    </xf>
    <xf numFmtId="40" fontId="187" fillId="9" borderId="0" xfId="10" applyNumberFormat="1" applyFont="1" applyFill="1" applyProtection="1">
      <protection locked="0"/>
    </xf>
    <xf numFmtId="15" fontId="187" fillId="9" borderId="0" xfId="186" quotePrefix="1" applyNumberFormat="1" applyFont="1" applyFill="1" applyBorder="1" applyAlignment="1" applyProtection="1">
      <alignment horizontal="left"/>
    </xf>
    <xf numFmtId="49" fontId="187" fillId="9" borderId="0" xfId="186" applyNumberFormat="1" applyFont="1" applyFill="1" applyBorder="1" applyAlignment="1">
      <alignment horizontal="right"/>
    </xf>
    <xf numFmtId="168" fontId="187" fillId="9" borderId="0" xfId="186" applyNumberFormat="1" applyFont="1" applyFill="1" applyBorder="1"/>
    <xf numFmtId="1" fontId="187" fillId="9" borderId="0" xfId="186" applyNumberFormat="1" applyFont="1" applyFill="1" applyBorder="1" applyAlignment="1" applyProtection="1">
      <alignment horizontal="right"/>
    </xf>
    <xf numFmtId="1" fontId="187" fillId="9" borderId="0" xfId="186" applyNumberFormat="1" applyFont="1" applyFill="1" applyBorder="1" applyAlignment="1" applyProtection="1">
      <alignment horizontal="center"/>
    </xf>
    <xf numFmtId="0" fontId="187" fillId="9" borderId="0" xfId="186" applyFont="1" applyFill="1" applyBorder="1"/>
    <xf numFmtId="4" fontId="187" fillId="9" borderId="0" xfId="186" applyNumberFormat="1" applyFont="1" applyFill="1" applyBorder="1" applyAlignment="1" applyProtection="1">
      <alignment horizontal="right"/>
    </xf>
    <xf numFmtId="39" fontId="187" fillId="9" borderId="0" xfId="186" applyNumberFormat="1" applyFont="1" applyFill="1" applyBorder="1" applyProtection="1"/>
    <xf numFmtId="40" fontId="187" fillId="9" borderId="0" xfId="186" applyNumberFormat="1" applyFont="1" applyFill="1" applyBorder="1" applyProtection="1"/>
    <xf numFmtId="4" fontId="187" fillId="9" borderId="0" xfId="186" applyNumberFormat="1" applyFont="1" applyFill="1" applyBorder="1" applyAlignment="1" applyProtection="1">
      <alignment horizontal="center"/>
    </xf>
    <xf numFmtId="1" fontId="188" fillId="9" borderId="0" xfId="186" applyNumberFormat="1" applyFont="1" applyFill="1" applyBorder="1" applyAlignment="1" applyProtection="1">
      <alignment horizontal="center"/>
    </xf>
    <xf numFmtId="0" fontId="196" fillId="9" borderId="0" xfId="186" applyFont="1" applyFill="1" applyBorder="1" applyAlignment="1">
      <alignment horizontal="left"/>
    </xf>
    <xf numFmtId="0" fontId="188" fillId="9" borderId="0" xfId="186" quotePrefix="1" applyFont="1" applyFill="1" applyBorder="1" applyAlignment="1">
      <alignment horizontal="right"/>
    </xf>
    <xf numFmtId="169" fontId="187" fillId="9" borderId="0" xfId="186" applyNumberFormat="1" applyFont="1" applyFill="1" applyBorder="1"/>
    <xf numFmtId="49" fontId="187" fillId="9" borderId="0" xfId="186" applyNumberFormat="1" applyFont="1" applyFill="1" applyBorder="1" applyAlignment="1" applyProtection="1">
      <alignment horizontal="right"/>
    </xf>
    <xf numFmtId="168" fontId="187" fillId="9" borderId="0" xfId="186" applyNumberFormat="1" applyFont="1" applyFill="1" applyBorder="1" applyProtection="1"/>
    <xf numFmtId="0" fontId="187" fillId="9" borderId="0" xfId="186" applyFont="1" applyFill="1" applyBorder="1" applyAlignment="1">
      <alignment horizontal="left"/>
    </xf>
    <xf numFmtId="9" fontId="187" fillId="9" borderId="0" xfId="12" applyFont="1" applyFill="1" applyBorder="1" applyProtection="1"/>
    <xf numFmtId="9" fontId="187" fillId="9" borderId="0" xfId="12" applyFont="1" applyFill="1" applyBorder="1" applyAlignment="1" applyProtection="1">
      <alignment horizontal="center"/>
    </xf>
    <xf numFmtId="169" fontId="198" fillId="9" borderId="5" xfId="186" applyNumberFormat="1" applyFont="1" applyFill="1" applyBorder="1" applyAlignment="1">
      <alignment horizontal="center"/>
    </xf>
    <xf numFmtId="49" fontId="198" fillId="9" borderId="5" xfId="186" applyNumberFormat="1" applyFont="1" applyFill="1" applyBorder="1" applyAlignment="1">
      <alignment horizontal="left"/>
    </xf>
    <xf numFmtId="168" fontId="198" fillId="9" borderId="5" xfId="186" applyNumberFormat="1" applyFont="1" applyFill="1" applyBorder="1" applyAlignment="1">
      <alignment horizontal="center"/>
    </xf>
    <xf numFmtId="1" fontId="198" fillId="9" borderId="5" xfId="186" quotePrefix="1" applyNumberFormat="1" applyFont="1" applyFill="1" applyBorder="1" applyAlignment="1" applyProtection="1">
      <alignment horizontal="center"/>
    </xf>
    <xf numFmtId="0" fontId="198" fillId="9" borderId="5" xfId="186" quotePrefix="1" applyFont="1" applyFill="1" applyBorder="1" applyAlignment="1">
      <alignment horizontal="left"/>
    </xf>
    <xf numFmtId="4" fontId="197" fillId="9" borderId="2" xfId="186" applyNumberFormat="1" applyFont="1" applyFill="1" applyBorder="1" applyAlignment="1" applyProtection="1">
      <alignment horizontal="centerContinuous"/>
    </xf>
    <xf numFmtId="39" fontId="197" fillId="9" borderId="4" xfId="186" applyNumberFormat="1" applyFont="1" applyFill="1" applyBorder="1" applyAlignment="1" applyProtection="1">
      <alignment horizontal="centerContinuous"/>
    </xf>
    <xf numFmtId="40" fontId="197" fillId="9" borderId="2" xfId="186" applyNumberFormat="1" applyFont="1" applyFill="1" applyBorder="1" applyAlignment="1" applyProtection="1">
      <alignment horizontal="centerContinuous"/>
    </xf>
    <xf numFmtId="39" fontId="197" fillId="9" borderId="3" xfId="186" applyNumberFormat="1" applyFont="1" applyFill="1" applyBorder="1" applyAlignment="1" applyProtection="1">
      <alignment horizontal="centerContinuous"/>
    </xf>
    <xf numFmtId="40" fontId="197" fillId="9" borderId="4" xfId="186" applyNumberFormat="1" applyFont="1" applyFill="1" applyBorder="1" applyAlignment="1">
      <alignment horizontal="centerContinuous"/>
    </xf>
    <xf numFmtId="40" fontId="197" fillId="11" borderId="14" xfId="186" applyNumberFormat="1" applyFont="1" applyFill="1" applyBorder="1" applyAlignment="1" applyProtection="1">
      <alignment horizontal="center"/>
    </xf>
    <xf numFmtId="39" fontId="198" fillId="9" borderId="14" xfId="186" applyNumberFormat="1" applyFont="1" applyFill="1" applyBorder="1" applyAlignment="1" applyProtection="1">
      <alignment horizontal="center"/>
    </xf>
    <xf numFmtId="39" fontId="198" fillId="9" borderId="14" xfId="186" quotePrefix="1" applyNumberFormat="1" applyFont="1" applyFill="1" applyBorder="1" applyAlignment="1" applyProtection="1">
      <alignment horizontal="center"/>
    </xf>
    <xf numFmtId="4" fontId="197" fillId="9" borderId="5" xfId="186" applyNumberFormat="1" applyFont="1" applyFill="1" applyBorder="1" applyAlignment="1" applyProtection="1">
      <alignment horizontal="center"/>
    </xf>
    <xf numFmtId="169" fontId="198" fillId="9" borderId="6" xfId="186" applyNumberFormat="1" applyFont="1" applyFill="1" applyBorder="1" applyAlignment="1">
      <alignment horizontal="center"/>
    </xf>
    <xf numFmtId="49" fontId="198" fillId="9" borderId="6" xfId="186" quotePrefix="1" applyNumberFormat="1" applyFont="1" applyFill="1" applyBorder="1" applyAlignment="1" applyProtection="1">
      <alignment horizontal="left"/>
    </xf>
    <xf numFmtId="168" fontId="198" fillId="9" borderId="6" xfId="186" quotePrefix="1" applyNumberFormat="1" applyFont="1" applyFill="1" applyBorder="1" applyAlignment="1">
      <alignment horizontal="center"/>
    </xf>
    <xf numFmtId="15" fontId="198" fillId="9" borderId="6" xfId="186" quotePrefix="1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 applyProtection="1">
      <alignment horizontal="left"/>
    </xf>
    <xf numFmtId="4" fontId="197" fillId="9" borderId="1" xfId="186" applyNumberFormat="1" applyFont="1" applyFill="1" applyBorder="1" applyAlignment="1" applyProtection="1">
      <alignment horizontal="center"/>
    </xf>
    <xf numFmtId="39" fontId="197" fillId="9" borderId="1" xfId="186" quotePrefix="1" applyNumberFormat="1" applyFont="1" applyFill="1" applyBorder="1" applyAlignment="1" applyProtection="1">
      <alignment horizontal="center"/>
    </xf>
    <xf numFmtId="4" fontId="197" fillId="11" borderId="1" xfId="186" applyNumberFormat="1" applyFont="1" applyFill="1" applyBorder="1" applyAlignment="1" applyProtection="1">
      <alignment horizontal="center"/>
    </xf>
    <xf numFmtId="39" fontId="197" fillId="9" borderId="6" xfId="186" applyNumberFormat="1" applyFont="1" applyFill="1" applyBorder="1" applyAlignment="1" applyProtection="1">
      <alignment horizontal="center"/>
    </xf>
    <xf numFmtId="40" fontId="197" fillId="11" borderId="15" xfId="186" applyNumberFormat="1" applyFont="1" applyFill="1" applyBorder="1" applyAlignment="1" applyProtection="1">
      <alignment horizontal="center"/>
    </xf>
    <xf numFmtId="39" fontId="198" fillId="9" borderId="15" xfId="186" applyNumberFormat="1" applyFont="1" applyFill="1" applyBorder="1" applyAlignment="1" applyProtection="1">
      <alignment horizontal="center"/>
    </xf>
    <xf numFmtId="4" fontId="197" fillId="9" borderId="6" xfId="186" applyNumberFormat="1" applyFont="1" applyFill="1" applyBorder="1" applyAlignment="1" applyProtection="1">
      <alignment horizontal="center"/>
    </xf>
    <xf numFmtId="169" fontId="199" fillId="9" borderId="0" xfId="186" applyNumberFormat="1" applyFont="1" applyFill="1" applyBorder="1" applyAlignment="1">
      <alignment horizontal="center"/>
    </xf>
    <xf numFmtId="167" fontId="199" fillId="9" borderId="0" xfId="186" applyNumberFormat="1" applyFont="1" applyFill="1" applyBorder="1" applyAlignment="1" applyProtection="1"/>
    <xf numFmtId="49" fontId="199" fillId="9" borderId="0" xfId="186" applyNumberFormat="1" applyFont="1" applyFill="1" applyBorder="1" applyAlignment="1">
      <alignment horizontal="center"/>
    </xf>
    <xf numFmtId="49" fontId="199" fillId="9" borderId="0" xfId="186" applyNumberFormat="1" applyFont="1" applyFill="1" applyBorder="1" applyAlignment="1">
      <alignment horizontal="left"/>
    </xf>
    <xf numFmtId="0" fontId="199" fillId="9" borderId="0" xfId="186" applyFont="1" applyFill="1" applyBorder="1" applyAlignment="1">
      <alignment horizontal="left" vertical="center"/>
    </xf>
    <xf numFmtId="165" fontId="199" fillId="9" borderId="0" xfId="6" applyFont="1" applyFill="1" applyBorder="1" applyAlignment="1" applyProtection="1"/>
    <xf numFmtId="165" fontId="199" fillId="9" borderId="0" xfId="6" applyFont="1" applyFill="1" applyBorder="1" applyAlignment="1" applyProtection="1">
      <alignment horizontal="right"/>
    </xf>
    <xf numFmtId="165" fontId="199" fillId="11" borderId="0" xfId="6" applyFont="1" applyFill="1" applyBorder="1" applyAlignment="1" applyProtection="1"/>
    <xf numFmtId="167" fontId="199" fillId="9" borderId="0" xfId="186" applyNumberFormat="1" applyFont="1" applyFill="1" applyBorder="1" applyAlignment="1" applyProtection="1">
      <alignment horizontal="right"/>
    </xf>
    <xf numFmtId="49" fontId="196" fillId="9" borderId="0" xfId="186" applyNumberFormat="1" applyFont="1" applyFill="1" applyBorder="1" applyAlignment="1">
      <alignment horizontal="center" vertical="center" wrapText="1"/>
    </xf>
    <xf numFmtId="1" fontId="199" fillId="9" borderId="0" xfId="186" applyNumberFormat="1" applyFont="1" applyFill="1" applyBorder="1" applyAlignment="1">
      <alignment horizontal="center"/>
    </xf>
    <xf numFmtId="2" fontId="199" fillId="9" borderId="0" xfId="6" applyNumberFormat="1" applyFont="1" applyFill="1" applyBorder="1" applyAlignment="1" applyProtection="1"/>
    <xf numFmtId="49" fontId="196" fillId="9" borderId="0" xfId="186" applyNumberFormat="1" applyFont="1" applyFill="1" applyBorder="1" applyAlignment="1">
      <alignment horizontal="center" vertical="center"/>
    </xf>
    <xf numFmtId="165" fontId="199" fillId="0" borderId="0" xfId="6" applyFont="1" applyFill="1" applyBorder="1" applyAlignment="1" applyProtection="1"/>
    <xf numFmtId="169" fontId="187" fillId="9" borderId="11" xfId="186" applyNumberFormat="1" applyFont="1" applyFill="1" applyBorder="1"/>
    <xf numFmtId="49" fontId="187" fillId="9" borderId="11" xfId="186" applyNumberFormat="1" applyFont="1" applyFill="1" applyBorder="1" applyAlignment="1" applyProtection="1">
      <alignment horizontal="right"/>
    </xf>
    <xf numFmtId="168" fontId="188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>
      <alignment horizontal="left"/>
    </xf>
    <xf numFmtId="0" fontId="187" fillId="9" borderId="11" xfId="186" applyFont="1" applyFill="1" applyBorder="1" applyAlignment="1">
      <alignment horizontal="left"/>
    </xf>
    <xf numFmtId="40" fontId="187" fillId="9" borderId="11" xfId="186" applyNumberFormat="1" applyFont="1" applyFill="1" applyBorder="1" applyAlignment="1" applyProtection="1">
      <alignment horizontal="right"/>
    </xf>
    <xf numFmtId="40" fontId="187" fillId="9" borderId="11" xfId="186" applyNumberFormat="1" applyFont="1" applyFill="1" applyBorder="1" applyProtection="1"/>
    <xf numFmtId="0" fontId="187" fillId="9" borderId="11" xfId="186" applyFont="1" applyFill="1" applyBorder="1"/>
    <xf numFmtId="40" fontId="187" fillId="9" borderId="11" xfId="186" applyNumberFormat="1" applyFont="1" applyFill="1" applyBorder="1" applyAlignment="1" applyProtection="1"/>
    <xf numFmtId="168" fontId="187" fillId="9" borderId="0" xfId="186" applyNumberFormat="1" applyFont="1" applyFill="1" applyBorder="1" applyAlignment="1" applyProtection="1">
      <alignment horizontal="center"/>
    </xf>
    <xf numFmtId="49" fontId="187" fillId="9" borderId="0" xfId="186" applyNumberFormat="1" applyFont="1" applyFill="1" applyBorder="1" applyAlignment="1" applyProtection="1">
      <alignment horizontal="center"/>
    </xf>
    <xf numFmtId="49" fontId="187" fillId="9" borderId="0" xfId="186" applyNumberFormat="1" applyFont="1" applyFill="1" applyBorder="1" applyAlignment="1">
      <alignment horizontal="left"/>
    </xf>
    <xf numFmtId="40" fontId="187" fillId="9" borderId="0" xfId="186" applyNumberFormat="1" applyFont="1" applyFill="1" applyBorder="1" applyAlignment="1" applyProtection="1">
      <alignment horizontal="right"/>
    </xf>
    <xf numFmtId="40" fontId="187" fillId="9" borderId="0" xfId="186" applyNumberFormat="1" applyFont="1" applyFill="1" applyBorder="1"/>
    <xf numFmtId="40" fontId="187" fillId="9" borderId="0" xfId="186" applyNumberFormat="1" applyFont="1" applyFill="1" applyBorder="1" applyAlignment="1" applyProtection="1"/>
    <xf numFmtId="49" fontId="187" fillId="9" borderId="0" xfId="186" applyNumberFormat="1" applyFont="1" applyFill="1" applyBorder="1" applyAlignment="1">
      <alignment horizontal="center"/>
    </xf>
    <xf numFmtId="40" fontId="187" fillId="9" borderId="0" xfId="186" applyNumberFormat="1" applyFont="1" applyFill="1" applyBorder="1" applyAlignment="1">
      <alignment horizontal="center"/>
    </xf>
    <xf numFmtId="49" fontId="187" fillId="9" borderId="11" xfId="186" applyNumberFormat="1" applyFont="1" applyFill="1" applyBorder="1" applyAlignment="1">
      <alignment horizontal="right"/>
    </xf>
    <xf numFmtId="168" fontId="187" fillId="9" borderId="11" xfId="186" applyNumberFormat="1" applyFont="1" applyFill="1" applyBorder="1"/>
    <xf numFmtId="49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/>
    <xf numFmtId="165" fontId="188" fillId="9" borderId="11" xfId="6" applyFont="1" applyFill="1" applyBorder="1"/>
    <xf numFmtId="164" fontId="200" fillId="0" borderId="0" xfId="7" applyFont="1"/>
    <xf numFmtId="164" fontId="204" fillId="0" borderId="0" xfId="7" applyFont="1" applyAlignment="1">
      <alignment horizontal="center"/>
    </xf>
    <xf numFmtId="165" fontId="200" fillId="0" borderId="0" xfId="6" applyFont="1" applyFill="1" applyBorder="1" applyAlignment="1">
      <alignment horizontal="center"/>
    </xf>
    <xf numFmtId="165" fontId="200" fillId="0" borderId="0" xfId="6" applyFont="1" applyFill="1" applyBorder="1"/>
    <xf numFmtId="164" fontId="200" fillId="0" borderId="0" xfId="7" applyFont="1" applyFill="1"/>
    <xf numFmtId="164" fontId="200" fillId="0" borderId="0" xfId="7" applyFont="1" applyBorder="1"/>
    <xf numFmtId="0" fontId="200" fillId="9" borderId="0" xfId="0" applyFont="1" applyFill="1" applyBorder="1"/>
    <xf numFmtId="165" fontId="200" fillId="9" borderId="0" xfId="6" applyFont="1" applyFill="1" applyBorder="1"/>
    <xf numFmtId="0" fontId="186" fillId="5" borderId="0" xfId="1" applyFont="1" applyFill="1"/>
    <xf numFmtId="165" fontId="186" fillId="5" borderId="0" xfId="6" applyFont="1" applyFill="1"/>
    <xf numFmtId="165" fontId="186" fillId="5" borderId="0" xfId="1" applyNumberFormat="1" applyFont="1" applyFill="1"/>
    <xf numFmtId="49" fontId="196" fillId="9" borderId="0" xfId="0" applyNumberFormat="1" applyFont="1" applyFill="1" applyBorder="1" applyAlignment="1">
      <alignment horizontal="center" vertical="center" wrapText="1"/>
    </xf>
    <xf numFmtId="0" fontId="157" fillId="0" borderId="0" xfId="44" applyFont="1"/>
    <xf numFmtId="169" fontId="199" fillId="8" borderId="0" xfId="0" applyNumberFormat="1" applyFont="1" applyFill="1" applyBorder="1" applyAlignment="1">
      <alignment horizontal="center"/>
    </xf>
    <xf numFmtId="167" fontId="199" fillId="8" borderId="0" xfId="0" applyNumberFormat="1" applyFont="1" applyFill="1" applyBorder="1" applyAlignment="1" applyProtection="1"/>
    <xf numFmtId="49" fontId="199" fillId="8" borderId="0" xfId="0" applyNumberFormat="1" applyFont="1" applyFill="1" applyBorder="1" applyAlignment="1">
      <alignment horizontal="center"/>
    </xf>
    <xf numFmtId="49" fontId="196" fillId="8" borderId="0" xfId="0" applyNumberFormat="1" applyFont="1" applyFill="1" applyBorder="1" applyAlignment="1">
      <alignment horizontal="center" vertical="center" wrapText="1"/>
    </xf>
    <xf numFmtId="49" fontId="199" fillId="8" borderId="0" xfId="0" applyNumberFormat="1" applyFont="1" applyFill="1" applyBorder="1" applyAlignment="1">
      <alignment horizontal="left"/>
    </xf>
    <xf numFmtId="165" fontId="200" fillId="0" borderId="10" xfId="64" applyNumberFormat="1" applyFont="1" applyBorder="1"/>
    <xf numFmtId="0" fontId="154" fillId="11" borderId="0" xfId="146" quotePrefix="1" applyNumberFormat="1" applyFont="1" applyFill="1" applyAlignment="1">
      <alignment horizontal="left"/>
    </xf>
    <xf numFmtId="2" fontId="200" fillId="8" borderId="0" xfId="0" applyNumberFormat="1" applyFont="1" applyFill="1"/>
    <xf numFmtId="0" fontId="200" fillId="17" borderId="0" xfId="64" applyFont="1" applyFill="1" applyBorder="1"/>
    <xf numFmtId="49" fontId="200" fillId="17" borderId="0" xfId="64" applyNumberFormat="1" applyFont="1" applyFill="1" applyBorder="1"/>
    <xf numFmtId="164" fontId="200" fillId="17" borderId="0" xfId="7" applyFont="1" applyFill="1"/>
    <xf numFmtId="0" fontId="200" fillId="17" borderId="0" xfId="64" applyFont="1" applyFill="1"/>
    <xf numFmtId="39" fontId="209" fillId="0" borderId="0" xfId="10" applyFont="1" applyAlignment="1" applyProtection="1">
      <alignment horizontal="left"/>
      <protection locked="0"/>
    </xf>
    <xf numFmtId="39" fontId="211" fillId="0" borderId="0" xfId="10" quotePrefix="1" applyFont="1" applyAlignment="1" applyProtection="1">
      <alignment horizontal="left"/>
      <protection locked="0"/>
    </xf>
    <xf numFmtId="39" fontId="211" fillId="0" borderId="0" xfId="10" applyFont="1" applyAlignment="1" applyProtection="1">
      <alignment horizontal="left"/>
      <protection locked="0"/>
    </xf>
    <xf numFmtId="40" fontId="211" fillId="0" borderId="0" xfId="10" applyNumberFormat="1" applyFont="1" applyAlignment="1" applyProtection="1">
      <alignment horizontal="left"/>
      <protection locked="0"/>
    </xf>
    <xf numFmtId="40" fontId="211" fillId="0" borderId="0" xfId="10" applyNumberFormat="1" applyFont="1" applyProtection="1">
      <protection locked="0"/>
    </xf>
    <xf numFmtId="39" fontId="211" fillId="0" borderId="0" xfId="10" applyFont="1" applyProtection="1">
      <protection locked="0"/>
    </xf>
    <xf numFmtId="39" fontId="200" fillId="0" borderId="0" xfId="10" applyFont="1" applyProtection="1">
      <protection locked="0"/>
    </xf>
    <xf numFmtId="40" fontId="211" fillId="0" borderId="0" xfId="10" applyNumberFormat="1" applyFont="1" applyFill="1" applyProtection="1">
      <protection locked="0"/>
    </xf>
    <xf numFmtId="39" fontId="212" fillId="0" borderId="0" xfId="10" applyFont="1" applyAlignment="1" applyProtection="1">
      <alignment horizontal="left"/>
      <protection locked="0"/>
    </xf>
    <xf numFmtId="171" fontId="212" fillId="0" borderId="0" xfId="10" applyNumberFormat="1" applyFont="1" applyAlignment="1" applyProtection="1">
      <alignment horizontal="left"/>
      <protection locked="0"/>
    </xf>
    <xf numFmtId="39" fontId="200" fillId="0" borderId="0" xfId="10" applyFont="1" applyAlignment="1" applyProtection="1">
      <alignment horizontal="left"/>
      <protection locked="0"/>
    </xf>
    <xf numFmtId="37" fontId="212" fillId="0" borderId="0" xfId="10" applyNumberFormat="1" applyFont="1" applyAlignment="1" applyProtection="1">
      <alignment horizontal="center"/>
      <protection locked="0"/>
    </xf>
    <xf numFmtId="40" fontId="200" fillId="0" borderId="0" xfId="10" applyNumberFormat="1" applyFont="1" applyProtection="1">
      <protection locked="0"/>
    </xf>
    <xf numFmtId="40" fontId="211" fillId="0" borderId="0" xfId="10" applyNumberFormat="1" applyFont="1" applyAlignment="1" applyProtection="1">
      <alignment horizontal="center"/>
      <protection locked="0"/>
    </xf>
    <xf numFmtId="39" fontId="211" fillId="0" borderId="9" xfId="10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center"/>
      <protection locked="0"/>
    </xf>
    <xf numFmtId="40" fontId="211" fillId="11" borderId="9" xfId="10" applyNumberFormat="1" applyFont="1" applyFill="1" applyBorder="1" applyAlignment="1" applyProtection="1">
      <alignment horizontal="center"/>
      <protection locked="0"/>
    </xf>
    <xf numFmtId="14" fontId="211" fillId="0" borderId="0" xfId="10" applyNumberFormat="1" applyFont="1" applyBorder="1" applyAlignment="1" applyProtection="1">
      <alignment horizontal="fill"/>
      <protection locked="0"/>
    </xf>
    <xf numFmtId="39" fontId="211" fillId="0" borderId="0" xfId="10" applyFont="1" applyBorder="1" applyAlignment="1" applyProtection="1">
      <alignment horizontal="fill"/>
      <protection locked="0"/>
    </xf>
    <xf numFmtId="39" fontId="211" fillId="0" borderId="0" xfId="10" applyFont="1" applyBorder="1" applyAlignment="1" applyProtection="1">
      <alignment horizontal="left"/>
      <protection locked="0"/>
    </xf>
    <xf numFmtId="40" fontId="211" fillId="0" borderId="0" xfId="10" applyNumberFormat="1" applyFont="1" applyBorder="1" applyAlignment="1" applyProtection="1">
      <alignment horizontal="left"/>
      <protection locked="0"/>
    </xf>
    <xf numFmtId="39" fontId="211" fillId="0" borderId="0" xfId="10" applyNumberFormat="1" applyFont="1" applyFill="1" applyBorder="1" applyAlignment="1" applyProtection="1"/>
    <xf numFmtId="40" fontId="211" fillId="0" borderId="0" xfId="10" applyNumberFormat="1" applyFont="1" applyProtection="1"/>
    <xf numFmtId="167" fontId="211" fillId="0" borderId="0" xfId="10" applyNumberFormat="1" applyFont="1" applyFill="1" applyAlignment="1" applyProtection="1">
      <alignment horizontal="left"/>
      <protection locked="0"/>
    </xf>
    <xf numFmtId="39" fontId="211" fillId="0" borderId="0" xfId="10" applyFont="1" applyFill="1" applyBorder="1" applyAlignment="1" applyProtection="1">
      <alignment horizontal="fill"/>
      <protection locked="0"/>
    </xf>
    <xf numFmtId="49" fontId="211" fillId="0" borderId="0" xfId="10" applyNumberFormat="1" applyFont="1" applyFill="1" applyAlignment="1" applyProtection="1">
      <alignment horizontal="center"/>
      <protection locked="0"/>
    </xf>
    <xf numFmtId="1" fontId="211" fillId="0" borderId="0" xfId="10" applyNumberFormat="1" applyFont="1" applyFill="1" applyAlignment="1" applyProtection="1">
      <alignment horizontal="center"/>
      <protection locked="0"/>
    </xf>
    <xf numFmtId="40" fontId="211" fillId="0" borderId="0" xfId="10" applyNumberFormat="1" applyFont="1" applyFill="1" applyBorder="1" applyAlignment="1" applyProtection="1">
      <alignment horizontal="left"/>
      <protection locked="0"/>
    </xf>
    <xf numFmtId="39" fontId="211" fillId="0" borderId="0" xfId="10" applyFont="1" applyFill="1" applyProtection="1">
      <protection locked="0"/>
    </xf>
    <xf numFmtId="40" fontId="211" fillId="0" borderId="0" xfId="10" applyNumberFormat="1" applyFont="1" applyFill="1" applyProtection="1"/>
    <xf numFmtId="39" fontId="200" fillId="0" borderId="0" xfId="10" applyFont="1" applyFill="1" applyProtection="1">
      <protection locked="0"/>
    </xf>
    <xf numFmtId="39" fontId="211" fillId="0" borderId="0" xfId="10" applyFont="1" applyFill="1" applyBorder="1" applyAlignment="1" applyProtection="1">
      <alignment horizontal="left"/>
      <protection locked="0"/>
    </xf>
    <xf numFmtId="39" fontId="211" fillId="0" borderId="0" xfId="10" applyNumberFormat="1" applyFont="1" applyFill="1" applyBorder="1" applyAlignment="1" applyProtection="1">
      <alignment horizontal="left"/>
    </xf>
    <xf numFmtId="167" fontId="211" fillId="0" borderId="0" xfId="10" applyNumberFormat="1" applyFont="1" applyAlignment="1" applyProtection="1">
      <alignment horizontal="left"/>
      <protection locked="0"/>
    </xf>
    <xf numFmtId="175" fontId="213" fillId="0" borderId="0" xfId="10" applyNumberFormat="1" applyFont="1" applyAlignment="1" applyProtection="1">
      <alignment horizontal="left"/>
      <protection locked="0"/>
    </xf>
    <xf numFmtId="175" fontId="211" fillId="0" borderId="0" xfId="10" applyNumberFormat="1" applyFont="1" applyAlignment="1" applyProtection="1">
      <alignment horizontal="left"/>
      <protection locked="0"/>
    </xf>
    <xf numFmtId="175" fontId="214" fillId="0" borderId="0" xfId="10" applyNumberFormat="1" applyFont="1" applyAlignment="1" applyProtection="1">
      <alignment horizontal="left"/>
      <protection locked="0"/>
    </xf>
    <xf numFmtId="49" fontId="211" fillId="0" borderId="0" xfId="10" applyNumberFormat="1" applyFont="1" applyAlignment="1" applyProtection="1">
      <alignment horizontal="center"/>
      <protection locked="0"/>
    </xf>
    <xf numFmtId="175" fontId="212" fillId="0" borderId="0" xfId="10" applyNumberFormat="1" applyFont="1" applyAlignment="1" applyProtection="1">
      <alignment horizontal="left"/>
      <protection locked="0"/>
    </xf>
    <xf numFmtId="40" fontId="212" fillId="0" borderId="0" xfId="10" applyNumberFormat="1" applyFont="1" applyAlignment="1" applyProtection="1">
      <alignment horizontal="left"/>
      <protection locked="0"/>
    </xf>
    <xf numFmtId="49" fontId="211" fillId="0" borderId="0" xfId="10" applyNumberFormat="1" applyFont="1" applyAlignment="1" applyProtection="1">
      <alignment horizontal="left"/>
      <protection locked="0"/>
    </xf>
    <xf numFmtId="175" fontId="211" fillId="0" borderId="9" xfId="10" applyNumberFormat="1" applyFont="1" applyBorder="1" applyAlignment="1" applyProtection="1">
      <protection locked="0"/>
    </xf>
    <xf numFmtId="175" fontId="211" fillId="0" borderId="9" xfId="10" applyNumberFormat="1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right"/>
      <protection locked="0"/>
    </xf>
    <xf numFmtId="40" fontId="211" fillId="0" borderId="9" xfId="10" applyNumberFormat="1" applyFont="1" applyBorder="1" applyProtection="1"/>
    <xf numFmtId="175" fontId="211" fillId="0" borderId="0" xfId="10" applyNumberFormat="1" applyFont="1" applyProtection="1">
      <protection locked="0"/>
    </xf>
    <xf numFmtId="40" fontId="211" fillId="0" borderId="0" xfId="10" applyNumberFormat="1" applyFont="1" applyBorder="1" applyProtection="1">
      <protection locked="0"/>
    </xf>
    <xf numFmtId="40" fontId="211" fillId="11" borderId="0" xfId="10" applyNumberFormat="1" applyFont="1" applyFill="1" applyProtection="1"/>
    <xf numFmtId="39" fontId="200" fillId="0" borderId="0" xfId="10" applyFont="1"/>
    <xf numFmtId="40" fontId="211" fillId="0" borderId="0" xfId="10" applyNumberFormat="1" applyFont="1" applyFill="1" applyBorder="1" applyProtection="1"/>
    <xf numFmtId="40" fontId="211" fillId="0" borderId="9" xfId="10" applyNumberFormat="1" applyFont="1" applyBorder="1" applyAlignment="1" applyProtection="1">
      <alignment horizontal="fill"/>
    </xf>
    <xf numFmtId="40" fontId="211" fillId="0" borderId="0" xfId="10" applyNumberFormat="1" applyFont="1" applyBorder="1" applyAlignment="1" applyProtection="1">
      <alignment horizontal="fill"/>
    </xf>
    <xf numFmtId="40" fontId="211" fillId="0" borderId="0" xfId="10" applyNumberFormat="1" applyFont="1" applyAlignment="1" applyProtection="1">
      <alignment horizontal="fill"/>
      <protection locked="0"/>
    </xf>
    <xf numFmtId="14" fontId="211" fillId="0" borderId="0" xfId="10" applyNumberFormat="1" applyFont="1" applyAlignment="1" applyProtection="1">
      <alignment horizontal="left"/>
      <protection locked="0"/>
    </xf>
    <xf numFmtId="40" fontId="212" fillId="0" borderId="0" xfId="10" applyNumberFormat="1" applyFont="1" applyProtection="1">
      <protection locked="0"/>
    </xf>
    <xf numFmtId="40" fontId="212" fillId="0" borderId="0" xfId="10" applyNumberFormat="1" applyFont="1" applyAlignment="1" applyProtection="1">
      <alignment horizontal="center"/>
      <protection locked="0"/>
    </xf>
    <xf numFmtId="40" fontId="211" fillId="0" borderId="0" xfId="10" applyNumberFormat="1" applyFont="1" applyAlignment="1" applyProtection="1">
      <protection locked="0"/>
    </xf>
    <xf numFmtId="40" fontId="203" fillId="0" borderId="11" xfId="10" applyNumberFormat="1" applyFont="1" applyBorder="1" applyProtection="1">
      <protection locked="0"/>
    </xf>
    <xf numFmtId="40" fontId="203" fillId="0" borderId="0" xfId="10" applyNumberFormat="1" applyFont="1" applyAlignment="1" applyProtection="1">
      <alignment horizontal="left"/>
      <protection locked="0"/>
    </xf>
    <xf numFmtId="40" fontId="203" fillId="0" borderId="0" xfId="10" applyNumberFormat="1" applyFont="1" applyProtection="1">
      <protection locked="0"/>
    </xf>
    <xf numFmtId="175" fontId="200" fillId="0" borderId="0" xfId="10" applyNumberFormat="1" applyFont="1" applyProtection="1">
      <protection locked="0"/>
    </xf>
    <xf numFmtId="175" fontId="200" fillId="0" borderId="0" xfId="10" applyNumberFormat="1" applyFont="1" applyAlignment="1" applyProtection="1">
      <alignment horizontal="left"/>
      <protection locked="0"/>
    </xf>
    <xf numFmtId="40" fontId="200" fillId="0" borderId="0" xfId="10" applyNumberFormat="1" applyFont="1" applyAlignment="1" applyProtection="1">
      <alignment horizontal="left"/>
      <protection locked="0"/>
    </xf>
    <xf numFmtId="49" fontId="196" fillId="9" borderId="0" xfId="0" applyNumberFormat="1" applyFont="1" applyFill="1" applyBorder="1" applyAlignment="1">
      <alignment horizontal="center" vertical="center" wrapText="1"/>
    </xf>
    <xf numFmtId="39" fontId="200" fillId="0" borderId="9" xfId="10" applyFont="1" applyBorder="1" applyProtection="1">
      <protection locked="0"/>
    </xf>
    <xf numFmtId="0" fontId="197" fillId="9" borderId="0" xfId="0" applyFont="1" applyFill="1" applyBorder="1" applyAlignment="1">
      <alignment horizontal="center"/>
    </xf>
    <xf numFmtId="0" fontId="199" fillId="9" borderId="0" xfId="0" applyFont="1" applyFill="1" applyBorder="1" applyAlignment="1">
      <alignment horizontal="center"/>
    </xf>
    <xf numFmtId="0" fontId="187" fillId="9" borderId="0" xfId="0" applyFont="1" applyFill="1"/>
    <xf numFmtId="49" fontId="187" fillId="9" borderId="0" xfId="0" applyNumberFormat="1" applyFont="1" applyFill="1" applyAlignment="1">
      <alignment horizontal="right"/>
    </xf>
    <xf numFmtId="168" fontId="187" fillId="9" borderId="0" xfId="0" applyNumberFormat="1" applyFont="1" applyFill="1"/>
    <xf numFmtId="0" fontId="187" fillId="9" borderId="0" xfId="0" applyFont="1" applyFill="1" applyAlignment="1">
      <alignment horizontal="center"/>
    </xf>
    <xf numFmtId="0" fontId="187" fillId="9" borderId="0" xfId="0" applyFont="1" applyFill="1" applyAlignment="1">
      <alignment horizontal="left"/>
    </xf>
    <xf numFmtId="40" fontId="187" fillId="9" borderId="0" xfId="0" applyNumberFormat="1" applyFont="1" applyFill="1"/>
    <xf numFmtId="4" fontId="199" fillId="9" borderId="0" xfId="0" applyNumberFormat="1" applyFont="1" applyFill="1"/>
    <xf numFmtId="165" fontId="187" fillId="9" borderId="0" xfId="6" applyFont="1" applyFill="1" applyAlignment="1">
      <alignment horizontal="center"/>
    </xf>
    <xf numFmtId="4" fontId="199" fillId="9" borderId="0" xfId="389" applyNumberFormat="1" applyFont="1" applyFill="1" applyBorder="1" applyAlignment="1" applyProtection="1">
      <alignment vertical="top"/>
    </xf>
    <xf numFmtId="165" fontId="187" fillId="9" borderId="0" xfId="6" applyFont="1" applyFill="1"/>
    <xf numFmtId="40" fontId="187" fillId="9" borderId="0" xfId="0" quotePrefix="1" applyNumberFormat="1" applyFont="1" applyFill="1" applyAlignment="1">
      <alignment horizontal="right"/>
    </xf>
    <xf numFmtId="165" fontId="188" fillId="9" borderId="0" xfId="6" applyFont="1" applyFill="1" applyAlignment="1">
      <alignment horizontal="center"/>
    </xf>
    <xf numFmtId="0" fontId="216" fillId="9" borderId="0" xfId="0" applyFont="1" applyFill="1"/>
    <xf numFmtId="40" fontId="216" fillId="9" borderId="0" xfId="0" applyNumberFormat="1" applyFont="1" applyFill="1"/>
    <xf numFmtId="165" fontId="200" fillId="9" borderId="0" xfId="6" applyFont="1" applyFill="1" applyBorder="1" applyAlignment="1">
      <alignment horizontal="center"/>
    </xf>
    <xf numFmtId="164" fontId="204" fillId="9" borderId="0" xfId="7" applyFont="1" applyFill="1" applyAlignment="1">
      <alignment horizontal="center"/>
    </xf>
    <xf numFmtId="39" fontId="211" fillId="0" borderId="0" xfId="10" applyFont="1" applyFill="1" applyAlignment="1" applyProtection="1">
      <alignment horizontal="left"/>
      <protection locked="0"/>
    </xf>
    <xf numFmtId="165" fontId="211" fillId="0" borderId="0" xfId="6" applyFont="1" applyFill="1" applyBorder="1" applyProtection="1"/>
    <xf numFmtId="165" fontId="211" fillId="11" borderId="0" xfId="6" applyFont="1" applyFill="1" applyProtection="1"/>
    <xf numFmtId="0" fontId="157" fillId="0" borderId="0" xfId="47" quotePrefix="1" applyFont="1"/>
    <xf numFmtId="0" fontId="200" fillId="18" borderId="0" xfId="64" applyFont="1" applyFill="1"/>
    <xf numFmtId="165" fontId="200" fillId="18" borderId="0" xfId="6" applyFont="1" applyFill="1"/>
    <xf numFmtId="165" fontId="201" fillId="19" borderId="0" xfId="64" applyNumberFormat="1" applyFont="1" applyFill="1"/>
    <xf numFmtId="0" fontId="154" fillId="0" borderId="0" xfId="44" applyFont="1"/>
    <xf numFmtId="40" fontId="158" fillId="11" borderId="0" xfId="4" applyNumberFormat="1" applyFont="1" applyFill="1" applyBorder="1" applyAlignment="1">
      <alignment horizontal="right"/>
    </xf>
    <xf numFmtId="165" fontId="157" fillId="0" borderId="0" xfId="6" applyFont="1"/>
    <xf numFmtId="176" fontId="157" fillId="0" borderId="0" xfId="0" applyNumberFormat="1" applyFont="1"/>
    <xf numFmtId="40" fontId="158" fillId="8" borderId="0" xfId="4" applyNumberFormat="1" applyFont="1" applyFill="1" applyAlignment="1">
      <alignment horizontal="right"/>
    </xf>
    <xf numFmtId="40" fontId="158" fillId="8" borderId="0" xfId="4" applyNumberFormat="1" applyFont="1" applyFill="1" applyBorder="1" applyAlignment="1">
      <alignment horizontal="right"/>
    </xf>
    <xf numFmtId="49" fontId="196" fillId="9" borderId="0" xfId="0" applyNumberFormat="1" applyFont="1" applyFill="1" applyBorder="1" applyAlignment="1">
      <alignment horizontal="center" vertical="center" wrapText="1"/>
    </xf>
    <xf numFmtId="1" fontId="212" fillId="0" borderId="0" xfId="6" applyNumberFormat="1" applyFont="1" applyAlignment="1" applyProtection="1">
      <alignment horizontal="center"/>
      <protection locked="0"/>
    </xf>
    <xf numFmtId="165" fontId="211" fillId="0" borderId="0" xfId="6" applyFont="1" applyFill="1" applyProtection="1"/>
    <xf numFmtId="14" fontId="157" fillId="0" borderId="0" xfId="47" quotePrefix="1" applyNumberFormat="1" applyFont="1"/>
    <xf numFmtId="0" fontId="157" fillId="8" borderId="0" xfId="9" applyNumberFormat="1" applyFont="1" applyFill="1" applyAlignment="1" applyProtection="1">
      <alignment horizontal="center" vertical="justify"/>
      <protection locked="0"/>
    </xf>
    <xf numFmtId="0" fontId="157" fillId="8" borderId="0" xfId="9" applyFont="1" applyFill="1" applyAlignment="1"/>
    <xf numFmtId="49" fontId="196" fillId="9" borderId="0" xfId="0" applyNumberFormat="1" applyFont="1" applyFill="1" applyBorder="1" applyAlignment="1">
      <alignment horizontal="center" vertical="center" wrapText="1"/>
    </xf>
    <xf numFmtId="49" fontId="196" fillId="9" borderId="0" xfId="0" applyNumberFormat="1" applyFont="1" applyFill="1" applyBorder="1" applyAlignment="1">
      <alignment horizontal="center" vertical="center" wrapText="1"/>
    </xf>
    <xf numFmtId="164" fontId="200" fillId="8" borderId="0" xfId="7" applyFont="1" applyFill="1"/>
    <xf numFmtId="177" fontId="200" fillId="0" borderId="0" xfId="7" applyNumberFormat="1" applyFont="1" applyFill="1" applyAlignment="1">
      <alignment horizontal="left"/>
    </xf>
    <xf numFmtId="174" fontId="200" fillId="0" borderId="0" xfId="64" applyNumberFormat="1" applyFont="1"/>
    <xf numFmtId="40" fontId="217" fillId="0" borderId="0" xfId="10" applyNumberFormat="1" applyFont="1" applyFill="1" applyProtection="1"/>
    <xf numFmtId="0" fontId="157" fillId="0" borderId="0" xfId="50" quotePrefix="1" applyFont="1" applyAlignment="1">
      <alignment horizontal="right"/>
    </xf>
    <xf numFmtId="0" fontId="157" fillId="0" borderId="0" xfId="50" applyFont="1"/>
    <xf numFmtId="0" fontId="157" fillId="0" borderId="0" xfId="50" quotePrefix="1" applyFont="1"/>
    <xf numFmtId="177" fontId="200" fillId="11" borderId="0" xfId="7" applyNumberFormat="1" applyFont="1" applyFill="1" applyAlignment="1">
      <alignment horizontal="left"/>
    </xf>
    <xf numFmtId="49" fontId="196" fillId="9" borderId="0" xfId="0" applyNumberFormat="1" applyFont="1" applyFill="1" applyBorder="1" applyAlignment="1">
      <alignment horizontal="center" vertical="center" wrapText="1"/>
    </xf>
    <xf numFmtId="0" fontId="197" fillId="9" borderId="5" xfId="0" applyFont="1" applyFill="1" applyBorder="1" applyAlignment="1">
      <alignment horizontal="center" vertical="center"/>
    </xf>
    <xf numFmtId="0" fontId="197" fillId="9" borderId="6" xfId="0" applyFont="1" applyFill="1" applyBorder="1" applyAlignment="1">
      <alignment horizontal="center" vertical="center"/>
    </xf>
    <xf numFmtId="40" fontId="194" fillId="9" borderId="0" xfId="10" applyNumberFormat="1" applyFont="1" applyFill="1" applyAlignment="1" applyProtection="1">
      <alignment horizontal="center"/>
      <protection locked="0"/>
    </xf>
    <xf numFmtId="14" fontId="157" fillId="0" borderId="0" xfId="50" quotePrefix="1" applyNumberFormat="1" applyFont="1"/>
    <xf numFmtId="49" fontId="198" fillId="9" borderId="7" xfId="0" quotePrefix="1" applyNumberFormat="1" applyFont="1" applyFill="1" applyBorder="1" applyAlignment="1" applyProtection="1">
      <alignment horizontal="left"/>
    </xf>
    <xf numFmtId="168" fontId="198" fillId="9" borderId="7" xfId="0" quotePrefix="1" applyNumberFormat="1" applyFont="1" applyFill="1" applyBorder="1" applyAlignment="1">
      <alignment horizontal="center"/>
    </xf>
    <xf numFmtId="0" fontId="157" fillId="0" borderId="0" xfId="53" quotePrefix="1" applyFont="1" applyBorder="1" applyAlignment="1">
      <alignment horizontal="right"/>
    </xf>
    <xf numFmtId="14" fontId="157" fillId="0" borderId="0" xfId="53" quotePrefix="1" applyNumberFormat="1" applyFont="1" applyBorder="1" applyAlignment="1">
      <alignment horizontal="right"/>
    </xf>
    <xf numFmtId="0" fontId="157" fillId="0" borderId="0" xfId="54" quotePrefix="1" applyFont="1"/>
    <xf numFmtId="14" fontId="157" fillId="8" borderId="0" xfId="50" quotePrefix="1" applyNumberFormat="1" applyFont="1" applyFill="1"/>
    <xf numFmtId="49" fontId="200" fillId="8" borderId="0" xfId="0" applyNumberFormat="1" applyFont="1" applyFill="1" applyBorder="1" applyAlignment="1">
      <alignment horizontal="center"/>
    </xf>
    <xf numFmtId="14" fontId="157" fillId="0" borderId="0" xfId="55" quotePrefix="1" applyNumberFormat="1" applyFont="1"/>
    <xf numFmtId="0" fontId="157" fillId="0" borderId="0" xfId="55" quotePrefix="1" applyFont="1"/>
    <xf numFmtId="0" fontId="212" fillId="0" borderId="0" xfId="64" applyFont="1" applyBorder="1" applyAlignment="1">
      <alignment horizontal="center"/>
    </xf>
    <xf numFmtId="14" fontId="200" fillId="8" borderId="0" xfId="0" applyNumberFormat="1" applyFont="1" applyFill="1" applyBorder="1" applyAlignment="1">
      <alignment horizontal="center"/>
    </xf>
    <xf numFmtId="0" fontId="187" fillId="9" borderId="0" xfId="0" applyNumberFormat="1" applyFont="1" applyFill="1" applyBorder="1"/>
    <xf numFmtId="0" fontId="197" fillId="9" borderId="0" xfId="0" quotePrefix="1" applyNumberFormat="1" applyFont="1" applyFill="1" applyBorder="1" applyAlignment="1">
      <alignment horizontal="center"/>
    </xf>
    <xf numFmtId="0" fontId="197" fillId="9" borderId="0" xfId="0" applyNumberFormat="1" applyFont="1" applyFill="1" applyBorder="1" applyAlignment="1">
      <alignment horizontal="center"/>
    </xf>
    <xf numFmtId="0" fontId="199" fillId="9" borderId="0" xfId="0" applyNumberFormat="1" applyFont="1" applyFill="1" applyBorder="1" applyAlignment="1">
      <alignment horizontal="center"/>
    </xf>
    <xf numFmtId="0" fontId="218" fillId="9" borderId="0" xfId="0" applyNumberFormat="1" applyFont="1" applyFill="1" applyBorder="1" applyAlignment="1">
      <alignment horizontal="center"/>
    </xf>
    <xf numFmtId="0" fontId="218" fillId="9" borderId="0" xfId="0" applyFont="1" applyFill="1" applyBorder="1" applyAlignment="1">
      <alignment horizontal="center"/>
    </xf>
    <xf numFmtId="0" fontId="154" fillId="0" borderId="0" xfId="50" applyFont="1"/>
    <xf numFmtId="165" fontId="187" fillId="9" borderId="0" xfId="6" applyFont="1" applyFill="1" applyBorder="1" applyAlignment="1" applyProtection="1"/>
    <xf numFmtId="165" fontId="187" fillId="9" borderId="0" xfId="6" applyFont="1" applyFill="1" applyBorder="1" applyAlignment="1" applyProtection="1">
      <alignment horizontal="right"/>
    </xf>
    <xf numFmtId="165" fontId="187" fillId="11" borderId="0" xfId="6" applyFont="1" applyFill="1" applyBorder="1" applyAlignment="1" applyProtection="1"/>
    <xf numFmtId="2" fontId="187" fillId="9" borderId="0" xfId="6" applyNumberFormat="1" applyFont="1" applyFill="1" applyBorder="1" applyAlignment="1" applyProtection="1"/>
    <xf numFmtId="0" fontId="187" fillId="9" borderId="0" xfId="0" applyFont="1" applyFill="1" applyBorder="1" applyAlignment="1">
      <alignment horizontal="center"/>
    </xf>
    <xf numFmtId="4" fontId="187" fillId="11" borderId="1" xfId="0" applyNumberFormat="1" applyFont="1" applyFill="1" applyBorder="1" applyAlignment="1" applyProtection="1">
      <alignment horizontal="center"/>
    </xf>
    <xf numFmtId="39" fontId="187" fillId="9" borderId="6" xfId="0" applyNumberFormat="1" applyFont="1" applyFill="1" applyBorder="1" applyAlignment="1" applyProtection="1">
      <alignment horizontal="center"/>
    </xf>
    <xf numFmtId="40" fontId="187" fillId="11" borderId="15" xfId="0" applyNumberFormat="1" applyFont="1" applyFill="1" applyBorder="1" applyAlignment="1" applyProtection="1">
      <alignment horizontal="center"/>
    </xf>
    <xf numFmtId="39" fontId="187" fillId="9" borderId="15" xfId="0" applyNumberFormat="1" applyFont="1" applyFill="1" applyBorder="1" applyAlignment="1" applyProtection="1">
      <alignment horizontal="center"/>
    </xf>
    <xf numFmtId="4" fontId="187" fillId="9" borderId="6" xfId="0" applyNumberFormat="1" applyFont="1" applyFill="1" applyBorder="1" applyAlignment="1" applyProtection="1">
      <alignment horizontal="center"/>
    </xf>
    <xf numFmtId="165" fontId="212" fillId="11" borderId="0" xfId="6" applyFont="1" applyFill="1" applyProtection="1"/>
    <xf numFmtId="165" fontId="0" fillId="0" borderId="0" xfId="6" applyFont="1"/>
    <xf numFmtId="0" fontId="157" fillId="11" borderId="0" xfId="9" applyFont="1" applyFill="1" applyProtection="1">
      <protection locked="0"/>
    </xf>
    <xf numFmtId="0" fontId="157" fillId="11" borderId="0" xfId="1" applyNumberFormat="1" applyFont="1" applyFill="1" applyAlignment="1">
      <alignment horizontal="center"/>
    </xf>
    <xf numFmtId="0" fontId="157" fillId="11" borderId="0" xfId="1" applyFont="1" applyFill="1"/>
    <xf numFmtId="40" fontId="172" fillId="11" borderId="0" xfId="4" applyNumberFormat="1" applyFont="1" applyFill="1" applyBorder="1" applyAlignment="1"/>
    <xf numFmtId="40" fontId="172" fillId="11" borderId="0" xfId="11" applyNumberFormat="1" applyFont="1" applyFill="1" applyBorder="1" applyAlignment="1"/>
    <xf numFmtId="49" fontId="196" fillId="9" borderId="0" xfId="0" applyNumberFormat="1" applyFont="1" applyFill="1" applyBorder="1" applyAlignment="1">
      <alignment horizontal="center" vertical="center" wrapText="1"/>
    </xf>
    <xf numFmtId="0" fontId="157" fillId="11" borderId="0" xfId="32" quotePrefix="1" applyNumberFormat="1" applyFont="1" applyFill="1" applyAlignment="1">
      <alignment horizontal="center"/>
    </xf>
    <xf numFmtId="165" fontId="200" fillId="0" borderId="0" xfId="64" applyNumberFormat="1" applyFont="1" applyBorder="1"/>
    <xf numFmtId="0" fontId="157" fillId="0" borderId="0" xfId="63" quotePrefix="1" applyFont="1"/>
    <xf numFmtId="0" fontId="0" fillId="17" borderId="0" xfId="0" applyFill="1"/>
    <xf numFmtId="0" fontId="157" fillId="0" borderId="0" xfId="64" quotePrefix="1" applyFont="1"/>
    <xf numFmtId="0" fontId="154" fillId="0" borderId="0" xfId="186"/>
    <xf numFmtId="39" fontId="209" fillId="0" borderId="0" xfId="10" applyFont="1" applyAlignment="1" applyProtection="1">
      <alignment horizontal="left"/>
      <protection locked="0"/>
    </xf>
    <xf numFmtId="39" fontId="211" fillId="0" borderId="0" xfId="10" quotePrefix="1" applyFont="1" applyAlignment="1" applyProtection="1">
      <alignment horizontal="left"/>
      <protection locked="0"/>
    </xf>
    <xf numFmtId="39" fontId="211" fillId="0" borderId="0" xfId="10" applyFont="1" applyAlignment="1" applyProtection="1">
      <alignment horizontal="left"/>
      <protection locked="0"/>
    </xf>
    <xf numFmtId="40" fontId="211" fillId="0" borderId="0" xfId="10" applyNumberFormat="1" applyFont="1" applyAlignment="1" applyProtection="1">
      <alignment horizontal="left"/>
      <protection locked="0"/>
    </xf>
    <xf numFmtId="40" fontId="211" fillId="0" borderId="0" xfId="10" applyNumberFormat="1" applyFont="1" applyProtection="1">
      <protection locked="0"/>
    </xf>
    <xf numFmtId="39" fontId="211" fillId="0" borderId="0" xfId="10" applyFont="1" applyProtection="1">
      <protection locked="0"/>
    </xf>
    <xf numFmtId="40" fontId="211" fillId="0" borderId="0" xfId="10" applyNumberFormat="1" applyFont="1" applyFill="1" applyProtection="1">
      <protection locked="0"/>
    </xf>
    <xf numFmtId="39" fontId="212" fillId="0" borderId="0" xfId="10" applyFont="1" applyAlignment="1" applyProtection="1">
      <alignment horizontal="left"/>
      <protection locked="0"/>
    </xf>
    <xf numFmtId="171" fontId="212" fillId="0" borderId="0" xfId="10" applyNumberFormat="1" applyFont="1" applyAlignment="1" applyProtection="1">
      <alignment horizontal="left"/>
      <protection locked="0"/>
    </xf>
    <xf numFmtId="40" fontId="211" fillId="0" borderId="0" xfId="10" applyNumberFormat="1" applyFont="1" applyAlignment="1" applyProtection="1">
      <alignment horizontal="center"/>
      <protection locked="0"/>
    </xf>
    <xf numFmtId="39" fontId="211" fillId="0" borderId="9" xfId="10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center"/>
      <protection locked="0"/>
    </xf>
    <xf numFmtId="39" fontId="211" fillId="0" borderId="0" xfId="10" applyFont="1" applyBorder="1" applyAlignment="1" applyProtection="1">
      <alignment horizontal="fill"/>
      <protection locked="0"/>
    </xf>
    <xf numFmtId="39" fontId="211" fillId="0" borderId="0" xfId="10" applyFont="1" applyBorder="1" applyAlignment="1" applyProtection="1">
      <alignment horizontal="left"/>
      <protection locked="0"/>
    </xf>
    <xf numFmtId="40" fontId="211" fillId="0" borderId="0" xfId="10" applyNumberFormat="1" applyFont="1" applyBorder="1" applyAlignment="1" applyProtection="1">
      <alignment horizontal="left"/>
      <protection locked="0"/>
    </xf>
    <xf numFmtId="39" fontId="211" fillId="0" borderId="0" xfId="10" applyNumberFormat="1" applyFont="1" applyFill="1" applyBorder="1" applyAlignment="1" applyProtection="1"/>
    <xf numFmtId="40" fontId="211" fillId="0" borderId="0" xfId="10" applyNumberFormat="1" applyFont="1" applyProtection="1"/>
    <xf numFmtId="167" fontId="211" fillId="0" borderId="0" xfId="10" applyNumberFormat="1" applyFont="1" applyFill="1" applyAlignment="1" applyProtection="1">
      <alignment horizontal="left"/>
      <protection locked="0"/>
    </xf>
    <xf numFmtId="39" fontId="211" fillId="0" borderId="0" xfId="10" applyFont="1" applyFill="1" applyBorder="1" applyAlignment="1" applyProtection="1">
      <alignment horizontal="fill"/>
      <protection locked="0"/>
    </xf>
    <xf numFmtId="49" fontId="211" fillId="0" borderId="0" xfId="10" applyNumberFormat="1" applyFont="1" applyFill="1" applyAlignment="1" applyProtection="1">
      <alignment horizontal="center"/>
      <protection locked="0"/>
    </xf>
    <xf numFmtId="40" fontId="211" fillId="0" borderId="0" xfId="10" applyNumberFormat="1" applyFont="1" applyFill="1" applyBorder="1" applyAlignment="1" applyProtection="1">
      <alignment horizontal="left"/>
      <protection locked="0"/>
    </xf>
    <xf numFmtId="40" fontId="211" fillId="0" borderId="0" xfId="10" applyNumberFormat="1" applyFont="1" applyFill="1" applyProtection="1"/>
    <xf numFmtId="39" fontId="211" fillId="0" borderId="0" xfId="10" applyFont="1" applyFill="1" applyProtection="1">
      <protection locked="0"/>
    </xf>
    <xf numFmtId="40" fontId="211" fillId="11" borderId="9" xfId="10" applyNumberFormat="1" applyFont="1" applyFill="1" applyBorder="1" applyAlignment="1" applyProtection="1">
      <alignment horizontal="center"/>
      <protection locked="0"/>
    </xf>
    <xf numFmtId="14" fontId="211" fillId="0" borderId="0" xfId="10" applyNumberFormat="1" applyFont="1" applyBorder="1" applyAlignment="1" applyProtection="1">
      <alignment horizontal="fill"/>
      <protection locked="0"/>
    </xf>
    <xf numFmtId="1" fontId="212" fillId="0" borderId="0" xfId="6" applyNumberFormat="1" applyFont="1" applyAlignment="1" applyProtection="1">
      <alignment horizontal="center"/>
      <protection locked="0"/>
    </xf>
    <xf numFmtId="165" fontId="200" fillId="17" borderId="0" xfId="64" applyNumberFormat="1" applyFont="1" applyFill="1" applyBorder="1"/>
    <xf numFmtId="0" fontId="173" fillId="9" borderId="0" xfId="9" applyFont="1" applyFill="1" applyAlignment="1"/>
    <xf numFmtId="0" fontId="157" fillId="9" borderId="0" xfId="9" applyFont="1" applyFill="1" applyAlignment="1"/>
    <xf numFmtId="0" fontId="157" fillId="0" borderId="0" xfId="103" quotePrefix="1" applyFont="1"/>
    <xf numFmtId="39" fontId="187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39" fontId="194" fillId="9" borderId="0" xfId="10" quotePrefix="1" applyFont="1" applyFill="1" applyAlignment="1" applyProtection="1">
      <alignment horizontal="left"/>
      <protection locked="0"/>
    </xf>
    <xf numFmtId="39" fontId="194" fillId="9" borderId="0" xfId="10" applyFont="1" applyFill="1" applyAlignment="1" applyProtection="1">
      <alignment horizontal="left"/>
      <protection locked="0"/>
    </xf>
    <xf numFmtId="40" fontId="194" fillId="9" borderId="0" xfId="10" applyNumberFormat="1" applyFont="1" applyFill="1" applyAlignment="1" applyProtection="1">
      <alignment horizontal="left"/>
      <protection locked="0"/>
    </xf>
    <xf numFmtId="40" fontId="194" fillId="9" borderId="0" xfId="10" applyNumberFormat="1" applyFont="1" applyFill="1" applyProtection="1">
      <protection locked="0"/>
    </xf>
    <xf numFmtId="39" fontId="194" fillId="9" borderId="0" xfId="10" applyFont="1" applyFill="1" applyProtection="1">
      <protection locked="0"/>
    </xf>
    <xf numFmtId="39" fontId="195" fillId="9" borderId="0" xfId="10" applyFont="1" applyFill="1" applyAlignment="1" applyProtection="1">
      <alignment horizontal="left"/>
      <protection locked="0"/>
    </xf>
    <xf numFmtId="171" fontId="195" fillId="9" borderId="0" xfId="10" applyNumberFormat="1" applyFont="1" applyFill="1" applyAlignment="1" applyProtection="1">
      <alignment horizontal="left"/>
      <protection locked="0"/>
    </xf>
    <xf numFmtId="39" fontId="187" fillId="9" borderId="0" xfId="10" applyFont="1" applyFill="1" applyAlignment="1" applyProtection="1">
      <alignment horizontal="left"/>
      <protection locked="0"/>
    </xf>
    <xf numFmtId="0" fontId="195" fillId="9" borderId="0" xfId="10" applyNumberFormat="1" applyFont="1" applyFill="1" applyAlignment="1" applyProtection="1">
      <alignment horizontal="center"/>
      <protection locked="0"/>
    </xf>
    <xf numFmtId="40" fontId="187" fillId="9" borderId="0" xfId="10" applyNumberFormat="1" applyFont="1" applyFill="1" applyProtection="1">
      <protection locked="0"/>
    </xf>
    <xf numFmtId="9" fontId="187" fillId="9" borderId="0" xfId="12" applyFont="1" applyFill="1" applyBorder="1" applyProtection="1"/>
    <xf numFmtId="9" fontId="187" fillId="9" borderId="0" xfId="12" applyFont="1" applyFill="1" applyBorder="1" applyAlignment="1" applyProtection="1">
      <alignment horizontal="center"/>
    </xf>
    <xf numFmtId="165" fontId="199" fillId="9" borderId="0" xfId="6" applyFont="1" applyFill="1" applyBorder="1" applyAlignment="1" applyProtection="1"/>
    <xf numFmtId="165" fontId="199" fillId="9" borderId="0" xfId="6" applyFont="1" applyFill="1" applyBorder="1" applyAlignment="1" applyProtection="1">
      <alignment horizontal="right"/>
    </xf>
    <xf numFmtId="165" fontId="199" fillId="0" borderId="0" xfId="6" applyFont="1" applyFill="1" applyBorder="1" applyAlignment="1" applyProtection="1"/>
    <xf numFmtId="165" fontId="188" fillId="9" borderId="11" xfId="6" applyFont="1" applyFill="1" applyBorder="1"/>
    <xf numFmtId="39" fontId="209" fillId="0" borderId="0" xfId="10" applyFont="1" applyAlignment="1" applyProtection="1">
      <alignment horizontal="left"/>
      <protection locked="0"/>
    </xf>
    <xf numFmtId="39" fontId="211" fillId="0" borderId="0" xfId="10" quotePrefix="1" applyFont="1" applyAlignment="1" applyProtection="1">
      <alignment horizontal="left"/>
      <protection locked="0"/>
    </xf>
    <xf numFmtId="39" fontId="211" fillId="0" borderId="0" xfId="10" applyFont="1" applyAlignment="1" applyProtection="1">
      <alignment horizontal="left"/>
      <protection locked="0"/>
    </xf>
    <xf numFmtId="40" fontId="211" fillId="0" borderId="0" xfId="10" applyNumberFormat="1" applyFont="1" applyAlignment="1" applyProtection="1">
      <alignment horizontal="left"/>
      <protection locked="0"/>
    </xf>
    <xf numFmtId="40" fontId="211" fillId="0" borderId="0" xfId="10" applyNumberFormat="1" applyFont="1" applyProtection="1">
      <protection locked="0"/>
    </xf>
    <xf numFmtId="39" fontId="211" fillId="0" borderId="0" xfId="10" applyFont="1" applyProtection="1">
      <protection locked="0"/>
    </xf>
    <xf numFmtId="40" fontId="211" fillId="0" borderId="0" xfId="10" applyNumberFormat="1" applyFont="1" applyFill="1" applyProtection="1">
      <protection locked="0"/>
    </xf>
    <xf numFmtId="39" fontId="212" fillId="0" borderId="0" xfId="10" applyFont="1" applyAlignment="1" applyProtection="1">
      <alignment horizontal="left"/>
      <protection locked="0"/>
    </xf>
    <xf numFmtId="171" fontId="212" fillId="0" borderId="0" xfId="10" applyNumberFormat="1" applyFont="1" applyAlignment="1" applyProtection="1">
      <alignment horizontal="left"/>
      <protection locked="0"/>
    </xf>
    <xf numFmtId="39" fontId="200" fillId="0" borderId="0" xfId="10" applyFont="1" applyAlignment="1" applyProtection="1">
      <alignment horizontal="left"/>
      <protection locked="0"/>
    </xf>
    <xf numFmtId="40" fontId="200" fillId="0" borderId="0" xfId="10" applyNumberFormat="1" applyFont="1" applyProtection="1">
      <protection locked="0"/>
    </xf>
    <xf numFmtId="40" fontId="211" fillId="0" borderId="0" xfId="10" applyNumberFormat="1" applyFont="1" applyAlignment="1" applyProtection="1">
      <alignment horizontal="center"/>
      <protection locked="0"/>
    </xf>
    <xf numFmtId="39" fontId="211" fillId="0" borderId="9" xfId="10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center"/>
      <protection locked="0"/>
    </xf>
    <xf numFmtId="39" fontId="211" fillId="0" borderId="0" xfId="10" applyFont="1" applyBorder="1" applyAlignment="1" applyProtection="1">
      <alignment horizontal="fill"/>
      <protection locked="0"/>
    </xf>
    <xf numFmtId="39" fontId="211" fillId="0" borderId="0" xfId="10" applyFont="1" applyBorder="1" applyAlignment="1" applyProtection="1">
      <alignment horizontal="left"/>
      <protection locked="0"/>
    </xf>
    <xf numFmtId="40" fontId="211" fillId="0" borderId="0" xfId="10" applyNumberFormat="1" applyFont="1" applyBorder="1" applyAlignment="1" applyProtection="1">
      <alignment horizontal="left"/>
      <protection locked="0"/>
    </xf>
    <xf numFmtId="39" fontId="211" fillId="0" borderId="0" xfId="10" applyNumberFormat="1" applyFont="1" applyFill="1" applyBorder="1" applyAlignment="1" applyProtection="1"/>
    <xf numFmtId="40" fontId="211" fillId="0" borderId="0" xfId="10" applyNumberFormat="1" applyFont="1" applyProtection="1"/>
    <xf numFmtId="167" fontId="211" fillId="0" borderId="0" xfId="10" applyNumberFormat="1" applyFont="1" applyFill="1" applyAlignment="1" applyProtection="1">
      <alignment horizontal="left"/>
      <protection locked="0"/>
    </xf>
    <xf numFmtId="39" fontId="211" fillId="0" borderId="0" xfId="10" applyFont="1" applyFill="1" applyBorder="1" applyAlignment="1" applyProtection="1">
      <alignment horizontal="fill"/>
      <protection locked="0"/>
    </xf>
    <xf numFmtId="49" fontId="211" fillId="0" borderId="0" xfId="10" applyNumberFormat="1" applyFont="1" applyFill="1" applyAlignment="1" applyProtection="1">
      <alignment horizontal="center"/>
      <protection locked="0"/>
    </xf>
    <xf numFmtId="1" fontId="211" fillId="0" borderId="0" xfId="10" applyNumberFormat="1" applyFont="1" applyFill="1" applyAlignment="1" applyProtection="1">
      <alignment horizontal="center"/>
      <protection locked="0"/>
    </xf>
    <xf numFmtId="40" fontId="211" fillId="0" borderId="0" xfId="10" applyNumberFormat="1" applyFont="1" applyFill="1" applyBorder="1" applyAlignment="1" applyProtection="1">
      <alignment horizontal="left"/>
      <protection locked="0"/>
    </xf>
    <xf numFmtId="40" fontId="211" fillId="0" borderId="0" xfId="10" applyNumberFormat="1" applyFont="1" applyFill="1" applyProtection="1"/>
    <xf numFmtId="39" fontId="211" fillId="0" borderId="0" xfId="10" applyFont="1" applyFill="1" applyProtection="1">
      <protection locked="0"/>
    </xf>
    <xf numFmtId="39" fontId="211" fillId="0" borderId="0" xfId="10" applyFont="1" applyFill="1" applyBorder="1" applyAlignment="1" applyProtection="1">
      <alignment horizontal="left"/>
      <protection locked="0"/>
    </xf>
    <xf numFmtId="175" fontId="211" fillId="0" borderId="0" xfId="10" applyNumberFormat="1" applyFont="1" applyAlignment="1" applyProtection="1">
      <alignment horizontal="left"/>
      <protection locked="0"/>
    </xf>
    <xf numFmtId="175" fontId="211" fillId="0" borderId="9" xfId="10" applyNumberFormat="1" applyFont="1" applyBorder="1" applyAlignment="1" applyProtection="1">
      <protection locked="0"/>
    </xf>
    <xf numFmtId="175" fontId="211" fillId="0" borderId="9" xfId="10" applyNumberFormat="1" applyFont="1" applyBorder="1" applyAlignment="1" applyProtection="1">
      <alignment horizontal="left"/>
      <protection locked="0"/>
    </xf>
    <xf numFmtId="40" fontId="211" fillId="0" borderId="9" xfId="10" applyNumberFormat="1" applyFont="1" applyBorder="1" applyAlignment="1" applyProtection="1">
      <alignment horizontal="right"/>
      <protection locked="0"/>
    </xf>
    <xf numFmtId="40" fontId="211" fillId="0" borderId="9" xfId="10" applyNumberFormat="1" applyFont="1" applyBorder="1" applyProtection="1"/>
    <xf numFmtId="175" fontId="211" fillId="0" borderId="0" xfId="10" applyNumberFormat="1" applyFont="1" applyProtection="1">
      <protection locked="0"/>
    </xf>
    <xf numFmtId="40" fontId="211" fillId="0" borderId="0" xfId="10" applyNumberFormat="1" applyFont="1" applyBorder="1" applyProtection="1">
      <protection locked="0"/>
    </xf>
    <xf numFmtId="39" fontId="200" fillId="0" borderId="0" xfId="10" applyFont="1"/>
    <xf numFmtId="40" fontId="211" fillId="0" borderId="0" xfId="10" applyNumberFormat="1" applyFont="1" applyFill="1" applyBorder="1" applyProtection="1"/>
    <xf numFmtId="40" fontId="211" fillId="0" borderId="9" xfId="10" applyNumberFormat="1" applyFont="1" applyBorder="1" applyAlignment="1" applyProtection="1">
      <alignment horizontal="fill"/>
    </xf>
    <xf numFmtId="40" fontId="211" fillId="0" borderId="0" xfId="10" applyNumberFormat="1" applyFont="1" applyBorder="1" applyAlignment="1" applyProtection="1">
      <alignment horizontal="fill"/>
    </xf>
    <xf numFmtId="40" fontId="211" fillId="0" borderId="0" xfId="10" applyNumberFormat="1" applyFont="1" applyAlignment="1" applyProtection="1">
      <alignment horizontal="fill"/>
      <protection locked="0"/>
    </xf>
    <xf numFmtId="164" fontId="200" fillId="0" borderId="0" xfId="7" applyFont="1"/>
    <xf numFmtId="165" fontId="200" fillId="0" borderId="0" xfId="6" applyFont="1" applyFill="1" applyBorder="1" applyAlignment="1">
      <alignment horizontal="center"/>
    </xf>
    <xf numFmtId="165" fontId="200" fillId="0" borderId="0" xfId="6" applyFont="1" applyFill="1" applyBorder="1"/>
    <xf numFmtId="165" fontId="199" fillId="11" borderId="0" xfId="6" applyFont="1" applyFill="1" applyBorder="1" applyAlignment="1" applyProtection="1"/>
    <xf numFmtId="40" fontId="211" fillId="11" borderId="9" xfId="10" applyNumberFormat="1" applyFont="1" applyFill="1" applyBorder="1" applyAlignment="1" applyProtection="1">
      <alignment horizontal="center"/>
      <protection locked="0"/>
    </xf>
    <xf numFmtId="14" fontId="211" fillId="0" borderId="0" xfId="10" applyNumberFormat="1" applyFont="1" applyBorder="1" applyAlignment="1" applyProtection="1">
      <alignment horizontal="fill"/>
      <protection locked="0"/>
    </xf>
    <xf numFmtId="2" fontId="199" fillId="9" borderId="0" xfId="6" applyNumberFormat="1" applyFont="1" applyFill="1" applyBorder="1" applyAlignment="1" applyProtection="1"/>
    <xf numFmtId="40" fontId="212" fillId="0" borderId="0" xfId="10" applyNumberFormat="1" applyFont="1" applyProtection="1">
      <protection locked="0"/>
    </xf>
    <xf numFmtId="40" fontId="212" fillId="0" borderId="0" xfId="10" applyNumberFormat="1" applyFont="1" applyAlignment="1" applyProtection="1">
      <alignment horizontal="center"/>
      <protection locked="0"/>
    </xf>
    <xf numFmtId="14" fontId="211" fillId="0" borderId="0" xfId="10" applyNumberFormat="1" applyFont="1" applyAlignment="1" applyProtection="1">
      <alignment horizontal="left"/>
      <protection locked="0"/>
    </xf>
    <xf numFmtId="165" fontId="211" fillId="0" borderId="0" xfId="6" applyFont="1" applyFill="1" applyBorder="1" applyProtection="1"/>
    <xf numFmtId="39" fontId="211" fillId="0" borderId="0" xfId="10" applyFont="1" applyFill="1" applyAlignment="1" applyProtection="1">
      <alignment horizontal="left"/>
      <protection locked="0"/>
    </xf>
    <xf numFmtId="1" fontId="212" fillId="0" borderId="0" xfId="6" applyNumberFormat="1" applyFont="1" applyAlignment="1" applyProtection="1">
      <alignment horizontal="center"/>
      <protection locked="0"/>
    </xf>
    <xf numFmtId="0" fontId="157" fillId="0" borderId="0" xfId="433" applyFont="1"/>
    <xf numFmtId="14" fontId="157" fillId="0" borderId="0" xfId="436" quotePrefix="1" applyNumberFormat="1" applyFont="1" applyBorder="1" applyAlignment="1">
      <alignment horizontal="right"/>
    </xf>
    <xf numFmtId="49" fontId="187" fillId="9" borderId="0" xfId="186" applyNumberFormat="1" applyFont="1" applyFill="1" applyBorder="1" applyAlignment="1">
      <alignment horizontal="left"/>
    </xf>
    <xf numFmtId="0" fontId="187" fillId="9" borderId="0" xfId="186" applyFont="1" applyFill="1" applyBorder="1" applyAlignment="1">
      <alignment horizontal="left"/>
    </xf>
    <xf numFmtId="0" fontId="187" fillId="9" borderId="0" xfId="186" applyFont="1" applyFill="1" applyBorder="1"/>
    <xf numFmtId="49" fontId="187" fillId="9" borderId="0" xfId="186" applyNumberFormat="1" applyFont="1" applyFill="1" applyBorder="1" applyAlignment="1">
      <alignment horizontal="center"/>
    </xf>
    <xf numFmtId="39" fontId="187" fillId="9" borderId="0" xfId="10" applyFont="1" applyFill="1" applyProtection="1">
      <protection locked="0"/>
    </xf>
    <xf numFmtId="39" fontId="192" fillId="9" borderId="0" xfId="10" applyFont="1" applyFill="1" applyAlignment="1" applyProtection="1">
      <alignment horizontal="left"/>
      <protection locked="0"/>
    </xf>
    <xf numFmtId="39" fontId="194" fillId="9" borderId="0" xfId="10" quotePrefix="1" applyFont="1" applyFill="1" applyAlignment="1" applyProtection="1">
      <alignment horizontal="left"/>
      <protection locked="0"/>
    </xf>
    <xf numFmtId="39" fontId="194" fillId="9" borderId="0" xfId="10" applyFont="1" applyFill="1" applyAlignment="1" applyProtection="1">
      <alignment horizontal="left"/>
      <protection locked="0"/>
    </xf>
    <xf numFmtId="40" fontId="194" fillId="9" borderId="0" xfId="10" applyNumberFormat="1" applyFont="1" applyFill="1" applyAlignment="1" applyProtection="1">
      <alignment horizontal="left"/>
      <protection locked="0"/>
    </xf>
    <xf numFmtId="40" fontId="194" fillId="9" borderId="0" xfId="10" applyNumberFormat="1" applyFont="1" applyFill="1" applyProtection="1">
      <protection locked="0"/>
    </xf>
    <xf numFmtId="39" fontId="194" fillId="9" borderId="0" xfId="10" applyFont="1" applyFill="1" applyProtection="1">
      <protection locked="0"/>
    </xf>
    <xf numFmtId="39" fontId="195" fillId="9" borderId="0" xfId="10" applyFont="1" applyFill="1" applyAlignment="1" applyProtection="1">
      <alignment horizontal="left"/>
      <protection locked="0"/>
    </xf>
    <xf numFmtId="171" fontId="195" fillId="9" borderId="0" xfId="10" applyNumberFormat="1" applyFont="1" applyFill="1" applyAlignment="1" applyProtection="1">
      <alignment horizontal="left"/>
      <protection locked="0"/>
    </xf>
    <xf numFmtId="39" fontId="187" fillId="9" borderId="0" xfId="10" applyFont="1" applyFill="1" applyAlignment="1" applyProtection="1">
      <alignment horizontal="left"/>
      <protection locked="0"/>
    </xf>
    <xf numFmtId="0" fontId="195" fillId="9" borderId="0" xfId="10" applyNumberFormat="1" applyFont="1" applyFill="1" applyAlignment="1" applyProtection="1">
      <alignment horizontal="center"/>
      <protection locked="0"/>
    </xf>
    <xf numFmtId="40" fontId="187" fillId="9" borderId="0" xfId="10" applyNumberFormat="1" applyFont="1" applyFill="1" applyProtection="1">
      <protection locked="0"/>
    </xf>
    <xf numFmtId="15" fontId="187" fillId="9" borderId="0" xfId="186" quotePrefix="1" applyNumberFormat="1" applyFont="1" applyFill="1" applyBorder="1" applyAlignment="1" applyProtection="1">
      <alignment horizontal="left"/>
    </xf>
    <xf numFmtId="49" fontId="187" fillId="9" borderId="0" xfId="186" applyNumberFormat="1" applyFont="1" applyFill="1" applyBorder="1" applyAlignment="1">
      <alignment horizontal="right"/>
    </xf>
    <xf numFmtId="168" fontId="187" fillId="9" borderId="0" xfId="186" applyNumberFormat="1" applyFont="1" applyFill="1" applyBorder="1"/>
    <xf numFmtId="1" fontId="187" fillId="9" borderId="0" xfId="186" applyNumberFormat="1" applyFont="1" applyFill="1" applyBorder="1" applyAlignment="1" applyProtection="1">
      <alignment horizontal="right"/>
    </xf>
    <xf numFmtId="1" fontId="187" fillId="9" borderId="0" xfId="186" applyNumberFormat="1" applyFont="1" applyFill="1" applyBorder="1" applyAlignment="1" applyProtection="1">
      <alignment horizontal="center"/>
    </xf>
    <xf numFmtId="4" fontId="187" fillId="9" borderId="0" xfId="186" applyNumberFormat="1" applyFont="1" applyFill="1" applyBorder="1" applyAlignment="1" applyProtection="1">
      <alignment horizontal="right"/>
    </xf>
    <xf numFmtId="39" fontId="187" fillId="9" borderId="0" xfId="186" applyNumberFormat="1" applyFont="1" applyFill="1" applyBorder="1" applyProtection="1"/>
    <xf numFmtId="40" fontId="187" fillId="9" borderId="0" xfId="186" applyNumberFormat="1" applyFont="1" applyFill="1" applyBorder="1" applyProtection="1"/>
    <xf numFmtId="4" fontId="187" fillId="9" borderId="0" xfId="186" applyNumberFormat="1" applyFont="1" applyFill="1" applyBorder="1" applyAlignment="1" applyProtection="1">
      <alignment horizontal="center"/>
    </xf>
    <xf numFmtId="0" fontId="196" fillId="9" borderId="0" xfId="186" applyFont="1" applyFill="1" applyBorder="1" applyAlignment="1">
      <alignment horizontal="left"/>
    </xf>
    <xf numFmtId="0" fontId="188" fillId="9" borderId="0" xfId="186" quotePrefix="1" applyFont="1" applyFill="1" applyBorder="1" applyAlignment="1">
      <alignment horizontal="right"/>
    </xf>
    <xf numFmtId="169" fontId="187" fillId="9" borderId="0" xfId="186" applyNumberFormat="1" applyFont="1" applyFill="1" applyBorder="1"/>
    <xf numFmtId="49" fontId="187" fillId="9" borderId="0" xfId="186" applyNumberFormat="1" applyFont="1" applyFill="1" applyBorder="1" applyAlignment="1" applyProtection="1">
      <alignment horizontal="right"/>
    </xf>
    <xf numFmtId="168" fontId="187" fillId="9" borderId="0" xfId="186" applyNumberFormat="1" applyFont="1" applyFill="1" applyBorder="1" applyProtection="1"/>
    <xf numFmtId="9" fontId="187" fillId="9" borderId="0" xfId="12" applyFont="1" applyFill="1" applyBorder="1" applyProtection="1"/>
    <xf numFmtId="9" fontId="187" fillId="9" borderId="0" xfId="12" applyFont="1" applyFill="1" applyBorder="1" applyAlignment="1" applyProtection="1">
      <alignment horizontal="center"/>
    </xf>
    <xf numFmtId="169" fontId="198" fillId="9" borderId="5" xfId="186" applyNumberFormat="1" applyFont="1" applyFill="1" applyBorder="1" applyAlignment="1">
      <alignment horizontal="center"/>
    </xf>
    <xf numFmtId="49" fontId="198" fillId="9" borderId="5" xfId="186" applyNumberFormat="1" applyFont="1" applyFill="1" applyBorder="1" applyAlignment="1">
      <alignment horizontal="left"/>
    </xf>
    <xf numFmtId="168" fontId="198" fillId="9" borderId="5" xfId="186" applyNumberFormat="1" applyFont="1" applyFill="1" applyBorder="1" applyAlignment="1">
      <alignment horizontal="center"/>
    </xf>
    <xf numFmtId="1" fontId="198" fillId="9" borderId="5" xfId="186" quotePrefix="1" applyNumberFormat="1" applyFont="1" applyFill="1" applyBorder="1" applyAlignment="1" applyProtection="1">
      <alignment horizontal="center"/>
    </xf>
    <xf numFmtId="0" fontId="198" fillId="9" borderId="5" xfId="186" quotePrefix="1" applyFont="1" applyFill="1" applyBorder="1" applyAlignment="1">
      <alignment horizontal="left"/>
    </xf>
    <xf numFmtId="4" fontId="197" fillId="9" borderId="2" xfId="186" applyNumberFormat="1" applyFont="1" applyFill="1" applyBorder="1" applyAlignment="1" applyProtection="1">
      <alignment horizontal="centerContinuous"/>
    </xf>
    <xf numFmtId="39" fontId="197" fillId="9" borderId="4" xfId="186" applyNumberFormat="1" applyFont="1" applyFill="1" applyBorder="1" applyAlignment="1" applyProtection="1">
      <alignment horizontal="centerContinuous"/>
    </xf>
    <xf numFmtId="40" fontId="197" fillId="9" borderId="2" xfId="186" applyNumberFormat="1" applyFont="1" applyFill="1" applyBorder="1" applyAlignment="1" applyProtection="1">
      <alignment horizontal="centerContinuous"/>
    </xf>
    <xf numFmtId="39" fontId="197" fillId="9" borderId="3" xfId="186" applyNumberFormat="1" applyFont="1" applyFill="1" applyBorder="1" applyAlignment="1" applyProtection="1">
      <alignment horizontal="centerContinuous"/>
    </xf>
    <xf numFmtId="40" fontId="197" fillId="9" borderId="4" xfId="186" applyNumberFormat="1" applyFont="1" applyFill="1" applyBorder="1" applyAlignment="1">
      <alignment horizontal="centerContinuous"/>
    </xf>
    <xf numFmtId="39" fontId="198" fillId="9" borderId="14" xfId="186" applyNumberFormat="1" applyFont="1" applyFill="1" applyBorder="1" applyAlignment="1" applyProtection="1">
      <alignment horizontal="center"/>
    </xf>
    <xf numFmtId="39" fontId="198" fillId="9" borderId="14" xfId="186" quotePrefix="1" applyNumberFormat="1" applyFont="1" applyFill="1" applyBorder="1" applyAlignment="1" applyProtection="1">
      <alignment horizontal="center"/>
    </xf>
    <xf numFmtId="4" fontId="197" fillId="9" borderId="5" xfId="186" applyNumberFormat="1" applyFont="1" applyFill="1" applyBorder="1" applyAlignment="1" applyProtection="1">
      <alignment horizontal="center"/>
    </xf>
    <xf numFmtId="169" fontId="198" fillId="9" borderId="6" xfId="186" applyNumberFormat="1" applyFont="1" applyFill="1" applyBorder="1" applyAlignment="1">
      <alignment horizontal="center"/>
    </xf>
    <xf numFmtId="15" fontId="198" fillId="9" borderId="6" xfId="186" quotePrefix="1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>
      <alignment horizontal="center"/>
    </xf>
    <xf numFmtId="15" fontId="198" fillId="9" borderId="6" xfId="186" applyNumberFormat="1" applyFont="1" applyFill="1" applyBorder="1" applyAlignment="1" applyProtection="1">
      <alignment horizontal="left"/>
    </xf>
    <xf numFmtId="4" fontId="197" fillId="9" borderId="1" xfId="186" applyNumberFormat="1" applyFont="1" applyFill="1" applyBorder="1" applyAlignment="1" applyProtection="1">
      <alignment horizontal="center"/>
    </xf>
    <xf numFmtId="39" fontId="197" fillId="9" borderId="1" xfId="186" quotePrefix="1" applyNumberFormat="1" applyFont="1" applyFill="1" applyBorder="1" applyAlignment="1" applyProtection="1">
      <alignment horizontal="center"/>
    </xf>
    <xf numFmtId="39" fontId="197" fillId="9" borderId="6" xfId="186" applyNumberFormat="1" applyFont="1" applyFill="1" applyBorder="1" applyAlignment="1" applyProtection="1">
      <alignment horizontal="center"/>
    </xf>
    <xf numFmtId="39" fontId="198" fillId="9" borderId="15" xfId="186" applyNumberFormat="1" applyFont="1" applyFill="1" applyBorder="1" applyAlignment="1" applyProtection="1">
      <alignment horizontal="center"/>
    </xf>
    <xf numFmtId="4" fontId="197" fillId="9" borderId="6" xfId="186" applyNumberFormat="1" applyFont="1" applyFill="1" applyBorder="1" applyAlignment="1" applyProtection="1">
      <alignment horizontal="center"/>
    </xf>
    <xf numFmtId="169" fontId="199" fillId="9" borderId="0" xfId="186" applyNumberFormat="1" applyFont="1" applyFill="1" applyBorder="1" applyAlignment="1">
      <alignment horizontal="center"/>
    </xf>
    <xf numFmtId="0" fontId="199" fillId="9" borderId="0" xfId="186" applyFont="1" applyFill="1" applyBorder="1" applyAlignment="1">
      <alignment horizontal="center"/>
    </xf>
    <xf numFmtId="167" fontId="199" fillId="9" borderId="0" xfId="186" applyNumberFormat="1" applyFont="1" applyFill="1" applyBorder="1" applyAlignment="1" applyProtection="1"/>
    <xf numFmtId="49" fontId="199" fillId="9" borderId="0" xfId="186" applyNumberFormat="1" applyFont="1" applyFill="1" applyBorder="1" applyAlignment="1">
      <alignment horizontal="center"/>
    </xf>
    <xf numFmtId="49" fontId="199" fillId="9" borderId="0" xfId="186" applyNumberFormat="1" applyFont="1" applyFill="1" applyBorder="1" applyAlignment="1">
      <alignment horizontal="left"/>
    </xf>
    <xf numFmtId="0" fontId="199" fillId="9" borderId="0" xfId="186" applyFont="1" applyFill="1" applyBorder="1" applyAlignment="1">
      <alignment horizontal="left" vertical="center"/>
    </xf>
    <xf numFmtId="165" fontId="199" fillId="9" borderId="0" xfId="6" applyFont="1" applyFill="1" applyBorder="1" applyAlignment="1" applyProtection="1"/>
    <xf numFmtId="165" fontId="199" fillId="9" borderId="0" xfId="6" applyFont="1" applyFill="1" applyBorder="1" applyAlignment="1" applyProtection="1">
      <alignment horizontal="right"/>
    </xf>
    <xf numFmtId="165" fontId="199" fillId="0" borderId="0" xfId="6" applyFont="1" applyFill="1" applyBorder="1" applyAlignment="1" applyProtection="1"/>
    <xf numFmtId="169" fontId="187" fillId="9" borderId="11" xfId="186" applyNumberFormat="1" applyFont="1" applyFill="1" applyBorder="1"/>
    <xf numFmtId="49" fontId="187" fillId="9" borderId="11" xfId="186" applyNumberFormat="1" applyFont="1" applyFill="1" applyBorder="1" applyAlignment="1" applyProtection="1">
      <alignment horizontal="right"/>
    </xf>
    <xf numFmtId="168" fontId="188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 applyProtection="1">
      <alignment horizontal="center"/>
    </xf>
    <xf numFmtId="49" fontId="187" fillId="9" borderId="11" xfId="186" applyNumberFormat="1" applyFont="1" applyFill="1" applyBorder="1" applyAlignment="1">
      <alignment horizontal="left"/>
    </xf>
    <xf numFmtId="0" fontId="187" fillId="9" borderId="11" xfId="186" applyFont="1" applyFill="1" applyBorder="1" applyAlignment="1">
      <alignment horizontal="left"/>
    </xf>
    <xf numFmtId="40" fontId="187" fillId="9" borderId="11" xfId="186" applyNumberFormat="1" applyFont="1" applyFill="1" applyBorder="1" applyAlignment="1" applyProtection="1">
      <alignment horizontal="right"/>
    </xf>
    <xf numFmtId="40" fontId="187" fillId="9" borderId="11" xfId="186" applyNumberFormat="1" applyFont="1" applyFill="1" applyBorder="1" applyProtection="1"/>
    <xf numFmtId="0" fontId="187" fillId="9" borderId="11" xfId="186" applyFont="1" applyFill="1" applyBorder="1"/>
    <xf numFmtId="40" fontId="187" fillId="9" borderId="11" xfId="186" applyNumberFormat="1" applyFont="1" applyFill="1" applyBorder="1" applyAlignment="1" applyProtection="1"/>
    <xf numFmtId="168" fontId="187" fillId="9" borderId="0" xfId="186" applyNumberFormat="1" applyFont="1" applyFill="1" applyBorder="1" applyAlignment="1" applyProtection="1">
      <alignment horizontal="center"/>
    </xf>
    <xf numFmtId="49" fontId="187" fillId="9" borderId="0" xfId="186" applyNumberFormat="1" applyFont="1" applyFill="1" applyBorder="1" applyAlignment="1" applyProtection="1">
      <alignment horizontal="center"/>
    </xf>
    <xf numFmtId="40" fontId="187" fillId="9" borderId="0" xfId="186" applyNumberFormat="1" applyFont="1" applyFill="1" applyBorder="1" applyAlignment="1" applyProtection="1">
      <alignment horizontal="right"/>
    </xf>
    <xf numFmtId="40" fontId="187" fillId="9" borderId="0" xfId="186" applyNumberFormat="1" applyFont="1" applyFill="1" applyBorder="1"/>
    <xf numFmtId="40" fontId="187" fillId="9" borderId="0" xfId="186" applyNumberFormat="1" applyFont="1" applyFill="1" applyBorder="1" applyAlignment="1" applyProtection="1"/>
    <xf numFmtId="40" fontId="187" fillId="9" borderId="0" xfId="186" applyNumberFormat="1" applyFont="1" applyFill="1" applyBorder="1" applyAlignment="1">
      <alignment horizontal="center"/>
    </xf>
    <xf numFmtId="49" fontId="187" fillId="9" borderId="11" xfId="186" applyNumberFormat="1" applyFont="1" applyFill="1" applyBorder="1" applyAlignment="1">
      <alignment horizontal="right"/>
    </xf>
    <xf numFmtId="168" fontId="187" fillId="9" borderId="11" xfId="186" applyNumberFormat="1" applyFont="1" applyFill="1" applyBorder="1"/>
    <xf numFmtId="49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 applyAlignment="1">
      <alignment horizontal="center"/>
    </xf>
    <xf numFmtId="40" fontId="187" fillId="9" borderId="11" xfId="186" applyNumberFormat="1" applyFont="1" applyFill="1" applyBorder="1"/>
    <xf numFmtId="165" fontId="188" fillId="9" borderId="11" xfId="6" applyFont="1" applyFill="1" applyBorder="1"/>
    <xf numFmtId="49" fontId="196" fillId="9" borderId="0" xfId="186" applyNumberFormat="1" applyFont="1" applyFill="1" applyBorder="1" applyAlignment="1"/>
    <xf numFmtId="49" fontId="196" fillId="9" borderId="0" xfId="186" applyNumberFormat="1" applyFont="1" applyFill="1" applyBorder="1" applyAlignment="1">
      <alignment horizontal="center" vertical="center"/>
    </xf>
    <xf numFmtId="49" fontId="196" fillId="9" borderId="0" xfId="186" applyNumberFormat="1" applyFont="1" applyFill="1" applyBorder="1" applyAlignment="1">
      <alignment horizontal="center"/>
    </xf>
    <xf numFmtId="165" fontId="199" fillId="11" borderId="0" xfId="6" applyFont="1" applyFill="1" applyBorder="1" applyAlignment="1" applyProtection="1"/>
    <xf numFmtId="1" fontId="188" fillId="9" borderId="0" xfId="186" applyNumberFormat="1" applyFont="1" applyFill="1" applyBorder="1" applyAlignment="1" applyProtection="1">
      <alignment horizontal="center"/>
    </xf>
    <xf numFmtId="167" fontId="199" fillId="9" borderId="0" xfId="186" applyNumberFormat="1" applyFont="1" applyFill="1" applyBorder="1" applyAlignment="1" applyProtection="1">
      <alignment horizontal="right"/>
    </xf>
    <xf numFmtId="4" fontId="197" fillId="11" borderId="1" xfId="186" applyNumberFormat="1" applyFont="1" applyFill="1" applyBorder="1" applyAlignment="1" applyProtection="1">
      <alignment horizontal="center"/>
    </xf>
    <xf numFmtId="40" fontId="197" fillId="11" borderId="14" xfId="186" applyNumberFormat="1" applyFont="1" applyFill="1" applyBorder="1" applyAlignment="1" applyProtection="1">
      <alignment horizontal="center"/>
    </xf>
    <xf numFmtId="40" fontId="197" fillId="11" borderId="15" xfId="186" applyNumberFormat="1" applyFont="1" applyFill="1" applyBorder="1" applyAlignment="1" applyProtection="1">
      <alignment horizontal="center"/>
    </xf>
    <xf numFmtId="2" fontId="199" fillId="9" borderId="0" xfId="6" applyNumberFormat="1" applyFont="1" applyFill="1" applyBorder="1" applyAlignment="1" applyProtection="1"/>
    <xf numFmtId="0" fontId="157" fillId="0" borderId="0" xfId="433" applyFont="1"/>
    <xf numFmtId="49" fontId="198" fillId="9" borderId="7" xfId="186" quotePrefix="1" applyNumberFormat="1" applyFont="1" applyFill="1" applyBorder="1" applyAlignment="1" applyProtection="1">
      <alignment horizontal="left"/>
    </xf>
    <xf numFmtId="168" fontId="198" fillId="9" borderId="7" xfId="186" quotePrefix="1" applyNumberFormat="1" applyFont="1" applyFill="1" applyBorder="1" applyAlignment="1">
      <alignment horizontal="center"/>
    </xf>
    <xf numFmtId="49" fontId="196" fillId="9" borderId="0" xfId="0" applyNumberFormat="1" applyFont="1" applyFill="1" applyBorder="1" applyAlignment="1">
      <alignment horizontal="center" vertical="center" wrapText="1"/>
    </xf>
    <xf numFmtId="0" fontId="157" fillId="0" borderId="0" xfId="105" quotePrefix="1" applyFont="1"/>
    <xf numFmtId="14" fontId="157" fillId="0" borderId="0" xfId="64" quotePrefix="1" applyNumberFormat="1" applyFont="1"/>
    <xf numFmtId="14" fontId="157" fillId="0" borderId="0" xfId="103" quotePrefix="1" applyNumberFormat="1" applyFont="1"/>
    <xf numFmtId="0" fontId="157" fillId="0" borderId="0" xfId="108" quotePrefix="1" applyFont="1"/>
    <xf numFmtId="43" fontId="200" fillId="0" borderId="0" xfId="64" applyNumberFormat="1" applyFont="1"/>
    <xf numFmtId="43" fontId="157" fillId="0" borderId="0" xfId="0" applyNumberFormat="1" applyFont="1"/>
    <xf numFmtId="43" fontId="157" fillId="0" borderId="0" xfId="1" applyNumberFormat="1" applyFont="1" applyFill="1"/>
    <xf numFmtId="165" fontId="203" fillId="8" borderId="0" xfId="6" applyFont="1" applyFill="1" applyProtection="1"/>
    <xf numFmtId="165" fontId="155" fillId="0" borderId="9" xfId="6" applyFont="1" applyFill="1" applyBorder="1"/>
    <xf numFmtId="0" fontId="154" fillId="0" borderId="0" xfId="1" applyFont="1" applyFill="1" applyBorder="1"/>
    <xf numFmtId="49" fontId="198" fillId="9" borderId="1" xfId="0" applyNumberFormat="1" applyFont="1" applyFill="1" applyBorder="1" applyAlignment="1">
      <alignment horizontal="left"/>
    </xf>
    <xf numFmtId="168" fontId="198" fillId="9" borderId="1" xfId="0" applyNumberFormat="1" applyFont="1" applyFill="1" applyBorder="1" applyAlignment="1">
      <alignment horizontal="center"/>
    </xf>
    <xf numFmtId="1" fontId="198" fillId="9" borderId="1" xfId="0" quotePrefix="1" applyNumberFormat="1" applyFont="1" applyFill="1" applyBorder="1" applyAlignment="1" applyProtection="1">
      <alignment horizontal="center"/>
    </xf>
    <xf numFmtId="0" fontId="198" fillId="9" borderId="1" xfId="0" quotePrefix="1" applyFont="1" applyFill="1" applyBorder="1" applyAlignment="1">
      <alignment horizontal="left"/>
    </xf>
    <xf numFmtId="4" fontId="197" fillId="9" borderId="1" xfId="0" applyNumberFormat="1" applyFont="1" applyFill="1" applyBorder="1" applyAlignment="1" applyProtection="1">
      <alignment horizontal="centerContinuous"/>
    </xf>
    <xf numFmtId="39" fontId="197" fillId="9" borderId="1" xfId="0" applyNumberFormat="1" applyFont="1" applyFill="1" applyBorder="1" applyAlignment="1" applyProtection="1">
      <alignment horizontal="centerContinuous"/>
    </xf>
    <xf numFmtId="40" fontId="197" fillId="9" borderId="1" xfId="0" applyNumberFormat="1" applyFont="1" applyFill="1" applyBorder="1" applyAlignment="1" applyProtection="1">
      <alignment horizontal="centerContinuous"/>
    </xf>
    <xf numFmtId="40" fontId="197" fillId="9" borderId="1" xfId="0" applyNumberFormat="1" applyFont="1" applyFill="1" applyBorder="1" applyAlignment="1">
      <alignment horizontal="centerContinuous"/>
    </xf>
    <xf numFmtId="40" fontId="197" fillId="11" borderId="1" xfId="0" applyNumberFormat="1" applyFont="1" applyFill="1" applyBorder="1" applyAlignment="1" applyProtection="1">
      <alignment horizontal="center"/>
    </xf>
    <xf numFmtId="39" fontId="198" fillId="9" borderId="1" xfId="0" applyNumberFormat="1" applyFont="1" applyFill="1" applyBorder="1" applyAlignment="1" applyProtection="1">
      <alignment horizontal="center"/>
    </xf>
    <xf numFmtId="49" fontId="198" fillId="9" borderId="1" xfId="0" quotePrefix="1" applyNumberFormat="1" applyFont="1" applyFill="1" applyBorder="1" applyAlignment="1" applyProtection="1">
      <alignment horizontal="left"/>
    </xf>
    <xf numFmtId="168" fontId="198" fillId="9" borderId="1" xfId="0" quotePrefix="1" applyNumberFormat="1" applyFont="1" applyFill="1" applyBorder="1" applyAlignment="1">
      <alignment horizontal="center"/>
    </xf>
    <xf numFmtId="15" fontId="198" fillId="9" borderId="1" xfId="0" quotePrefix="1" applyNumberFormat="1" applyFont="1" applyFill="1" applyBorder="1" applyAlignment="1">
      <alignment horizontal="center"/>
    </xf>
    <xf numFmtId="15" fontId="198" fillId="9" borderId="1" xfId="0" applyNumberFormat="1" applyFont="1" applyFill="1" applyBorder="1" applyAlignment="1">
      <alignment horizontal="center"/>
    </xf>
    <xf numFmtId="15" fontId="198" fillId="9" borderId="1" xfId="0" applyNumberFormat="1" applyFont="1" applyFill="1" applyBorder="1" applyAlignment="1" applyProtection="1">
      <alignment horizontal="left"/>
    </xf>
    <xf numFmtId="39" fontId="197" fillId="9" borderId="1" xfId="0" applyNumberFormat="1" applyFont="1" applyFill="1" applyBorder="1" applyAlignment="1" applyProtection="1">
      <alignment horizontal="center"/>
    </xf>
    <xf numFmtId="0" fontId="157" fillId="0" borderId="0" xfId="109" quotePrefix="1" applyFont="1"/>
    <xf numFmtId="49" fontId="199" fillId="19" borderId="0" xfId="0" applyNumberFormat="1" applyFont="1" applyFill="1" applyBorder="1" applyAlignment="1">
      <alignment horizontal="center"/>
    </xf>
    <xf numFmtId="14" fontId="157" fillId="0" borderId="0" xfId="105" quotePrefix="1" applyNumberFormat="1" applyFont="1"/>
    <xf numFmtId="0" fontId="157" fillId="0" borderId="0" xfId="113" quotePrefix="1" applyFont="1"/>
    <xf numFmtId="0" fontId="157" fillId="0" borderId="0" xfId="114" quotePrefix="1" applyFont="1"/>
    <xf numFmtId="49" fontId="199" fillId="0" borderId="0" xfId="0" applyNumberFormat="1" applyFont="1" applyFill="1" applyBorder="1" applyAlignment="1">
      <alignment horizontal="center"/>
    </xf>
    <xf numFmtId="49" fontId="199" fillId="0" borderId="0" xfId="0" applyNumberFormat="1" applyFont="1" applyFill="1" applyBorder="1" applyAlignment="1">
      <alignment horizontal="left"/>
    </xf>
    <xf numFmtId="167" fontId="199" fillId="0" borderId="0" xfId="0" applyNumberFormat="1" applyFont="1" applyFill="1" applyBorder="1" applyAlignment="1" applyProtection="1">
      <alignment horizontal="right"/>
    </xf>
    <xf numFmtId="14" fontId="157" fillId="0" borderId="0" xfId="109" quotePrefix="1" applyNumberFormat="1" applyFont="1" applyFill="1"/>
    <xf numFmtId="14" fontId="157" fillId="0" borderId="0" xfId="64" quotePrefix="1" applyNumberFormat="1" applyFont="1" applyFill="1"/>
    <xf numFmtId="49" fontId="196" fillId="0" borderId="0" xfId="0" applyNumberFormat="1" applyFont="1" applyFill="1" applyBorder="1" applyAlignment="1">
      <alignment horizontal="center"/>
    </xf>
    <xf numFmtId="14" fontId="157" fillId="0" borderId="0" xfId="105" quotePrefix="1" applyNumberFormat="1" applyFont="1" applyFill="1"/>
    <xf numFmtId="14" fontId="157" fillId="0" borderId="0" xfId="108" quotePrefix="1" applyNumberFormat="1" applyFont="1"/>
    <xf numFmtId="14" fontId="204" fillId="0" borderId="0" xfId="0" applyNumberFormat="1" applyFont="1" applyFill="1" applyBorder="1" applyAlignment="1">
      <alignment horizontal="left"/>
    </xf>
    <xf numFmtId="49" fontId="200" fillId="18" borderId="0" xfId="0" applyNumberFormat="1" applyFont="1" applyFill="1" applyBorder="1" applyAlignment="1">
      <alignment horizontal="center"/>
    </xf>
    <xf numFmtId="49" fontId="211" fillId="11" borderId="0" xfId="10" applyNumberFormat="1" applyFont="1" applyFill="1" applyAlignment="1" applyProtection="1">
      <alignment horizontal="center"/>
      <protection locked="0"/>
    </xf>
    <xf numFmtId="14" fontId="157" fillId="0" borderId="0" xfId="113" quotePrefix="1" applyNumberFormat="1" applyFont="1"/>
    <xf numFmtId="0" fontId="211" fillId="0" borderId="0" xfId="10" applyNumberFormat="1" applyFont="1" applyFill="1" applyAlignment="1" applyProtection="1">
      <alignment horizontal="center"/>
      <protection locked="0"/>
    </xf>
    <xf numFmtId="0" fontId="220" fillId="9" borderId="0" xfId="0" applyFont="1" applyFill="1" applyBorder="1"/>
    <xf numFmtId="0" fontId="221" fillId="9" borderId="0" xfId="146" quotePrefix="1" applyNumberFormat="1" applyFont="1" applyFill="1" applyBorder="1"/>
    <xf numFmtId="165" fontId="220" fillId="9" borderId="0" xfId="6" applyFont="1" applyFill="1" applyBorder="1"/>
    <xf numFmtId="0" fontId="221" fillId="9" borderId="0" xfId="1" applyFont="1" applyFill="1" applyBorder="1"/>
    <xf numFmtId="0" fontId="222" fillId="9" borderId="0" xfId="0" applyFont="1" applyFill="1" applyBorder="1"/>
    <xf numFmtId="0" fontId="219" fillId="9" borderId="0" xfId="146" quotePrefix="1" applyNumberFormat="1" applyFont="1" applyFill="1" applyBorder="1"/>
    <xf numFmtId="165" fontId="222" fillId="9" borderId="0" xfId="6" applyFont="1" applyFill="1" applyBorder="1"/>
    <xf numFmtId="17" fontId="220" fillId="9" borderId="0" xfId="0" applyNumberFormat="1" applyFont="1" applyFill="1" applyBorder="1"/>
    <xf numFmtId="0" fontId="223" fillId="9" borderId="0" xfId="1" applyFont="1" applyFill="1" applyBorder="1"/>
    <xf numFmtId="165" fontId="219" fillId="9" borderId="0" xfId="6" applyFont="1" applyFill="1" applyBorder="1"/>
    <xf numFmtId="0" fontId="173" fillId="11" borderId="0" xfId="9" applyFont="1" applyFill="1" applyAlignment="1"/>
    <xf numFmtId="0" fontId="157" fillId="11" borderId="0" xfId="9" applyFont="1" applyFill="1" applyAlignment="1"/>
    <xf numFmtId="165" fontId="154" fillId="0" borderId="0" xfId="6" applyFont="1" applyFill="1" applyBorder="1"/>
    <xf numFmtId="14" fontId="157" fillId="0" borderId="0" xfId="114" quotePrefix="1" applyNumberFormat="1" applyFont="1"/>
    <xf numFmtId="165" fontId="180" fillId="5" borderId="0" xfId="6" applyFont="1" applyFill="1" applyAlignment="1">
      <alignment horizontal="center"/>
    </xf>
    <xf numFmtId="0" fontId="181" fillId="5" borderId="0" xfId="8" applyFont="1" applyFill="1" applyAlignment="1">
      <alignment horizontal="center"/>
    </xf>
    <xf numFmtId="0" fontId="191" fillId="5" borderId="0" xfId="8" applyFont="1" applyFill="1" applyAlignment="1">
      <alignment horizontal="center"/>
    </xf>
    <xf numFmtId="0" fontId="155" fillId="11" borderId="0" xfId="1" applyFont="1" applyFill="1" applyAlignment="1">
      <alignment horizontal="center"/>
    </xf>
    <xf numFmtId="0" fontId="224" fillId="10" borderId="0" xfId="64" applyFont="1" applyFill="1" applyAlignment="1">
      <alignment horizontal="center"/>
    </xf>
    <xf numFmtId="0" fontId="197" fillId="9" borderId="1" xfId="0" applyFont="1" applyFill="1" applyBorder="1" applyAlignment="1">
      <alignment horizontal="center" vertical="center"/>
    </xf>
    <xf numFmtId="49" fontId="196" fillId="9" borderId="0" xfId="0" applyNumberFormat="1" applyFont="1" applyFill="1" applyBorder="1" applyAlignment="1">
      <alignment horizontal="center" vertical="center" wrapText="1"/>
    </xf>
    <xf numFmtId="0" fontId="197" fillId="9" borderId="5" xfId="0" applyFont="1" applyFill="1" applyBorder="1" applyAlignment="1">
      <alignment horizontal="center" vertical="center"/>
    </xf>
    <xf numFmtId="0" fontId="197" fillId="9" borderId="6" xfId="0" applyFont="1" applyFill="1" applyBorder="1" applyAlignment="1">
      <alignment horizontal="center" vertical="center"/>
    </xf>
    <xf numFmtId="40" fontId="194" fillId="9" borderId="0" xfId="10" applyNumberFormat="1" applyFont="1" applyFill="1" applyAlignment="1" applyProtection="1">
      <alignment horizontal="center"/>
      <protection locked="0"/>
    </xf>
    <xf numFmtId="0" fontId="197" fillId="9" borderId="5" xfId="186" applyFont="1" applyFill="1" applyBorder="1" applyAlignment="1">
      <alignment horizontal="center" vertical="center"/>
    </xf>
    <xf numFmtId="0" fontId="197" fillId="9" borderId="6" xfId="186" applyFont="1" applyFill="1" applyBorder="1" applyAlignment="1">
      <alignment horizontal="center" vertical="center"/>
    </xf>
    <xf numFmtId="0" fontId="197" fillId="0" borderId="5" xfId="0" applyFont="1" applyFill="1" applyBorder="1" applyAlignment="1">
      <alignment horizontal="center" vertical="center"/>
    </xf>
    <xf numFmtId="0" fontId="197" fillId="0" borderId="6" xfId="0" applyFont="1" applyFill="1" applyBorder="1" applyAlignment="1">
      <alignment horizontal="center" vertical="center"/>
    </xf>
  </cellXfs>
  <cellStyles count="467">
    <cellStyle name="=C:\WINNT\SYSTEM32\COMMAND.COM" xfId="1"/>
    <cellStyle name="=C:\WINNT\SYSTEM32\COMMAND.COM 2" xfId="65"/>
    <cellStyle name="=C:\WINNT\SYSTEM32\COMMAND.COM_Financials Report Confia-Enero" xfId="2"/>
    <cellStyle name="Accent1 - 20%" xfId="3"/>
    <cellStyle name="Accent1 2" xfId="187"/>
    <cellStyle name="Comma 10" xfId="188"/>
    <cellStyle name="Comma 2" xfId="153"/>
    <cellStyle name="Comma 2 2" xfId="329"/>
    <cellStyle name="Comma 3" xfId="155"/>
    <cellStyle name="Comma 3 2" xfId="331"/>
    <cellStyle name="Comma 4" xfId="164"/>
    <cellStyle name="Comma 4 2" xfId="340"/>
    <cellStyle name="Comma 5" xfId="169"/>
    <cellStyle name="Comma 5 2" xfId="345"/>
    <cellStyle name="Comma 6" xfId="171"/>
    <cellStyle name="Comma 6 2" xfId="347"/>
    <cellStyle name="Comma 7" xfId="175"/>
    <cellStyle name="Comma 7 2" xfId="351"/>
    <cellStyle name="Comma 8" xfId="179"/>
    <cellStyle name="Comma 8 2" xfId="355"/>
    <cellStyle name="Comma 9" xfId="183"/>
    <cellStyle name="Comma 9 2" xfId="358"/>
    <cellStyle name="Comma_FILE03-VALORES MAYO 2011" xfId="4"/>
    <cellStyle name="Currency 2" xfId="189"/>
    <cellStyle name="Énfasis1" xfId="5" builtinId="29" customBuiltin="1"/>
    <cellStyle name="Euro" xfId="180"/>
    <cellStyle name="Hipervínculo" xfId="389" builtinId="8"/>
    <cellStyle name="Millares" xfId="6" builtinId="3"/>
    <cellStyle name="Moneda" xfId="7" builtinId="4"/>
    <cellStyle name="Normal" xfId="0" builtinId="0"/>
    <cellStyle name="Normal 10" xfId="21"/>
    <cellStyle name="Normal 10 2" xfId="74"/>
    <cellStyle name="Normal 10 2 2" xfId="250"/>
    <cellStyle name="Normal 10 3" xfId="199"/>
    <cellStyle name="Normal 10 4" xfId="360"/>
    <cellStyle name="Normal 10 5" xfId="404"/>
    <cellStyle name="Normal 100" xfId="149"/>
    <cellStyle name="Normal 100 2" xfId="325"/>
    <cellStyle name="Normal 101" xfId="150"/>
    <cellStyle name="Normal 101 2" xfId="326"/>
    <cellStyle name="Normal 102" xfId="151"/>
    <cellStyle name="Normal 102 2" xfId="327"/>
    <cellStyle name="Normal 103" xfId="152"/>
    <cellStyle name="Normal 103 2" xfId="328"/>
    <cellStyle name="Normal 104" xfId="154"/>
    <cellStyle name="Normal 104 2" xfId="330"/>
    <cellStyle name="Normal 105" xfId="156"/>
    <cellStyle name="Normal 105 2" xfId="332"/>
    <cellStyle name="Normal 106" xfId="157"/>
    <cellStyle name="Normal 106 2" xfId="333"/>
    <cellStyle name="Normal 107" xfId="158"/>
    <cellStyle name="Normal 107 2" xfId="334"/>
    <cellStyle name="Normal 108" xfId="159"/>
    <cellStyle name="Normal 108 2" xfId="335"/>
    <cellStyle name="Normal 109" xfId="160"/>
    <cellStyle name="Normal 109 2" xfId="336"/>
    <cellStyle name="Normal 11" xfId="22"/>
    <cellStyle name="Normal 11 2" xfId="75"/>
    <cellStyle name="Normal 11 2 2" xfId="251"/>
    <cellStyle name="Normal 11 3" xfId="200"/>
    <cellStyle name="Normal 11 4" xfId="361"/>
    <cellStyle name="Normal 11 5" xfId="405"/>
    <cellStyle name="Normal 110" xfId="161"/>
    <cellStyle name="Normal 110 2" xfId="337"/>
    <cellStyle name="Normal 111" xfId="162"/>
    <cellStyle name="Normal 111 2" xfId="338"/>
    <cellStyle name="Normal 112" xfId="163"/>
    <cellStyle name="Normal 112 2" xfId="339"/>
    <cellStyle name="Normal 113" xfId="165"/>
    <cellStyle name="Normal 113 2" xfId="341"/>
    <cellStyle name="Normal 114" xfId="166"/>
    <cellStyle name="Normal 114 2" xfId="342"/>
    <cellStyle name="Normal 115" xfId="167"/>
    <cellStyle name="Normal 115 2" xfId="343"/>
    <cellStyle name="Normal 116" xfId="168"/>
    <cellStyle name="Normal 116 2" xfId="344"/>
    <cellStyle name="Normal 117" xfId="170"/>
    <cellStyle name="Normal 117 2" xfId="346"/>
    <cellStyle name="Normal 118" xfId="172"/>
    <cellStyle name="Normal 118 2" xfId="348"/>
    <cellStyle name="Normal 119" xfId="173"/>
    <cellStyle name="Normal 119 2" xfId="349"/>
    <cellStyle name="Normal 12" xfId="23"/>
    <cellStyle name="Normal 12 2" xfId="76"/>
    <cellStyle name="Normal 12 2 2" xfId="252"/>
    <cellStyle name="Normal 12 3" xfId="201"/>
    <cellStyle name="Normal 12 4" xfId="362"/>
    <cellStyle name="Normal 12 5" xfId="406"/>
    <cellStyle name="Normal 120" xfId="174"/>
    <cellStyle name="Normal 120 2" xfId="350"/>
    <cellStyle name="Normal 121" xfId="176"/>
    <cellStyle name="Normal 121 2" xfId="352"/>
    <cellStyle name="Normal 122" xfId="177"/>
    <cellStyle name="Normal 122 2" xfId="353"/>
    <cellStyle name="Normal 123" xfId="178"/>
    <cellStyle name="Normal 123 2" xfId="354"/>
    <cellStyle name="Normal 124" xfId="181"/>
    <cellStyle name="Normal 124 2" xfId="356"/>
    <cellStyle name="Normal 125" xfId="182"/>
    <cellStyle name="Normal 125 2" xfId="357"/>
    <cellStyle name="Normal 126" xfId="186"/>
    <cellStyle name="Normal 127" xfId="185"/>
    <cellStyle name="Normal 128" xfId="359"/>
    <cellStyle name="Normal 129" xfId="390"/>
    <cellStyle name="Normal 13" xfId="24"/>
    <cellStyle name="Normal 13 2" xfId="77"/>
    <cellStyle name="Normal 13 2 2" xfId="253"/>
    <cellStyle name="Normal 13 3" xfId="202"/>
    <cellStyle name="Normal 13 4" xfId="363"/>
    <cellStyle name="Normal 13 5" xfId="407"/>
    <cellStyle name="Normal 130" xfId="391"/>
    <cellStyle name="Normal 131" xfId="392"/>
    <cellStyle name="Normal 132" xfId="393"/>
    <cellStyle name="Normal 133" xfId="394"/>
    <cellStyle name="Normal 134" xfId="395"/>
    <cellStyle name="Normal 135" xfId="447"/>
    <cellStyle name="Normal 136" xfId="448"/>
    <cellStyle name="Normal 137" xfId="449"/>
    <cellStyle name="Normal 138" xfId="450"/>
    <cellStyle name="Normal 139" xfId="451"/>
    <cellStyle name="Normal 14" xfId="25"/>
    <cellStyle name="Normal 14 2" xfId="78"/>
    <cellStyle name="Normal 14 2 2" xfId="254"/>
    <cellStyle name="Normal 14 3" xfId="203"/>
    <cellStyle name="Normal 14 4" xfId="364"/>
    <cellStyle name="Normal 14 5" xfId="408"/>
    <cellStyle name="Normal 140" xfId="452"/>
    <cellStyle name="Normal 141" xfId="453"/>
    <cellStyle name="Normal 142" xfId="454"/>
    <cellStyle name="Normal 143" xfId="455"/>
    <cellStyle name="Normal 144" xfId="456"/>
    <cellStyle name="Normal 145" xfId="457"/>
    <cellStyle name="Normal 146" xfId="458"/>
    <cellStyle name="Normal 147" xfId="459"/>
    <cellStyle name="Normal 148" xfId="460"/>
    <cellStyle name="Normal 149" xfId="461"/>
    <cellStyle name="Normal 15" xfId="26"/>
    <cellStyle name="Normal 15 2" xfId="79"/>
    <cellStyle name="Normal 15 2 2" xfId="255"/>
    <cellStyle name="Normal 15 3" xfId="204"/>
    <cellStyle name="Normal 15 4" xfId="365"/>
    <cellStyle name="Normal 15 5" xfId="409"/>
    <cellStyle name="Normal 150" xfId="462"/>
    <cellStyle name="Normal 151" xfId="463"/>
    <cellStyle name="Normal 152" xfId="464"/>
    <cellStyle name="Normal 153" xfId="465"/>
    <cellStyle name="Normal 154" xfId="466"/>
    <cellStyle name="Normal 16" xfId="27"/>
    <cellStyle name="Normal 16 2" xfId="80"/>
    <cellStyle name="Normal 16 2 2" xfId="256"/>
    <cellStyle name="Normal 16 3" xfId="205"/>
    <cellStyle name="Normal 16 4" xfId="366"/>
    <cellStyle name="Normal 16 5" xfId="410"/>
    <cellStyle name="Normal 17" xfId="28"/>
    <cellStyle name="Normal 17 2" xfId="81"/>
    <cellStyle name="Normal 17 2 2" xfId="257"/>
    <cellStyle name="Normal 17 3" xfId="206"/>
    <cellStyle name="Normal 17 4" xfId="367"/>
    <cellStyle name="Normal 17 5" xfId="411"/>
    <cellStyle name="Normal 18" xfId="29"/>
    <cellStyle name="Normal 18 2" xfId="82"/>
    <cellStyle name="Normal 18 2 2" xfId="258"/>
    <cellStyle name="Normal 18 3" xfId="207"/>
    <cellStyle name="Normal 18 4" xfId="368"/>
    <cellStyle name="Normal 18 5" xfId="412"/>
    <cellStyle name="Normal 19" xfId="30"/>
    <cellStyle name="Normal 19 2" xfId="83"/>
    <cellStyle name="Normal 19 2 2" xfId="259"/>
    <cellStyle name="Normal 19 3" xfId="208"/>
    <cellStyle name="Normal 19 4" xfId="369"/>
    <cellStyle name="Normal 19 5" xfId="413"/>
    <cellStyle name="Normal 2" xfId="13"/>
    <cellStyle name="Normal 2 2" xfId="66"/>
    <cellStyle name="Normal 2 2 2" xfId="242"/>
    <cellStyle name="Normal 2 3" xfId="191"/>
    <cellStyle name="Normal 2 4" xfId="370"/>
    <cellStyle name="Normal 2 5" xfId="396"/>
    <cellStyle name="Normal 20" xfId="31"/>
    <cellStyle name="Normal 20 2" xfId="84"/>
    <cellStyle name="Normal 20 2 2" xfId="260"/>
    <cellStyle name="Normal 20 3" xfId="209"/>
    <cellStyle name="Normal 20 4" xfId="371"/>
    <cellStyle name="Normal 20 5" xfId="414"/>
    <cellStyle name="Normal 21" xfId="32"/>
    <cellStyle name="Normal 21 2" xfId="85"/>
    <cellStyle name="Normal 21 2 2" xfId="261"/>
    <cellStyle name="Normal 21 3" xfId="210"/>
    <cellStyle name="Normal 21 4" xfId="372"/>
    <cellStyle name="Normal 21 5" xfId="415"/>
    <cellStyle name="Normal 22" xfId="33"/>
    <cellStyle name="Normal 22 2" xfId="86"/>
    <cellStyle name="Normal 22 2 2" xfId="262"/>
    <cellStyle name="Normal 22 3" xfId="211"/>
    <cellStyle name="Normal 22 4" xfId="373"/>
    <cellStyle name="Normal 22 5" xfId="416"/>
    <cellStyle name="Normal 23" xfId="34"/>
    <cellStyle name="Normal 23 2" xfId="87"/>
    <cellStyle name="Normal 23 2 2" xfId="263"/>
    <cellStyle name="Normal 23 3" xfId="212"/>
    <cellStyle name="Normal 23 4" xfId="374"/>
    <cellStyle name="Normal 23 5" xfId="417"/>
    <cellStyle name="Normal 24" xfId="35"/>
    <cellStyle name="Normal 24 2" xfId="88"/>
    <cellStyle name="Normal 24 2 2" xfId="264"/>
    <cellStyle name="Normal 24 3" xfId="213"/>
    <cellStyle name="Normal 24 4" xfId="375"/>
    <cellStyle name="Normal 24 5" xfId="418"/>
    <cellStyle name="Normal 25" xfId="36"/>
    <cellStyle name="Normal 25 2" xfId="89"/>
    <cellStyle name="Normal 25 2 2" xfId="265"/>
    <cellStyle name="Normal 25 3" xfId="214"/>
    <cellStyle name="Normal 25 4" xfId="376"/>
    <cellStyle name="Normal 25 5" xfId="419"/>
    <cellStyle name="Normal 26" xfId="37"/>
    <cellStyle name="Normal 26 2" xfId="90"/>
    <cellStyle name="Normal 26 2 2" xfId="266"/>
    <cellStyle name="Normal 26 3" xfId="215"/>
    <cellStyle name="Normal 26 4" xfId="377"/>
    <cellStyle name="Normal 26 5" xfId="420"/>
    <cellStyle name="Normal 27" xfId="38"/>
    <cellStyle name="Normal 27 2" xfId="91"/>
    <cellStyle name="Normal 27 2 2" xfId="267"/>
    <cellStyle name="Normal 27 3" xfId="216"/>
    <cellStyle name="Normal 27 4" xfId="378"/>
    <cellStyle name="Normal 27 5" xfId="421"/>
    <cellStyle name="Normal 28" xfId="39"/>
    <cellStyle name="Normal 28 2" xfId="92"/>
    <cellStyle name="Normal 28 2 2" xfId="268"/>
    <cellStyle name="Normal 28 3" xfId="217"/>
    <cellStyle name="Normal 28 4" xfId="379"/>
    <cellStyle name="Normal 28 5" xfId="422"/>
    <cellStyle name="Normal 29" xfId="40"/>
    <cellStyle name="Normal 29 2" xfId="93"/>
    <cellStyle name="Normal 29 2 2" xfId="269"/>
    <cellStyle name="Normal 29 3" xfId="218"/>
    <cellStyle name="Normal 29 4" xfId="380"/>
    <cellStyle name="Normal 29 5" xfId="423"/>
    <cellStyle name="Normal 3" xfId="14"/>
    <cellStyle name="Normal 3 2" xfId="67"/>
    <cellStyle name="Normal 3 2 2" xfId="243"/>
    <cellStyle name="Normal 3 3" xfId="192"/>
    <cellStyle name="Normal 3 4" xfId="381"/>
    <cellStyle name="Normal 3 5" xfId="397"/>
    <cellStyle name="Normal 30" xfId="41"/>
    <cellStyle name="Normal 30 2" xfId="94"/>
    <cellStyle name="Normal 30 2 2" xfId="270"/>
    <cellStyle name="Normal 30 3" xfId="219"/>
    <cellStyle name="Normal 30 4" xfId="382"/>
    <cellStyle name="Normal 30 5" xfId="424"/>
    <cellStyle name="Normal 31" xfId="42"/>
    <cellStyle name="Normal 31 2" xfId="95"/>
    <cellStyle name="Normal 31 2 2" xfId="271"/>
    <cellStyle name="Normal 31 3" xfId="220"/>
    <cellStyle name="Normal 31 4" xfId="425"/>
    <cellStyle name="Normal 32" xfId="43"/>
    <cellStyle name="Normal 32 2" xfId="96"/>
    <cellStyle name="Normal 32 2 2" xfId="272"/>
    <cellStyle name="Normal 32 3" xfId="221"/>
    <cellStyle name="Normal 32 4" xfId="426"/>
    <cellStyle name="Normal 33" xfId="44"/>
    <cellStyle name="Normal 33 2" xfId="97"/>
    <cellStyle name="Normal 33 2 2" xfId="273"/>
    <cellStyle name="Normal 33 3" xfId="222"/>
    <cellStyle name="Normal 33 4" xfId="427"/>
    <cellStyle name="Normal 34" xfId="45"/>
    <cellStyle name="Normal 34 2" xfId="98"/>
    <cellStyle name="Normal 34 2 2" xfId="274"/>
    <cellStyle name="Normal 34 3" xfId="223"/>
    <cellStyle name="Normal 34 4" xfId="428"/>
    <cellStyle name="Normal 35" xfId="46"/>
    <cellStyle name="Normal 35 2" xfId="99"/>
    <cellStyle name="Normal 35 2 2" xfId="275"/>
    <cellStyle name="Normal 35 3" xfId="224"/>
    <cellStyle name="Normal 35 4" xfId="429"/>
    <cellStyle name="Normal 36" xfId="47"/>
    <cellStyle name="Normal 36 2" xfId="100"/>
    <cellStyle name="Normal 36 2 2" xfId="276"/>
    <cellStyle name="Normal 36 3" xfId="225"/>
    <cellStyle name="Normal 36 4" xfId="430"/>
    <cellStyle name="Normal 37" xfId="48"/>
    <cellStyle name="Normal 37 2" xfId="101"/>
    <cellStyle name="Normal 37 2 2" xfId="277"/>
    <cellStyle name="Normal 37 3" xfId="226"/>
    <cellStyle name="Normal 37 4" xfId="431"/>
    <cellStyle name="Normal 38" xfId="49"/>
    <cellStyle name="Normal 38 2" xfId="102"/>
    <cellStyle name="Normal 38 2 2" xfId="278"/>
    <cellStyle name="Normal 38 3" xfId="227"/>
    <cellStyle name="Normal 38 4" xfId="432"/>
    <cellStyle name="Normal 39" xfId="50"/>
    <cellStyle name="Normal 39 2" xfId="228"/>
    <cellStyle name="Normal 39 3" xfId="433"/>
    <cellStyle name="Normal 4" xfId="15"/>
    <cellStyle name="Normal 4 2" xfId="68"/>
    <cellStyle name="Normal 4 2 2" xfId="244"/>
    <cellStyle name="Normal 4 3" xfId="193"/>
    <cellStyle name="Normal 4 4" xfId="383"/>
    <cellStyle name="Normal 4 5" xfId="398"/>
    <cellStyle name="Normal 40" xfId="51"/>
    <cellStyle name="Normal 40 2" xfId="229"/>
    <cellStyle name="Normal 40 3" xfId="434"/>
    <cellStyle name="Normal 41" xfId="52"/>
    <cellStyle name="Normal 41 2" xfId="230"/>
    <cellStyle name="Normal 41 3" xfId="435"/>
    <cellStyle name="Normal 42" xfId="53"/>
    <cellStyle name="Normal 42 2" xfId="231"/>
    <cellStyle name="Normal 42 3" xfId="436"/>
    <cellStyle name="Normal 43" xfId="54"/>
    <cellStyle name="Normal 43 2" xfId="232"/>
    <cellStyle name="Normal 43 3" xfId="437"/>
    <cellStyle name="Normal 44" xfId="55"/>
    <cellStyle name="Normal 44 2" xfId="233"/>
    <cellStyle name="Normal 44 3" xfId="438"/>
    <cellStyle name="Normal 45" xfId="56"/>
    <cellStyle name="Normal 45 2" xfId="234"/>
    <cellStyle name="Normal 45 3" xfId="439"/>
    <cellStyle name="Normal 46" xfId="57"/>
    <cellStyle name="Normal 46 2" xfId="235"/>
    <cellStyle name="Normal 46 3" xfId="440"/>
    <cellStyle name="Normal 47" xfId="58"/>
    <cellStyle name="Normal 47 2" xfId="236"/>
    <cellStyle name="Normal 47 3" xfId="441"/>
    <cellStyle name="Normal 48" xfId="59"/>
    <cellStyle name="Normal 48 2" xfId="237"/>
    <cellStyle name="Normal 48 3" xfId="442"/>
    <cellStyle name="Normal 49" xfId="60"/>
    <cellStyle name="Normal 49 2" xfId="238"/>
    <cellStyle name="Normal 49 3" xfId="443"/>
    <cellStyle name="Normal 5" xfId="16"/>
    <cellStyle name="Normal 5 2" xfId="69"/>
    <cellStyle name="Normal 5 2 2" xfId="245"/>
    <cellStyle name="Normal 5 3" xfId="194"/>
    <cellStyle name="Normal 5 4" xfId="384"/>
    <cellStyle name="Normal 5 5" xfId="399"/>
    <cellStyle name="Normal 50" xfId="61"/>
    <cellStyle name="Normal 50 2" xfId="239"/>
    <cellStyle name="Normal 50 3" xfId="444"/>
    <cellStyle name="Normal 51" xfId="62"/>
    <cellStyle name="Normal 51 2" xfId="240"/>
    <cellStyle name="Normal 51 3" xfId="445"/>
    <cellStyle name="Normal 52" xfId="63"/>
    <cellStyle name="Normal 52 2" xfId="241"/>
    <cellStyle name="Normal 52 3" xfId="446"/>
    <cellStyle name="Normal 53" xfId="64"/>
    <cellStyle name="Normal 54" xfId="103"/>
    <cellStyle name="Normal 54 2" xfId="279"/>
    <cellStyle name="Normal 55" xfId="104"/>
    <cellStyle name="Normal 55 2" xfId="280"/>
    <cellStyle name="Normal 56" xfId="105"/>
    <cellStyle name="Normal 56 2" xfId="281"/>
    <cellStyle name="Normal 57" xfId="106"/>
    <cellStyle name="Normal 57 2" xfId="282"/>
    <cellStyle name="Normal 58" xfId="107"/>
    <cellStyle name="Normal 58 2" xfId="283"/>
    <cellStyle name="Normal 59" xfId="108"/>
    <cellStyle name="Normal 59 2" xfId="284"/>
    <cellStyle name="Normal 6" xfId="17"/>
    <cellStyle name="Normal 6 2" xfId="70"/>
    <cellStyle name="Normal 6 2 2" xfId="246"/>
    <cellStyle name="Normal 6 3" xfId="195"/>
    <cellStyle name="Normal 6 4" xfId="385"/>
    <cellStyle name="Normal 6 5" xfId="400"/>
    <cellStyle name="Normal 60" xfId="109"/>
    <cellStyle name="Normal 60 2" xfId="285"/>
    <cellStyle name="Normal 61" xfId="110"/>
    <cellStyle name="Normal 61 2" xfId="286"/>
    <cellStyle name="Normal 62" xfId="111"/>
    <cellStyle name="Normal 62 2" xfId="287"/>
    <cellStyle name="Normal 63" xfId="112"/>
    <cellStyle name="Normal 63 2" xfId="288"/>
    <cellStyle name="Normal 64" xfId="113"/>
    <cellStyle name="Normal 64 2" xfId="289"/>
    <cellStyle name="Normal 65" xfId="114"/>
    <cellStyle name="Normal 65 2" xfId="290"/>
    <cellStyle name="Normal 66" xfId="115"/>
    <cellStyle name="Normal 66 2" xfId="291"/>
    <cellStyle name="Normal 67" xfId="116"/>
    <cellStyle name="Normal 67 2" xfId="292"/>
    <cellStyle name="Normal 68" xfId="117"/>
    <cellStyle name="Normal 68 2" xfId="293"/>
    <cellStyle name="Normal 69" xfId="118"/>
    <cellStyle name="Normal 69 2" xfId="294"/>
    <cellStyle name="Normal 7" xfId="18"/>
    <cellStyle name="Normal 7 2" xfId="71"/>
    <cellStyle name="Normal 7 2 2" xfId="247"/>
    <cellStyle name="Normal 7 3" xfId="196"/>
    <cellStyle name="Normal 7 4" xfId="386"/>
    <cellStyle name="Normal 7 5" xfId="401"/>
    <cellStyle name="Normal 70" xfId="119"/>
    <cellStyle name="Normal 70 2" xfId="295"/>
    <cellStyle name="Normal 71" xfId="120"/>
    <cellStyle name="Normal 71 2" xfId="296"/>
    <cellStyle name="Normal 72" xfId="121"/>
    <cellStyle name="Normal 72 2" xfId="297"/>
    <cellStyle name="Normal 73" xfId="122"/>
    <cellStyle name="Normal 73 2" xfId="298"/>
    <cellStyle name="Normal 74" xfId="123"/>
    <cellStyle name="Normal 74 2" xfId="299"/>
    <cellStyle name="Normal 75" xfId="124"/>
    <cellStyle name="Normal 75 2" xfId="300"/>
    <cellStyle name="Normal 76" xfId="125"/>
    <cellStyle name="Normal 76 2" xfId="301"/>
    <cellStyle name="Normal 77" xfId="126"/>
    <cellStyle name="Normal 77 2" xfId="302"/>
    <cellStyle name="Normal 78" xfId="127"/>
    <cellStyle name="Normal 78 2" xfId="303"/>
    <cellStyle name="Normal 79" xfId="128"/>
    <cellStyle name="Normal 79 2" xfId="304"/>
    <cellStyle name="Normal 8" xfId="19"/>
    <cellStyle name="Normal 8 2" xfId="72"/>
    <cellStyle name="Normal 8 2 2" xfId="248"/>
    <cellStyle name="Normal 8 3" xfId="197"/>
    <cellStyle name="Normal 8 4" xfId="387"/>
    <cellStyle name="Normal 8 5" xfId="402"/>
    <cellStyle name="Normal 80" xfId="129"/>
    <cellStyle name="Normal 80 2" xfId="305"/>
    <cellStyle name="Normal 81" xfId="130"/>
    <cellStyle name="Normal 81 2" xfId="306"/>
    <cellStyle name="Normal 82" xfId="131"/>
    <cellStyle name="Normal 82 2" xfId="307"/>
    <cellStyle name="Normal 83" xfId="132"/>
    <cellStyle name="Normal 83 2" xfId="308"/>
    <cellStyle name="Normal 84" xfId="133"/>
    <cellStyle name="Normal 84 2" xfId="309"/>
    <cellStyle name="Normal 85" xfId="134"/>
    <cellStyle name="Normal 85 2" xfId="310"/>
    <cellStyle name="Normal 86" xfId="135"/>
    <cellStyle name="Normal 86 2" xfId="311"/>
    <cellStyle name="Normal 87" xfId="136"/>
    <cellStyle name="Normal 87 2" xfId="312"/>
    <cellStyle name="Normal 88" xfId="137"/>
    <cellStyle name="Normal 88 2" xfId="313"/>
    <cellStyle name="Normal 89" xfId="138"/>
    <cellStyle name="Normal 89 2" xfId="314"/>
    <cellStyle name="Normal 9" xfId="20"/>
    <cellStyle name="Normal 9 2" xfId="73"/>
    <cellStyle name="Normal 9 2 2" xfId="249"/>
    <cellStyle name="Normal 9 3" xfId="198"/>
    <cellStyle name="Normal 9 4" xfId="388"/>
    <cellStyle name="Normal 9 5" xfId="403"/>
    <cellStyle name="Normal 90" xfId="139"/>
    <cellStyle name="Normal 90 2" xfId="315"/>
    <cellStyle name="Normal 91" xfId="140"/>
    <cellStyle name="Normal 91 2" xfId="316"/>
    <cellStyle name="Normal 92" xfId="141"/>
    <cellStyle name="Normal 92 2" xfId="317"/>
    <cellStyle name="Normal 93" xfId="142"/>
    <cellStyle name="Normal 93 2" xfId="318"/>
    <cellStyle name="Normal 94" xfId="143"/>
    <cellStyle name="Normal 94 2" xfId="319"/>
    <cellStyle name="Normal 95" xfId="144"/>
    <cellStyle name="Normal 95 2" xfId="320"/>
    <cellStyle name="Normal 96" xfId="145"/>
    <cellStyle name="Normal 96 2" xfId="321"/>
    <cellStyle name="Normal 97" xfId="146"/>
    <cellStyle name="Normal 97 2" xfId="322"/>
    <cellStyle name="Normal 98" xfId="147"/>
    <cellStyle name="Normal 98 2" xfId="323"/>
    <cellStyle name="Normal 99" xfId="148"/>
    <cellStyle name="Normal 99 2" xfId="324"/>
    <cellStyle name="Normal_Balance general al 31 de Diciembre de 2010" xfId="8"/>
    <cellStyle name="Normal_FILE 03 VALORES OCTUBRE" xfId="9"/>
    <cellStyle name="Normal_Libro Ventas Consumidor final" xfId="10"/>
    <cellStyle name="Normal_Sheet3" xfId="11"/>
    <cellStyle name="Percent 2" xfId="190"/>
    <cellStyle name="Porcentaje" xfId="12" builtinId="5"/>
    <cellStyle name="Porcentaje 2" xfId="1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0</xdr:rowOff>
    </xdr:from>
    <xdr:to>
      <xdr:col>2</xdr:col>
      <xdr:colOff>381000</xdr:colOff>
      <xdr:row>14</xdr:row>
      <xdr:rowOff>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64</xdr:row>
      <xdr:rowOff>0</xdr:rowOff>
    </xdr:from>
    <xdr:to>
      <xdr:col>2</xdr:col>
      <xdr:colOff>381000</xdr:colOff>
      <xdr:row>64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96</xdr:row>
      <xdr:rowOff>0</xdr:rowOff>
    </xdr:from>
    <xdr:to>
      <xdr:col>2</xdr:col>
      <xdr:colOff>381000</xdr:colOff>
      <xdr:row>96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124</xdr:row>
      <xdr:rowOff>0</xdr:rowOff>
    </xdr:from>
    <xdr:to>
      <xdr:col>2</xdr:col>
      <xdr:colOff>381000</xdr:colOff>
      <xdr:row>124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154</xdr:row>
      <xdr:rowOff>0</xdr:rowOff>
    </xdr:from>
    <xdr:to>
      <xdr:col>2</xdr:col>
      <xdr:colOff>381000</xdr:colOff>
      <xdr:row>154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192</xdr:row>
      <xdr:rowOff>0</xdr:rowOff>
    </xdr:from>
    <xdr:to>
      <xdr:col>2</xdr:col>
      <xdr:colOff>381000</xdr:colOff>
      <xdr:row>192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219</xdr:row>
      <xdr:rowOff>0</xdr:rowOff>
    </xdr:from>
    <xdr:to>
      <xdr:col>2</xdr:col>
      <xdr:colOff>381000</xdr:colOff>
      <xdr:row>219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266</xdr:row>
      <xdr:rowOff>0</xdr:rowOff>
    </xdr:from>
    <xdr:to>
      <xdr:col>2</xdr:col>
      <xdr:colOff>381000</xdr:colOff>
      <xdr:row>266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319</xdr:row>
      <xdr:rowOff>0</xdr:rowOff>
    </xdr:from>
    <xdr:to>
      <xdr:col>2</xdr:col>
      <xdr:colOff>381000</xdr:colOff>
      <xdr:row>319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376</xdr:row>
      <xdr:rowOff>0</xdr:rowOff>
    </xdr:from>
    <xdr:to>
      <xdr:col>2</xdr:col>
      <xdr:colOff>381000</xdr:colOff>
      <xdr:row>376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432</xdr:row>
      <xdr:rowOff>0</xdr:rowOff>
    </xdr:from>
    <xdr:to>
      <xdr:col>2</xdr:col>
      <xdr:colOff>381000</xdr:colOff>
      <xdr:row>432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493</xdr:row>
      <xdr:rowOff>0</xdr:rowOff>
    </xdr:from>
    <xdr:to>
      <xdr:col>2</xdr:col>
      <xdr:colOff>381000</xdr:colOff>
      <xdr:row>493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563</xdr:row>
      <xdr:rowOff>0</xdr:rowOff>
    </xdr:from>
    <xdr:to>
      <xdr:col>2</xdr:col>
      <xdr:colOff>381000</xdr:colOff>
      <xdr:row>563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634</xdr:row>
      <xdr:rowOff>0</xdr:rowOff>
    </xdr:from>
    <xdr:to>
      <xdr:col>2</xdr:col>
      <xdr:colOff>381000</xdr:colOff>
      <xdr:row>634</xdr:row>
      <xdr:rowOff>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682</xdr:row>
      <xdr:rowOff>0</xdr:rowOff>
    </xdr:from>
    <xdr:to>
      <xdr:col>2</xdr:col>
      <xdr:colOff>381000</xdr:colOff>
      <xdr:row>682</xdr:row>
      <xdr:rowOff>0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757</xdr:row>
      <xdr:rowOff>0</xdr:rowOff>
    </xdr:from>
    <xdr:to>
      <xdr:col>2</xdr:col>
      <xdr:colOff>381000</xdr:colOff>
      <xdr:row>757</xdr:row>
      <xdr:rowOff>0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1752600" y="12267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793</xdr:row>
      <xdr:rowOff>0</xdr:rowOff>
    </xdr:from>
    <xdr:to>
      <xdr:col>2</xdr:col>
      <xdr:colOff>381000</xdr:colOff>
      <xdr:row>793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827</xdr:row>
      <xdr:rowOff>0</xdr:rowOff>
    </xdr:from>
    <xdr:to>
      <xdr:col>2</xdr:col>
      <xdr:colOff>381000</xdr:colOff>
      <xdr:row>827</xdr:row>
      <xdr:rowOff>0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1524000" y="233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853</xdr:row>
      <xdr:rowOff>0</xdr:rowOff>
    </xdr:from>
    <xdr:to>
      <xdr:col>2</xdr:col>
      <xdr:colOff>381000</xdr:colOff>
      <xdr:row>853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1524000" y="249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3%20MARZO/VALORES%20reporte%20MARZ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MAY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JUNI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OCTU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NOV%20(00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DIC%20(00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FEB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MAYO%20(0000000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82586/Desktop/LE31476/CONCILIACION/LIBROS%20LEGALES/2018/01%20VALORES%202018/09%20SEPTIEMBRE/VALORES%20reporte%20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OCTUBRE%20Compras%20Ven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NO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DI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En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FEBRER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MARZ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VALORES%20reporte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0100</v>
          </cell>
          <cell r="B3" t="str">
            <v>CITI TECHNOLOGY INC</v>
          </cell>
          <cell r="C3">
            <v>0</v>
          </cell>
        </row>
        <row r="4">
          <cell r="A4" t="str">
            <v>0101</v>
          </cell>
          <cell r="B4" t="str">
            <v>01279 CITIGROUP TECHNOLOGY INC</v>
          </cell>
          <cell r="C4">
            <v>0</v>
          </cell>
        </row>
        <row r="5">
          <cell r="A5" t="str">
            <v>898</v>
          </cell>
          <cell r="B5" t="str">
            <v>CITIGROUP GLOBAL MARKETS INC</v>
          </cell>
          <cell r="C5">
            <v>0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>
            <v>0</v>
          </cell>
        </row>
        <row r="9">
          <cell r="A9" t="str">
            <v>124482-0</v>
          </cell>
          <cell r="B9" t="str">
            <v>SISA VIDA, S.A. SEGUROS DE PERSONAS</v>
          </cell>
          <cell r="C9">
            <v>0</v>
          </cell>
        </row>
        <row r="10">
          <cell r="A10" t="str">
            <v>1299-8</v>
          </cell>
          <cell r="B10" t="str">
            <v>TECNICA INTERNACIONAL, S.A. DE C.V.</v>
          </cell>
          <cell r="C10">
            <v>0</v>
          </cell>
        </row>
        <row r="11">
          <cell r="A11" t="str">
            <v>130620-7</v>
          </cell>
          <cell r="B11" t="str">
            <v>ANY CRISTY ARGUMEDO CAMPOS</v>
          </cell>
          <cell r="C11">
            <v>0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>
            <v>0</v>
          </cell>
        </row>
        <row r="14">
          <cell r="A14" t="str">
            <v>141592-0</v>
          </cell>
          <cell r="B14" t="str">
            <v>INVERSIONES FINANCIERAS CITIBANK, S.A.</v>
          </cell>
          <cell r="C14">
            <v>0</v>
          </cell>
        </row>
        <row r="15">
          <cell r="A15" t="str">
            <v>146-5</v>
          </cell>
          <cell r="B15" t="str">
            <v>BANCO CUSCATLAN DE EL SALVADOR S.A.</v>
          </cell>
          <cell r="C15">
            <v>0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>
            <v>0</v>
          </cell>
        </row>
        <row r="18">
          <cell r="A18" t="str">
            <v>168981-2</v>
          </cell>
          <cell r="B18" t="str">
            <v>MAILROOM EXPRESS, S.A. DE C.V.</v>
          </cell>
          <cell r="C18">
            <v>0</v>
          </cell>
        </row>
        <row r="19">
          <cell r="A19" t="str">
            <v>177442-5</v>
          </cell>
          <cell r="B19" t="str">
            <v>DATAPRINT DE EL SALVADOR, S.A. DE C.V.</v>
          </cell>
          <cell r="C19">
            <v>0</v>
          </cell>
        </row>
        <row r="20">
          <cell r="A20" t="str">
            <v>183732-4</v>
          </cell>
          <cell r="B20" t="str">
            <v>JONES LANG LASALLE, S.A. DE C.V.</v>
          </cell>
          <cell r="C20">
            <v>0</v>
          </cell>
        </row>
        <row r="21">
          <cell r="A21" t="str">
            <v>197562-7</v>
          </cell>
          <cell r="B21" t="str">
            <v>JUAN ANTONIO LEWIN GOTUZZO</v>
          </cell>
          <cell r="C21">
            <v>0</v>
          </cell>
        </row>
        <row r="22">
          <cell r="A22" t="str">
            <v>201777-8</v>
          </cell>
          <cell r="B22" t="str">
            <v>MANTENIMIENTO DE JARDINERIA, S.A. DE C.V.</v>
          </cell>
          <cell r="C22">
            <v>0</v>
          </cell>
        </row>
        <row r="23">
          <cell r="A23" t="str">
            <v>206372-1</v>
          </cell>
          <cell r="B23" t="str">
            <v>EMPAQUES FINOS E IMPRESOS, S.A. DE C.V.</v>
          </cell>
          <cell r="C23">
            <v>0</v>
          </cell>
        </row>
        <row r="24">
          <cell r="A24" t="str">
            <v>213-5</v>
          </cell>
          <cell r="B24" t="str">
            <v>SEGUROS E INVERSIONES, S.A DE C.V.</v>
          </cell>
          <cell r="C24">
            <v>0</v>
          </cell>
        </row>
        <row r="25">
          <cell r="A25" t="str">
            <v>23175-4</v>
          </cell>
          <cell r="B25" t="str">
            <v>TELEMOVIL EL SALVADOR, S.A</v>
          </cell>
          <cell r="C25">
            <v>0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>
            <v>0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>
            <v>0</v>
          </cell>
        </row>
        <row r="30">
          <cell r="A30" t="str">
            <v>3945-4</v>
          </cell>
          <cell r="B30" t="str">
            <v>CITITARJETAS DE EL SALVADOR, S.A.</v>
          </cell>
          <cell r="C30">
            <v>0</v>
          </cell>
        </row>
        <row r="31">
          <cell r="A31" t="str">
            <v>40522-1</v>
          </cell>
          <cell r="B31" t="str">
            <v>INVERSIONES DE SALUD, S.A. DE C.V.</v>
          </cell>
          <cell r="C31">
            <v>0</v>
          </cell>
        </row>
        <row r="32">
          <cell r="A32" t="str">
            <v>4208-0</v>
          </cell>
          <cell r="B32" t="str">
            <v>ESCOTO, S.A. DE C.V.</v>
          </cell>
          <cell r="C32">
            <v>0</v>
          </cell>
        </row>
        <row r="33">
          <cell r="A33" t="str">
            <v>49030-0</v>
          </cell>
          <cell r="B33" t="str">
            <v>GUSTAVO ARGUETA RIVAS</v>
          </cell>
          <cell r="C33">
            <v>0</v>
          </cell>
        </row>
        <row r="34">
          <cell r="A34" t="str">
            <v>51-5</v>
          </cell>
          <cell r="B34" t="str">
            <v>R.R. DONNELLEY DE EL SALVADOR, S.A. DE C.V.</v>
          </cell>
          <cell r="C34">
            <v>0</v>
          </cell>
        </row>
        <row r="35">
          <cell r="A35" t="str">
            <v>5305-8</v>
          </cell>
          <cell r="B35" t="str">
            <v>CLUB SALINITAS, S.A. DE C.V.</v>
          </cell>
          <cell r="C35">
            <v>0</v>
          </cell>
        </row>
        <row r="36">
          <cell r="A36" t="str">
            <v>552-5</v>
          </cell>
          <cell r="B36" t="str">
            <v>BANCO AGRICOLA, S.A.</v>
          </cell>
          <cell r="C36">
            <v>0</v>
          </cell>
        </row>
        <row r="37">
          <cell r="A37" t="str">
            <v>589-4</v>
          </cell>
          <cell r="B37" t="str">
            <v>CITIBANK, N.A. SUCURSAL EL SALVADOR</v>
          </cell>
          <cell r="C37">
            <v>0</v>
          </cell>
        </row>
        <row r="38">
          <cell r="A38" t="str">
            <v>627-0</v>
          </cell>
          <cell r="B38" t="str">
            <v>BOLSA DE VALORES DE EL SALVADOR, S.A. DE C.V.</v>
          </cell>
          <cell r="C38">
            <v>0</v>
          </cell>
        </row>
        <row r="39">
          <cell r="A39" t="str">
            <v>71253-1</v>
          </cell>
          <cell r="B39" t="str">
            <v>OFIXPRES, S.A. DE C.V.</v>
          </cell>
          <cell r="C39">
            <v>0</v>
          </cell>
        </row>
        <row r="40">
          <cell r="A40" t="str">
            <v>73208-7</v>
          </cell>
          <cell r="B40" t="str">
            <v>CLINICA DE RAXOS X BRITO MEJIA PEÑA, S.A. DE C.V.</v>
          </cell>
          <cell r="C40">
            <v>0</v>
          </cell>
        </row>
        <row r="41">
          <cell r="A41" t="str">
            <v>74789-0</v>
          </cell>
          <cell r="B41" t="str">
            <v>JUAN ANTONIO NUNFIO</v>
          </cell>
          <cell r="C41">
            <v>0</v>
          </cell>
        </row>
        <row r="42">
          <cell r="A42" t="str">
            <v>77122-8</v>
          </cell>
          <cell r="B42" t="str">
            <v>ENMANUEL, S.A. DE C.V.</v>
          </cell>
          <cell r="C42">
            <v>0</v>
          </cell>
        </row>
        <row r="43">
          <cell r="A43" t="str">
            <v>70907-7</v>
          </cell>
          <cell r="B43" t="str">
            <v xml:space="preserve">BUFETE MOLINA ZUNIGA </v>
          </cell>
          <cell r="C43">
            <v>0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>
            <v>0</v>
          </cell>
        </row>
        <row r="46">
          <cell r="A46" t="str">
            <v>82136-5</v>
          </cell>
          <cell r="B46" t="str">
            <v>BIANCHI &amp; ASOCIADOS, S.A. DE C.V.</v>
          </cell>
          <cell r="C46">
            <v>0</v>
          </cell>
        </row>
        <row r="47">
          <cell r="A47" t="str">
            <v>82136-5</v>
          </cell>
          <cell r="B47" t="str">
            <v>OGILVY BIANCHI &amp; ASOCIADOS, S.A. DE C.V.</v>
          </cell>
          <cell r="C47">
            <v>0</v>
          </cell>
        </row>
        <row r="48">
          <cell r="A48" t="str">
            <v>83701-6</v>
          </cell>
          <cell r="B48" t="str">
            <v>LIMPIEZAS Y SERVICIOS PROFESIONALES, S.A. DE C.V.</v>
          </cell>
          <cell r="C48">
            <v>0</v>
          </cell>
        </row>
        <row r="49">
          <cell r="A49" t="str">
            <v>88189-9</v>
          </cell>
          <cell r="B49" t="str">
            <v>ENERGIA TOTAL, S.A. DE C.V.</v>
          </cell>
          <cell r="C49">
            <v>0</v>
          </cell>
        </row>
        <row r="50">
          <cell r="A50" t="str">
            <v>98207-5</v>
          </cell>
          <cell r="B50" t="str">
            <v>SUPLIDORA DE EQUIPOS Y SERVICIO, S.A. DE C.V.</v>
          </cell>
          <cell r="C50">
            <v>0</v>
          </cell>
        </row>
        <row r="51">
          <cell r="A51" t="str">
            <v>9861-2</v>
          </cell>
          <cell r="B51" t="str">
            <v>GOCHEZ RODRIGUEZ ANGEL RICARDO</v>
          </cell>
          <cell r="C51">
            <v>0</v>
          </cell>
        </row>
        <row r="52">
          <cell r="A52" t="str">
            <v>99126-0</v>
          </cell>
          <cell r="B52" t="str">
            <v>GAMA AUTO AIRE, S.A. DE C.V.</v>
          </cell>
          <cell r="C52">
            <v>0</v>
          </cell>
        </row>
        <row r="53">
          <cell r="A53" t="str">
            <v>99838-9</v>
          </cell>
          <cell r="B53" t="str">
            <v>DIRECCION GENERAL DE ESTADISTICAS Y CENSO</v>
          </cell>
          <cell r="C53">
            <v>0</v>
          </cell>
        </row>
        <row r="54">
          <cell r="A54" t="str">
            <v>79816-9</v>
          </cell>
          <cell r="B54" t="str">
            <v>CITI INVERSIONES SA DE CV</v>
          </cell>
          <cell r="C54">
            <v>0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>
            <v>0</v>
          </cell>
        </row>
        <row r="57">
          <cell r="A57" t="str">
            <v>111-2</v>
          </cell>
          <cell r="B57" t="str">
            <v>CITIBANK INTERNATIONAL PLC HUINGARY</v>
          </cell>
          <cell r="C57">
            <v>0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>
            <v>0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</row>
        <row r="61">
          <cell r="A61" t="str">
            <v>140973-9</v>
          </cell>
          <cell r="B61" t="str">
            <v>ENERGIA Y AIRE S.A DE C.V</v>
          </cell>
        </row>
        <row r="62">
          <cell r="A62" t="str">
            <v>250443-6</v>
          </cell>
          <cell r="B62" t="str">
            <v>INVERSIONES FINANCIERAS IMPERIA CUSCATLAN, SA</v>
          </cell>
        </row>
        <row r="63">
          <cell r="A63" t="str">
            <v>1674-8</v>
          </cell>
          <cell r="B63" t="str">
            <v xml:space="preserve">BANCO HIPOTECARIO DE EL SALVADOR SA </v>
          </cell>
        </row>
        <row r="64">
          <cell r="A64" t="str">
            <v>28-0</v>
          </cell>
          <cell r="B64" t="str">
            <v>O &amp; R MARKETING COMMUNICATIONS, S.A DE C.V.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0100</v>
          </cell>
          <cell r="B3" t="str">
            <v>CITI TECHNOLOGY INC</v>
          </cell>
          <cell r="C3">
            <v>0</v>
          </cell>
        </row>
        <row r="4">
          <cell r="A4" t="str">
            <v>0101</v>
          </cell>
          <cell r="B4" t="str">
            <v>01279 CITIGROUP TECHNOLOGY INC</v>
          </cell>
          <cell r="C4">
            <v>0</v>
          </cell>
        </row>
        <row r="5">
          <cell r="A5" t="str">
            <v>898</v>
          </cell>
          <cell r="B5" t="str">
            <v>CITIGROUP GLOBAL MARKETS INC</v>
          </cell>
          <cell r="C5">
            <v>0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>
            <v>0</v>
          </cell>
        </row>
        <row r="9">
          <cell r="A9" t="str">
            <v>124482-0</v>
          </cell>
          <cell r="B9" t="str">
            <v>SISA VIDA, S.A. SEGUROS DE PERSONAS</v>
          </cell>
          <cell r="C9">
            <v>0</v>
          </cell>
        </row>
        <row r="10">
          <cell r="A10" t="str">
            <v>1299-8</v>
          </cell>
          <cell r="B10" t="str">
            <v>TECNICA INTERNACIONAL, S.A. DE C.V.</v>
          </cell>
          <cell r="C10">
            <v>0</v>
          </cell>
        </row>
        <row r="11">
          <cell r="A11" t="str">
            <v>130620-7</v>
          </cell>
          <cell r="B11" t="str">
            <v>ANY CRISTY ARGUMEDO CAMPOS</v>
          </cell>
          <cell r="C11">
            <v>0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>
            <v>0</v>
          </cell>
        </row>
        <row r="14">
          <cell r="A14" t="str">
            <v>141592-0</v>
          </cell>
          <cell r="B14" t="str">
            <v>INVERSIONES FINANCIERAS CITIBANK, S.A.</v>
          </cell>
          <cell r="C14">
            <v>0</v>
          </cell>
        </row>
        <row r="15">
          <cell r="A15" t="str">
            <v>146-5</v>
          </cell>
          <cell r="B15" t="str">
            <v>BANCO CUSCATLAN DE EL SALVADOR S.A.</v>
          </cell>
          <cell r="C15">
            <v>0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>
            <v>0</v>
          </cell>
        </row>
        <row r="18">
          <cell r="A18" t="str">
            <v>168981-2</v>
          </cell>
          <cell r="B18" t="str">
            <v>MAILROOM EXPRESS, S.A. DE C.V.</v>
          </cell>
          <cell r="C18">
            <v>0</v>
          </cell>
        </row>
        <row r="19">
          <cell r="A19" t="str">
            <v>177442-5</v>
          </cell>
          <cell r="B19" t="str">
            <v>DATAPRINT DE EL SALVADOR, S.A. DE C.V.</v>
          </cell>
          <cell r="C19">
            <v>0</v>
          </cell>
        </row>
        <row r="20">
          <cell r="A20" t="str">
            <v>183732-4</v>
          </cell>
          <cell r="B20" t="str">
            <v>JONES LANG LASALLE, S.A. DE C.V.</v>
          </cell>
          <cell r="C20">
            <v>0</v>
          </cell>
        </row>
        <row r="21">
          <cell r="A21" t="str">
            <v>197562-7</v>
          </cell>
          <cell r="B21" t="str">
            <v>JUAN ANTONIO LEWIN GOTUZZO</v>
          </cell>
          <cell r="C21">
            <v>0</v>
          </cell>
        </row>
        <row r="22">
          <cell r="A22" t="str">
            <v>201777-8</v>
          </cell>
          <cell r="B22" t="str">
            <v>MANTENIMIENTO DE JARDINERIA, S.A. DE C.V.</v>
          </cell>
          <cell r="C22">
            <v>0</v>
          </cell>
        </row>
        <row r="23">
          <cell r="A23" t="str">
            <v>206372-1</v>
          </cell>
          <cell r="B23" t="str">
            <v>EMPAQUES FINOS E IMPRESOS, S.A. DE C.V.</v>
          </cell>
          <cell r="C23">
            <v>0</v>
          </cell>
        </row>
        <row r="24">
          <cell r="A24" t="str">
            <v>213-5</v>
          </cell>
          <cell r="B24" t="str">
            <v>SEGUROS E INVERSIONES, S.A DE C.V.</v>
          </cell>
          <cell r="C24">
            <v>0</v>
          </cell>
        </row>
        <row r="25">
          <cell r="A25" t="str">
            <v>23175-4</v>
          </cell>
          <cell r="B25" t="str">
            <v>TELEMOVIL EL SALVADOR, S.A</v>
          </cell>
          <cell r="C25">
            <v>0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>
            <v>0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>
            <v>0</v>
          </cell>
        </row>
        <row r="30">
          <cell r="A30" t="str">
            <v>3945-4</v>
          </cell>
          <cell r="B30" t="str">
            <v>CITITARJETAS DE EL SALVADOR, S.A.</v>
          </cell>
          <cell r="C30">
            <v>0</v>
          </cell>
        </row>
        <row r="31">
          <cell r="A31" t="str">
            <v>40522-1</v>
          </cell>
          <cell r="B31" t="str">
            <v>INVERSIONES DE SALUD, S.A. DE C.V.</v>
          </cell>
          <cell r="C31">
            <v>0</v>
          </cell>
        </row>
        <row r="32">
          <cell r="A32" t="str">
            <v>4208-0</v>
          </cell>
          <cell r="B32" t="str">
            <v>ESCOTO, S.A. DE C.V.</v>
          </cell>
          <cell r="C32">
            <v>0</v>
          </cell>
        </row>
        <row r="33">
          <cell r="A33" t="str">
            <v>49030-0</v>
          </cell>
          <cell r="B33" t="str">
            <v>GUSTAVO ARGUETA RIVAS</v>
          </cell>
          <cell r="C33">
            <v>0</v>
          </cell>
        </row>
        <row r="34">
          <cell r="A34" t="str">
            <v>51-5</v>
          </cell>
          <cell r="B34" t="str">
            <v>R.R. DONNELLEY DE EL SALVADOR, S.A. DE C.V.</v>
          </cell>
          <cell r="C34">
            <v>0</v>
          </cell>
        </row>
        <row r="35">
          <cell r="A35" t="str">
            <v>5305-8</v>
          </cell>
          <cell r="B35" t="str">
            <v>CLUB SALINITAS, S.A. DE C.V.</v>
          </cell>
          <cell r="C35">
            <v>0</v>
          </cell>
        </row>
        <row r="36">
          <cell r="A36" t="str">
            <v>552-5</v>
          </cell>
          <cell r="B36" t="str">
            <v>BANCO AGRICOLA, S.A.</v>
          </cell>
          <cell r="C36">
            <v>0</v>
          </cell>
        </row>
        <row r="37">
          <cell r="A37" t="str">
            <v>589-4</v>
          </cell>
          <cell r="B37" t="str">
            <v>CITIBANK, N.A. SUCURSAL EL SALVADOR</v>
          </cell>
          <cell r="C37">
            <v>0</v>
          </cell>
        </row>
        <row r="38">
          <cell r="A38" t="str">
            <v>627-0</v>
          </cell>
          <cell r="B38" t="str">
            <v>BOLSA DE VALORES DE EL SALVADOR, S.A. DE C.V.</v>
          </cell>
          <cell r="C38">
            <v>0</v>
          </cell>
        </row>
        <row r="39">
          <cell r="A39" t="str">
            <v>71253-1</v>
          </cell>
          <cell r="B39" t="str">
            <v>OFIXPRES, S.A. DE C.V.</v>
          </cell>
          <cell r="C39">
            <v>0</v>
          </cell>
        </row>
        <row r="40">
          <cell r="A40" t="str">
            <v>73208-7</v>
          </cell>
          <cell r="B40" t="str">
            <v>CLINICA DE RAXOS X BRITO MEJIA PEÑA, S.A. DE C.V.</v>
          </cell>
          <cell r="C40">
            <v>0</v>
          </cell>
        </row>
        <row r="41">
          <cell r="A41" t="str">
            <v>74789-0</v>
          </cell>
          <cell r="B41" t="str">
            <v>JUAN ANTONIO NUNFIO</v>
          </cell>
          <cell r="C41">
            <v>0</v>
          </cell>
        </row>
        <row r="42">
          <cell r="A42" t="str">
            <v>77122-8</v>
          </cell>
          <cell r="B42" t="str">
            <v>ENMANUEL, S.A. DE C.V.</v>
          </cell>
          <cell r="C42">
            <v>0</v>
          </cell>
        </row>
        <row r="43">
          <cell r="A43" t="str">
            <v>70907-7</v>
          </cell>
          <cell r="B43" t="str">
            <v xml:space="preserve">BUFETE MOLINA ZUNIGA </v>
          </cell>
          <cell r="C43">
            <v>0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>
            <v>0</v>
          </cell>
        </row>
        <row r="46">
          <cell r="A46" t="str">
            <v>82136-5</v>
          </cell>
          <cell r="B46" t="str">
            <v>BIANCHI &amp; ASOCIADOS, S.A. DE C.V.</v>
          </cell>
          <cell r="C46">
            <v>0</v>
          </cell>
        </row>
        <row r="47">
          <cell r="A47" t="str">
            <v>82136-5</v>
          </cell>
          <cell r="B47" t="str">
            <v>OGILVY BIANCHI &amp; ASOCIADOS, S.A. DE C.V.</v>
          </cell>
          <cell r="C47">
            <v>0</v>
          </cell>
        </row>
        <row r="48">
          <cell r="A48" t="str">
            <v>83701-6</v>
          </cell>
          <cell r="B48" t="str">
            <v>LIMPIEZAS Y SERVICIOS PROFESIONALES, S.A. DE C.V.</v>
          </cell>
          <cell r="C48">
            <v>0</v>
          </cell>
        </row>
        <row r="49">
          <cell r="A49" t="str">
            <v>88189-9</v>
          </cell>
          <cell r="B49" t="str">
            <v>ENERGIA TOTAL, S.A. DE C.V.</v>
          </cell>
          <cell r="C49">
            <v>0</v>
          </cell>
        </row>
        <row r="50">
          <cell r="A50" t="str">
            <v>98207-5</v>
          </cell>
          <cell r="B50" t="str">
            <v>SUPLIDORA DE EQUIPOS Y SERVICIO, S.A. DE C.V.</v>
          </cell>
          <cell r="C50">
            <v>0</v>
          </cell>
        </row>
        <row r="51">
          <cell r="A51" t="str">
            <v>9861-2</v>
          </cell>
          <cell r="B51" t="str">
            <v>GOCHEZ RODRIGUEZ ANGEL RICARDO</v>
          </cell>
          <cell r="C51">
            <v>0</v>
          </cell>
        </row>
        <row r="52">
          <cell r="A52" t="str">
            <v>99126-0</v>
          </cell>
          <cell r="B52" t="str">
            <v>GAMA AUTO AIRE, S.A. DE C.V.</v>
          </cell>
          <cell r="C52">
            <v>0</v>
          </cell>
        </row>
        <row r="53">
          <cell r="A53" t="str">
            <v>99838-9</v>
          </cell>
          <cell r="B53" t="str">
            <v>DIRECCION GENERAL DE ESTADISTICAS Y CENSO</v>
          </cell>
          <cell r="C53">
            <v>0</v>
          </cell>
        </row>
        <row r="54">
          <cell r="A54" t="str">
            <v>79816-9</v>
          </cell>
          <cell r="B54" t="str">
            <v>CITI INVERSIONES SA DE CV</v>
          </cell>
          <cell r="C54">
            <v>0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>
            <v>0</v>
          </cell>
        </row>
        <row r="57">
          <cell r="A57" t="str">
            <v>111-2</v>
          </cell>
          <cell r="B57" t="str">
            <v>CITIBANK INTERNATIONAL PLC HUINGARY</v>
          </cell>
          <cell r="C57">
            <v>0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>
            <v>0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13%"/>
      <sheetName val="Integracion 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Ventas CCF"/>
      <sheetName val="Integracion "/>
      <sheetName val="1%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>
        <row r="5">
          <cell r="B5" t="str">
            <v>MES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  <sheetName val="Hoja1"/>
    </sheetNames>
    <sheetDataSet>
      <sheetData sheetId="0">
        <row r="1">
          <cell r="A1" t="str">
            <v>REGISTRO</v>
          </cell>
          <cell r="B1" t="str">
            <v>NOMBRE</v>
          </cell>
        </row>
        <row r="2">
          <cell r="A2"/>
          <cell r="B2"/>
          <cell r="C2"/>
        </row>
        <row r="3">
          <cell r="A3" t="str">
            <v>0100</v>
          </cell>
          <cell r="B3" t="str">
            <v>CITI TECHNOLOGY INC</v>
          </cell>
          <cell r="C3"/>
        </row>
        <row r="4">
          <cell r="A4" t="str">
            <v>0101</v>
          </cell>
          <cell r="B4" t="str">
            <v>01279 CITIGROUP TECHNOLOGY INC</v>
          </cell>
          <cell r="C4"/>
        </row>
        <row r="5">
          <cell r="A5" t="str">
            <v>898</v>
          </cell>
          <cell r="B5" t="str">
            <v>CITIGROUP GLOBAL MARKETS INC</v>
          </cell>
          <cell r="C5"/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  <cell r="C8"/>
        </row>
        <row r="9">
          <cell r="A9" t="str">
            <v>124482-0</v>
          </cell>
          <cell r="B9" t="str">
            <v>SISA VIDA, S.A. SEGUROS DE PERSONAS</v>
          </cell>
          <cell r="C9"/>
        </row>
        <row r="10">
          <cell r="A10" t="str">
            <v>1299-8</v>
          </cell>
          <cell r="B10" t="str">
            <v>TECNICA INTERNACIONAL, S.A. DE C.V.</v>
          </cell>
          <cell r="C10"/>
        </row>
        <row r="11">
          <cell r="A11" t="str">
            <v>130620-7</v>
          </cell>
          <cell r="B11" t="str">
            <v>ANY CRISTY ARGUMEDO CAMPOS</v>
          </cell>
          <cell r="C11"/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  <cell r="C13"/>
        </row>
        <row r="14">
          <cell r="A14" t="str">
            <v>141592-0</v>
          </cell>
          <cell r="B14" t="str">
            <v>INVERSIONES FINANCIERAS CITIBANK, S.A.</v>
          </cell>
          <cell r="C14"/>
        </row>
        <row r="15">
          <cell r="A15" t="str">
            <v>146-5</v>
          </cell>
          <cell r="B15" t="str">
            <v>BANCO CUSCATLAN DE EL SALVADOR S.A.</v>
          </cell>
          <cell r="C15"/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  <cell r="C17"/>
        </row>
        <row r="18">
          <cell r="A18" t="str">
            <v>168981-2</v>
          </cell>
          <cell r="B18" t="str">
            <v>MAILROOM EXPRESS, S.A. DE C.V.</v>
          </cell>
          <cell r="C18"/>
        </row>
        <row r="19">
          <cell r="A19" t="str">
            <v>177442-5</v>
          </cell>
          <cell r="B19" t="str">
            <v>DATAPRINT DE EL SALVADOR, S.A. DE C.V.</v>
          </cell>
          <cell r="C19"/>
        </row>
        <row r="20">
          <cell r="A20" t="str">
            <v>183732-4</v>
          </cell>
          <cell r="B20" t="str">
            <v>JONES LANG LASALLE, S.A. DE C.V.</v>
          </cell>
          <cell r="C20"/>
        </row>
        <row r="21">
          <cell r="A21" t="str">
            <v>197562-7</v>
          </cell>
          <cell r="B21" t="str">
            <v>JUAN ANTONIO LEWIN GOTUZZO</v>
          </cell>
          <cell r="C21"/>
        </row>
        <row r="22">
          <cell r="A22" t="str">
            <v>201777-8</v>
          </cell>
          <cell r="B22" t="str">
            <v>MANTENIMIENTO DE JARDINERIA, S.A. DE C.V.</v>
          </cell>
          <cell r="C22"/>
        </row>
        <row r="23">
          <cell r="A23" t="str">
            <v>206372-1</v>
          </cell>
          <cell r="B23" t="str">
            <v>EMPAQUES FINOS E IMPRESOS, S.A. DE C.V.</v>
          </cell>
          <cell r="C23"/>
        </row>
        <row r="24">
          <cell r="A24" t="str">
            <v>213-5</v>
          </cell>
          <cell r="B24" t="str">
            <v>SEGUROS E INVERSIONES, S.A DE C.V.</v>
          </cell>
          <cell r="C24"/>
        </row>
        <row r="25">
          <cell r="A25" t="str">
            <v>23175-4</v>
          </cell>
          <cell r="B25" t="str">
            <v>TELEMOVIL EL SALVADOR, S.A</v>
          </cell>
          <cell r="C25"/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  <cell r="C27"/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  <cell r="C29"/>
        </row>
        <row r="30">
          <cell r="A30" t="str">
            <v>3945-4</v>
          </cell>
          <cell r="B30" t="str">
            <v>CITITARJETAS DE EL SALVADOR, S.A.</v>
          </cell>
          <cell r="C30"/>
        </row>
        <row r="31">
          <cell r="A31" t="str">
            <v>40522-1</v>
          </cell>
          <cell r="B31" t="str">
            <v>INVERSIONES DE SALUD, S.A. DE C.V.</v>
          </cell>
          <cell r="C31"/>
        </row>
        <row r="32">
          <cell r="A32" t="str">
            <v>4208-0</v>
          </cell>
          <cell r="B32" t="str">
            <v>ESCOTO, S.A. DE C.V.</v>
          </cell>
          <cell r="C32"/>
        </row>
        <row r="33">
          <cell r="A33" t="str">
            <v>49030-0</v>
          </cell>
          <cell r="B33" t="str">
            <v>GUSTAVO ARGUETA RIVAS</v>
          </cell>
          <cell r="C33"/>
        </row>
        <row r="34">
          <cell r="A34" t="str">
            <v>51-5</v>
          </cell>
          <cell r="B34" t="str">
            <v>R.R. DONNELLEY DE EL SALVADOR, S.A. DE C.V.</v>
          </cell>
          <cell r="C34"/>
        </row>
        <row r="35">
          <cell r="A35" t="str">
            <v>5305-8</v>
          </cell>
          <cell r="B35" t="str">
            <v>CLUB SALINITAS, S.A. DE C.V.</v>
          </cell>
          <cell r="C35"/>
        </row>
        <row r="36">
          <cell r="A36" t="str">
            <v>552-5</v>
          </cell>
          <cell r="B36" t="str">
            <v>BANCO AGRICOLA, S.A.</v>
          </cell>
          <cell r="C36"/>
        </row>
        <row r="37">
          <cell r="A37" t="str">
            <v>589-4</v>
          </cell>
          <cell r="B37" t="str">
            <v>CITIBANK, N.A. SUCURSAL EL SALVADOR</v>
          </cell>
          <cell r="C37"/>
        </row>
        <row r="38">
          <cell r="A38" t="str">
            <v>627-0</v>
          </cell>
          <cell r="B38" t="str">
            <v>BOLSA DE VALORES DE EL SALVADOR, S.A. DE C.V.</v>
          </cell>
          <cell r="C38"/>
        </row>
        <row r="39">
          <cell r="A39" t="str">
            <v>71253-1</v>
          </cell>
          <cell r="B39" t="str">
            <v>OFIXPRES, S.A. DE C.V.</v>
          </cell>
          <cell r="C39"/>
        </row>
        <row r="40">
          <cell r="A40" t="str">
            <v>73208-7</v>
          </cell>
          <cell r="B40" t="str">
            <v>CLINICA DE RAXOS X BRITO MEJIA PEÑA, S.A. DE C.V.</v>
          </cell>
          <cell r="C40"/>
        </row>
        <row r="41">
          <cell r="A41" t="str">
            <v>74789-0</v>
          </cell>
          <cell r="B41" t="str">
            <v>JUAN ANTONIO NUNFIO</v>
          </cell>
          <cell r="C41"/>
        </row>
        <row r="42">
          <cell r="A42" t="str">
            <v>77122-8</v>
          </cell>
          <cell r="B42" t="str">
            <v>ENMANUEL, S.A. DE C.V.</v>
          </cell>
          <cell r="C42"/>
        </row>
        <row r="43">
          <cell r="A43" t="str">
            <v>70907-7</v>
          </cell>
          <cell r="B43" t="str">
            <v xml:space="preserve">BUFETE MOLINA ZUNIGA </v>
          </cell>
          <cell r="C43"/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  <cell r="C45"/>
        </row>
        <row r="46">
          <cell r="A46" t="str">
            <v>82136-5</v>
          </cell>
          <cell r="B46" t="str">
            <v>BIANCHI &amp; ASOCIADOS, S.A. DE C.V.</v>
          </cell>
          <cell r="C46"/>
        </row>
        <row r="47">
          <cell r="A47" t="str">
            <v>82136-5</v>
          </cell>
          <cell r="B47" t="str">
            <v>OGILVY BIANCHI &amp; ASOCIADOS, S.A. DE C.V.</v>
          </cell>
          <cell r="C47"/>
        </row>
        <row r="48">
          <cell r="A48" t="str">
            <v>83701-6</v>
          </cell>
          <cell r="B48" t="str">
            <v>LIMPIEZAS Y SERVICIOS PROFESIONALES, S.A. DE C.V.</v>
          </cell>
          <cell r="C48"/>
        </row>
        <row r="49">
          <cell r="A49" t="str">
            <v>88189-9</v>
          </cell>
          <cell r="B49" t="str">
            <v>ENERGIA TOTAL, S.A. DE C.V.</v>
          </cell>
          <cell r="C49"/>
        </row>
        <row r="50">
          <cell r="A50" t="str">
            <v>98207-5</v>
          </cell>
          <cell r="B50" t="str">
            <v>SUPLIDORA DE EQUIPOS Y SERVICIO, S.A. DE C.V.</v>
          </cell>
          <cell r="C50"/>
        </row>
        <row r="51">
          <cell r="A51" t="str">
            <v>9861-2</v>
          </cell>
          <cell r="B51" t="str">
            <v>GOCHEZ RODRIGUEZ ANGEL RICARDO</v>
          </cell>
          <cell r="C51"/>
        </row>
        <row r="52">
          <cell r="A52" t="str">
            <v>99126-0</v>
          </cell>
          <cell r="B52" t="str">
            <v>GAMA AUTO AIRE, S.A. DE C.V.</v>
          </cell>
          <cell r="C52"/>
        </row>
        <row r="53">
          <cell r="A53" t="str">
            <v>99838-9</v>
          </cell>
          <cell r="B53" t="str">
            <v>DIRECCION GENERAL DE ESTADISTICAS Y CENSO</v>
          </cell>
          <cell r="C53"/>
        </row>
        <row r="54">
          <cell r="A54" t="str">
            <v>79816-9</v>
          </cell>
          <cell r="B54" t="str">
            <v>CITI INVERSIONES SA DE CV</v>
          </cell>
          <cell r="C54"/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  <cell r="C56"/>
        </row>
        <row r="57">
          <cell r="A57" t="str">
            <v>111-2</v>
          </cell>
          <cell r="B57" t="str">
            <v>CITIBANK INTERNATIONAL PLC HUINGARY</v>
          </cell>
          <cell r="C57"/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  <cell r="C59"/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CODIGOS"/>
      <sheetName val="PROVEEDORES"/>
      <sheetName val="CONCILIACION DE COMPRAS"/>
      <sheetName val="Integracion "/>
      <sheetName val="1%"/>
      <sheetName val="reportes consumidor final"/>
      <sheetName val="Ventas CCF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1%"/>
      <sheetName val="reportes consumidor final"/>
      <sheetName val="Ventas CCF"/>
      <sheetName val="Integracion "/>
      <sheetName val="13%"/>
      <sheetName val="Renta"/>
      <sheetName val="Memo Renta"/>
      <sheetName val="memo iva"/>
    </sheetNames>
    <sheetDataSet>
      <sheetData sheetId="0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Compras "/>
      <sheetName val="reportes consumidor final"/>
      <sheetName val="1%"/>
      <sheetName val="Ventas CCF"/>
      <sheetName val="13%"/>
      <sheetName val="Integracion "/>
      <sheetName val="Renta"/>
      <sheetName val="Memo Renta"/>
      <sheetName val="memo iva"/>
    </sheetNames>
    <sheetDataSet>
      <sheetData sheetId="0" refreshError="1">
        <row r="1">
          <cell r="A1" t="str">
            <v>REGISTRO</v>
          </cell>
          <cell r="B1" t="str">
            <v>NOMBRE</v>
          </cell>
        </row>
        <row r="3">
          <cell r="A3" t="str">
            <v>0100</v>
          </cell>
          <cell r="B3" t="str">
            <v>CITI TECHNOLOGY INC</v>
          </cell>
        </row>
        <row r="4">
          <cell r="A4" t="str">
            <v>0101</v>
          </cell>
          <cell r="B4" t="str">
            <v>01279 CITIGROUP TECHNOLOGY INC</v>
          </cell>
        </row>
        <row r="5">
          <cell r="A5" t="str">
            <v>898</v>
          </cell>
          <cell r="B5" t="str">
            <v>CITIGROUP GLOBAL MARKETS INC</v>
          </cell>
        </row>
        <row r="6">
          <cell r="A6" t="str">
            <v>0-99</v>
          </cell>
          <cell r="B6" t="str">
            <v>ANULADO</v>
          </cell>
          <cell r="C6" t="str">
            <v>ANULADO</v>
          </cell>
        </row>
        <row r="7">
          <cell r="A7" t="str">
            <v>115266-3</v>
          </cell>
          <cell r="B7" t="str">
            <v>ASOCIACION SALVADOREÑA DE INTERMEDIARIOS BURSATILES</v>
          </cell>
          <cell r="C7" t="str">
            <v>0614-270494-106-5</v>
          </cell>
        </row>
        <row r="8">
          <cell r="A8" t="str">
            <v>123271-1</v>
          </cell>
          <cell r="B8" t="str">
            <v>FUMIGADORA Y FORMULADORA CAMPOS, S.A. DE C.V.</v>
          </cell>
        </row>
        <row r="9">
          <cell r="A9" t="str">
            <v>124482-0</v>
          </cell>
          <cell r="B9" t="str">
            <v>SISA VIDA, S.A. SEGUROS DE PERSONAS</v>
          </cell>
        </row>
        <row r="10">
          <cell r="A10" t="str">
            <v>1299-8</v>
          </cell>
          <cell r="B10" t="str">
            <v>TECNICA INTERNACIONAL, S.A. DE C.V.</v>
          </cell>
        </row>
        <row r="11">
          <cell r="A11" t="str">
            <v>130620-7</v>
          </cell>
          <cell r="B11" t="str">
            <v>ANY CRISTY ARGUMEDO CAMPOS</v>
          </cell>
        </row>
        <row r="12">
          <cell r="A12" t="str">
            <v>131885-3</v>
          </cell>
          <cell r="B12" t="str">
            <v>ACCE, S.A. DE C.V.</v>
          </cell>
          <cell r="C12" t="str">
            <v>0614-130601-103-5</v>
          </cell>
        </row>
        <row r="13">
          <cell r="A13" t="str">
            <v>138130-3</v>
          </cell>
          <cell r="B13" t="str">
            <v>TECNASA ES, S.A. DE C.V.</v>
          </cell>
        </row>
        <row r="14">
          <cell r="A14" t="str">
            <v>141592-0</v>
          </cell>
          <cell r="B14" t="str">
            <v>INVERSIONES FINANCIERAS CITIBANK, S.A.</v>
          </cell>
        </row>
        <row r="15">
          <cell r="A15" t="str">
            <v>146-5</v>
          </cell>
          <cell r="B15" t="str">
            <v>BANCO CUSCATLAN DE EL SALVADOR S.A.</v>
          </cell>
        </row>
        <row r="16">
          <cell r="A16" t="str">
            <v>157889-5</v>
          </cell>
          <cell r="B16" t="str">
            <v>OPERADORES LOGISTICOS RANSA, S.A. DE C.V.</v>
          </cell>
          <cell r="C16" t="str">
            <v>0614-240604-106-0</v>
          </cell>
        </row>
        <row r="17">
          <cell r="A17" t="str">
            <v>166238-2</v>
          </cell>
          <cell r="B17" t="str">
            <v>MARIA MARTHA DELGADO MOLINA</v>
          </cell>
        </row>
        <row r="18">
          <cell r="A18" t="str">
            <v>168981-2</v>
          </cell>
          <cell r="B18" t="str">
            <v>MAILROOM EXPRESS, S.A. DE C.V.</v>
          </cell>
        </row>
        <row r="19">
          <cell r="A19" t="str">
            <v>177442-5</v>
          </cell>
          <cell r="B19" t="str">
            <v>DATAPRINT DE EL SALVADOR, S.A. DE C.V.</v>
          </cell>
        </row>
        <row r="20">
          <cell r="A20" t="str">
            <v>183732-4</v>
          </cell>
          <cell r="B20" t="str">
            <v>JONES LANG LASALLE, S.A. DE C.V.</v>
          </cell>
        </row>
        <row r="21">
          <cell r="A21" t="str">
            <v>197562-7</v>
          </cell>
          <cell r="B21" t="str">
            <v>JUAN ANTONIO LEWIN GOTUZZO</v>
          </cell>
        </row>
        <row r="22">
          <cell r="A22" t="str">
            <v>201777-8</v>
          </cell>
          <cell r="B22" t="str">
            <v>MANTENIMIENTO DE JARDINERIA, S.A. DE C.V.</v>
          </cell>
        </row>
        <row r="23">
          <cell r="A23" t="str">
            <v>206372-1</v>
          </cell>
          <cell r="B23" t="str">
            <v>EMPAQUES FINOS E IMPRESOS, S.A. DE C.V.</v>
          </cell>
        </row>
        <row r="24">
          <cell r="A24" t="str">
            <v>213-5</v>
          </cell>
          <cell r="B24" t="str">
            <v>SEGUROS E INVERSIONES, S.A DE C.V.</v>
          </cell>
        </row>
        <row r="25">
          <cell r="A25" t="str">
            <v>23175-4</v>
          </cell>
          <cell r="B25" t="str">
            <v>TELEMOVIL EL SALVADOR, S.A</v>
          </cell>
        </row>
        <row r="26">
          <cell r="A26" t="str">
            <v>27287-6</v>
          </cell>
          <cell r="B26" t="str">
            <v>KPMG, S.A.</v>
          </cell>
          <cell r="C26" t="str">
            <v>0614-280483-002-2</v>
          </cell>
        </row>
        <row r="27">
          <cell r="A27" t="str">
            <v>30373-9</v>
          </cell>
          <cell r="B27" t="str">
            <v>ACCIONES Y VALORES, S.A. DE C.V.</v>
          </cell>
        </row>
        <row r="28">
          <cell r="A28" t="str">
            <v>88004-3</v>
          </cell>
          <cell r="B28" t="str">
            <v>COMUNICACIÓN CREATIVA SA DE CV</v>
          </cell>
          <cell r="C28" t="str">
            <v>0614-070995-104-0</v>
          </cell>
        </row>
        <row r="29">
          <cell r="A29" t="str">
            <v>33712-9</v>
          </cell>
          <cell r="B29" t="str">
            <v>PRAKIN, S,A, DE C,V,</v>
          </cell>
        </row>
        <row r="30">
          <cell r="A30" t="str">
            <v>3945-4</v>
          </cell>
          <cell r="B30" t="str">
            <v>CITITARJETAS DE EL SALVADOR, S.A.</v>
          </cell>
        </row>
        <row r="31">
          <cell r="A31" t="str">
            <v>40522-1</v>
          </cell>
          <cell r="B31" t="str">
            <v>INVERSIONES DE SALUD, S.A. DE C.V.</v>
          </cell>
        </row>
        <row r="32">
          <cell r="A32" t="str">
            <v>4208-0</v>
          </cell>
          <cell r="B32" t="str">
            <v>ESCOTO, S.A. DE C.V.</v>
          </cell>
        </row>
        <row r="33">
          <cell r="A33" t="str">
            <v>49030-0</v>
          </cell>
          <cell r="B33" t="str">
            <v>GUSTAVO ARGUETA RIVAS</v>
          </cell>
        </row>
        <row r="34">
          <cell r="A34" t="str">
            <v>51-5</v>
          </cell>
          <cell r="B34" t="str">
            <v>R.R. DONNELLEY DE EL SALVADOR, S.A. DE C.V.</v>
          </cell>
        </row>
        <row r="35">
          <cell r="A35" t="str">
            <v>5305-8</v>
          </cell>
          <cell r="B35" t="str">
            <v>CLUB SALINITAS, S.A. DE C.V.</v>
          </cell>
        </row>
        <row r="36">
          <cell r="A36" t="str">
            <v>552-5</v>
          </cell>
          <cell r="B36" t="str">
            <v>BANCO AGRICOLA, S.A.</v>
          </cell>
        </row>
        <row r="37">
          <cell r="A37" t="str">
            <v>589-4</v>
          </cell>
          <cell r="B37" t="str">
            <v>CITIBANK, N.A. SUCURSAL EL SALVADOR</v>
          </cell>
        </row>
        <row r="38">
          <cell r="A38" t="str">
            <v>627-0</v>
          </cell>
          <cell r="B38" t="str">
            <v>BOLSA DE VALORES DE EL SALVADOR, S.A. DE C.V.</v>
          </cell>
        </row>
        <row r="39">
          <cell r="A39" t="str">
            <v>71253-1</v>
          </cell>
          <cell r="B39" t="str">
            <v>OFIXPRES, S.A. DE C.V.</v>
          </cell>
        </row>
        <row r="40">
          <cell r="A40" t="str">
            <v>73208-7</v>
          </cell>
          <cell r="B40" t="str">
            <v>CLINICA DE RAXOS X BRITO MEJIA PEÑA, S.A. DE C.V.</v>
          </cell>
        </row>
        <row r="41">
          <cell r="A41" t="str">
            <v>74789-0</v>
          </cell>
          <cell r="B41" t="str">
            <v>JUAN ANTONIO NUNFIO</v>
          </cell>
        </row>
        <row r="42">
          <cell r="A42" t="str">
            <v>77122-8</v>
          </cell>
          <cell r="B42" t="str">
            <v>ENMANUEL, S.A. DE C.V.</v>
          </cell>
        </row>
        <row r="43">
          <cell r="A43" t="str">
            <v>70907-7</v>
          </cell>
          <cell r="B43" t="str">
            <v xml:space="preserve">BUFETE MOLINA ZUNIGA </v>
          </cell>
        </row>
        <row r="44">
          <cell r="A44" t="str">
            <v>77485-5</v>
          </cell>
          <cell r="B44" t="str">
            <v>CENTRAL DE DEPOSITO DE VALORES, S.A. DE C.V.</v>
          </cell>
          <cell r="C44" t="str">
            <v>0614-110194-103-0</v>
          </cell>
        </row>
        <row r="45">
          <cell r="A45" t="str">
            <v>78319-6</v>
          </cell>
          <cell r="B45" t="str">
            <v>PROFESIONALES EN SERVICIOS, S.A. DE C.V.</v>
          </cell>
        </row>
        <row r="46">
          <cell r="A46" t="str">
            <v>82136-5</v>
          </cell>
          <cell r="B46" t="str">
            <v>BIANCHI &amp; ASOCIADOS, S.A. DE C.V.</v>
          </cell>
        </row>
        <row r="47">
          <cell r="A47" t="str">
            <v>82136-5</v>
          </cell>
          <cell r="B47" t="str">
            <v>OGILVY BIANCHI &amp; ASOCIADOS, S.A. DE C.V.</v>
          </cell>
        </row>
        <row r="48">
          <cell r="A48" t="str">
            <v>83701-6</v>
          </cell>
          <cell r="B48" t="str">
            <v>LIMPIEZAS Y SERVICIOS PROFESIONALES, S.A. DE C.V.</v>
          </cell>
        </row>
        <row r="49">
          <cell r="A49" t="str">
            <v>88189-9</v>
          </cell>
          <cell r="B49" t="str">
            <v>ENERGIA TOTAL, S.A. DE C.V.</v>
          </cell>
        </row>
        <row r="50">
          <cell r="A50" t="str">
            <v>98207-5</v>
          </cell>
          <cell r="B50" t="str">
            <v>SUPLIDORA DE EQUIPOS Y SERVICIO, S.A. DE C.V.</v>
          </cell>
        </row>
        <row r="51">
          <cell r="A51" t="str">
            <v>9861-2</v>
          </cell>
          <cell r="B51" t="str">
            <v>GOCHEZ RODRIGUEZ ANGEL RICARDO</v>
          </cell>
        </row>
        <row r="52">
          <cell r="A52" t="str">
            <v>99126-0</v>
          </cell>
          <cell r="B52" t="str">
            <v>GAMA AUTO AIRE, S.A. DE C.V.</v>
          </cell>
        </row>
        <row r="53">
          <cell r="A53" t="str">
            <v>99838-9</v>
          </cell>
          <cell r="B53" t="str">
            <v>DIRECCION GENERAL DE ESTADISTICAS Y CENSO</v>
          </cell>
        </row>
        <row r="54">
          <cell r="A54" t="str">
            <v>79816-9</v>
          </cell>
          <cell r="B54" t="str">
            <v>CITI INVERSIONES SA DE CV</v>
          </cell>
        </row>
        <row r="55">
          <cell r="A55" t="str">
            <v>189370-0</v>
          </cell>
          <cell r="B55" t="str">
            <v>ROBERTO ARMANDO BELTRAN VASQUEZ</v>
          </cell>
          <cell r="C55" t="str">
            <v>0805-280574-101-4</v>
          </cell>
        </row>
        <row r="56">
          <cell r="A56" t="str">
            <v>111-1</v>
          </cell>
          <cell r="B56" t="str">
            <v>BOLSA DE VALORES DE EL SALVADOR, S.A. DE C.V.</v>
          </cell>
        </row>
        <row r="57">
          <cell r="A57" t="str">
            <v>111-2</v>
          </cell>
          <cell r="B57" t="str">
            <v>CITIBANK INTERNATIONAL PLC HUINGARY</v>
          </cell>
        </row>
        <row r="58">
          <cell r="A58" t="str">
            <v>0-2</v>
          </cell>
          <cell r="B58" t="str">
            <v>NO DOMICILIADOS</v>
          </cell>
          <cell r="C58" t="str">
            <v>NO DOMICILIADOS</v>
          </cell>
        </row>
        <row r="59">
          <cell r="A59" t="str">
            <v>1110-0</v>
          </cell>
          <cell r="B59" t="str">
            <v>CITIBANK INTERNATIONAL LIMITED POLAND</v>
          </cell>
        </row>
        <row r="60">
          <cell r="A60" t="str">
            <v>85638-0</v>
          </cell>
          <cell r="B60" t="str">
            <v>DIMARTI SA DE CV</v>
          </cell>
          <cell r="C60" t="str">
            <v>0614-180595-102-2</v>
          </cell>
        </row>
        <row r="61">
          <cell r="A61" t="str">
            <v>140973-9</v>
          </cell>
          <cell r="B61" t="str">
            <v>ENERGIA Y AIRE S.A DE C.V</v>
          </cell>
          <cell r="C61" t="str">
            <v>0614-200302-104-2</v>
          </cell>
        </row>
        <row r="62">
          <cell r="A62" t="str">
            <v>250443-6</v>
          </cell>
          <cell r="B62" t="str">
            <v>INVERSIONES FINANCIERAS IMPERIA CUSCATLAN, SA</v>
          </cell>
          <cell r="C62" t="str">
            <v>0614-200516-102-0</v>
          </cell>
        </row>
        <row r="63">
          <cell r="A63" t="str">
            <v>1674-8</v>
          </cell>
          <cell r="B63" t="str">
            <v xml:space="preserve">BANCO HIPOTECARIO DE EL SALVADOR SA </v>
          </cell>
          <cell r="C63" t="str">
            <v>0614-290135-001-1</v>
          </cell>
        </row>
        <row r="64">
          <cell r="A64" t="str">
            <v>28-0</v>
          </cell>
          <cell r="B64" t="str">
            <v>O &amp; R MARKETING COMMUNICATIONS, S.A DE C.V.</v>
          </cell>
          <cell r="C64" t="str">
            <v>0614-010463-001-4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58" activePane="bottomLeft" state="frozen"/>
      <selection pane="bottomLeft" activeCell="E27" sqref="E27"/>
    </sheetView>
  </sheetViews>
  <sheetFormatPr baseColWidth="10" defaultColWidth="11.42578125" defaultRowHeight="12.75" x14ac:dyDescent="0.2"/>
  <cols>
    <col min="1" max="1" width="11.42578125" style="12"/>
    <col min="2" max="2" width="4" style="12" customWidth="1"/>
    <col min="3" max="3" width="3.7109375" style="12" customWidth="1"/>
    <col min="4" max="4" width="63.85546875" style="12" customWidth="1"/>
    <col min="5" max="5" width="15.42578125" style="13" customWidth="1"/>
    <col min="6" max="6" width="15.42578125" style="12" customWidth="1"/>
    <col min="7" max="7" width="22.85546875" style="12" customWidth="1"/>
    <col min="8" max="11" width="15.42578125" style="12" customWidth="1"/>
    <col min="12" max="16384" width="11.42578125" style="12"/>
  </cols>
  <sheetData>
    <row r="1" spans="2:12" x14ac:dyDescent="0.2">
      <c r="J1" s="14"/>
      <c r="K1" s="14"/>
      <c r="L1" s="14"/>
    </row>
    <row r="2" spans="2:12" ht="18" x14ac:dyDescent="0.25">
      <c r="D2" s="15" t="s">
        <v>96</v>
      </c>
      <c r="E2" s="16"/>
      <c r="G2" s="17"/>
      <c r="J2" s="14"/>
      <c r="K2" s="14"/>
      <c r="L2" s="14"/>
    </row>
    <row r="3" spans="2:12" ht="18" x14ac:dyDescent="0.25">
      <c r="D3" s="15" t="s">
        <v>245</v>
      </c>
      <c r="E3" s="16"/>
      <c r="G3" s="17"/>
      <c r="J3" s="14"/>
      <c r="K3" s="14"/>
      <c r="L3" s="14"/>
    </row>
    <row r="4" spans="2:12" ht="18" x14ac:dyDescent="0.25">
      <c r="D4" s="15" t="s">
        <v>243</v>
      </c>
      <c r="E4" s="16"/>
      <c r="G4" s="17"/>
      <c r="J4" s="14"/>
      <c r="K4" s="14"/>
      <c r="L4" s="14"/>
    </row>
    <row r="5" spans="2:12" ht="18" x14ac:dyDescent="0.25">
      <c r="D5" s="18" t="s">
        <v>1203</v>
      </c>
      <c r="E5" s="16"/>
      <c r="G5" s="17"/>
      <c r="J5" s="14"/>
      <c r="K5" s="14"/>
      <c r="L5" s="14"/>
    </row>
    <row r="6" spans="2:12" ht="18" x14ac:dyDescent="0.25">
      <c r="D6" s="18" t="s">
        <v>24</v>
      </c>
      <c r="E6" s="16"/>
      <c r="G6" s="17"/>
      <c r="J6" s="14"/>
      <c r="K6" s="14"/>
      <c r="L6" s="14"/>
    </row>
    <row r="7" spans="2:12" x14ac:dyDescent="0.2">
      <c r="G7" s="17"/>
      <c r="J7" s="14"/>
      <c r="K7" s="14"/>
      <c r="L7" s="14"/>
    </row>
    <row r="8" spans="2:12" x14ac:dyDescent="0.2">
      <c r="D8" s="17" t="s">
        <v>125</v>
      </c>
      <c r="J8" s="14"/>
      <c r="K8" s="14"/>
      <c r="L8" s="14"/>
    </row>
    <row r="9" spans="2:12" x14ac:dyDescent="0.2">
      <c r="B9" s="12">
        <v>11</v>
      </c>
      <c r="D9" s="17" t="s">
        <v>25</v>
      </c>
      <c r="G9" s="19">
        <v>2255241.1799999997</v>
      </c>
      <c r="J9" s="14"/>
      <c r="K9" s="14"/>
      <c r="L9" s="14"/>
    </row>
    <row r="10" spans="2:12" x14ac:dyDescent="0.2">
      <c r="J10" s="14"/>
      <c r="K10" s="14"/>
      <c r="L10" s="14"/>
    </row>
    <row r="11" spans="2:12" x14ac:dyDescent="0.2">
      <c r="B11" s="12">
        <v>111</v>
      </c>
      <c r="D11" s="12" t="s">
        <v>26</v>
      </c>
      <c r="F11" s="20">
        <v>2126276.5099999998</v>
      </c>
      <c r="J11" s="14"/>
      <c r="K11" s="14"/>
      <c r="L11" s="14"/>
    </row>
    <row r="12" spans="2:12" x14ac:dyDescent="0.2">
      <c r="B12" s="12">
        <v>112</v>
      </c>
      <c r="D12" s="86" t="s">
        <v>191</v>
      </c>
      <c r="F12" s="20">
        <v>114286</v>
      </c>
      <c r="J12" s="14"/>
      <c r="K12" s="14"/>
      <c r="L12" s="14"/>
    </row>
    <row r="13" spans="2:12" x14ac:dyDescent="0.2">
      <c r="B13" s="12">
        <v>113</v>
      </c>
      <c r="D13" s="12" t="s">
        <v>108</v>
      </c>
      <c r="F13" s="20">
        <v>0</v>
      </c>
      <c r="J13" s="14"/>
      <c r="K13" s="14"/>
      <c r="L13" s="14"/>
    </row>
    <row r="14" spans="2:12" x14ac:dyDescent="0.2">
      <c r="B14" s="12">
        <v>114</v>
      </c>
      <c r="D14" s="12" t="s">
        <v>138</v>
      </c>
      <c r="F14" s="20">
        <v>10169.299999999999</v>
      </c>
      <c r="I14" s="301"/>
      <c r="J14" s="302"/>
      <c r="K14" s="14"/>
      <c r="L14" s="14"/>
    </row>
    <row r="15" spans="2:12" x14ac:dyDescent="0.2">
      <c r="B15" s="12">
        <v>115</v>
      </c>
      <c r="D15" s="12" t="s">
        <v>106</v>
      </c>
      <c r="F15" s="20">
        <v>1403.76</v>
      </c>
      <c r="J15" s="14"/>
      <c r="K15" s="14"/>
      <c r="L15" s="14"/>
    </row>
    <row r="16" spans="2:12" x14ac:dyDescent="0.2">
      <c r="B16" s="12">
        <v>116</v>
      </c>
      <c r="D16" s="12" t="s">
        <v>52</v>
      </c>
      <c r="F16" s="20">
        <v>0</v>
      </c>
      <c r="J16" s="14"/>
      <c r="K16" s="14"/>
      <c r="L16" s="14"/>
    </row>
    <row r="17" spans="2:12" x14ac:dyDescent="0.2">
      <c r="B17" s="12">
        <v>117</v>
      </c>
      <c r="D17" s="12" t="s">
        <v>123</v>
      </c>
      <c r="F17" s="20">
        <v>2948.22</v>
      </c>
      <c r="J17" s="14"/>
      <c r="K17" s="14"/>
      <c r="L17" s="14"/>
    </row>
    <row r="18" spans="2:12" x14ac:dyDescent="0.2">
      <c r="B18" s="12">
        <v>118</v>
      </c>
      <c r="D18" s="12" t="s">
        <v>107</v>
      </c>
      <c r="E18" s="22"/>
      <c r="F18" s="23">
        <v>157.38999999999999</v>
      </c>
      <c r="G18" s="24"/>
      <c r="J18" s="14"/>
      <c r="K18" s="14"/>
      <c r="L18" s="14"/>
    </row>
    <row r="19" spans="2:12" x14ac:dyDescent="0.2">
      <c r="J19" s="14"/>
      <c r="K19" s="14"/>
      <c r="L19" s="14"/>
    </row>
    <row r="20" spans="2:12" x14ac:dyDescent="0.2">
      <c r="B20" s="12">
        <v>12</v>
      </c>
      <c r="D20" s="17" t="s">
        <v>27</v>
      </c>
      <c r="G20" s="19">
        <v>16864</v>
      </c>
      <c r="J20" s="14"/>
      <c r="K20" s="14"/>
      <c r="L20" s="14"/>
    </row>
    <row r="21" spans="2:12" x14ac:dyDescent="0.2">
      <c r="J21" s="14"/>
      <c r="K21" s="14"/>
      <c r="L21" s="14"/>
    </row>
    <row r="22" spans="2:12" x14ac:dyDescent="0.2">
      <c r="B22" s="12">
        <v>120</v>
      </c>
      <c r="D22" s="12" t="s">
        <v>164</v>
      </c>
      <c r="F22" s="20">
        <v>0</v>
      </c>
      <c r="J22" s="14"/>
      <c r="K22" s="14"/>
      <c r="L22" s="14"/>
    </row>
    <row r="23" spans="2:12" x14ac:dyDescent="0.2">
      <c r="B23" s="12">
        <v>121</v>
      </c>
      <c r="D23" s="12" t="s">
        <v>143</v>
      </c>
      <c r="F23" s="20">
        <v>0</v>
      </c>
      <c r="J23" s="14"/>
      <c r="K23" s="14"/>
      <c r="L23" s="14"/>
    </row>
    <row r="24" spans="2:12" x14ac:dyDescent="0.2">
      <c r="B24" s="12">
        <v>123</v>
      </c>
      <c r="D24" s="12" t="s">
        <v>28</v>
      </c>
      <c r="F24" s="20">
        <v>16864</v>
      </c>
      <c r="J24" s="14"/>
      <c r="K24" s="14"/>
      <c r="L24" s="14"/>
    </row>
    <row r="25" spans="2:12" x14ac:dyDescent="0.2">
      <c r="B25" s="12">
        <v>126</v>
      </c>
      <c r="D25" s="12" t="s">
        <v>6</v>
      </c>
      <c r="F25" s="20">
        <v>0</v>
      </c>
      <c r="J25" s="14"/>
      <c r="K25" s="14"/>
      <c r="L25" s="14"/>
    </row>
    <row r="26" spans="2:12" x14ac:dyDescent="0.2">
      <c r="J26" s="14"/>
      <c r="K26" s="14"/>
      <c r="L26" s="14"/>
    </row>
    <row r="27" spans="2:12" x14ac:dyDescent="0.2">
      <c r="E27" s="25"/>
      <c r="F27" s="26"/>
      <c r="J27" s="14"/>
      <c r="K27" s="14"/>
      <c r="L27" s="14"/>
    </row>
    <row r="28" spans="2:12" ht="13.5" thickBot="1" x14ac:dyDescent="0.25">
      <c r="E28" s="27"/>
      <c r="F28" s="28"/>
      <c r="J28" s="14"/>
      <c r="K28" s="14"/>
      <c r="L28" s="14"/>
    </row>
    <row r="29" spans="2:12" ht="13.5" thickBot="1" x14ac:dyDescent="0.25">
      <c r="D29" s="17" t="s">
        <v>29</v>
      </c>
      <c r="G29" s="29">
        <v>2272105.1799999997</v>
      </c>
      <c r="J29" s="14"/>
      <c r="K29" s="14"/>
      <c r="L29" s="14"/>
    </row>
    <row r="30" spans="2:12" ht="13.5" thickTop="1" x14ac:dyDescent="0.2">
      <c r="I30" s="20"/>
      <c r="J30" s="14"/>
      <c r="K30" s="14"/>
      <c r="L30" s="14"/>
    </row>
    <row r="31" spans="2:12" x14ac:dyDescent="0.2">
      <c r="J31" s="14"/>
      <c r="K31" s="14"/>
      <c r="L31" s="14"/>
    </row>
    <row r="32" spans="2:12" x14ac:dyDescent="0.2">
      <c r="J32" s="14"/>
      <c r="K32" s="14"/>
      <c r="L32" s="14"/>
    </row>
    <row r="33" spans="2:12" x14ac:dyDescent="0.2">
      <c r="J33" s="14"/>
      <c r="K33" s="14"/>
      <c r="L33" s="14"/>
    </row>
    <row r="34" spans="2:12" x14ac:dyDescent="0.2">
      <c r="J34" s="14"/>
      <c r="K34" s="14"/>
      <c r="L34" s="14"/>
    </row>
    <row r="35" spans="2:12" x14ac:dyDescent="0.2">
      <c r="B35" s="12">
        <v>21</v>
      </c>
      <c r="D35" s="17" t="s">
        <v>25</v>
      </c>
      <c r="G35" s="19">
        <v>10906.28</v>
      </c>
      <c r="J35" s="14"/>
      <c r="K35" s="14"/>
      <c r="L35" s="14"/>
    </row>
    <row r="36" spans="2:12" x14ac:dyDescent="0.2">
      <c r="J36" s="14"/>
      <c r="K36" s="14"/>
      <c r="L36" s="14"/>
    </row>
    <row r="37" spans="2:12" x14ac:dyDescent="0.2">
      <c r="B37" s="12">
        <v>212</v>
      </c>
      <c r="D37" s="12" t="s">
        <v>44</v>
      </c>
      <c r="F37" s="20">
        <v>1403.76</v>
      </c>
      <c r="J37" s="14"/>
      <c r="K37" s="14"/>
      <c r="L37" s="14"/>
    </row>
    <row r="38" spans="2:12" x14ac:dyDescent="0.2">
      <c r="J38" s="14"/>
      <c r="K38" s="14"/>
      <c r="L38" s="14"/>
    </row>
    <row r="39" spans="2:12" x14ac:dyDescent="0.2">
      <c r="B39" s="12">
        <v>213</v>
      </c>
      <c r="D39" s="12" t="s">
        <v>49</v>
      </c>
      <c r="F39" s="20">
        <v>1154.3399999999999</v>
      </c>
      <c r="J39" s="14"/>
      <c r="K39" s="14"/>
      <c r="L39" s="14"/>
    </row>
    <row r="40" spans="2:12" x14ac:dyDescent="0.2">
      <c r="J40" s="14"/>
      <c r="K40" s="14"/>
      <c r="L40" s="14"/>
    </row>
    <row r="41" spans="2:12" x14ac:dyDescent="0.2">
      <c r="B41" s="12">
        <v>214</v>
      </c>
      <c r="D41" s="12" t="s">
        <v>131</v>
      </c>
      <c r="E41" s="12"/>
      <c r="F41" s="20">
        <v>0</v>
      </c>
      <c r="J41" s="14"/>
      <c r="K41" s="14"/>
      <c r="L41" s="14"/>
    </row>
    <row r="42" spans="2:12" x14ac:dyDescent="0.2">
      <c r="E42" s="4"/>
      <c r="J42" s="14"/>
      <c r="K42" s="14"/>
      <c r="L42" s="14"/>
    </row>
    <row r="43" spans="2:12" x14ac:dyDescent="0.2">
      <c r="B43" s="12">
        <v>215</v>
      </c>
      <c r="D43" s="12" t="s">
        <v>101</v>
      </c>
      <c r="F43" s="20">
        <v>8348.18</v>
      </c>
      <c r="J43" s="14"/>
      <c r="K43" s="14"/>
      <c r="L43" s="14"/>
    </row>
    <row r="44" spans="2:12" x14ac:dyDescent="0.2">
      <c r="E44" s="12"/>
      <c r="J44" s="14"/>
      <c r="K44" s="14"/>
      <c r="L44" s="14"/>
    </row>
    <row r="45" spans="2:12" x14ac:dyDescent="0.2">
      <c r="J45" s="14"/>
      <c r="K45" s="14"/>
      <c r="L45" s="14"/>
    </row>
    <row r="46" spans="2:12" x14ac:dyDescent="0.2">
      <c r="B46" s="12">
        <v>22</v>
      </c>
      <c r="D46" s="17" t="s">
        <v>10</v>
      </c>
      <c r="G46" s="30">
        <v>0</v>
      </c>
      <c r="J46" s="14"/>
      <c r="K46" s="14"/>
      <c r="L46" s="14"/>
    </row>
    <row r="47" spans="2:12" x14ac:dyDescent="0.2">
      <c r="J47" s="14"/>
      <c r="K47" s="14"/>
      <c r="L47" s="14"/>
    </row>
    <row r="48" spans="2:12" x14ac:dyDescent="0.2">
      <c r="D48" s="17"/>
      <c r="J48" s="14"/>
      <c r="K48" s="14"/>
      <c r="L48" s="14"/>
    </row>
    <row r="49" spans="2:12" x14ac:dyDescent="0.2">
      <c r="J49" s="14"/>
      <c r="K49" s="14"/>
      <c r="L49" s="14"/>
    </row>
    <row r="50" spans="2:12" x14ac:dyDescent="0.2">
      <c r="B50" s="12">
        <v>223</v>
      </c>
      <c r="D50" s="12" t="s">
        <v>91</v>
      </c>
      <c r="F50" s="20">
        <v>0</v>
      </c>
      <c r="J50" s="14"/>
      <c r="K50" s="14"/>
      <c r="L50" s="14"/>
    </row>
    <row r="51" spans="2:12" x14ac:dyDescent="0.2">
      <c r="J51" s="14"/>
      <c r="K51" s="14"/>
      <c r="L51" s="14"/>
    </row>
    <row r="52" spans="2:12" x14ac:dyDescent="0.2">
      <c r="J52" s="14"/>
      <c r="K52" s="14"/>
      <c r="L52" s="14"/>
    </row>
    <row r="53" spans="2:12" x14ac:dyDescent="0.2">
      <c r="J53" s="14"/>
      <c r="K53" s="14"/>
      <c r="L53" s="14"/>
    </row>
    <row r="54" spans="2:12" x14ac:dyDescent="0.2">
      <c r="D54" s="17" t="s">
        <v>132</v>
      </c>
      <c r="J54" s="14"/>
      <c r="K54" s="14"/>
      <c r="L54" s="14"/>
    </row>
    <row r="55" spans="2:12" x14ac:dyDescent="0.2">
      <c r="D55" s="17" t="s">
        <v>186</v>
      </c>
      <c r="G55" s="19">
        <v>1254200</v>
      </c>
      <c r="H55" s="20"/>
      <c r="J55" s="14"/>
      <c r="K55" s="14"/>
      <c r="L55" s="14"/>
    </row>
    <row r="56" spans="2:12" x14ac:dyDescent="0.2">
      <c r="J56" s="14"/>
      <c r="K56" s="14"/>
      <c r="L56" s="14"/>
    </row>
    <row r="57" spans="2:12" x14ac:dyDescent="0.2">
      <c r="B57" s="12">
        <v>310</v>
      </c>
      <c r="D57" s="12" t="s">
        <v>17</v>
      </c>
      <c r="F57" s="20">
        <v>1254200</v>
      </c>
      <c r="J57" s="14" t="s">
        <v>132</v>
      </c>
      <c r="K57" s="21">
        <f>E57+E61+E67</f>
        <v>0</v>
      </c>
      <c r="L57" s="14"/>
    </row>
    <row r="58" spans="2:12" x14ac:dyDescent="0.2">
      <c r="J58" s="14"/>
      <c r="K58" s="14"/>
      <c r="L58" s="14"/>
    </row>
    <row r="59" spans="2:12" x14ac:dyDescent="0.2">
      <c r="D59" s="17" t="s">
        <v>30</v>
      </c>
      <c r="G59" s="19">
        <v>817162.58</v>
      </c>
      <c r="J59" s="14"/>
      <c r="K59" s="14"/>
      <c r="L59" s="14"/>
    </row>
    <row r="60" spans="2:12" x14ac:dyDescent="0.2">
      <c r="J60" s="14"/>
      <c r="K60" s="14"/>
      <c r="L60" s="14"/>
    </row>
    <row r="61" spans="2:12" x14ac:dyDescent="0.2">
      <c r="B61" s="12">
        <v>320</v>
      </c>
      <c r="D61" s="12" t="s">
        <v>133</v>
      </c>
      <c r="F61" s="20">
        <v>817162.58</v>
      </c>
      <c r="J61" s="14"/>
      <c r="K61" s="14"/>
      <c r="L61" s="14"/>
    </row>
    <row r="62" spans="2:12" x14ac:dyDescent="0.2">
      <c r="J62" s="14"/>
      <c r="K62" s="14"/>
      <c r="L62" s="14"/>
    </row>
    <row r="63" spans="2:12" x14ac:dyDescent="0.2">
      <c r="B63" s="12">
        <v>33</v>
      </c>
      <c r="D63" s="17" t="s">
        <v>1</v>
      </c>
      <c r="G63" s="31">
        <v>0</v>
      </c>
      <c r="J63" s="14"/>
      <c r="K63" s="14"/>
      <c r="L63" s="14"/>
    </row>
    <row r="64" spans="2:12" x14ac:dyDescent="0.2">
      <c r="D64" s="17"/>
      <c r="G64" s="31"/>
      <c r="J64" s="14"/>
      <c r="K64" s="14"/>
      <c r="L64" s="14"/>
    </row>
    <row r="65" spans="2:12" x14ac:dyDescent="0.2">
      <c r="B65" s="12">
        <v>34</v>
      </c>
      <c r="D65" s="17" t="s">
        <v>50</v>
      </c>
      <c r="G65" s="19">
        <v>189836.31999999998</v>
      </c>
      <c r="J65" s="14"/>
      <c r="K65" s="14"/>
      <c r="L65" s="14"/>
    </row>
    <row r="66" spans="2:12" x14ac:dyDescent="0.2">
      <c r="J66" s="14"/>
      <c r="K66" s="14"/>
      <c r="L66" s="14"/>
    </row>
    <row r="67" spans="2:12" x14ac:dyDescent="0.2">
      <c r="B67" s="12">
        <v>340</v>
      </c>
      <c r="D67" s="12" t="s">
        <v>53</v>
      </c>
      <c r="F67" s="20">
        <v>177578.08</v>
      </c>
      <c r="J67" s="14"/>
      <c r="K67" s="14"/>
      <c r="L67" s="14"/>
    </row>
    <row r="68" spans="2:12" x14ac:dyDescent="0.2">
      <c r="B68" s="12">
        <v>341</v>
      </c>
      <c r="D68" s="12" t="s">
        <v>23</v>
      </c>
      <c r="F68" s="95">
        <v>12258.240000000002</v>
      </c>
      <c r="J68" s="14"/>
      <c r="K68" s="14"/>
      <c r="L68" s="14"/>
    </row>
    <row r="69" spans="2:12" ht="13.5" thickBot="1" x14ac:dyDescent="0.25">
      <c r="E69" s="27"/>
      <c r="F69" s="28"/>
      <c r="J69" s="14"/>
      <c r="K69" s="14"/>
      <c r="L69" s="14"/>
    </row>
    <row r="70" spans="2:12" ht="13.5" thickBot="1" x14ac:dyDescent="0.25">
      <c r="D70" s="17" t="s">
        <v>31</v>
      </c>
      <c r="G70" s="29">
        <v>2272105.1799999997</v>
      </c>
      <c r="H70" s="20"/>
      <c r="I70" s="20"/>
      <c r="J70" s="14"/>
      <c r="K70" s="14"/>
      <c r="L70" s="14"/>
    </row>
    <row r="71" spans="2:12" ht="13.5" thickTop="1" x14ac:dyDescent="0.2">
      <c r="J71" s="14"/>
      <c r="K71" s="14"/>
      <c r="L71" s="14"/>
    </row>
    <row r="72" spans="2:12" x14ac:dyDescent="0.2">
      <c r="G72" s="20">
        <v>0</v>
      </c>
      <c r="J72" s="14"/>
      <c r="K72" s="14"/>
      <c r="L72" s="14"/>
    </row>
    <row r="73" spans="2:12" x14ac:dyDescent="0.2">
      <c r="J73" s="14"/>
      <c r="K73" s="14"/>
      <c r="L73" s="14"/>
    </row>
    <row r="74" spans="2:12" ht="17.25" x14ac:dyDescent="0.35">
      <c r="D74" s="37" t="s">
        <v>181</v>
      </c>
      <c r="E74" s="161" t="s">
        <v>37</v>
      </c>
      <c r="F74" s="160"/>
      <c r="J74" s="14"/>
      <c r="K74" s="14"/>
      <c r="L74" s="14"/>
    </row>
    <row r="75" spans="2:12" ht="15" x14ac:dyDescent="0.2">
      <c r="D75" s="38" t="str">
        <f>'Balance General SSF'!D124</f>
        <v>Shearlene Márquez</v>
      </c>
      <c r="E75" s="39" t="str">
        <f>'Balance General SSF'!E124</f>
        <v>Jesy Yanira Quijada</v>
      </c>
      <c r="F75" s="38"/>
      <c r="J75" s="14"/>
      <c r="K75" s="14"/>
      <c r="L75" s="14"/>
    </row>
    <row r="76" spans="2:12" ht="15" x14ac:dyDescent="0.2">
      <c r="D76" s="38" t="s">
        <v>183</v>
      </c>
      <c r="E76" s="39" t="s">
        <v>38</v>
      </c>
      <c r="F76" s="38"/>
      <c r="J76" s="14"/>
      <c r="K76" s="14"/>
      <c r="L76" s="14"/>
    </row>
    <row r="77" spans="2:12" x14ac:dyDescent="0.2">
      <c r="J77" s="14"/>
      <c r="K77" s="14"/>
      <c r="L77" s="14"/>
    </row>
    <row r="78" spans="2:12" x14ac:dyDescent="0.2">
      <c r="J78" s="14"/>
      <c r="K78" s="14"/>
      <c r="L78" s="14"/>
    </row>
    <row r="79" spans="2:12" x14ac:dyDescent="0.2">
      <c r="J79" s="14"/>
      <c r="K79" s="14"/>
      <c r="L79" s="14"/>
    </row>
    <row r="80" spans="2:12" x14ac:dyDescent="0.2">
      <c r="J80" s="14"/>
      <c r="K80" s="14"/>
      <c r="L80" s="14"/>
    </row>
    <row r="81" spans="2:12" x14ac:dyDescent="0.2">
      <c r="J81" s="14"/>
      <c r="K81" s="14"/>
      <c r="L81" s="14"/>
    </row>
    <row r="82" spans="2:12" x14ac:dyDescent="0.2">
      <c r="J82" s="14"/>
      <c r="K82" s="14"/>
      <c r="L82" s="14"/>
    </row>
    <row r="83" spans="2:12" x14ac:dyDescent="0.2">
      <c r="G83" s="17"/>
      <c r="J83" s="14"/>
      <c r="K83" s="14"/>
      <c r="L83" s="14"/>
    </row>
    <row r="84" spans="2:12" x14ac:dyDescent="0.2">
      <c r="G84" s="17"/>
      <c r="J84" s="14"/>
      <c r="K84" s="14"/>
      <c r="L84" s="14"/>
    </row>
    <row r="85" spans="2:12" s="17" customFormat="1" x14ac:dyDescent="0.2">
      <c r="B85" s="12">
        <v>61</v>
      </c>
      <c r="D85" s="17" t="s">
        <v>271</v>
      </c>
      <c r="E85" s="30"/>
      <c r="G85" s="19">
        <v>122572.98</v>
      </c>
      <c r="J85" s="32"/>
      <c r="K85" s="32"/>
      <c r="L85" s="32"/>
    </row>
    <row r="86" spans="2:12" x14ac:dyDescent="0.2">
      <c r="B86" s="12">
        <v>610</v>
      </c>
      <c r="D86" s="12" t="s">
        <v>5</v>
      </c>
      <c r="F86" s="20">
        <v>114286</v>
      </c>
      <c r="G86" s="17"/>
      <c r="J86" s="14" t="s">
        <v>32</v>
      </c>
      <c r="K86" s="21">
        <f>E86+E88+E91</f>
        <v>0</v>
      </c>
      <c r="L86" s="14"/>
    </row>
    <row r="87" spans="2:12" x14ac:dyDescent="0.2">
      <c r="B87" s="12">
        <v>612</v>
      </c>
      <c r="D87" s="3" t="s">
        <v>8</v>
      </c>
      <c r="F87" s="20">
        <v>0</v>
      </c>
      <c r="G87" s="17"/>
      <c r="J87" s="14"/>
      <c r="K87" s="21"/>
      <c r="L87" s="14"/>
    </row>
    <row r="88" spans="2:12" x14ac:dyDescent="0.2">
      <c r="B88" s="12">
        <v>613</v>
      </c>
      <c r="D88" s="12" t="s">
        <v>102</v>
      </c>
      <c r="F88" s="20">
        <v>8286.98</v>
      </c>
      <c r="G88" s="17"/>
      <c r="J88" s="14"/>
      <c r="K88" s="14"/>
      <c r="L88" s="14"/>
    </row>
    <row r="89" spans="2:12" x14ac:dyDescent="0.2">
      <c r="F89" s="20"/>
      <c r="G89" s="17"/>
      <c r="J89" s="14"/>
      <c r="K89" s="21"/>
      <c r="L89" s="14"/>
    </row>
    <row r="90" spans="2:12" x14ac:dyDescent="0.2">
      <c r="B90" s="12">
        <v>62</v>
      </c>
      <c r="C90" s="17"/>
      <c r="D90" s="17" t="s">
        <v>33</v>
      </c>
      <c r="E90" s="30"/>
      <c r="F90" s="17"/>
      <c r="G90" s="19">
        <v>131150</v>
      </c>
      <c r="J90" s="14"/>
      <c r="K90" s="21"/>
      <c r="L90" s="14"/>
    </row>
    <row r="91" spans="2:12" x14ac:dyDescent="0.2">
      <c r="B91" s="12">
        <v>620</v>
      </c>
      <c r="D91" s="12" t="s">
        <v>174</v>
      </c>
      <c r="F91" s="20">
        <v>16864</v>
      </c>
      <c r="G91" s="17"/>
      <c r="J91" s="14"/>
      <c r="K91" s="14"/>
      <c r="L91" s="14"/>
    </row>
    <row r="92" spans="2:12" x14ac:dyDescent="0.2">
      <c r="B92" s="12">
        <v>621</v>
      </c>
      <c r="D92" s="12" t="s">
        <v>34</v>
      </c>
      <c r="F92" s="20">
        <v>114286</v>
      </c>
      <c r="G92" s="17"/>
      <c r="J92" s="14"/>
      <c r="K92" s="14"/>
      <c r="L92" s="14"/>
    </row>
    <row r="93" spans="2:12" ht="13.5" thickBot="1" x14ac:dyDescent="0.25">
      <c r="E93" s="27"/>
      <c r="F93" s="28"/>
      <c r="G93" s="17"/>
      <c r="J93" s="14"/>
      <c r="K93" s="14"/>
      <c r="L93" s="14"/>
    </row>
    <row r="94" spans="2:12" s="33" customFormat="1" ht="16.5" thickBot="1" x14ac:dyDescent="0.3">
      <c r="B94" s="12"/>
      <c r="D94" s="33" t="s">
        <v>140</v>
      </c>
      <c r="E94" s="34"/>
      <c r="G94" s="35">
        <v>253722.97999999998</v>
      </c>
      <c r="J94" s="36"/>
      <c r="K94" s="36"/>
      <c r="L94" s="36"/>
    </row>
    <row r="95" spans="2:12" ht="13.5" thickTop="1" x14ac:dyDescent="0.2">
      <c r="G95" s="17"/>
      <c r="J95" s="14"/>
      <c r="K95" s="14"/>
      <c r="L95" s="14"/>
    </row>
    <row r="96" spans="2:12" x14ac:dyDescent="0.2">
      <c r="G96" s="17"/>
      <c r="J96" s="14"/>
      <c r="K96" s="14"/>
      <c r="L96" s="14"/>
    </row>
    <row r="97" spans="2:12" x14ac:dyDescent="0.2">
      <c r="G97" s="17"/>
      <c r="J97" s="14"/>
      <c r="K97" s="14"/>
      <c r="L97" s="14"/>
    </row>
    <row r="98" spans="2:12" x14ac:dyDescent="0.2">
      <c r="G98" s="17"/>
      <c r="J98" s="14"/>
      <c r="K98" s="14"/>
      <c r="L98" s="14"/>
    </row>
    <row r="99" spans="2:12" x14ac:dyDescent="0.2">
      <c r="G99" s="17"/>
      <c r="J99" s="14"/>
      <c r="K99" s="14"/>
      <c r="L99" s="14"/>
    </row>
    <row r="100" spans="2:12" x14ac:dyDescent="0.2">
      <c r="G100" s="17"/>
      <c r="J100" s="14"/>
      <c r="K100" s="14"/>
      <c r="L100" s="14"/>
    </row>
    <row r="101" spans="2:12" x14ac:dyDescent="0.2">
      <c r="G101" s="17"/>
      <c r="J101" s="14"/>
      <c r="K101" s="14"/>
      <c r="L101" s="14"/>
    </row>
    <row r="102" spans="2:12" x14ac:dyDescent="0.2">
      <c r="G102" s="17"/>
      <c r="J102" s="14"/>
      <c r="K102" s="14"/>
      <c r="L102" s="14"/>
    </row>
    <row r="103" spans="2:12" x14ac:dyDescent="0.2">
      <c r="G103" s="17"/>
      <c r="J103" s="14"/>
      <c r="K103" s="14"/>
      <c r="L103" s="14"/>
    </row>
    <row r="104" spans="2:12" x14ac:dyDescent="0.2">
      <c r="G104" s="17"/>
      <c r="J104" s="14"/>
      <c r="K104" s="14"/>
      <c r="L104" s="14"/>
    </row>
    <row r="105" spans="2:12" x14ac:dyDescent="0.2">
      <c r="G105" s="17"/>
      <c r="J105" s="14"/>
      <c r="K105" s="14"/>
      <c r="L105" s="14"/>
    </row>
    <row r="106" spans="2:12" s="17" customFormat="1" x14ac:dyDescent="0.2">
      <c r="B106" s="12">
        <v>71</v>
      </c>
      <c r="D106" s="17" t="s">
        <v>645</v>
      </c>
      <c r="E106" s="30"/>
      <c r="G106" s="19">
        <v>122572.98</v>
      </c>
      <c r="J106" s="32"/>
      <c r="K106" s="32"/>
      <c r="L106" s="32"/>
    </row>
    <row r="107" spans="2:12" x14ac:dyDescent="0.2">
      <c r="B107" s="12">
        <v>710</v>
      </c>
      <c r="D107" s="12" t="s">
        <v>130</v>
      </c>
      <c r="F107" s="20">
        <v>114286</v>
      </c>
      <c r="G107" s="17"/>
      <c r="J107" s="14" t="s">
        <v>35</v>
      </c>
      <c r="K107" s="21">
        <f>E107+E108+E111</f>
        <v>0</v>
      </c>
      <c r="L107" s="14"/>
    </row>
    <row r="108" spans="2:12" x14ac:dyDescent="0.2">
      <c r="B108" s="12">
        <v>713</v>
      </c>
      <c r="D108" s="12" t="s">
        <v>150</v>
      </c>
      <c r="F108" s="20">
        <v>8286.98</v>
      </c>
      <c r="G108" s="17"/>
      <c r="J108" s="14"/>
      <c r="K108" s="14"/>
      <c r="L108" s="14"/>
    </row>
    <row r="109" spans="2:12" x14ac:dyDescent="0.2">
      <c r="F109" s="20"/>
      <c r="G109" s="17"/>
      <c r="J109" s="14"/>
      <c r="K109" s="21"/>
      <c r="L109" s="14"/>
    </row>
    <row r="110" spans="2:12" x14ac:dyDescent="0.2">
      <c r="B110" s="12">
        <v>72</v>
      </c>
      <c r="C110" s="17"/>
      <c r="D110" s="17" t="s">
        <v>33</v>
      </c>
      <c r="E110" s="30"/>
      <c r="F110" s="17"/>
      <c r="G110" s="19">
        <v>131150</v>
      </c>
      <c r="J110" s="14"/>
      <c r="K110" s="21"/>
      <c r="L110" s="14"/>
    </row>
    <row r="111" spans="2:12" x14ac:dyDescent="0.2">
      <c r="B111" s="12">
        <v>720</v>
      </c>
      <c r="D111" s="12" t="s">
        <v>13</v>
      </c>
      <c r="F111" s="20">
        <v>16864</v>
      </c>
      <c r="G111" s="17"/>
      <c r="J111" s="14"/>
      <c r="K111" s="14"/>
      <c r="L111" s="14"/>
    </row>
    <row r="112" spans="2:12" x14ac:dyDescent="0.2">
      <c r="B112" s="12">
        <v>721</v>
      </c>
      <c r="D112" s="12" t="s">
        <v>36</v>
      </c>
      <c r="F112" s="20">
        <v>114286</v>
      </c>
      <c r="G112" s="17"/>
      <c r="J112" s="14"/>
      <c r="K112" s="14"/>
      <c r="L112" s="14"/>
    </row>
    <row r="113" spans="2:7" ht="13.5" thickBot="1" x14ac:dyDescent="0.25">
      <c r="E113" s="27"/>
      <c r="F113" s="28"/>
      <c r="G113" s="17"/>
    </row>
    <row r="114" spans="2:7" s="33" customFormat="1" ht="16.5" thickBot="1" x14ac:dyDescent="0.3">
      <c r="B114" s="12"/>
      <c r="D114" s="33" t="s">
        <v>175</v>
      </c>
      <c r="E114" s="34"/>
      <c r="G114" s="35">
        <v>253722.97999999998</v>
      </c>
    </row>
    <row r="115" spans="2:7" ht="13.5" thickTop="1" x14ac:dyDescent="0.2">
      <c r="G115" s="19">
        <v>0</v>
      </c>
    </row>
    <row r="116" spans="2:7" x14ac:dyDescent="0.2">
      <c r="G116" s="19"/>
    </row>
    <row r="117" spans="2:7" x14ac:dyDescent="0.2">
      <c r="G117" s="19"/>
    </row>
    <row r="118" spans="2:7" x14ac:dyDescent="0.2">
      <c r="G118" s="19"/>
    </row>
    <row r="119" spans="2:7" x14ac:dyDescent="0.2">
      <c r="G119" s="19"/>
    </row>
    <row r="120" spans="2:7" x14ac:dyDescent="0.2">
      <c r="G120" s="19"/>
    </row>
    <row r="122" spans="2:7" x14ac:dyDescent="0.2">
      <c r="G122" s="19"/>
    </row>
    <row r="123" spans="2:7" ht="17.25" x14ac:dyDescent="0.35">
      <c r="D123" s="37" t="s">
        <v>181</v>
      </c>
      <c r="E123" s="1035" t="s">
        <v>37</v>
      </c>
      <c r="F123" s="1035"/>
    </row>
    <row r="124" spans="2:7" ht="15" x14ac:dyDescent="0.2">
      <c r="D124" s="38" t="s">
        <v>217</v>
      </c>
      <c r="E124" s="39" t="s">
        <v>204</v>
      </c>
      <c r="F124" s="38"/>
    </row>
    <row r="125" spans="2:7" ht="15" x14ac:dyDescent="0.2">
      <c r="D125" s="38" t="s">
        <v>183</v>
      </c>
      <c r="E125" s="38" t="s">
        <v>205</v>
      </c>
      <c r="F125" s="38"/>
    </row>
    <row r="126" spans="2:7" ht="15" x14ac:dyDescent="0.2">
      <c r="D126" s="38"/>
      <c r="E126" s="39"/>
      <c r="F126" s="38"/>
    </row>
    <row r="127" spans="2:7" x14ac:dyDescent="0.2">
      <c r="G127" s="19"/>
    </row>
    <row r="128" spans="2:7" x14ac:dyDescent="0.2">
      <c r="G128" s="19"/>
    </row>
  </sheetData>
  <mergeCells count="1">
    <mergeCell ref="E123:F123"/>
  </mergeCells>
  <phoneticPr fontId="161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12"/>
    <col min="2" max="2" width="4" style="61" customWidth="1"/>
    <col min="3" max="3" width="2" style="12" customWidth="1"/>
    <col min="4" max="4" width="72" style="12" customWidth="1"/>
    <col min="5" max="5" width="15.42578125" style="13" customWidth="1"/>
    <col min="6" max="6" width="15.42578125" style="12" customWidth="1"/>
    <col min="7" max="7" width="15.42578125" style="17" customWidth="1"/>
    <col min="8" max="10" width="15.42578125" style="12" customWidth="1"/>
    <col min="11" max="11" width="15.42578125" style="597" customWidth="1"/>
    <col min="12" max="12" width="15.42578125" style="12" customWidth="1"/>
    <col min="13" max="16384" width="11.42578125" style="12"/>
  </cols>
  <sheetData>
    <row r="2" spans="1:13" ht="18" x14ac:dyDescent="0.25">
      <c r="D2" s="15" t="s">
        <v>96</v>
      </c>
      <c r="E2" s="16"/>
      <c r="J2" s="14"/>
      <c r="L2" s="14"/>
    </row>
    <row r="3" spans="1:13" ht="18" x14ac:dyDescent="0.25">
      <c r="D3" s="15" t="s">
        <v>245</v>
      </c>
      <c r="E3" s="16"/>
      <c r="J3" s="14"/>
      <c r="L3" s="14"/>
    </row>
    <row r="4" spans="1:13" ht="18" x14ac:dyDescent="0.25">
      <c r="D4" s="15" t="s">
        <v>243</v>
      </c>
      <c r="E4" s="16"/>
      <c r="J4" s="14"/>
      <c r="L4" s="14"/>
    </row>
    <row r="5" spans="1:13" ht="18" x14ac:dyDescent="0.25">
      <c r="D5" s="18" t="s">
        <v>57</v>
      </c>
      <c r="E5" s="16"/>
      <c r="J5" s="14"/>
      <c r="L5" s="14"/>
    </row>
    <row r="6" spans="1:13" ht="18" x14ac:dyDescent="0.25">
      <c r="D6" s="18" t="s">
        <v>1204</v>
      </c>
      <c r="E6" s="16"/>
      <c r="J6" s="14"/>
      <c r="L6" s="14"/>
    </row>
    <row r="7" spans="1:13" ht="18" x14ac:dyDescent="0.25">
      <c r="D7" s="18" t="s">
        <v>24</v>
      </c>
      <c r="E7" s="16"/>
      <c r="J7" s="14"/>
      <c r="L7" s="14"/>
    </row>
    <row r="8" spans="1:13" x14ac:dyDescent="0.2">
      <c r="J8" s="14"/>
      <c r="L8" s="14"/>
    </row>
    <row r="9" spans="1:13" s="45" customFormat="1" x14ac:dyDescent="0.2">
      <c r="A9" s="44"/>
      <c r="B9" s="62">
        <v>5</v>
      </c>
      <c r="C9" s="44"/>
      <c r="D9" s="44" t="s">
        <v>58</v>
      </c>
      <c r="I9" s="12"/>
      <c r="J9" s="14"/>
      <c r="K9" s="597"/>
      <c r="L9" s="14"/>
      <c r="M9" s="12"/>
    </row>
    <row r="10" spans="1:13" x14ac:dyDescent="0.2">
      <c r="J10" s="14"/>
      <c r="L10" s="14"/>
    </row>
    <row r="11" spans="1:13" x14ac:dyDescent="0.2">
      <c r="B11" s="61">
        <v>51</v>
      </c>
      <c r="D11" s="17" t="s">
        <v>59</v>
      </c>
      <c r="G11" s="19">
        <v>37098.620000000003</v>
      </c>
      <c r="I11" s="598"/>
      <c r="J11" s="598"/>
      <c r="K11" s="599"/>
      <c r="L11" s="14"/>
    </row>
    <row r="12" spans="1:13" x14ac:dyDescent="0.2">
      <c r="B12" s="158"/>
      <c r="I12" s="598"/>
      <c r="J12" s="598"/>
      <c r="K12" s="599"/>
      <c r="L12" s="14"/>
    </row>
    <row r="13" spans="1:13" x14ac:dyDescent="0.2">
      <c r="B13" s="159">
        <v>510</v>
      </c>
      <c r="D13" s="12" t="s">
        <v>60</v>
      </c>
      <c r="F13" s="20">
        <v>29208.2</v>
      </c>
      <c r="I13" s="598"/>
      <c r="J13" s="598"/>
      <c r="K13" s="599"/>
      <c r="L13" s="14"/>
    </row>
    <row r="14" spans="1:13" x14ac:dyDescent="0.2">
      <c r="B14" s="159">
        <v>512</v>
      </c>
      <c r="D14" s="12" t="s">
        <v>20</v>
      </c>
      <c r="F14" s="20">
        <v>7890.42</v>
      </c>
      <c r="I14" s="598"/>
      <c r="J14" s="598"/>
      <c r="K14" s="599"/>
      <c r="L14" s="14"/>
    </row>
    <row r="15" spans="1:13" x14ac:dyDescent="0.2">
      <c r="B15" s="158"/>
      <c r="I15" s="598"/>
      <c r="J15" s="598"/>
      <c r="K15" s="599"/>
      <c r="L15" s="14"/>
    </row>
    <row r="16" spans="1:13" x14ac:dyDescent="0.2">
      <c r="B16" s="158">
        <v>41</v>
      </c>
      <c r="D16" s="17" t="s">
        <v>61</v>
      </c>
      <c r="G16" s="30">
        <v>21542.18</v>
      </c>
      <c r="I16" s="598"/>
      <c r="J16" s="598"/>
      <c r="K16" s="599"/>
      <c r="L16" s="14"/>
    </row>
    <row r="17" spans="2:12" x14ac:dyDescent="0.2">
      <c r="B17" s="158"/>
      <c r="I17" s="598"/>
      <c r="J17" s="598"/>
      <c r="K17" s="599"/>
      <c r="L17" s="14"/>
    </row>
    <row r="18" spans="2:12" x14ac:dyDescent="0.2">
      <c r="B18" s="159">
        <v>410</v>
      </c>
      <c r="D18" s="12" t="s">
        <v>62</v>
      </c>
      <c r="E18" s="12"/>
      <c r="F18" s="20">
        <v>11451.26</v>
      </c>
      <c r="G18" s="30"/>
      <c r="I18" s="598"/>
      <c r="J18" s="598"/>
      <c r="K18" s="599"/>
      <c r="L18" s="14"/>
    </row>
    <row r="19" spans="2:12" x14ac:dyDescent="0.2">
      <c r="B19" s="159">
        <v>411</v>
      </c>
      <c r="D19" s="12" t="s">
        <v>124</v>
      </c>
      <c r="E19" s="26"/>
      <c r="F19" s="20">
        <v>0</v>
      </c>
      <c r="G19" s="46"/>
      <c r="I19" s="598"/>
      <c r="J19" s="598"/>
      <c r="K19" s="599"/>
      <c r="L19" s="14"/>
    </row>
    <row r="20" spans="2:12" x14ac:dyDescent="0.2">
      <c r="B20" s="159">
        <v>412</v>
      </c>
      <c r="D20" s="12" t="s">
        <v>56</v>
      </c>
      <c r="E20" s="26"/>
      <c r="F20" s="20">
        <v>10090.92</v>
      </c>
      <c r="G20" s="46"/>
      <c r="I20" s="598"/>
      <c r="J20" s="598"/>
      <c r="K20" s="599"/>
      <c r="L20" s="14"/>
    </row>
    <row r="21" spans="2:12" ht="13.5" thickBot="1" x14ac:dyDescent="0.25">
      <c r="B21" s="159">
        <v>413</v>
      </c>
      <c r="D21" s="12" t="s">
        <v>63</v>
      </c>
      <c r="E21" s="28"/>
      <c r="F21" s="58">
        <v>0</v>
      </c>
      <c r="G21" s="47"/>
      <c r="I21" s="598"/>
      <c r="J21" s="598"/>
      <c r="K21" s="599"/>
      <c r="L21" s="14"/>
    </row>
    <row r="22" spans="2:12" ht="3.75" customHeight="1" x14ac:dyDescent="0.2">
      <c r="I22" s="598"/>
      <c r="J22" s="598"/>
      <c r="K22" s="599"/>
      <c r="L22" s="14"/>
    </row>
    <row r="23" spans="2:12" x14ac:dyDescent="0.2">
      <c r="G23" s="19">
        <v>15556.440000000002</v>
      </c>
      <c r="I23" s="598"/>
      <c r="J23" s="598"/>
      <c r="K23" s="599"/>
      <c r="L23" s="14"/>
    </row>
    <row r="24" spans="2:12" x14ac:dyDescent="0.2">
      <c r="D24" s="17" t="s">
        <v>64</v>
      </c>
      <c r="G24" s="19"/>
      <c r="I24" s="598"/>
      <c r="J24" s="598"/>
      <c r="K24" s="599"/>
      <c r="L24" s="14"/>
    </row>
    <row r="25" spans="2:12" x14ac:dyDescent="0.2">
      <c r="D25" s="17"/>
      <c r="G25" s="19"/>
      <c r="I25" s="598"/>
      <c r="J25" s="598"/>
      <c r="K25" s="599"/>
      <c r="L25" s="14"/>
    </row>
    <row r="26" spans="2:12" x14ac:dyDescent="0.2">
      <c r="D26" s="17" t="s">
        <v>65</v>
      </c>
      <c r="I26" s="598"/>
      <c r="J26" s="598"/>
      <c r="K26" s="599"/>
      <c r="L26" s="14"/>
    </row>
    <row r="27" spans="2:12" x14ac:dyDescent="0.2">
      <c r="I27" s="598"/>
      <c r="J27" s="598"/>
      <c r="K27" s="599"/>
      <c r="L27" s="14"/>
    </row>
    <row r="28" spans="2:12" x14ac:dyDescent="0.2">
      <c r="B28" s="63">
        <v>52</v>
      </c>
      <c r="D28" s="17" t="s">
        <v>66</v>
      </c>
      <c r="G28" s="19">
        <v>787.88</v>
      </c>
      <c r="I28" s="598"/>
      <c r="J28" s="598"/>
      <c r="K28" s="599"/>
      <c r="L28" s="14"/>
    </row>
    <row r="29" spans="2:12" x14ac:dyDescent="0.2">
      <c r="I29" s="598"/>
      <c r="J29" s="598"/>
      <c r="K29" s="599"/>
      <c r="L29" s="14"/>
    </row>
    <row r="30" spans="2:12" x14ac:dyDescent="0.2">
      <c r="B30" s="97">
        <v>521</v>
      </c>
      <c r="D30" s="12" t="s">
        <v>67</v>
      </c>
      <c r="E30" s="46"/>
      <c r="F30" s="20">
        <v>10</v>
      </c>
      <c r="G30" s="48"/>
      <c r="I30" s="598"/>
      <c r="J30" s="598"/>
      <c r="K30" s="599"/>
      <c r="L30" s="14"/>
    </row>
    <row r="31" spans="2:12" ht="13.5" thickBot="1" x14ac:dyDescent="0.25">
      <c r="B31" s="97">
        <v>522</v>
      </c>
      <c r="D31" s="12" t="s">
        <v>68</v>
      </c>
      <c r="E31" s="47"/>
      <c r="F31" s="58">
        <v>777.88</v>
      </c>
      <c r="G31" s="49"/>
      <c r="I31" s="598"/>
      <c r="J31" s="598"/>
      <c r="K31" s="599"/>
      <c r="L31" s="14"/>
    </row>
    <row r="32" spans="2:12" ht="6" customHeight="1" x14ac:dyDescent="0.2">
      <c r="I32" s="598"/>
      <c r="J32" s="598"/>
      <c r="K32" s="599"/>
      <c r="L32" s="14"/>
    </row>
    <row r="33" spans="2:12" x14ac:dyDescent="0.2">
      <c r="D33" s="17" t="s">
        <v>69</v>
      </c>
      <c r="G33" s="19">
        <v>16344.320000000002</v>
      </c>
      <c r="I33" s="598"/>
      <c r="J33" s="598"/>
      <c r="K33" s="599"/>
      <c r="L33" s="14"/>
    </row>
    <row r="34" spans="2:12" x14ac:dyDescent="0.2">
      <c r="I34" s="598"/>
      <c r="J34" s="598"/>
      <c r="K34" s="599"/>
      <c r="L34" s="14"/>
    </row>
    <row r="35" spans="2:12" ht="0.75" customHeight="1" x14ac:dyDescent="0.2">
      <c r="I35" s="598"/>
      <c r="J35" s="598"/>
      <c r="K35" s="599"/>
      <c r="L35" s="14"/>
    </row>
    <row r="36" spans="2:12" x14ac:dyDescent="0.2">
      <c r="B36" s="63">
        <v>42</v>
      </c>
      <c r="C36" s="17"/>
      <c r="D36" s="17" t="s">
        <v>7</v>
      </c>
      <c r="G36" s="19">
        <v>0</v>
      </c>
      <c r="I36" s="598"/>
      <c r="J36" s="598"/>
      <c r="K36" s="599"/>
      <c r="L36" s="14"/>
    </row>
    <row r="37" spans="2:12" x14ac:dyDescent="0.2">
      <c r="I37" s="598"/>
      <c r="J37" s="598"/>
      <c r="K37" s="599"/>
      <c r="L37" s="14"/>
    </row>
    <row r="38" spans="2:12" x14ac:dyDescent="0.2">
      <c r="B38" s="97">
        <v>421</v>
      </c>
      <c r="D38" s="12" t="s">
        <v>93</v>
      </c>
      <c r="F38" s="20">
        <v>0</v>
      </c>
      <c r="G38" s="12"/>
      <c r="I38" s="598"/>
      <c r="J38" s="598"/>
      <c r="K38" s="599"/>
      <c r="L38" s="14"/>
    </row>
    <row r="39" spans="2:12" ht="6" customHeight="1" x14ac:dyDescent="0.2">
      <c r="F39" s="20"/>
      <c r="I39" s="598"/>
      <c r="J39" s="598"/>
      <c r="K39" s="599"/>
      <c r="L39" s="14"/>
    </row>
    <row r="40" spans="2:12" x14ac:dyDescent="0.2">
      <c r="B40" s="97">
        <v>422</v>
      </c>
      <c r="D40" s="12" t="s">
        <v>109</v>
      </c>
      <c r="F40" s="20">
        <v>0</v>
      </c>
      <c r="G40" s="12"/>
      <c r="I40" s="598"/>
      <c r="J40" s="598"/>
      <c r="K40" s="599"/>
      <c r="L40" s="14"/>
    </row>
    <row r="41" spans="2:12" ht="6" customHeight="1" x14ac:dyDescent="0.2">
      <c r="I41" s="598"/>
      <c r="J41" s="598"/>
      <c r="K41" s="599"/>
      <c r="L41" s="14"/>
    </row>
    <row r="42" spans="2:12" ht="13.5" thickBot="1" x14ac:dyDescent="0.25">
      <c r="B42" s="97">
        <v>425</v>
      </c>
      <c r="D42" s="12" t="s">
        <v>110</v>
      </c>
      <c r="E42" s="27"/>
      <c r="F42" s="58">
        <v>0</v>
      </c>
      <c r="G42" s="47"/>
      <c r="I42" s="598"/>
      <c r="J42" s="598"/>
      <c r="K42" s="599"/>
      <c r="L42" s="14"/>
    </row>
    <row r="43" spans="2:12" ht="6.75" customHeight="1" x14ac:dyDescent="0.2">
      <c r="I43" s="598"/>
      <c r="J43" s="598"/>
      <c r="K43" s="599"/>
      <c r="L43" s="14"/>
    </row>
    <row r="44" spans="2:12" x14ac:dyDescent="0.2">
      <c r="D44" s="12" t="s">
        <v>70</v>
      </c>
      <c r="G44" s="19">
        <v>16344.320000000002</v>
      </c>
      <c r="I44" s="598"/>
      <c r="J44" s="598"/>
      <c r="K44" s="599"/>
      <c r="L44" s="14"/>
    </row>
    <row r="45" spans="2:12" x14ac:dyDescent="0.2">
      <c r="I45" s="598"/>
      <c r="J45" s="598"/>
      <c r="K45" s="599"/>
      <c r="L45" s="14"/>
    </row>
    <row r="46" spans="2:12" x14ac:dyDescent="0.2">
      <c r="B46" s="63">
        <v>44</v>
      </c>
      <c r="C46" s="17"/>
      <c r="D46" s="17" t="s">
        <v>153</v>
      </c>
      <c r="G46" s="19">
        <v>4086.08</v>
      </c>
      <c r="I46" s="598"/>
      <c r="J46" s="598"/>
      <c r="K46" s="599"/>
      <c r="L46" s="14"/>
    </row>
    <row r="47" spans="2:12" x14ac:dyDescent="0.2">
      <c r="I47" s="598"/>
      <c r="J47" s="598"/>
      <c r="K47" s="599"/>
      <c r="L47" s="14"/>
    </row>
    <row r="48" spans="2:12" ht="13.5" thickBot="1" x14ac:dyDescent="0.25">
      <c r="B48" s="97">
        <v>440</v>
      </c>
      <c r="D48" s="12" t="s">
        <v>153</v>
      </c>
      <c r="E48" s="27"/>
      <c r="F48" s="58">
        <v>4086.08</v>
      </c>
      <c r="G48" s="47"/>
      <c r="I48" s="598"/>
      <c r="J48" s="598"/>
      <c r="K48" s="599"/>
      <c r="L48" s="14"/>
    </row>
    <row r="49" spans="2:12" x14ac:dyDescent="0.2">
      <c r="E49" s="25"/>
      <c r="F49" s="25"/>
      <c r="G49" s="46"/>
      <c r="I49" s="598"/>
      <c r="J49" s="598"/>
      <c r="K49" s="599"/>
      <c r="L49" s="14"/>
    </row>
    <row r="50" spans="2:12" x14ac:dyDescent="0.2">
      <c r="D50" s="12" t="s">
        <v>40</v>
      </c>
      <c r="G50" s="19">
        <v>12258.240000000002</v>
      </c>
      <c r="I50" s="598"/>
      <c r="J50" s="598"/>
      <c r="K50" s="599"/>
      <c r="L50" s="14"/>
    </row>
    <row r="51" spans="2:12" x14ac:dyDescent="0.2">
      <c r="E51" s="12"/>
      <c r="G51" s="12"/>
      <c r="I51" s="598"/>
      <c r="J51" s="598"/>
      <c r="K51" s="599"/>
      <c r="L51" s="14"/>
    </row>
    <row r="52" spans="2:12" x14ac:dyDescent="0.2">
      <c r="B52" s="63">
        <v>53</v>
      </c>
      <c r="D52" s="17" t="s">
        <v>45</v>
      </c>
      <c r="G52" s="19">
        <v>0</v>
      </c>
      <c r="I52" s="598"/>
      <c r="J52" s="598"/>
      <c r="K52" s="599"/>
      <c r="L52" s="14"/>
    </row>
    <row r="53" spans="2:12" x14ac:dyDescent="0.2">
      <c r="I53" s="598"/>
      <c r="J53" s="598"/>
      <c r="K53" s="599"/>
      <c r="L53" s="14"/>
    </row>
    <row r="54" spans="2:12" x14ac:dyDescent="0.2">
      <c r="B54" s="97">
        <v>530</v>
      </c>
      <c r="D54" s="12" t="s">
        <v>45</v>
      </c>
      <c r="F54" s="20">
        <v>0</v>
      </c>
      <c r="I54" s="598"/>
      <c r="J54" s="598"/>
      <c r="K54" s="599"/>
      <c r="L54" s="14"/>
    </row>
    <row r="55" spans="2:12" x14ac:dyDescent="0.2">
      <c r="I55" s="598"/>
      <c r="J55" s="598"/>
      <c r="K55" s="599"/>
      <c r="L55" s="14"/>
    </row>
    <row r="56" spans="2:12" x14ac:dyDescent="0.2">
      <c r="B56" s="63">
        <v>43</v>
      </c>
      <c r="D56" s="17" t="s">
        <v>41</v>
      </c>
      <c r="G56" s="19">
        <v>0</v>
      </c>
      <c r="I56" s="598"/>
      <c r="J56" s="598"/>
      <c r="K56" s="599"/>
      <c r="L56" s="14"/>
    </row>
    <row r="57" spans="2:12" x14ac:dyDescent="0.2">
      <c r="I57" s="598"/>
      <c r="J57" s="598"/>
      <c r="K57" s="599"/>
      <c r="L57" s="14"/>
    </row>
    <row r="58" spans="2:12" x14ac:dyDescent="0.2">
      <c r="B58" s="97">
        <v>430</v>
      </c>
      <c r="D58" s="12" t="s">
        <v>41</v>
      </c>
      <c r="F58" s="20">
        <v>0</v>
      </c>
      <c r="I58" s="598"/>
      <c r="J58" s="598"/>
      <c r="K58" s="599"/>
      <c r="L58" s="14"/>
    </row>
    <row r="59" spans="2:12" x14ac:dyDescent="0.2">
      <c r="I59" s="598"/>
      <c r="J59" s="598"/>
      <c r="K59" s="599"/>
      <c r="L59" s="14"/>
    </row>
    <row r="60" spans="2:12" ht="13.5" thickBot="1" x14ac:dyDescent="0.25">
      <c r="E60" s="27"/>
      <c r="F60" s="28"/>
      <c r="G60" s="49"/>
      <c r="I60" s="598"/>
      <c r="J60" s="598"/>
      <c r="K60" s="599"/>
      <c r="L60" s="14"/>
    </row>
    <row r="61" spans="2:12" ht="13.5" thickBot="1" x14ac:dyDescent="0.25">
      <c r="D61" s="17" t="s">
        <v>42</v>
      </c>
      <c r="G61" s="94">
        <v>12258.240000000002</v>
      </c>
      <c r="I61" s="598"/>
      <c r="J61" s="598"/>
      <c r="K61" s="599"/>
      <c r="L61" s="14"/>
    </row>
    <row r="62" spans="2:12" ht="13.5" thickTop="1" x14ac:dyDescent="0.2">
      <c r="I62" s="598"/>
      <c r="J62" s="598"/>
      <c r="K62" s="599"/>
      <c r="L62" s="14"/>
    </row>
    <row r="63" spans="2:12" x14ac:dyDescent="0.2">
      <c r="H63" s="14"/>
      <c r="I63" s="598"/>
      <c r="J63" s="598"/>
      <c r="K63" s="599"/>
      <c r="L63" s="14"/>
    </row>
    <row r="64" spans="2:12" x14ac:dyDescent="0.2">
      <c r="H64" s="14"/>
      <c r="I64" s="598"/>
      <c r="J64" s="598"/>
      <c r="K64" s="599"/>
      <c r="L64" s="14"/>
    </row>
    <row r="65" spans="4:12" s="12" customFormat="1" x14ac:dyDescent="0.2">
      <c r="D65" s="44" t="s">
        <v>43</v>
      </c>
      <c r="E65" s="50"/>
      <c r="G65" s="59">
        <v>177578.08</v>
      </c>
      <c r="H65" s="302"/>
      <c r="I65" s="598"/>
      <c r="J65" s="598"/>
      <c r="K65" s="599"/>
      <c r="L65" s="14"/>
    </row>
    <row r="66" spans="4:12" s="12" customFormat="1" x14ac:dyDescent="0.2">
      <c r="D66" s="44" t="s">
        <v>118</v>
      </c>
      <c r="E66" s="50"/>
      <c r="G66" s="43"/>
      <c r="H66" s="14"/>
      <c r="I66" s="598"/>
      <c r="J66" s="598"/>
      <c r="K66" s="599"/>
      <c r="L66" s="14"/>
    </row>
    <row r="67" spans="4:12" s="12" customFormat="1" x14ac:dyDescent="0.2">
      <c r="D67" s="45" t="s">
        <v>119</v>
      </c>
      <c r="E67" s="50"/>
      <c r="G67" s="43">
        <v>0</v>
      </c>
      <c r="H67" s="14"/>
      <c r="I67" s="598"/>
      <c r="J67" s="598"/>
      <c r="K67" s="599"/>
      <c r="L67" s="14"/>
    </row>
    <row r="68" spans="4:12" s="12" customFormat="1" x14ac:dyDescent="0.2">
      <c r="D68" s="45" t="s">
        <v>165</v>
      </c>
      <c r="E68" s="50"/>
      <c r="G68" s="43">
        <v>0</v>
      </c>
      <c r="H68" s="14"/>
      <c r="I68" s="598"/>
      <c r="J68" s="598"/>
      <c r="K68" s="599"/>
      <c r="L68" s="14"/>
    </row>
    <row r="69" spans="4:12" s="12" customFormat="1" x14ac:dyDescent="0.2">
      <c r="D69" s="45"/>
      <c r="E69" s="50"/>
      <c r="G69" s="43"/>
      <c r="H69" s="14"/>
      <c r="I69" s="598"/>
      <c r="J69" s="598"/>
      <c r="K69" s="599"/>
      <c r="L69" s="14"/>
    </row>
    <row r="70" spans="4:12" s="12" customFormat="1" ht="13.5" thickBot="1" x14ac:dyDescent="0.25">
      <c r="D70" s="44" t="s">
        <v>120</v>
      </c>
      <c r="E70" s="51"/>
      <c r="G70" s="52">
        <v>189836.31999999998</v>
      </c>
      <c r="H70" s="14">
        <v>400610.51</v>
      </c>
      <c r="I70" s="598"/>
      <c r="J70" s="598"/>
      <c r="K70" s="599"/>
      <c r="L70" s="14"/>
    </row>
    <row r="71" spans="4:12" s="12" customFormat="1" ht="13.5" thickTop="1" x14ac:dyDescent="0.2">
      <c r="D71" s="45"/>
      <c r="E71" s="50"/>
      <c r="G71" s="43"/>
      <c r="H71" s="53">
        <f>+H70-G70</f>
        <v>210774.19000000003</v>
      </c>
      <c r="J71" s="14"/>
      <c r="K71" s="599"/>
      <c r="L71" s="14"/>
    </row>
    <row r="72" spans="4:12" s="12" customFormat="1" x14ac:dyDescent="0.2">
      <c r="D72" s="45"/>
      <c r="E72" s="54"/>
      <c r="G72" s="45"/>
      <c r="H72" s="14"/>
      <c r="K72" s="599"/>
      <c r="L72" s="14"/>
    </row>
    <row r="73" spans="4:12" s="12" customFormat="1" x14ac:dyDescent="0.2">
      <c r="D73" s="44" t="s">
        <v>121</v>
      </c>
      <c r="E73" s="54"/>
      <c r="G73" s="45"/>
      <c r="H73" s="14"/>
      <c r="J73" s="14"/>
      <c r="K73" s="599"/>
      <c r="L73" s="14"/>
    </row>
    <row r="74" spans="4:12" s="12" customFormat="1" x14ac:dyDescent="0.2">
      <c r="D74" s="45" t="s">
        <v>122</v>
      </c>
      <c r="E74" s="54"/>
      <c r="G74" s="93">
        <v>1.3031669590177007E-2</v>
      </c>
      <c r="H74" s="14"/>
      <c r="J74" s="14"/>
      <c r="K74" s="599"/>
      <c r="L74" s="14"/>
    </row>
    <row r="75" spans="4:12" s="12" customFormat="1" x14ac:dyDescent="0.2">
      <c r="D75" s="45" t="s">
        <v>146</v>
      </c>
      <c r="E75" s="54"/>
      <c r="G75" s="93">
        <v>1.3031669590177007E-2</v>
      </c>
      <c r="J75" s="14"/>
      <c r="K75" s="599"/>
      <c r="L75" s="14"/>
    </row>
    <row r="76" spans="4:12" s="12" customFormat="1" x14ac:dyDescent="0.2">
      <c r="D76" s="45" t="s">
        <v>147</v>
      </c>
      <c r="E76" s="54"/>
      <c r="G76" s="93">
        <v>9.7737521926327554E-3</v>
      </c>
      <c r="J76" s="14"/>
      <c r="K76" s="599"/>
      <c r="L76" s="14"/>
    </row>
    <row r="77" spans="4:12" s="12" customFormat="1" x14ac:dyDescent="0.2">
      <c r="D77" s="45" t="s">
        <v>148</v>
      </c>
      <c r="E77" s="54"/>
      <c r="G77" s="55">
        <v>1254200</v>
      </c>
      <c r="J77" s="14"/>
      <c r="K77" s="599"/>
      <c r="L77" s="14"/>
    </row>
    <row r="78" spans="4:12" s="12" customFormat="1" x14ac:dyDescent="0.2">
      <c r="D78" s="44" t="s">
        <v>149</v>
      </c>
      <c r="E78" s="56"/>
      <c r="G78" s="57">
        <v>1</v>
      </c>
      <c r="J78" s="14"/>
      <c r="K78" s="599"/>
      <c r="L78" s="14"/>
    </row>
    <row r="79" spans="4:12" s="12" customFormat="1" x14ac:dyDescent="0.2">
      <c r="E79" s="13"/>
      <c r="J79" s="14"/>
      <c r="K79" s="599"/>
      <c r="L79" s="14"/>
    </row>
    <row r="80" spans="4:12" s="12" customFormat="1" x14ac:dyDescent="0.2">
      <c r="E80" s="13"/>
      <c r="J80" s="14"/>
      <c r="K80" s="599"/>
      <c r="L80" s="14"/>
    </row>
    <row r="81" spans="2:12" x14ac:dyDescent="0.2">
      <c r="J81" s="14"/>
      <c r="K81" s="599"/>
      <c r="L81" s="14"/>
    </row>
    <row r="82" spans="2:12" x14ac:dyDescent="0.2">
      <c r="J82" s="14"/>
      <c r="K82" s="599"/>
      <c r="L82" s="14"/>
    </row>
    <row r="83" spans="2:12" ht="17.25" x14ac:dyDescent="0.35">
      <c r="B83" s="64"/>
      <c r="C83" s="38"/>
      <c r="D83" s="37" t="s">
        <v>181</v>
      </c>
      <c r="E83" s="1035" t="s">
        <v>37</v>
      </c>
      <c r="F83" s="1035"/>
      <c r="G83" s="38"/>
      <c r="J83" s="14"/>
      <c r="K83" s="599"/>
      <c r="L83" s="14"/>
    </row>
    <row r="84" spans="2:12" ht="15" x14ac:dyDescent="0.2">
      <c r="B84" s="64"/>
      <c r="C84" s="38"/>
      <c r="D84" s="38" t="str">
        <f>'Balance General SSF'!D124</f>
        <v>Shearlene Márquez</v>
      </c>
      <c r="E84" s="39" t="str">
        <f>'Balance General SSF'!E124</f>
        <v>Jesy Yanira Quijada</v>
      </c>
      <c r="F84" s="38"/>
      <c r="G84" s="38"/>
      <c r="J84" s="14"/>
      <c r="K84" s="599"/>
      <c r="L84" s="14"/>
    </row>
    <row r="85" spans="2:12" ht="15" x14ac:dyDescent="0.2">
      <c r="B85" s="64"/>
      <c r="C85" s="38"/>
      <c r="D85" s="38" t="s">
        <v>183</v>
      </c>
      <c r="E85" s="39" t="s">
        <v>38</v>
      </c>
      <c r="F85" s="38"/>
      <c r="G85" s="38"/>
      <c r="J85" s="14"/>
      <c r="K85" s="599"/>
      <c r="L85" s="14"/>
    </row>
    <row r="86" spans="2:12" ht="15" x14ac:dyDescent="0.2">
      <c r="B86" s="64"/>
      <c r="C86" s="38"/>
      <c r="D86" s="38"/>
      <c r="E86" s="39"/>
      <c r="F86" s="38"/>
      <c r="G86" s="38"/>
      <c r="J86" s="14"/>
      <c r="K86" s="599"/>
      <c r="L86" s="14"/>
    </row>
    <row r="87" spans="2:12" ht="15" x14ac:dyDescent="0.2">
      <c r="B87" s="64"/>
      <c r="C87" s="38"/>
      <c r="D87" s="38"/>
      <c r="E87" s="39"/>
      <c r="F87" s="38"/>
      <c r="G87" s="38"/>
      <c r="J87" s="14"/>
      <c r="K87" s="599"/>
      <c r="L87" s="14"/>
    </row>
    <row r="88" spans="2:12" x14ac:dyDescent="0.2">
      <c r="J88" s="14"/>
      <c r="K88" s="599"/>
      <c r="L88" s="14"/>
    </row>
    <row r="89" spans="2:12" ht="15" x14ac:dyDescent="0.2">
      <c r="B89" s="64"/>
      <c r="C89" s="38"/>
      <c r="D89" s="38"/>
      <c r="E89" s="39"/>
      <c r="F89" s="38"/>
      <c r="G89" s="38"/>
      <c r="J89" s="14"/>
      <c r="K89" s="599"/>
      <c r="L89" s="14"/>
    </row>
    <row r="90" spans="2:12" ht="15" x14ac:dyDescent="0.2">
      <c r="B90" s="64"/>
      <c r="C90" s="38"/>
      <c r="D90" s="38"/>
      <c r="E90" s="39"/>
      <c r="F90" s="38"/>
      <c r="G90" s="38"/>
      <c r="J90" s="14"/>
      <c r="K90" s="599"/>
      <c r="L90" s="14"/>
    </row>
    <row r="91" spans="2:12" ht="15" x14ac:dyDescent="0.2">
      <c r="B91" s="64"/>
      <c r="C91" s="38"/>
      <c r="D91" s="38"/>
      <c r="E91" s="39"/>
      <c r="F91" s="38"/>
      <c r="G91" s="38"/>
      <c r="J91" s="14"/>
      <c r="K91" s="599"/>
      <c r="L91" s="14"/>
    </row>
    <row r="92" spans="2:12" ht="15" x14ac:dyDescent="0.2">
      <c r="B92" s="64"/>
      <c r="C92" s="38"/>
      <c r="D92" s="38"/>
      <c r="E92" s="39"/>
      <c r="F92" s="38"/>
      <c r="G92" s="38"/>
      <c r="J92" s="14"/>
      <c r="K92" s="599"/>
      <c r="L92" s="14"/>
    </row>
    <row r="93" spans="2:12" x14ac:dyDescent="0.2">
      <c r="J93" s="14"/>
      <c r="K93" s="599"/>
      <c r="L93" s="14"/>
    </row>
    <row r="94" spans="2:12" x14ac:dyDescent="0.2">
      <c r="J94" s="14"/>
      <c r="K94" s="599"/>
      <c r="L94" s="14"/>
    </row>
    <row r="95" spans="2:12" x14ac:dyDescent="0.2">
      <c r="J95" s="14"/>
      <c r="K95" s="599"/>
      <c r="L95" s="14"/>
    </row>
    <row r="96" spans="2:12" x14ac:dyDescent="0.2">
      <c r="J96" s="14"/>
      <c r="K96" s="599"/>
      <c r="L96" s="14"/>
    </row>
    <row r="97" spans="10:12" x14ac:dyDescent="0.2">
      <c r="J97" s="14"/>
      <c r="K97" s="599"/>
      <c r="L97" s="14"/>
    </row>
    <row r="98" spans="10:12" x14ac:dyDescent="0.2">
      <c r="J98" s="14"/>
      <c r="K98" s="599"/>
      <c r="L98" s="14"/>
    </row>
    <row r="99" spans="10:12" x14ac:dyDescent="0.2">
      <c r="J99" s="14"/>
      <c r="K99" s="599"/>
      <c r="L99" s="14"/>
    </row>
    <row r="100" spans="10:12" x14ac:dyDescent="0.2">
      <c r="J100" s="14"/>
      <c r="K100" s="599"/>
      <c r="L100" s="14"/>
    </row>
    <row r="101" spans="10:12" x14ac:dyDescent="0.2">
      <c r="J101" s="14"/>
      <c r="K101" s="599"/>
      <c r="L101" s="14"/>
    </row>
    <row r="102" spans="10:12" x14ac:dyDescent="0.2">
      <c r="J102" s="14"/>
      <c r="K102" s="599"/>
      <c r="L102" s="14"/>
    </row>
    <row r="103" spans="10:12" x14ac:dyDescent="0.2">
      <c r="J103" s="14"/>
      <c r="K103" s="599"/>
      <c r="L103" s="14"/>
    </row>
    <row r="104" spans="10:12" x14ac:dyDescent="0.2">
      <c r="J104" s="14"/>
      <c r="K104" s="599"/>
      <c r="L104" s="14"/>
    </row>
    <row r="105" spans="10:12" x14ac:dyDescent="0.2">
      <c r="J105" s="14"/>
      <c r="K105" s="599"/>
      <c r="L105" s="14"/>
    </row>
    <row r="106" spans="10:12" x14ac:dyDescent="0.2">
      <c r="J106" s="14"/>
      <c r="K106" s="599"/>
      <c r="L106" s="14"/>
    </row>
    <row r="107" spans="10:12" x14ac:dyDescent="0.2">
      <c r="J107" s="14"/>
      <c r="K107" s="599"/>
      <c r="L107" s="14"/>
    </row>
    <row r="108" spans="10:12" x14ac:dyDescent="0.2">
      <c r="J108" s="14"/>
      <c r="K108" s="599"/>
      <c r="L108" s="14"/>
    </row>
    <row r="109" spans="10:12" x14ac:dyDescent="0.2">
      <c r="J109" s="14"/>
      <c r="K109" s="599"/>
      <c r="L109" s="14"/>
    </row>
    <row r="110" spans="10:12" x14ac:dyDescent="0.2">
      <c r="J110" s="14"/>
      <c r="K110" s="599"/>
      <c r="L110" s="14"/>
    </row>
    <row r="111" spans="10:12" x14ac:dyDescent="0.2">
      <c r="J111" s="14"/>
      <c r="K111" s="599"/>
      <c r="L111" s="14"/>
    </row>
    <row r="112" spans="10:12" x14ac:dyDescent="0.2">
      <c r="J112" s="14"/>
      <c r="K112" s="599"/>
      <c r="L112" s="14"/>
    </row>
    <row r="113" spans="10:12" x14ac:dyDescent="0.2">
      <c r="J113" s="14"/>
      <c r="K113" s="599"/>
      <c r="L113" s="14"/>
    </row>
    <row r="114" spans="10:12" x14ac:dyDescent="0.2">
      <c r="J114" s="14"/>
      <c r="K114" s="599"/>
      <c r="L114" s="14"/>
    </row>
    <row r="115" spans="10:12" x14ac:dyDescent="0.2">
      <c r="J115" s="14"/>
      <c r="K115" s="599"/>
      <c r="L115" s="14"/>
    </row>
    <row r="116" spans="10:12" x14ac:dyDescent="0.2">
      <c r="J116" s="14"/>
      <c r="K116" s="599"/>
      <c r="L116" s="14"/>
    </row>
    <row r="117" spans="10:12" x14ac:dyDescent="0.2">
      <c r="J117" s="14"/>
      <c r="K117" s="599"/>
      <c r="L117" s="14"/>
    </row>
    <row r="118" spans="10:12" x14ac:dyDescent="0.2">
      <c r="J118" s="14"/>
      <c r="K118" s="599"/>
      <c r="L118" s="14"/>
    </row>
    <row r="119" spans="10:12" x14ac:dyDescent="0.2">
      <c r="J119" s="14"/>
      <c r="K119" s="599"/>
      <c r="L119" s="14"/>
    </row>
    <row r="120" spans="10:12" x14ac:dyDescent="0.2">
      <c r="J120" s="14"/>
      <c r="K120" s="599"/>
      <c r="L120" s="14"/>
    </row>
    <row r="121" spans="10:12" x14ac:dyDescent="0.2">
      <c r="J121" s="14"/>
      <c r="K121" s="599"/>
      <c r="L121" s="14"/>
    </row>
    <row r="122" spans="10:12" x14ac:dyDescent="0.2">
      <c r="J122" s="14"/>
      <c r="K122" s="599"/>
      <c r="L122" s="14"/>
    </row>
    <row r="123" spans="10:12" x14ac:dyDescent="0.2">
      <c r="J123" s="14"/>
      <c r="K123" s="599"/>
      <c r="L123" s="14"/>
    </row>
    <row r="124" spans="10:12" x14ac:dyDescent="0.2">
      <c r="J124" s="14"/>
      <c r="K124" s="599"/>
      <c r="L124" s="14"/>
    </row>
    <row r="125" spans="10:12" x14ac:dyDescent="0.2">
      <c r="J125" s="14"/>
      <c r="K125" s="599"/>
      <c r="L125" s="14"/>
    </row>
    <row r="126" spans="10:12" x14ac:dyDescent="0.2">
      <c r="J126" s="14"/>
      <c r="K126" s="599"/>
      <c r="L126" s="14"/>
    </row>
    <row r="127" spans="10:12" x14ac:dyDescent="0.2">
      <c r="J127" s="14"/>
      <c r="K127" s="599"/>
      <c r="L127" s="14"/>
    </row>
    <row r="128" spans="10:12" x14ac:dyDescent="0.2">
      <c r="J128" s="14"/>
      <c r="K128" s="599"/>
      <c r="L128" s="14"/>
    </row>
    <row r="129" spans="10:12" x14ac:dyDescent="0.2">
      <c r="J129" s="14"/>
      <c r="K129" s="599"/>
      <c r="L129" s="14"/>
    </row>
    <row r="130" spans="10:12" x14ac:dyDescent="0.2">
      <c r="J130" s="14"/>
      <c r="K130" s="599"/>
      <c r="L130" s="14"/>
    </row>
    <row r="131" spans="10:12" x14ac:dyDescent="0.2">
      <c r="J131" s="14"/>
      <c r="K131" s="599"/>
      <c r="L131" s="14"/>
    </row>
    <row r="132" spans="10:12" x14ac:dyDescent="0.2">
      <c r="J132" s="14"/>
      <c r="K132" s="599"/>
      <c r="L132" s="14"/>
    </row>
    <row r="133" spans="10:12" x14ac:dyDescent="0.2">
      <c r="J133" s="14"/>
      <c r="K133" s="599"/>
      <c r="L133" s="14"/>
    </row>
    <row r="134" spans="10:12" x14ac:dyDescent="0.2">
      <c r="J134" s="14"/>
      <c r="K134" s="599"/>
      <c r="L134" s="14"/>
    </row>
    <row r="135" spans="10:12" x14ac:dyDescent="0.2">
      <c r="J135" s="14"/>
      <c r="K135" s="599"/>
      <c r="L135" s="14"/>
    </row>
    <row r="136" spans="10:12" x14ac:dyDescent="0.2">
      <c r="J136" s="14"/>
      <c r="K136" s="599"/>
      <c r="L136" s="14"/>
    </row>
    <row r="137" spans="10:12" x14ac:dyDescent="0.2">
      <c r="J137" s="14"/>
      <c r="K137" s="599"/>
      <c r="L137" s="14"/>
    </row>
    <row r="138" spans="10:12" x14ac:dyDescent="0.2">
      <c r="J138" s="14"/>
      <c r="K138" s="599"/>
      <c r="L138" s="14"/>
    </row>
    <row r="139" spans="10:12" x14ac:dyDescent="0.2">
      <c r="J139" s="14"/>
      <c r="K139" s="599"/>
      <c r="L139" s="14"/>
    </row>
    <row r="140" spans="10:12" x14ac:dyDescent="0.2">
      <c r="J140" s="14"/>
      <c r="K140" s="599"/>
      <c r="L140" s="14"/>
    </row>
    <row r="141" spans="10:12" x14ac:dyDescent="0.2">
      <c r="J141" s="14"/>
      <c r="K141" s="599"/>
      <c r="L141" s="14"/>
    </row>
    <row r="142" spans="10:12" x14ac:dyDescent="0.2">
      <c r="J142" s="14"/>
      <c r="K142" s="599"/>
      <c r="L142" s="14"/>
    </row>
    <row r="143" spans="10:12" x14ac:dyDescent="0.2">
      <c r="J143" s="14"/>
      <c r="K143" s="599"/>
      <c r="L143" s="14"/>
    </row>
    <row r="144" spans="10:12" x14ac:dyDescent="0.2">
      <c r="J144" s="14"/>
      <c r="K144" s="599"/>
      <c r="L144" s="14"/>
    </row>
    <row r="145" spans="10:12" x14ac:dyDescent="0.2">
      <c r="J145" s="14"/>
      <c r="K145" s="599"/>
      <c r="L145" s="14"/>
    </row>
    <row r="146" spans="10:12" x14ac:dyDescent="0.2">
      <c r="J146" s="14"/>
      <c r="K146" s="599"/>
      <c r="L146" s="14"/>
    </row>
    <row r="147" spans="10:12" x14ac:dyDescent="0.2">
      <c r="J147" s="14"/>
      <c r="K147" s="599"/>
      <c r="L147" s="14"/>
    </row>
    <row r="148" spans="10:12" x14ac:dyDescent="0.2">
      <c r="J148" s="14"/>
      <c r="K148" s="599"/>
      <c r="L148" s="14"/>
    </row>
    <row r="149" spans="10:12" x14ac:dyDescent="0.2">
      <c r="J149" s="14"/>
      <c r="K149" s="599"/>
      <c r="L149" s="14"/>
    </row>
    <row r="150" spans="10:12" x14ac:dyDescent="0.2">
      <c r="J150" s="14"/>
      <c r="K150" s="599"/>
      <c r="L150" s="14"/>
    </row>
    <row r="151" spans="10:12" x14ac:dyDescent="0.2">
      <c r="J151" s="14"/>
      <c r="K151" s="599"/>
      <c r="L151" s="14"/>
    </row>
    <row r="152" spans="10:12" x14ac:dyDescent="0.2">
      <c r="J152" s="14"/>
      <c r="K152" s="599"/>
      <c r="L152" s="14"/>
    </row>
    <row r="153" spans="10:12" x14ac:dyDescent="0.2">
      <c r="J153" s="14"/>
      <c r="K153" s="599"/>
      <c r="L153" s="14"/>
    </row>
    <row r="154" spans="10:12" x14ac:dyDescent="0.2">
      <c r="J154" s="14"/>
      <c r="K154" s="599"/>
      <c r="L154" s="14"/>
    </row>
    <row r="155" spans="10:12" x14ac:dyDescent="0.2">
      <c r="J155" s="14"/>
      <c r="K155" s="599"/>
      <c r="L155" s="14"/>
    </row>
    <row r="156" spans="10:12" x14ac:dyDescent="0.2">
      <c r="J156" s="14"/>
      <c r="K156" s="599"/>
      <c r="L156" s="14"/>
    </row>
    <row r="157" spans="10:12" x14ac:dyDescent="0.2">
      <c r="J157" s="14"/>
      <c r="K157" s="599"/>
      <c r="L157" s="14"/>
    </row>
    <row r="158" spans="10:12" x14ac:dyDescent="0.2">
      <c r="J158" s="14"/>
      <c r="K158" s="599"/>
      <c r="L158" s="14"/>
    </row>
    <row r="159" spans="10:12" x14ac:dyDescent="0.2">
      <c r="J159" s="14"/>
      <c r="K159" s="599"/>
      <c r="L159" s="14"/>
    </row>
    <row r="160" spans="10:12" x14ac:dyDescent="0.2">
      <c r="J160" s="14"/>
      <c r="K160" s="599"/>
      <c r="L160" s="14"/>
    </row>
    <row r="161" spans="5:12" x14ac:dyDescent="0.2">
      <c r="J161" s="14"/>
      <c r="K161" s="599"/>
      <c r="L161" s="14"/>
    </row>
    <row r="162" spans="5:12" x14ac:dyDescent="0.2">
      <c r="J162" s="14"/>
      <c r="K162" s="599"/>
      <c r="L162" s="14"/>
    </row>
    <row r="163" spans="5:12" s="12" customFormat="1" x14ac:dyDescent="0.2">
      <c r="E163" s="13"/>
      <c r="J163" s="14"/>
      <c r="K163" s="599"/>
      <c r="L163" s="14"/>
    </row>
    <row r="164" spans="5:12" s="12" customFormat="1" x14ac:dyDescent="0.2">
      <c r="E164" s="13"/>
      <c r="J164" s="14"/>
      <c r="K164" s="599"/>
      <c r="L164" s="14"/>
    </row>
    <row r="165" spans="5:12" s="12" customFormat="1" x14ac:dyDescent="0.2">
      <c r="E165" s="13"/>
      <c r="J165" s="14"/>
      <c r="K165" s="599"/>
      <c r="L165" s="14"/>
    </row>
    <row r="166" spans="5:12" s="12" customFormat="1" x14ac:dyDescent="0.2">
      <c r="E166" s="13"/>
      <c r="J166" s="14"/>
      <c r="K166" s="599"/>
      <c r="L166" s="14"/>
    </row>
    <row r="167" spans="5:12" s="12" customFormat="1" x14ac:dyDescent="0.2">
      <c r="E167" s="13"/>
      <c r="J167" s="14"/>
      <c r="K167" s="599"/>
      <c r="L167" s="14"/>
    </row>
    <row r="168" spans="5:12" s="12" customFormat="1" x14ac:dyDescent="0.2">
      <c r="E168" s="13"/>
      <c r="J168" s="14"/>
      <c r="K168" s="599"/>
      <c r="L168" s="14"/>
    </row>
    <row r="169" spans="5:12" s="12" customFormat="1" x14ac:dyDescent="0.2">
      <c r="E169" s="13"/>
      <c r="J169" s="14"/>
      <c r="K169" s="599"/>
      <c r="L169" s="14"/>
    </row>
    <row r="170" spans="5:12" s="12" customFormat="1" x14ac:dyDescent="0.2">
      <c r="E170" s="13"/>
      <c r="J170" s="14"/>
      <c r="K170" s="599"/>
      <c r="L170" s="14"/>
    </row>
    <row r="171" spans="5:12" s="12" customFormat="1" x14ac:dyDescent="0.2">
      <c r="E171" s="13"/>
      <c r="J171" s="14"/>
      <c r="K171" s="599"/>
      <c r="L171" s="14"/>
    </row>
    <row r="172" spans="5:12" s="12" customFormat="1" x14ac:dyDescent="0.2">
      <c r="E172" s="13"/>
      <c r="J172" s="14"/>
      <c r="K172" s="599"/>
      <c r="L172" s="14"/>
    </row>
    <row r="173" spans="5:12" s="12" customFormat="1" x14ac:dyDescent="0.2">
      <c r="E173" s="13"/>
      <c r="J173" s="14"/>
      <c r="K173" s="599"/>
      <c r="L173" s="14"/>
    </row>
    <row r="174" spans="5:12" s="12" customFormat="1" x14ac:dyDescent="0.2">
      <c r="E174" s="13"/>
      <c r="J174" s="14"/>
      <c r="K174" s="599"/>
      <c r="L174" s="14"/>
    </row>
    <row r="175" spans="5:12" s="12" customFormat="1" x14ac:dyDescent="0.2">
      <c r="E175" s="13"/>
      <c r="J175" s="14"/>
      <c r="K175" s="599"/>
      <c r="L175" s="14"/>
    </row>
    <row r="176" spans="5:12" s="12" customFormat="1" x14ac:dyDescent="0.2">
      <c r="E176" s="13"/>
      <c r="J176" s="14"/>
      <c r="K176" s="599"/>
      <c r="L176" s="14"/>
    </row>
    <row r="177" spans="5:12" s="12" customFormat="1" x14ac:dyDescent="0.2">
      <c r="E177" s="13"/>
      <c r="J177" s="14"/>
      <c r="K177" s="599"/>
      <c r="L177" s="14"/>
    </row>
    <row r="178" spans="5:12" s="12" customFormat="1" x14ac:dyDescent="0.2">
      <c r="E178" s="13"/>
      <c r="J178" s="14"/>
      <c r="K178" s="599"/>
      <c r="L178" s="14"/>
    </row>
    <row r="179" spans="5:12" s="12" customFormat="1" x14ac:dyDescent="0.2">
      <c r="E179" s="13"/>
      <c r="J179" s="14"/>
      <c r="K179" s="599"/>
      <c r="L179" s="14"/>
    </row>
    <row r="180" spans="5:12" s="12" customFormat="1" x14ac:dyDescent="0.2">
      <c r="E180" s="13"/>
      <c r="J180" s="14"/>
      <c r="K180" s="599"/>
      <c r="L180" s="14"/>
    </row>
    <row r="181" spans="5:12" s="12" customFormat="1" x14ac:dyDescent="0.2">
      <c r="E181" s="13"/>
      <c r="J181" s="14"/>
      <c r="K181" s="599"/>
      <c r="L181" s="14"/>
    </row>
    <row r="182" spans="5:12" s="12" customFormat="1" x14ac:dyDescent="0.2">
      <c r="E182" s="13"/>
      <c r="J182" s="14"/>
      <c r="K182" s="599"/>
      <c r="L182" s="14"/>
    </row>
    <row r="183" spans="5:12" s="12" customFormat="1" x14ac:dyDescent="0.2">
      <c r="E183" s="13"/>
      <c r="J183" s="14"/>
      <c r="K183" s="599"/>
      <c r="L183" s="14"/>
    </row>
    <row r="184" spans="5:12" s="12" customFormat="1" x14ac:dyDescent="0.2">
      <c r="E184" s="13"/>
      <c r="J184" s="14"/>
      <c r="K184" s="599"/>
      <c r="L184" s="14"/>
    </row>
    <row r="185" spans="5:12" s="12" customFormat="1" x14ac:dyDescent="0.2">
      <c r="E185" s="13"/>
      <c r="J185" s="14"/>
      <c r="K185" s="599"/>
      <c r="L185" s="14"/>
    </row>
    <row r="186" spans="5:12" s="12" customFormat="1" x14ac:dyDescent="0.2">
      <c r="E186" s="13"/>
      <c r="J186" s="14"/>
      <c r="K186" s="599"/>
      <c r="L186" s="14"/>
    </row>
    <row r="187" spans="5:12" s="12" customFormat="1" x14ac:dyDescent="0.2">
      <c r="E187" s="13"/>
      <c r="J187" s="14"/>
      <c r="K187" s="599"/>
      <c r="L187" s="14"/>
    </row>
    <row r="188" spans="5:12" s="12" customFormat="1" x14ac:dyDescent="0.2">
      <c r="E188" s="13"/>
      <c r="J188" s="14"/>
      <c r="K188" s="599"/>
      <c r="L188" s="14"/>
    </row>
    <row r="189" spans="5:12" s="12" customFormat="1" x14ac:dyDescent="0.2">
      <c r="E189" s="13"/>
      <c r="J189" s="14"/>
      <c r="K189" s="599"/>
      <c r="L189" s="14"/>
    </row>
    <row r="190" spans="5:12" s="12" customFormat="1" x14ac:dyDescent="0.2">
      <c r="E190" s="13"/>
      <c r="J190" s="14"/>
      <c r="K190" s="599"/>
      <c r="L190" s="14"/>
    </row>
    <row r="191" spans="5:12" s="12" customFormat="1" x14ac:dyDescent="0.2">
      <c r="E191" s="13"/>
      <c r="J191" s="14"/>
      <c r="K191" s="599"/>
      <c r="L191" s="14"/>
    </row>
    <row r="192" spans="5:12" s="12" customFormat="1" x14ac:dyDescent="0.2">
      <c r="E192" s="13"/>
      <c r="J192" s="14"/>
      <c r="K192" s="599"/>
      <c r="L192" s="14"/>
    </row>
    <row r="193" spans="5:12" s="12" customFormat="1" x14ac:dyDescent="0.2">
      <c r="E193" s="13"/>
      <c r="J193" s="14"/>
      <c r="K193" s="599"/>
      <c r="L193" s="14"/>
    </row>
    <row r="194" spans="5:12" s="12" customFormat="1" x14ac:dyDescent="0.2">
      <c r="E194" s="13"/>
      <c r="J194" s="14"/>
      <c r="K194" s="599"/>
      <c r="L194" s="14"/>
    </row>
    <row r="195" spans="5:12" s="12" customFormat="1" x14ac:dyDescent="0.2">
      <c r="E195" s="13"/>
      <c r="J195" s="14"/>
      <c r="K195" s="599"/>
      <c r="L195" s="14"/>
    </row>
    <row r="196" spans="5:12" s="12" customFormat="1" x14ac:dyDescent="0.2">
      <c r="E196" s="13"/>
      <c r="J196" s="14"/>
      <c r="K196" s="599"/>
      <c r="L196" s="14"/>
    </row>
    <row r="197" spans="5:12" s="12" customFormat="1" x14ac:dyDescent="0.2">
      <c r="E197" s="13"/>
      <c r="J197" s="14"/>
      <c r="K197" s="599"/>
      <c r="L197" s="14"/>
    </row>
    <row r="198" spans="5:12" s="12" customFormat="1" x14ac:dyDescent="0.2">
      <c r="E198" s="13"/>
      <c r="J198" s="14"/>
      <c r="K198" s="599"/>
      <c r="L198" s="14"/>
    </row>
    <row r="199" spans="5:12" s="12" customFormat="1" x14ac:dyDescent="0.2">
      <c r="E199" s="13"/>
      <c r="J199" s="14"/>
      <c r="K199" s="599"/>
      <c r="L199" s="14"/>
    </row>
    <row r="200" spans="5:12" s="12" customFormat="1" x14ac:dyDescent="0.2">
      <c r="E200" s="13"/>
      <c r="J200" s="14"/>
      <c r="K200" s="599"/>
      <c r="L200" s="14"/>
    </row>
    <row r="201" spans="5:12" s="12" customFormat="1" x14ac:dyDescent="0.2">
      <c r="E201" s="13"/>
      <c r="J201" s="14"/>
      <c r="K201" s="599"/>
      <c r="L201" s="14"/>
    </row>
    <row r="202" spans="5:12" s="12" customFormat="1" x14ac:dyDescent="0.2">
      <c r="E202" s="13"/>
      <c r="J202" s="14"/>
      <c r="K202" s="597"/>
      <c r="L202" s="14"/>
    </row>
    <row r="203" spans="5:12" s="12" customFormat="1" x14ac:dyDescent="0.2">
      <c r="E203" s="13"/>
      <c r="J203" s="14"/>
      <c r="K203" s="597"/>
      <c r="L203" s="14"/>
    </row>
    <row r="204" spans="5:12" s="12" customFormat="1" x14ac:dyDescent="0.2">
      <c r="E204" s="13"/>
      <c r="K204" s="597"/>
    </row>
    <row r="205" spans="5:12" s="12" customFormat="1" x14ac:dyDescent="0.2">
      <c r="E205" s="13"/>
      <c r="K205" s="597"/>
    </row>
    <row r="206" spans="5:12" s="12" customFormat="1" x14ac:dyDescent="0.2">
      <c r="E206" s="13"/>
      <c r="K206" s="597"/>
    </row>
    <row r="207" spans="5:12" s="12" customFormat="1" x14ac:dyDescent="0.2">
      <c r="E207" s="13"/>
      <c r="K207" s="597"/>
    </row>
    <row r="208" spans="5:12" s="12" customFormat="1" x14ac:dyDescent="0.2">
      <c r="E208" s="13"/>
      <c r="K208" s="597"/>
    </row>
    <row r="209" spans="5:11" s="12" customFormat="1" x14ac:dyDescent="0.2">
      <c r="E209" s="13"/>
      <c r="K209" s="597"/>
    </row>
  </sheetData>
  <mergeCells count="1">
    <mergeCell ref="E83:F83"/>
  </mergeCells>
  <phoneticPr fontId="161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F34" sqref="F34"/>
    </sheetView>
  </sheetViews>
  <sheetFormatPr baseColWidth="10" defaultColWidth="11.42578125" defaultRowHeight="12.75" x14ac:dyDescent="0.2"/>
  <cols>
    <col min="1" max="1" width="11.42578125" style="12"/>
    <col min="2" max="2" width="4" style="12" customWidth="1"/>
    <col min="3" max="3" width="3.7109375" style="12" customWidth="1"/>
    <col min="4" max="4" width="63.85546875" style="12" customWidth="1"/>
    <col min="5" max="5" width="15.42578125" style="13" customWidth="1"/>
    <col min="6" max="6" width="15.42578125" style="12" customWidth="1"/>
    <col min="7" max="7" width="22.85546875" style="12" customWidth="1"/>
    <col min="8" max="11" width="15.42578125" style="12" customWidth="1"/>
    <col min="12" max="16384" width="11.42578125" style="12"/>
  </cols>
  <sheetData>
    <row r="1" spans="4:12" x14ac:dyDescent="0.2">
      <c r="J1" s="14"/>
      <c r="K1" s="14"/>
      <c r="L1" s="14"/>
    </row>
    <row r="2" spans="4:12" ht="18" x14ac:dyDescent="0.25">
      <c r="D2" s="15" t="s">
        <v>96</v>
      </c>
      <c r="E2" s="16"/>
      <c r="G2" s="17"/>
      <c r="J2" s="14"/>
      <c r="K2" s="14"/>
      <c r="L2" s="14"/>
    </row>
    <row r="3" spans="4:12" ht="18" x14ac:dyDescent="0.25">
      <c r="D3" s="15" t="s">
        <v>245</v>
      </c>
      <c r="E3" s="16"/>
      <c r="G3" s="17"/>
      <c r="J3" s="14"/>
      <c r="K3" s="14"/>
      <c r="L3" s="14"/>
    </row>
    <row r="4" spans="4:12" ht="18" x14ac:dyDescent="0.25">
      <c r="D4" s="15" t="s">
        <v>243</v>
      </c>
      <c r="E4" s="16"/>
      <c r="G4" s="17"/>
      <c r="J4" s="14"/>
      <c r="K4" s="14"/>
      <c r="L4" s="14"/>
    </row>
    <row r="5" spans="4:12" ht="18" x14ac:dyDescent="0.25">
      <c r="D5" s="18" t="s">
        <v>1205</v>
      </c>
      <c r="E5" s="16"/>
      <c r="G5" s="17"/>
      <c r="J5" s="14"/>
      <c r="K5" s="14"/>
      <c r="L5" s="14"/>
    </row>
    <row r="6" spans="4:12" ht="18" x14ac:dyDescent="0.25">
      <c r="D6" s="18" t="s">
        <v>24</v>
      </c>
      <c r="E6" s="16"/>
      <c r="G6" s="17"/>
      <c r="J6" s="14"/>
      <c r="K6" s="14"/>
      <c r="L6" s="14"/>
    </row>
    <row r="7" spans="4:12" x14ac:dyDescent="0.2">
      <c r="G7" s="17"/>
      <c r="J7" s="14"/>
      <c r="K7" s="14"/>
      <c r="L7" s="14"/>
    </row>
    <row r="8" spans="4:12" x14ac:dyDescent="0.2">
      <c r="G8" s="17"/>
      <c r="J8" s="14"/>
      <c r="K8" s="14"/>
      <c r="L8" s="14"/>
    </row>
    <row r="9" spans="4:12" x14ac:dyDescent="0.2">
      <c r="J9" s="14"/>
      <c r="K9" s="14"/>
      <c r="L9" s="14"/>
    </row>
    <row r="10" spans="4:12" x14ac:dyDescent="0.2">
      <c r="G10" s="20"/>
      <c r="J10" s="14"/>
      <c r="K10" s="14"/>
      <c r="L10" s="14"/>
    </row>
    <row r="11" spans="4:12" x14ac:dyDescent="0.2">
      <c r="J11" s="14"/>
      <c r="K11" s="14"/>
      <c r="L11" s="14"/>
    </row>
    <row r="12" spans="4:12" x14ac:dyDescent="0.2">
      <c r="J12" s="14"/>
      <c r="K12" s="14"/>
      <c r="L12" s="14"/>
    </row>
    <row r="13" spans="4:12" x14ac:dyDescent="0.2">
      <c r="J13" s="14"/>
      <c r="K13" s="14"/>
      <c r="L13" s="14"/>
    </row>
    <row r="14" spans="4:12" x14ac:dyDescent="0.2">
      <c r="J14" s="14"/>
      <c r="K14" s="14"/>
      <c r="L14" s="14"/>
    </row>
    <row r="15" spans="4:12" x14ac:dyDescent="0.2">
      <c r="J15" s="14"/>
      <c r="K15" s="14"/>
      <c r="L15" s="14"/>
    </row>
    <row r="16" spans="4:12" x14ac:dyDescent="0.2">
      <c r="J16" s="14"/>
      <c r="K16" s="14"/>
      <c r="L16" s="14"/>
    </row>
    <row r="17" spans="1:12" s="17" customFormat="1" x14ac:dyDescent="0.2">
      <c r="B17" s="12">
        <v>81</v>
      </c>
      <c r="D17" s="17" t="s">
        <v>145</v>
      </c>
      <c r="E17" s="30"/>
      <c r="G17" s="19">
        <v>272418617.80000001</v>
      </c>
      <c r="J17" s="32"/>
      <c r="K17" s="32"/>
      <c r="L17" s="32"/>
    </row>
    <row r="18" spans="1:12" x14ac:dyDescent="0.2">
      <c r="B18" s="12">
        <v>811</v>
      </c>
      <c r="D18" s="12" t="s">
        <v>126</v>
      </c>
      <c r="E18" s="40"/>
      <c r="F18" s="20">
        <v>1821.66</v>
      </c>
      <c r="G18" s="17"/>
      <c r="J18" s="14" t="s">
        <v>111</v>
      </c>
      <c r="K18" s="41">
        <f>E18+E19+E21+E22+E23</f>
        <v>0</v>
      </c>
      <c r="L18" s="14"/>
    </row>
    <row r="19" spans="1:12" x14ac:dyDescent="0.2">
      <c r="B19" s="12">
        <v>812</v>
      </c>
      <c r="D19" s="12" t="s">
        <v>180</v>
      </c>
      <c r="E19" s="40"/>
      <c r="F19" s="20">
        <v>0</v>
      </c>
      <c r="G19" s="17"/>
      <c r="J19" s="14"/>
      <c r="K19" s="14"/>
      <c r="L19" s="14"/>
    </row>
    <row r="20" spans="1:12" x14ac:dyDescent="0.2">
      <c r="B20" s="12">
        <v>813</v>
      </c>
      <c r="D20" s="12" t="s">
        <v>112</v>
      </c>
      <c r="E20" s="40"/>
      <c r="F20" s="20">
        <v>0</v>
      </c>
      <c r="G20" s="17"/>
      <c r="J20" s="14"/>
      <c r="K20" s="14"/>
      <c r="L20" s="14"/>
    </row>
    <row r="21" spans="1:12" x14ac:dyDescent="0.2">
      <c r="B21" s="12">
        <v>816</v>
      </c>
      <c r="D21" s="12" t="s">
        <v>98</v>
      </c>
      <c r="E21" s="40"/>
      <c r="F21" s="20">
        <v>272416796.13999999</v>
      </c>
      <c r="G21" s="17"/>
      <c r="J21" s="14"/>
      <c r="K21" s="14"/>
      <c r="L21" s="14"/>
    </row>
    <row r="22" spans="1:12" x14ac:dyDescent="0.2">
      <c r="B22" s="12">
        <v>817</v>
      </c>
      <c r="D22" s="12" t="s">
        <v>113</v>
      </c>
      <c r="E22" s="40"/>
      <c r="F22" s="20">
        <v>0</v>
      </c>
      <c r="G22" s="17"/>
      <c r="J22" s="14"/>
      <c r="K22" s="14"/>
      <c r="L22" s="14"/>
    </row>
    <row r="23" spans="1:12" x14ac:dyDescent="0.2">
      <c r="E23" s="40"/>
      <c r="F23" s="20"/>
      <c r="G23" s="17"/>
      <c r="J23" s="14"/>
      <c r="K23" s="14"/>
      <c r="L23" s="14"/>
    </row>
    <row r="24" spans="1:12" ht="13.5" thickBot="1" x14ac:dyDescent="0.25">
      <c r="A24" s="42"/>
      <c r="C24" s="42"/>
      <c r="D24" s="42"/>
      <c r="E24" s="27"/>
      <c r="F24" s="28"/>
      <c r="G24" s="17"/>
      <c r="J24" s="14"/>
      <c r="K24" s="14"/>
      <c r="L24" s="14"/>
    </row>
    <row r="25" spans="1:12" x14ac:dyDescent="0.2">
      <c r="G25" s="17"/>
      <c r="H25" s="14" t="s">
        <v>114</v>
      </c>
      <c r="J25" s="14"/>
      <c r="K25" s="14"/>
      <c r="L25" s="14"/>
    </row>
    <row r="26" spans="1:12" s="33" customFormat="1" ht="16.5" thickBot="1" x14ac:dyDescent="0.3">
      <c r="B26" s="12"/>
      <c r="D26" s="17" t="s">
        <v>115</v>
      </c>
      <c r="E26" s="34"/>
      <c r="G26" s="35">
        <v>272418617.80000001</v>
      </c>
      <c r="J26" s="36"/>
      <c r="K26" s="36"/>
      <c r="L26" s="36"/>
    </row>
    <row r="27" spans="1:12" ht="13.5" thickTop="1" x14ac:dyDescent="0.2">
      <c r="G27" s="17"/>
      <c r="J27" s="14"/>
      <c r="K27" s="14"/>
      <c r="L27" s="14"/>
    </row>
    <row r="28" spans="1:12" x14ac:dyDescent="0.2">
      <c r="G28" s="17"/>
      <c r="J28" s="14"/>
      <c r="K28" s="14"/>
      <c r="L28" s="14"/>
    </row>
    <row r="29" spans="1:12" x14ac:dyDescent="0.2">
      <c r="G29" s="17"/>
      <c r="J29" s="14"/>
      <c r="K29" s="14"/>
      <c r="L29" s="14"/>
    </row>
    <row r="30" spans="1:12" x14ac:dyDescent="0.2">
      <c r="G30" s="17"/>
      <c r="J30" s="14"/>
      <c r="K30" s="14"/>
      <c r="L30" s="14"/>
    </row>
    <row r="31" spans="1:12" x14ac:dyDescent="0.2">
      <c r="G31" s="17"/>
      <c r="J31" s="14"/>
      <c r="K31" s="14"/>
      <c r="L31" s="14"/>
    </row>
    <row r="32" spans="1:12" x14ac:dyDescent="0.2">
      <c r="G32" s="17"/>
      <c r="J32" s="14"/>
      <c r="K32" s="14"/>
      <c r="L32" s="14"/>
    </row>
    <row r="33" spans="2:12" x14ac:dyDescent="0.2">
      <c r="G33" s="17"/>
      <c r="J33" s="14"/>
      <c r="K33" s="14"/>
      <c r="L33" s="14"/>
    </row>
    <row r="34" spans="2:12" x14ac:dyDescent="0.2">
      <c r="G34" s="17"/>
      <c r="J34" s="14"/>
      <c r="K34" s="14"/>
      <c r="L34" s="14"/>
    </row>
    <row r="35" spans="2:12" x14ac:dyDescent="0.2">
      <c r="G35" s="17"/>
      <c r="J35" s="14"/>
      <c r="K35" s="14"/>
      <c r="L35" s="14"/>
    </row>
    <row r="36" spans="2:12" x14ac:dyDescent="0.2">
      <c r="G36" s="17"/>
      <c r="J36" s="14"/>
      <c r="K36" s="14"/>
      <c r="L36" s="14"/>
    </row>
    <row r="37" spans="2:12" x14ac:dyDescent="0.2">
      <c r="G37" s="17"/>
      <c r="J37" s="14"/>
      <c r="K37" s="14"/>
      <c r="L37" s="14"/>
    </row>
    <row r="38" spans="2:12" x14ac:dyDescent="0.2">
      <c r="F38" s="20"/>
      <c r="G38" s="17"/>
      <c r="J38" s="14"/>
      <c r="K38" s="14"/>
      <c r="L38" s="14"/>
    </row>
    <row r="39" spans="2:12" x14ac:dyDescent="0.2">
      <c r="F39" s="20"/>
      <c r="G39" s="17"/>
      <c r="J39" s="14"/>
      <c r="K39" s="14"/>
      <c r="L39" s="14"/>
    </row>
    <row r="40" spans="2:12" s="17" customFormat="1" x14ac:dyDescent="0.2">
      <c r="B40" s="12">
        <v>91</v>
      </c>
      <c r="D40" s="17" t="s">
        <v>12</v>
      </c>
      <c r="E40" s="30"/>
      <c r="F40" s="19"/>
      <c r="G40" s="19">
        <v>272418617.80000001</v>
      </c>
      <c r="J40" s="32"/>
      <c r="K40" s="32"/>
      <c r="L40" s="32"/>
    </row>
    <row r="41" spans="2:12" x14ac:dyDescent="0.2">
      <c r="B41" s="12">
        <v>910</v>
      </c>
      <c r="D41" s="12" t="s">
        <v>12</v>
      </c>
      <c r="F41" s="20">
        <v>1814.21</v>
      </c>
      <c r="G41" s="17"/>
      <c r="J41" s="14" t="s">
        <v>116</v>
      </c>
      <c r="K41" s="21"/>
      <c r="L41" s="14"/>
    </row>
    <row r="42" spans="2:12" x14ac:dyDescent="0.2">
      <c r="B42" s="12">
        <v>911</v>
      </c>
      <c r="D42" s="12" t="s">
        <v>49</v>
      </c>
      <c r="F42" s="20">
        <v>7.45</v>
      </c>
      <c r="G42" s="17"/>
    </row>
    <row r="43" spans="2:12" x14ac:dyDescent="0.2">
      <c r="B43" s="12">
        <v>913</v>
      </c>
      <c r="D43" s="12" t="s">
        <v>117</v>
      </c>
      <c r="F43" s="20">
        <v>0</v>
      </c>
      <c r="G43" s="17"/>
    </row>
    <row r="44" spans="2:12" x14ac:dyDescent="0.2">
      <c r="B44" s="12">
        <v>914</v>
      </c>
      <c r="D44" s="12" t="s">
        <v>55</v>
      </c>
      <c r="F44" s="20">
        <v>272416796.13999999</v>
      </c>
      <c r="G44" s="17"/>
    </row>
    <row r="45" spans="2:12" x14ac:dyDescent="0.2">
      <c r="B45" s="12">
        <v>915</v>
      </c>
      <c r="D45" s="12" t="s">
        <v>92</v>
      </c>
      <c r="F45" s="20">
        <v>0</v>
      </c>
      <c r="G45" s="17"/>
    </row>
    <row r="46" spans="2:12" x14ac:dyDescent="0.2">
      <c r="G46" s="17"/>
    </row>
    <row r="47" spans="2:12" ht="13.5" thickBot="1" x14ac:dyDescent="0.25">
      <c r="E47" s="27"/>
      <c r="F47" s="28"/>
      <c r="G47" s="17"/>
    </row>
    <row r="48" spans="2:12" s="33" customFormat="1" ht="16.5" thickBot="1" x14ac:dyDescent="0.3">
      <c r="B48" s="12"/>
      <c r="D48" s="17" t="s">
        <v>166</v>
      </c>
      <c r="E48" s="34"/>
      <c r="G48" s="35">
        <v>272418617.80000001</v>
      </c>
    </row>
    <row r="49" spans="4:7" ht="13.5" thickTop="1" x14ac:dyDescent="0.2">
      <c r="G49" s="19">
        <v>0</v>
      </c>
    </row>
    <row r="50" spans="4:7" x14ac:dyDescent="0.2">
      <c r="G50" s="19"/>
    </row>
    <row r="51" spans="4:7" x14ac:dyDescent="0.2">
      <c r="G51" s="19"/>
    </row>
    <row r="52" spans="4:7" x14ac:dyDescent="0.2">
      <c r="G52" s="19"/>
    </row>
    <row r="53" spans="4:7" x14ac:dyDescent="0.2">
      <c r="G53" s="19"/>
    </row>
    <row r="54" spans="4:7" x14ac:dyDescent="0.2">
      <c r="G54" s="19"/>
    </row>
    <row r="55" spans="4:7" x14ac:dyDescent="0.2">
      <c r="G55" s="19"/>
    </row>
    <row r="56" spans="4:7" x14ac:dyDescent="0.2">
      <c r="G56" s="17"/>
    </row>
    <row r="57" spans="4:7" x14ac:dyDescent="0.2">
      <c r="G57" s="17"/>
    </row>
    <row r="59" spans="4:7" x14ac:dyDescent="0.2">
      <c r="G59" s="17"/>
    </row>
    <row r="61" spans="4:7" ht="17.25" x14ac:dyDescent="0.35">
      <c r="D61" s="37" t="s">
        <v>181</v>
      </c>
      <c r="E61" s="1035" t="s">
        <v>37</v>
      </c>
      <c r="F61" s="1035"/>
    </row>
    <row r="62" spans="4:7" ht="15" x14ac:dyDescent="0.2">
      <c r="D62" s="38" t="str">
        <f>'Balance General SSF'!D124</f>
        <v>Shearlene Márquez</v>
      </c>
      <c r="E62" s="39" t="str">
        <f>'Balance General SSF'!E124</f>
        <v>Jesy Yanira Quijada</v>
      </c>
      <c r="F62" s="38"/>
    </row>
    <row r="63" spans="4:7" ht="15" x14ac:dyDescent="0.2">
      <c r="D63" s="38" t="s">
        <v>183</v>
      </c>
      <c r="E63" s="38" t="s">
        <v>205</v>
      </c>
      <c r="F63" s="38"/>
    </row>
    <row r="64" spans="4:7" ht="15" x14ac:dyDescent="0.2">
      <c r="D64" s="38"/>
      <c r="E64" s="39"/>
      <c r="F64" s="38"/>
    </row>
    <row r="66" spans="4:7" x14ac:dyDescent="0.2">
      <c r="G66" s="17"/>
    </row>
    <row r="67" spans="4:7" x14ac:dyDescent="0.2">
      <c r="G67" s="17"/>
    </row>
    <row r="69" spans="4:7" x14ac:dyDescent="0.2">
      <c r="G69" s="17"/>
    </row>
    <row r="70" spans="4:7" x14ac:dyDescent="0.2">
      <c r="G70" s="17"/>
    </row>
    <row r="72" spans="4:7" ht="17.25" x14ac:dyDescent="0.35">
      <c r="D72" s="37"/>
      <c r="E72" s="1035"/>
      <c r="F72" s="1035"/>
    </row>
    <row r="73" spans="4:7" ht="15" x14ac:dyDescent="0.2">
      <c r="D73" s="38"/>
      <c r="E73" s="39"/>
      <c r="F73" s="38"/>
    </row>
    <row r="74" spans="4:7" ht="15" x14ac:dyDescent="0.2">
      <c r="D74" s="38"/>
      <c r="E74" s="38"/>
      <c r="F74" s="38"/>
    </row>
    <row r="75" spans="4:7" ht="15" x14ac:dyDescent="0.2">
      <c r="D75" s="38"/>
      <c r="E75" s="39"/>
      <c r="F75" s="38"/>
    </row>
  </sheetData>
  <mergeCells count="2">
    <mergeCell ref="E61:F61"/>
    <mergeCell ref="E72:F72"/>
  </mergeCells>
  <phoneticPr fontId="161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F24" sqref="F24"/>
    </sheetView>
  </sheetViews>
  <sheetFormatPr baseColWidth="10" defaultColWidth="11.42578125" defaultRowHeight="12.75" x14ac:dyDescent="0.2"/>
  <cols>
    <col min="1" max="1" width="3.5703125" style="107" customWidth="1"/>
    <col min="2" max="2" width="5.42578125" style="107" customWidth="1"/>
    <col min="3" max="3" width="2.28515625" style="107" customWidth="1"/>
    <col min="4" max="4" width="70.42578125" style="107" bestFit="1" customWidth="1"/>
    <col min="5" max="5" width="23.7109375" style="107" bestFit="1" customWidth="1"/>
    <col min="6" max="6" width="13.7109375" style="107" customWidth="1"/>
    <col min="7" max="7" width="14.7109375" style="107" bestFit="1" customWidth="1"/>
    <col min="8" max="16384" width="11.42578125" style="107"/>
  </cols>
  <sheetData>
    <row r="1" spans="1:12" ht="20.25" x14ac:dyDescent="0.3">
      <c r="A1" s="1037"/>
      <c r="B1" s="1037"/>
      <c r="C1" s="1037"/>
    </row>
    <row r="2" spans="1:12" ht="15" x14ac:dyDescent="0.2">
      <c r="A2" s="1036"/>
      <c r="B2" s="1036"/>
      <c r="C2" s="1036"/>
    </row>
    <row r="3" spans="1:12" ht="15" x14ac:dyDescent="0.2">
      <c r="A3" s="1036"/>
      <c r="B3" s="1036"/>
      <c r="C3" s="1036"/>
    </row>
    <row r="4" spans="1:12" ht="15" x14ac:dyDescent="0.2">
      <c r="A4" s="1036"/>
      <c r="B4" s="1036"/>
      <c r="C4" s="1036"/>
    </row>
    <row r="5" spans="1:12" ht="15" x14ac:dyDescent="0.2">
      <c r="A5" s="1036"/>
      <c r="B5" s="1036"/>
      <c r="C5" s="1036"/>
    </row>
    <row r="6" spans="1:12" s="42" customFormat="1" ht="18" x14ac:dyDescent="0.25">
      <c r="C6" s="15" t="s">
        <v>96</v>
      </c>
      <c r="D6" s="16"/>
      <c r="E6" s="16"/>
      <c r="G6" s="17"/>
      <c r="J6" s="108"/>
      <c r="K6" s="108"/>
      <c r="L6" s="108"/>
    </row>
    <row r="7" spans="1:12" s="42" customFormat="1" ht="18" x14ac:dyDescent="0.25">
      <c r="C7" s="15" t="s">
        <v>246</v>
      </c>
      <c r="D7" s="16"/>
      <c r="E7" s="16"/>
      <c r="G7" s="17"/>
      <c r="J7" s="108"/>
      <c r="K7" s="108"/>
      <c r="L7" s="108"/>
    </row>
    <row r="8" spans="1:12" s="42" customFormat="1" ht="18" x14ac:dyDescent="0.25">
      <c r="C8" s="15" t="s">
        <v>244</v>
      </c>
      <c r="D8" s="16"/>
      <c r="E8" s="16"/>
      <c r="G8" s="17"/>
      <c r="J8" s="108"/>
      <c r="K8" s="108"/>
      <c r="L8" s="108"/>
    </row>
    <row r="9" spans="1:12" s="42" customFormat="1" ht="18" x14ac:dyDescent="0.25">
      <c r="C9" s="18" t="s">
        <v>1206</v>
      </c>
      <c r="D9" s="16"/>
      <c r="E9" s="16"/>
      <c r="G9" s="17"/>
      <c r="J9" s="108"/>
      <c r="K9" s="108"/>
      <c r="L9" s="108"/>
    </row>
    <row r="10" spans="1:12" s="42" customFormat="1" ht="18" x14ac:dyDescent="0.25">
      <c r="C10" s="18" t="s">
        <v>24</v>
      </c>
      <c r="D10" s="16"/>
      <c r="E10" s="16"/>
      <c r="G10" s="17"/>
      <c r="J10" s="108"/>
      <c r="K10" s="108"/>
      <c r="L10" s="108"/>
    </row>
    <row r="11" spans="1:12" s="42" customFormat="1" x14ac:dyDescent="0.2">
      <c r="D11" s="109"/>
      <c r="E11" s="109"/>
      <c r="G11" s="17"/>
      <c r="J11" s="108"/>
      <c r="K11" s="108"/>
      <c r="L11" s="108"/>
    </row>
    <row r="16" spans="1:12" x14ac:dyDescent="0.2">
      <c r="B16" s="107">
        <v>82</v>
      </c>
      <c r="D16" s="107" t="s">
        <v>167</v>
      </c>
      <c r="F16" s="110"/>
      <c r="G16" s="111">
        <v>1952478.2</v>
      </c>
    </row>
    <row r="17" spans="2:7" x14ac:dyDescent="0.2">
      <c r="B17" s="107">
        <v>821</v>
      </c>
      <c r="D17" s="107" t="s">
        <v>51</v>
      </c>
      <c r="F17" s="112">
        <v>1952478.2</v>
      </c>
      <c r="G17" s="111"/>
    </row>
    <row r="18" spans="2:7" x14ac:dyDescent="0.2">
      <c r="G18" s="111"/>
    </row>
    <row r="19" spans="2:7" x14ac:dyDescent="0.2">
      <c r="D19" s="113"/>
      <c r="F19" s="107" t="s">
        <v>168</v>
      </c>
      <c r="G19" s="111"/>
    </row>
    <row r="20" spans="2:7" ht="13.5" thickBot="1" x14ac:dyDescent="0.25">
      <c r="D20" s="107" t="s">
        <v>115</v>
      </c>
      <c r="G20" s="114">
        <v>1952478.2</v>
      </c>
    </row>
    <row r="21" spans="2:7" ht="13.5" thickTop="1" x14ac:dyDescent="0.2"/>
    <row r="25" spans="2:7" x14ac:dyDescent="0.2">
      <c r="B25" s="107">
        <v>92</v>
      </c>
      <c r="D25" s="107" t="s">
        <v>253</v>
      </c>
    </row>
    <row r="26" spans="2:7" x14ac:dyDescent="0.2">
      <c r="F26" s="110"/>
      <c r="G26" s="111">
        <v>1952478.2</v>
      </c>
    </row>
    <row r="27" spans="2:7" x14ac:dyDescent="0.2">
      <c r="B27" s="107">
        <v>921</v>
      </c>
      <c r="D27" s="107" t="s">
        <v>94</v>
      </c>
      <c r="F27" s="109">
        <v>1952478.2</v>
      </c>
      <c r="G27" s="111"/>
    </row>
    <row r="28" spans="2:7" x14ac:dyDescent="0.2">
      <c r="B28" s="107">
        <v>9210</v>
      </c>
      <c r="D28" s="107" t="s">
        <v>169</v>
      </c>
      <c r="E28" s="112">
        <v>327975.58</v>
      </c>
      <c r="G28" s="111"/>
    </row>
    <row r="29" spans="2:7" x14ac:dyDescent="0.2">
      <c r="B29" s="107">
        <v>9211</v>
      </c>
      <c r="D29" s="107" t="s">
        <v>202</v>
      </c>
      <c r="E29" s="112">
        <v>53156.18</v>
      </c>
      <c r="G29" s="111"/>
    </row>
    <row r="30" spans="2:7" x14ac:dyDescent="0.2">
      <c r="B30" s="107">
        <v>9212</v>
      </c>
      <c r="D30" s="107" t="s">
        <v>170</v>
      </c>
      <c r="E30" s="112">
        <v>34146.33</v>
      </c>
      <c r="G30" s="111"/>
    </row>
    <row r="31" spans="2:7" x14ac:dyDescent="0.2">
      <c r="B31" s="107">
        <v>9213</v>
      </c>
      <c r="D31" s="107" t="s">
        <v>200</v>
      </c>
      <c r="E31" s="112">
        <v>5545.36</v>
      </c>
      <c r="G31" s="111"/>
    </row>
    <row r="32" spans="2:7" x14ac:dyDescent="0.2">
      <c r="B32" s="107">
        <v>9214</v>
      </c>
      <c r="D32" s="107" t="s">
        <v>201</v>
      </c>
      <c r="E32" s="112">
        <v>442392.68</v>
      </c>
      <c r="G32" s="111"/>
    </row>
    <row r="33" spans="2:7" x14ac:dyDescent="0.2">
      <c r="B33" s="107">
        <v>9216</v>
      </c>
      <c r="D33" s="107" t="s">
        <v>171</v>
      </c>
      <c r="E33" s="112">
        <v>1089194.56</v>
      </c>
      <c r="G33" s="111"/>
    </row>
    <row r="34" spans="2:7" x14ac:dyDescent="0.2">
      <c r="B34" s="107">
        <v>9217</v>
      </c>
      <c r="D34" s="107" t="s">
        <v>172</v>
      </c>
      <c r="E34" s="112">
        <v>56.58</v>
      </c>
      <c r="G34" s="111"/>
    </row>
    <row r="35" spans="2:7" x14ac:dyDescent="0.2">
      <c r="B35" s="107">
        <v>9218</v>
      </c>
      <c r="D35" s="107" t="s">
        <v>173</v>
      </c>
      <c r="E35" s="112">
        <v>10.93</v>
      </c>
      <c r="G35" s="111"/>
    </row>
    <row r="36" spans="2:7" x14ac:dyDescent="0.2">
      <c r="G36" s="111"/>
    </row>
    <row r="37" spans="2:7" x14ac:dyDescent="0.2">
      <c r="E37" s="115"/>
      <c r="F37" s="115"/>
      <c r="G37" s="116"/>
    </row>
    <row r="38" spans="2:7" ht="13.5" thickBot="1" x14ac:dyDescent="0.25">
      <c r="D38" s="107" t="s">
        <v>166</v>
      </c>
      <c r="G38" s="117">
        <v>1952478.2</v>
      </c>
    </row>
    <row r="39" spans="2:7" ht="13.5" thickTop="1" x14ac:dyDescent="0.2">
      <c r="G39" s="19">
        <v>0</v>
      </c>
    </row>
    <row r="47" spans="2:7" ht="15.75" customHeight="1" x14ac:dyDescent="0.2"/>
    <row r="49" spans="4:6" x14ac:dyDescent="0.2">
      <c r="D49" s="118" t="s">
        <v>181</v>
      </c>
      <c r="E49" s="118" t="s">
        <v>182</v>
      </c>
    </row>
    <row r="50" spans="4:6" x14ac:dyDescent="0.2">
      <c r="D50" s="107" t="str">
        <f>'Balance General SSF'!D124</f>
        <v>Shearlene Márquez</v>
      </c>
      <c r="E50" s="119" t="str">
        <f>'Balance General SSF'!E124</f>
        <v>Jesy Yanira Quijada</v>
      </c>
    </row>
    <row r="51" spans="4:6" x14ac:dyDescent="0.2">
      <c r="D51" s="107" t="s">
        <v>183</v>
      </c>
      <c r="E51" s="107" t="s">
        <v>205</v>
      </c>
    </row>
    <row r="61" spans="4:6" x14ac:dyDescent="0.2">
      <c r="D61" s="118"/>
      <c r="E61" s="118"/>
      <c r="F61" s="118"/>
    </row>
  </sheetData>
  <mergeCells count="5">
    <mergeCell ref="A5:C5"/>
    <mergeCell ref="A1:C1"/>
    <mergeCell ref="A2:C2"/>
    <mergeCell ref="A3:C3"/>
    <mergeCell ref="A4:C4"/>
  </mergeCells>
  <phoneticPr fontId="161" type="noConversion"/>
  <pageMargins left="0.75" right="0.75" top="1" bottom="1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2:K27"/>
  <sheetViews>
    <sheetView showGridLines="0" zoomScale="115" zoomScaleNormal="115" workbookViewId="0">
      <selection activeCell="A4" sqref="A4"/>
    </sheetView>
  </sheetViews>
  <sheetFormatPr baseColWidth="10" defaultColWidth="11.42578125" defaultRowHeight="12.75" x14ac:dyDescent="0.2"/>
  <cols>
    <col min="1" max="1" width="19" customWidth="1"/>
    <col min="2" max="2" width="5.7109375" customWidth="1"/>
    <col min="3" max="3" width="13.140625" customWidth="1"/>
    <col min="4" max="4" width="45.85546875" customWidth="1"/>
    <col min="5" max="5" width="13.28515625" style="100" customWidth="1"/>
    <col min="7" max="7" width="13.5703125" style="100" customWidth="1"/>
    <col min="8" max="8" width="7.5703125" customWidth="1"/>
    <col min="9" max="9" width="42.7109375" customWidth="1"/>
  </cols>
  <sheetData>
    <row r="2" spans="1:11" x14ac:dyDescent="0.2">
      <c r="A2" s="60" t="s">
        <v>144</v>
      </c>
    </row>
    <row r="3" spans="1:11" x14ac:dyDescent="0.2">
      <c r="A3" s="60" t="s">
        <v>1190</v>
      </c>
    </row>
    <row r="4" spans="1:11" x14ac:dyDescent="0.2">
      <c r="A4" s="60"/>
    </row>
    <row r="5" spans="1:11" s="7" customFormat="1" ht="10.5" x14ac:dyDescent="0.15">
      <c r="A5" s="5" t="s">
        <v>99</v>
      </c>
      <c r="B5" s="5" t="s">
        <v>100</v>
      </c>
      <c r="C5" s="5" t="s">
        <v>154</v>
      </c>
      <c r="D5" s="11" t="s">
        <v>39</v>
      </c>
      <c r="E5" s="101" t="s">
        <v>155</v>
      </c>
      <c r="F5" s="5" t="s">
        <v>157</v>
      </c>
      <c r="G5" s="101" t="s">
        <v>158</v>
      </c>
      <c r="H5" s="6" t="s">
        <v>159</v>
      </c>
      <c r="I5" s="5" t="s">
        <v>160</v>
      </c>
    </row>
    <row r="6" spans="1:11" s="10" customFormat="1" ht="10.5" customHeight="1" x14ac:dyDescent="0.2">
      <c r="A6" s="762" t="s">
        <v>54</v>
      </c>
      <c r="B6" s="762" t="s">
        <v>163</v>
      </c>
      <c r="C6" s="768">
        <v>11100000400</v>
      </c>
      <c r="D6" s="764" t="e">
        <f>VLOOKUP(C6,#REF!,2,FALSE)</f>
        <v>#REF!</v>
      </c>
      <c r="E6" s="765" t="e">
        <f>-VLOOKUP(C6,#REF!,3,FALSE)</f>
        <v>#REF!</v>
      </c>
      <c r="F6" s="762">
        <v>1</v>
      </c>
      <c r="G6" s="766" t="e">
        <f t="shared" ref="G6:G11" si="0">+E6</f>
        <v>#REF!</v>
      </c>
      <c r="H6" s="1031">
        <v>0</v>
      </c>
      <c r="I6" s="1032" t="s">
        <v>242</v>
      </c>
    </row>
    <row r="7" spans="1:11" s="10" customFormat="1" ht="11.25" x14ac:dyDescent="0.2">
      <c r="A7" s="762" t="s">
        <v>54</v>
      </c>
      <c r="B7" s="762" t="s">
        <v>163</v>
      </c>
      <c r="C7" s="763">
        <v>11100000401</v>
      </c>
      <c r="D7" s="764" t="e">
        <f>VLOOKUP(C7,#REF!,2,FALSE)</f>
        <v>#REF!</v>
      </c>
      <c r="E7" s="765" t="e">
        <f>-VLOOKUP(C7,#REF!,3,FALSE)</f>
        <v>#REF!</v>
      </c>
      <c r="F7" s="762">
        <v>1</v>
      </c>
      <c r="G7" s="766" t="e">
        <f t="shared" si="0"/>
        <v>#REF!</v>
      </c>
      <c r="H7" s="1031">
        <v>0</v>
      </c>
      <c r="I7" s="1032" t="s">
        <v>242</v>
      </c>
    </row>
    <row r="8" spans="1:11" s="10" customFormat="1" ht="11.25" x14ac:dyDescent="0.2">
      <c r="A8" s="762" t="s">
        <v>54</v>
      </c>
      <c r="B8" s="762" t="s">
        <v>163</v>
      </c>
      <c r="C8" s="763">
        <v>11100000402</v>
      </c>
      <c r="D8" s="764" t="e">
        <f>VLOOKUP(C8,#REF!,2,FALSE)</f>
        <v>#REF!</v>
      </c>
      <c r="E8" s="765" t="e">
        <f>-VLOOKUP(C8,#REF!,3,FALSE)</f>
        <v>#REF!</v>
      </c>
      <c r="F8" s="762">
        <v>1</v>
      </c>
      <c r="G8" s="766" t="e">
        <f t="shared" si="0"/>
        <v>#REF!</v>
      </c>
      <c r="H8" s="1031">
        <v>0</v>
      </c>
      <c r="I8" s="1032" t="s">
        <v>242</v>
      </c>
    </row>
    <row r="9" spans="1:11" s="10" customFormat="1" ht="11.25" x14ac:dyDescent="0.2">
      <c r="A9" s="8" t="s">
        <v>54</v>
      </c>
      <c r="B9" s="8" t="s">
        <v>163</v>
      </c>
      <c r="C9" s="98">
        <v>11100000403</v>
      </c>
      <c r="D9" s="2" t="e">
        <f>VLOOKUP(C9,#REF!,2,FALSE)</f>
        <v>#REF!</v>
      </c>
      <c r="E9" s="105" t="e">
        <f>-VLOOKUP(C9,#REF!,3,FALSE)</f>
        <v>#REF!</v>
      </c>
      <c r="F9" s="8">
        <v>1</v>
      </c>
      <c r="G9" s="104" t="e">
        <f t="shared" si="0"/>
        <v>#REF!</v>
      </c>
      <c r="H9" s="10">
        <v>0</v>
      </c>
      <c r="I9" s="73" t="s">
        <v>242</v>
      </c>
    </row>
    <row r="10" spans="1:11" s="10" customFormat="1" ht="11.25" x14ac:dyDescent="0.2">
      <c r="A10" s="762" t="s">
        <v>54</v>
      </c>
      <c r="B10" s="762" t="s">
        <v>163</v>
      </c>
      <c r="C10" s="763">
        <v>11100100401</v>
      </c>
      <c r="D10" s="764" t="e">
        <f>VLOOKUP(C10,#REF!,2,FALSE)</f>
        <v>#REF!</v>
      </c>
      <c r="E10" s="765" t="e">
        <f>-VLOOKUP(C10,#REF!,3,FALSE)</f>
        <v>#REF!</v>
      </c>
      <c r="F10" s="762">
        <v>1</v>
      </c>
      <c r="G10" s="766" t="e">
        <f t="shared" si="0"/>
        <v>#REF!</v>
      </c>
      <c r="H10" s="1031">
        <v>0</v>
      </c>
      <c r="I10" s="1032" t="s">
        <v>242</v>
      </c>
      <c r="K10" s="102"/>
    </row>
    <row r="11" spans="1:11" s="10" customFormat="1" ht="11.25" x14ac:dyDescent="0.2">
      <c r="A11" s="8" t="s">
        <v>54</v>
      </c>
      <c r="B11" s="8" t="s">
        <v>163</v>
      </c>
      <c r="C11" s="98">
        <v>11100100402</v>
      </c>
      <c r="D11" s="2" t="e">
        <f>VLOOKUP(C11,#REF!,2,FALSE)</f>
        <v>#REF!</v>
      </c>
      <c r="E11" s="105" t="e">
        <f>-VLOOKUP(C11,#REF!,3,FALSE)</f>
        <v>#REF!</v>
      </c>
      <c r="F11" s="8">
        <v>1</v>
      </c>
      <c r="G11" s="104" t="e">
        <f t="shared" si="0"/>
        <v>#REF!</v>
      </c>
      <c r="H11" s="10">
        <v>0</v>
      </c>
      <c r="I11" s="73" t="s">
        <v>242</v>
      </c>
    </row>
    <row r="12" spans="1:11" s="10" customFormat="1" ht="10.5" customHeight="1" x14ac:dyDescent="0.2">
      <c r="A12" s="8" t="s">
        <v>54</v>
      </c>
      <c r="B12" s="8" t="s">
        <v>163</v>
      </c>
      <c r="C12" s="98">
        <v>11520200001</v>
      </c>
      <c r="D12" s="2" t="e">
        <f>VLOOKUP(C12,#REF!,2,FALSE)</f>
        <v>#REF!</v>
      </c>
      <c r="E12" s="105" t="e">
        <f>-VLOOKUP(C12,#REF!,3,FALSE)</f>
        <v>#REF!</v>
      </c>
      <c r="F12" s="8">
        <v>1</v>
      </c>
      <c r="G12" s="104" t="e">
        <f t="shared" ref="G12:G17" si="1">+E12</f>
        <v>#REF!</v>
      </c>
      <c r="H12" s="10">
        <v>0</v>
      </c>
      <c r="I12" s="10" t="s">
        <v>127</v>
      </c>
    </row>
    <row r="13" spans="1:11" s="10" customFormat="1" ht="10.5" customHeight="1" x14ac:dyDescent="0.2">
      <c r="A13" s="8" t="s">
        <v>54</v>
      </c>
      <c r="B13" s="8" t="s">
        <v>163</v>
      </c>
      <c r="C13" s="98">
        <v>11520200004</v>
      </c>
      <c r="D13" s="2" t="e">
        <f>VLOOKUP(C13,#REF!,2,FALSE)</f>
        <v>#REF!</v>
      </c>
      <c r="E13" s="105" t="e">
        <f>-VLOOKUP(C13,#REF!,3,FALSE)</f>
        <v>#REF!</v>
      </c>
      <c r="F13" s="8">
        <v>1</v>
      </c>
      <c r="G13" s="104" t="e">
        <f t="shared" si="1"/>
        <v>#REF!</v>
      </c>
      <c r="H13" s="10">
        <v>0</v>
      </c>
      <c r="I13" s="10" t="s">
        <v>104</v>
      </c>
    </row>
    <row r="14" spans="1:11" s="10" customFormat="1" ht="10.5" customHeight="1" x14ac:dyDescent="0.2">
      <c r="A14" s="762" t="s">
        <v>54</v>
      </c>
      <c r="B14" s="762" t="s">
        <v>163</v>
      </c>
      <c r="C14" s="763">
        <v>11520200101</v>
      </c>
      <c r="D14" s="764" t="e">
        <f>VLOOKUP(C14,#REF!,2,FALSE)</f>
        <v>#REF!</v>
      </c>
      <c r="E14" s="765" t="e">
        <f>-VLOOKUP(C14,#REF!,3,FALSE)</f>
        <v>#REF!</v>
      </c>
      <c r="F14" s="762">
        <v>1</v>
      </c>
      <c r="G14" s="766" t="e">
        <f t="shared" si="1"/>
        <v>#REF!</v>
      </c>
      <c r="H14" s="1031">
        <v>0</v>
      </c>
      <c r="I14" s="1032" t="s">
        <v>242</v>
      </c>
    </row>
    <row r="15" spans="1:11" s="10" customFormat="1" ht="10.5" customHeight="1" x14ac:dyDescent="0.2">
      <c r="A15" s="8" t="s">
        <v>54</v>
      </c>
      <c r="B15" s="8" t="s">
        <v>163</v>
      </c>
      <c r="C15" s="98">
        <v>11520200201</v>
      </c>
      <c r="D15" s="2" t="e">
        <f>VLOOKUP(C15,#REF!,2,FALSE)</f>
        <v>#REF!</v>
      </c>
      <c r="E15" s="105" t="e">
        <f>-VLOOKUP(C15,#REF!,3,FALSE)</f>
        <v>#REF!</v>
      </c>
      <c r="F15" s="8">
        <v>1</v>
      </c>
      <c r="G15" s="104" t="e">
        <f t="shared" si="1"/>
        <v>#REF!</v>
      </c>
      <c r="H15" s="802">
        <v>0</v>
      </c>
      <c r="I15" s="803" t="s">
        <v>242</v>
      </c>
    </row>
    <row r="16" spans="1:11" s="10" customFormat="1" ht="11.25" x14ac:dyDescent="0.2">
      <c r="A16" s="8" t="s">
        <v>54</v>
      </c>
      <c r="B16" s="8" t="s">
        <v>163</v>
      </c>
      <c r="C16" s="98">
        <v>11520200301</v>
      </c>
      <c r="D16" s="2" t="e">
        <f>VLOOKUP(C16,#REF!,2,FALSE)</f>
        <v>#REF!</v>
      </c>
      <c r="E16" s="105" t="e">
        <f>-VLOOKUP(C16,#REF!,3,FALSE)</f>
        <v>#REF!</v>
      </c>
      <c r="F16" s="8">
        <v>1</v>
      </c>
      <c r="G16" s="104" t="e">
        <f t="shared" si="1"/>
        <v>#REF!</v>
      </c>
      <c r="H16" s="802">
        <v>0</v>
      </c>
      <c r="I16" s="803" t="s">
        <v>258</v>
      </c>
    </row>
    <row r="17" spans="1:9" s="10" customFormat="1" ht="11.25" x14ac:dyDescent="0.2">
      <c r="A17" s="762" t="s">
        <v>54</v>
      </c>
      <c r="B17" s="762" t="s">
        <v>163</v>
      </c>
      <c r="C17" s="763">
        <v>11450100014</v>
      </c>
      <c r="D17" s="764" t="s">
        <v>216</v>
      </c>
      <c r="E17" s="765" t="e">
        <f>-VLOOKUP(C17,#REF!,3,FALSE)</f>
        <v>#REF!</v>
      </c>
      <c r="F17" s="762">
        <v>1</v>
      </c>
      <c r="G17" s="766" t="e">
        <f t="shared" si="1"/>
        <v>#REF!</v>
      </c>
      <c r="H17" s="802">
        <v>0</v>
      </c>
      <c r="I17" s="1032" t="s">
        <v>258</v>
      </c>
    </row>
    <row r="18" spans="1:9" s="10" customFormat="1" ht="11.25" x14ac:dyDescent="0.2">
      <c r="A18" s="8"/>
      <c r="B18" s="8"/>
      <c r="C18" s="65"/>
      <c r="D18" s="106"/>
      <c r="E18" s="105"/>
      <c r="F18" s="8"/>
      <c r="G18" s="104"/>
      <c r="H18" s="802"/>
      <c r="I18" s="802"/>
    </row>
    <row r="19" spans="1:9" s="10" customFormat="1" ht="10.5" x14ac:dyDescent="0.15">
      <c r="E19" s="102"/>
      <c r="G19" s="102"/>
      <c r="H19" s="802"/>
      <c r="I19" s="802"/>
    </row>
    <row r="20" spans="1:9" s="7" customFormat="1" ht="10.5" x14ac:dyDescent="0.15">
      <c r="E20" s="103"/>
      <c r="G20" s="103"/>
    </row>
    <row r="22" spans="1:9" x14ac:dyDescent="0.2">
      <c r="H22" s="707"/>
    </row>
    <row r="26" spans="1:9" x14ac:dyDescent="0.2">
      <c r="H26" s="761"/>
    </row>
    <row r="27" spans="1:9" x14ac:dyDescent="0.2">
      <c r="H27" s="761"/>
    </row>
  </sheetData>
  <autoFilter ref="A5:I5"/>
  <phoneticPr fontId="161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0000"/>
  </sheetPr>
  <dimension ref="A2:IM81"/>
  <sheetViews>
    <sheetView showGridLines="0" topLeftCell="A2" zoomScaleNormal="100" workbookViewId="0">
      <selection activeCell="T25" sqref="T25"/>
    </sheetView>
  </sheetViews>
  <sheetFormatPr baseColWidth="10" defaultColWidth="11.42578125" defaultRowHeight="11.25" x14ac:dyDescent="0.2"/>
  <cols>
    <col min="1" max="1" width="19.5703125" style="75" customWidth="1"/>
    <col min="2" max="2" width="5.140625" style="75" bestFit="1" customWidth="1"/>
    <col min="3" max="3" width="16.140625" style="83" customWidth="1"/>
    <col min="4" max="4" width="29.28515625" style="1" customWidth="1"/>
    <col min="5" max="5" width="16.5703125" style="75" customWidth="1"/>
    <col min="6" max="6" width="9.85546875" style="75" hidden="1" customWidth="1"/>
    <col min="7" max="7" width="9.5703125" style="75" hidden="1" customWidth="1"/>
    <col min="8" max="9" width="0" style="75" hidden="1" customWidth="1"/>
    <col min="10" max="10" width="33.140625" style="75" bestFit="1" customWidth="1"/>
    <col min="11" max="11" width="0" style="2" hidden="1" customWidth="1"/>
    <col min="12" max="12" width="5.140625" style="2" hidden="1" customWidth="1"/>
    <col min="13" max="13" width="8" style="2" hidden="1" customWidth="1"/>
    <col min="14" max="14" width="50.85546875" style="2" customWidth="1"/>
    <col min="15" max="17" width="2.140625" style="2" customWidth="1"/>
    <col min="18" max="18" width="1.7109375" style="2" customWidth="1"/>
    <col min="19" max="19" width="12.42578125" style="2" customWidth="1"/>
    <col min="20" max="20" width="12" style="2" bestFit="1" customWidth="1"/>
    <col min="21" max="21" width="50.85546875" style="2" bestFit="1" customWidth="1"/>
    <col min="22" max="248" width="11.42578125" style="2"/>
    <col min="249" max="249" width="17.7109375" style="2" bestFit="1" customWidth="1"/>
    <col min="250" max="250" width="4.5703125" style="2" customWidth="1"/>
    <col min="251" max="251" width="12.42578125" style="2" customWidth="1"/>
    <col min="252" max="252" width="32.5703125" style="2" customWidth="1"/>
    <col min="253" max="253" width="10.140625" style="2" customWidth="1"/>
    <col min="254" max="254" width="9.85546875" style="2" customWidth="1"/>
    <col min="255" max="255" width="9.5703125" style="2" customWidth="1"/>
    <col min="256" max="257" width="11.42578125" style="2"/>
    <col min="258" max="258" width="28" style="2" bestFit="1" customWidth="1"/>
    <col min="259" max="259" width="11.42578125" style="2"/>
    <col min="260" max="260" width="5.140625" style="2" customWidth="1"/>
    <col min="261" max="261" width="8" style="2" customWidth="1"/>
    <col min="262" max="504" width="11.42578125" style="2"/>
    <col min="505" max="505" width="17.7109375" style="2" bestFit="1" customWidth="1"/>
    <col min="506" max="506" width="4.5703125" style="2" customWidth="1"/>
    <col min="507" max="507" width="12.42578125" style="2" customWidth="1"/>
    <col min="508" max="508" width="32.5703125" style="2" customWidth="1"/>
    <col min="509" max="509" width="10.140625" style="2" customWidth="1"/>
    <col min="510" max="510" width="9.85546875" style="2" customWidth="1"/>
    <col min="511" max="511" width="9.5703125" style="2" customWidth="1"/>
    <col min="512" max="513" width="11.42578125" style="2"/>
    <col min="514" max="514" width="28" style="2" bestFit="1" customWidth="1"/>
    <col min="515" max="515" width="11.42578125" style="2"/>
    <col min="516" max="516" width="5.140625" style="2" customWidth="1"/>
    <col min="517" max="517" width="8" style="2" customWidth="1"/>
    <col min="518" max="760" width="11.42578125" style="2"/>
    <col min="761" max="761" width="17.7109375" style="2" bestFit="1" customWidth="1"/>
    <col min="762" max="762" width="4.5703125" style="2" customWidth="1"/>
    <col min="763" max="763" width="12.42578125" style="2" customWidth="1"/>
    <col min="764" max="764" width="32.5703125" style="2" customWidth="1"/>
    <col min="765" max="765" width="10.140625" style="2" customWidth="1"/>
    <col min="766" max="766" width="9.85546875" style="2" customWidth="1"/>
    <col min="767" max="767" width="9.5703125" style="2" customWidth="1"/>
    <col min="768" max="769" width="11.42578125" style="2"/>
    <col min="770" max="770" width="28" style="2" bestFit="1" customWidth="1"/>
    <col min="771" max="771" width="11.42578125" style="2"/>
    <col min="772" max="772" width="5.140625" style="2" customWidth="1"/>
    <col min="773" max="773" width="8" style="2" customWidth="1"/>
    <col min="774" max="1016" width="11.42578125" style="2"/>
    <col min="1017" max="1017" width="17.7109375" style="2" bestFit="1" customWidth="1"/>
    <col min="1018" max="1018" width="4.5703125" style="2" customWidth="1"/>
    <col min="1019" max="1019" width="12.42578125" style="2" customWidth="1"/>
    <col min="1020" max="1020" width="32.5703125" style="2" customWidth="1"/>
    <col min="1021" max="1021" width="10.140625" style="2" customWidth="1"/>
    <col min="1022" max="1022" width="9.85546875" style="2" customWidth="1"/>
    <col min="1023" max="1023" width="9.5703125" style="2" customWidth="1"/>
    <col min="1024" max="1025" width="11.42578125" style="2"/>
    <col min="1026" max="1026" width="28" style="2" bestFit="1" customWidth="1"/>
    <col min="1027" max="1027" width="11.42578125" style="2"/>
    <col min="1028" max="1028" width="5.140625" style="2" customWidth="1"/>
    <col min="1029" max="1029" width="8" style="2" customWidth="1"/>
    <col min="1030" max="1272" width="11.42578125" style="2"/>
    <col min="1273" max="1273" width="17.7109375" style="2" bestFit="1" customWidth="1"/>
    <col min="1274" max="1274" width="4.5703125" style="2" customWidth="1"/>
    <col min="1275" max="1275" width="12.42578125" style="2" customWidth="1"/>
    <col min="1276" max="1276" width="32.5703125" style="2" customWidth="1"/>
    <col min="1277" max="1277" width="10.140625" style="2" customWidth="1"/>
    <col min="1278" max="1278" width="9.85546875" style="2" customWidth="1"/>
    <col min="1279" max="1279" width="9.5703125" style="2" customWidth="1"/>
    <col min="1280" max="1281" width="11.42578125" style="2"/>
    <col min="1282" max="1282" width="28" style="2" bestFit="1" customWidth="1"/>
    <col min="1283" max="1283" width="11.42578125" style="2"/>
    <col min="1284" max="1284" width="5.140625" style="2" customWidth="1"/>
    <col min="1285" max="1285" width="8" style="2" customWidth="1"/>
    <col min="1286" max="1528" width="11.42578125" style="2"/>
    <col min="1529" max="1529" width="17.7109375" style="2" bestFit="1" customWidth="1"/>
    <col min="1530" max="1530" width="4.5703125" style="2" customWidth="1"/>
    <col min="1531" max="1531" width="12.42578125" style="2" customWidth="1"/>
    <col min="1532" max="1532" width="32.5703125" style="2" customWidth="1"/>
    <col min="1533" max="1533" width="10.140625" style="2" customWidth="1"/>
    <col min="1534" max="1534" width="9.85546875" style="2" customWidth="1"/>
    <col min="1535" max="1535" width="9.5703125" style="2" customWidth="1"/>
    <col min="1536" max="1537" width="11.42578125" style="2"/>
    <col min="1538" max="1538" width="28" style="2" bestFit="1" customWidth="1"/>
    <col min="1539" max="1539" width="11.42578125" style="2"/>
    <col min="1540" max="1540" width="5.140625" style="2" customWidth="1"/>
    <col min="1541" max="1541" width="8" style="2" customWidth="1"/>
    <col min="1542" max="1784" width="11.42578125" style="2"/>
    <col min="1785" max="1785" width="17.7109375" style="2" bestFit="1" customWidth="1"/>
    <col min="1786" max="1786" width="4.5703125" style="2" customWidth="1"/>
    <col min="1787" max="1787" width="12.42578125" style="2" customWidth="1"/>
    <col min="1788" max="1788" width="32.5703125" style="2" customWidth="1"/>
    <col min="1789" max="1789" width="10.140625" style="2" customWidth="1"/>
    <col min="1790" max="1790" width="9.85546875" style="2" customWidth="1"/>
    <col min="1791" max="1791" width="9.5703125" style="2" customWidth="1"/>
    <col min="1792" max="1793" width="11.42578125" style="2"/>
    <col min="1794" max="1794" width="28" style="2" bestFit="1" customWidth="1"/>
    <col min="1795" max="1795" width="11.42578125" style="2"/>
    <col min="1796" max="1796" width="5.140625" style="2" customWidth="1"/>
    <col min="1797" max="1797" width="8" style="2" customWidth="1"/>
    <col min="1798" max="2040" width="11.42578125" style="2"/>
    <col min="2041" max="2041" width="17.7109375" style="2" bestFit="1" customWidth="1"/>
    <col min="2042" max="2042" width="4.5703125" style="2" customWidth="1"/>
    <col min="2043" max="2043" width="12.42578125" style="2" customWidth="1"/>
    <col min="2044" max="2044" width="32.5703125" style="2" customWidth="1"/>
    <col min="2045" max="2045" width="10.140625" style="2" customWidth="1"/>
    <col min="2046" max="2046" width="9.85546875" style="2" customWidth="1"/>
    <col min="2047" max="2047" width="9.5703125" style="2" customWidth="1"/>
    <col min="2048" max="2049" width="11.42578125" style="2"/>
    <col min="2050" max="2050" width="28" style="2" bestFit="1" customWidth="1"/>
    <col min="2051" max="2051" width="11.42578125" style="2"/>
    <col min="2052" max="2052" width="5.140625" style="2" customWidth="1"/>
    <col min="2053" max="2053" width="8" style="2" customWidth="1"/>
    <col min="2054" max="2296" width="11.42578125" style="2"/>
    <col min="2297" max="2297" width="17.7109375" style="2" bestFit="1" customWidth="1"/>
    <col min="2298" max="2298" width="4.5703125" style="2" customWidth="1"/>
    <col min="2299" max="2299" width="12.42578125" style="2" customWidth="1"/>
    <col min="2300" max="2300" width="32.5703125" style="2" customWidth="1"/>
    <col min="2301" max="2301" width="10.140625" style="2" customWidth="1"/>
    <col min="2302" max="2302" width="9.85546875" style="2" customWidth="1"/>
    <col min="2303" max="2303" width="9.5703125" style="2" customWidth="1"/>
    <col min="2304" max="2305" width="11.42578125" style="2"/>
    <col min="2306" max="2306" width="28" style="2" bestFit="1" customWidth="1"/>
    <col min="2307" max="2307" width="11.42578125" style="2"/>
    <col min="2308" max="2308" width="5.140625" style="2" customWidth="1"/>
    <col min="2309" max="2309" width="8" style="2" customWidth="1"/>
    <col min="2310" max="2552" width="11.42578125" style="2"/>
    <col min="2553" max="2553" width="17.7109375" style="2" bestFit="1" customWidth="1"/>
    <col min="2554" max="2554" width="4.5703125" style="2" customWidth="1"/>
    <col min="2555" max="2555" width="12.42578125" style="2" customWidth="1"/>
    <col min="2556" max="2556" width="32.5703125" style="2" customWidth="1"/>
    <col min="2557" max="2557" width="10.140625" style="2" customWidth="1"/>
    <col min="2558" max="2558" width="9.85546875" style="2" customWidth="1"/>
    <col min="2559" max="2559" width="9.5703125" style="2" customWidth="1"/>
    <col min="2560" max="2561" width="11.42578125" style="2"/>
    <col min="2562" max="2562" width="28" style="2" bestFit="1" customWidth="1"/>
    <col min="2563" max="2563" width="11.42578125" style="2"/>
    <col min="2564" max="2564" width="5.140625" style="2" customWidth="1"/>
    <col min="2565" max="2565" width="8" style="2" customWidth="1"/>
    <col min="2566" max="2808" width="11.42578125" style="2"/>
    <col min="2809" max="2809" width="17.7109375" style="2" bestFit="1" customWidth="1"/>
    <col min="2810" max="2810" width="4.5703125" style="2" customWidth="1"/>
    <col min="2811" max="2811" width="12.42578125" style="2" customWidth="1"/>
    <col min="2812" max="2812" width="32.5703125" style="2" customWidth="1"/>
    <col min="2813" max="2813" width="10.140625" style="2" customWidth="1"/>
    <col min="2814" max="2814" width="9.85546875" style="2" customWidth="1"/>
    <col min="2815" max="2815" width="9.5703125" style="2" customWidth="1"/>
    <col min="2816" max="2817" width="11.42578125" style="2"/>
    <col min="2818" max="2818" width="28" style="2" bestFit="1" customWidth="1"/>
    <col min="2819" max="2819" width="11.42578125" style="2"/>
    <col min="2820" max="2820" width="5.140625" style="2" customWidth="1"/>
    <col min="2821" max="2821" width="8" style="2" customWidth="1"/>
    <col min="2822" max="3064" width="11.42578125" style="2"/>
    <col min="3065" max="3065" width="17.7109375" style="2" bestFit="1" customWidth="1"/>
    <col min="3066" max="3066" width="4.5703125" style="2" customWidth="1"/>
    <col min="3067" max="3067" width="12.42578125" style="2" customWidth="1"/>
    <col min="3068" max="3068" width="32.5703125" style="2" customWidth="1"/>
    <col min="3069" max="3069" width="10.140625" style="2" customWidth="1"/>
    <col min="3070" max="3070" width="9.85546875" style="2" customWidth="1"/>
    <col min="3071" max="3071" width="9.5703125" style="2" customWidth="1"/>
    <col min="3072" max="3073" width="11.42578125" style="2"/>
    <col min="3074" max="3074" width="28" style="2" bestFit="1" customWidth="1"/>
    <col min="3075" max="3075" width="11.42578125" style="2"/>
    <col min="3076" max="3076" width="5.140625" style="2" customWidth="1"/>
    <col min="3077" max="3077" width="8" style="2" customWidth="1"/>
    <col min="3078" max="3320" width="11.42578125" style="2"/>
    <col min="3321" max="3321" width="17.7109375" style="2" bestFit="1" customWidth="1"/>
    <col min="3322" max="3322" width="4.5703125" style="2" customWidth="1"/>
    <col min="3323" max="3323" width="12.42578125" style="2" customWidth="1"/>
    <col min="3324" max="3324" width="32.5703125" style="2" customWidth="1"/>
    <col min="3325" max="3325" width="10.140625" style="2" customWidth="1"/>
    <col min="3326" max="3326" width="9.85546875" style="2" customWidth="1"/>
    <col min="3327" max="3327" width="9.5703125" style="2" customWidth="1"/>
    <col min="3328" max="3329" width="11.42578125" style="2"/>
    <col min="3330" max="3330" width="28" style="2" bestFit="1" customWidth="1"/>
    <col min="3331" max="3331" width="11.42578125" style="2"/>
    <col min="3332" max="3332" width="5.140625" style="2" customWidth="1"/>
    <col min="3333" max="3333" width="8" style="2" customWidth="1"/>
    <col min="3334" max="3576" width="11.42578125" style="2"/>
    <col min="3577" max="3577" width="17.7109375" style="2" bestFit="1" customWidth="1"/>
    <col min="3578" max="3578" width="4.5703125" style="2" customWidth="1"/>
    <col min="3579" max="3579" width="12.42578125" style="2" customWidth="1"/>
    <col min="3580" max="3580" width="32.5703125" style="2" customWidth="1"/>
    <col min="3581" max="3581" width="10.140625" style="2" customWidth="1"/>
    <col min="3582" max="3582" width="9.85546875" style="2" customWidth="1"/>
    <col min="3583" max="3583" width="9.5703125" style="2" customWidth="1"/>
    <col min="3584" max="3585" width="11.42578125" style="2"/>
    <col min="3586" max="3586" width="28" style="2" bestFit="1" customWidth="1"/>
    <col min="3587" max="3587" width="11.42578125" style="2"/>
    <col min="3588" max="3588" width="5.140625" style="2" customWidth="1"/>
    <col min="3589" max="3589" width="8" style="2" customWidth="1"/>
    <col min="3590" max="3832" width="11.42578125" style="2"/>
    <col min="3833" max="3833" width="17.7109375" style="2" bestFit="1" customWidth="1"/>
    <col min="3834" max="3834" width="4.5703125" style="2" customWidth="1"/>
    <col min="3835" max="3835" width="12.42578125" style="2" customWidth="1"/>
    <col min="3836" max="3836" width="32.5703125" style="2" customWidth="1"/>
    <col min="3837" max="3837" width="10.140625" style="2" customWidth="1"/>
    <col min="3838" max="3838" width="9.85546875" style="2" customWidth="1"/>
    <col min="3839" max="3839" width="9.5703125" style="2" customWidth="1"/>
    <col min="3840" max="3841" width="11.42578125" style="2"/>
    <col min="3842" max="3842" width="28" style="2" bestFit="1" customWidth="1"/>
    <col min="3843" max="3843" width="11.42578125" style="2"/>
    <col min="3844" max="3844" width="5.140625" style="2" customWidth="1"/>
    <col min="3845" max="3845" width="8" style="2" customWidth="1"/>
    <col min="3846" max="4088" width="11.42578125" style="2"/>
    <col min="4089" max="4089" width="17.7109375" style="2" bestFit="1" customWidth="1"/>
    <col min="4090" max="4090" width="4.5703125" style="2" customWidth="1"/>
    <col min="4091" max="4091" width="12.42578125" style="2" customWidth="1"/>
    <col min="4092" max="4092" width="32.5703125" style="2" customWidth="1"/>
    <col min="4093" max="4093" width="10.140625" style="2" customWidth="1"/>
    <col min="4094" max="4094" width="9.85546875" style="2" customWidth="1"/>
    <col min="4095" max="4095" width="9.5703125" style="2" customWidth="1"/>
    <col min="4096" max="4097" width="11.42578125" style="2"/>
    <col min="4098" max="4098" width="28" style="2" bestFit="1" customWidth="1"/>
    <col min="4099" max="4099" width="11.42578125" style="2"/>
    <col min="4100" max="4100" width="5.140625" style="2" customWidth="1"/>
    <col min="4101" max="4101" width="8" style="2" customWidth="1"/>
    <col min="4102" max="4344" width="11.42578125" style="2"/>
    <col min="4345" max="4345" width="17.7109375" style="2" bestFit="1" customWidth="1"/>
    <col min="4346" max="4346" width="4.5703125" style="2" customWidth="1"/>
    <col min="4347" max="4347" width="12.42578125" style="2" customWidth="1"/>
    <col min="4348" max="4348" width="32.5703125" style="2" customWidth="1"/>
    <col min="4349" max="4349" width="10.140625" style="2" customWidth="1"/>
    <col min="4350" max="4350" width="9.85546875" style="2" customWidth="1"/>
    <col min="4351" max="4351" width="9.5703125" style="2" customWidth="1"/>
    <col min="4352" max="4353" width="11.42578125" style="2"/>
    <col min="4354" max="4354" width="28" style="2" bestFit="1" customWidth="1"/>
    <col min="4355" max="4355" width="11.42578125" style="2"/>
    <col min="4356" max="4356" width="5.140625" style="2" customWidth="1"/>
    <col min="4357" max="4357" width="8" style="2" customWidth="1"/>
    <col min="4358" max="4600" width="11.42578125" style="2"/>
    <col min="4601" max="4601" width="17.7109375" style="2" bestFit="1" customWidth="1"/>
    <col min="4602" max="4602" width="4.5703125" style="2" customWidth="1"/>
    <col min="4603" max="4603" width="12.42578125" style="2" customWidth="1"/>
    <col min="4604" max="4604" width="32.5703125" style="2" customWidth="1"/>
    <col min="4605" max="4605" width="10.140625" style="2" customWidth="1"/>
    <col min="4606" max="4606" width="9.85546875" style="2" customWidth="1"/>
    <col min="4607" max="4607" width="9.5703125" style="2" customWidth="1"/>
    <col min="4608" max="4609" width="11.42578125" style="2"/>
    <col min="4610" max="4610" width="28" style="2" bestFit="1" customWidth="1"/>
    <col min="4611" max="4611" width="11.42578125" style="2"/>
    <col min="4612" max="4612" width="5.140625" style="2" customWidth="1"/>
    <col min="4613" max="4613" width="8" style="2" customWidth="1"/>
    <col min="4614" max="4856" width="11.42578125" style="2"/>
    <col min="4857" max="4857" width="17.7109375" style="2" bestFit="1" customWidth="1"/>
    <col min="4858" max="4858" width="4.5703125" style="2" customWidth="1"/>
    <col min="4859" max="4859" width="12.42578125" style="2" customWidth="1"/>
    <col min="4860" max="4860" width="32.5703125" style="2" customWidth="1"/>
    <col min="4861" max="4861" width="10.140625" style="2" customWidth="1"/>
    <col min="4862" max="4862" width="9.85546875" style="2" customWidth="1"/>
    <col min="4863" max="4863" width="9.5703125" style="2" customWidth="1"/>
    <col min="4864" max="4865" width="11.42578125" style="2"/>
    <col min="4866" max="4866" width="28" style="2" bestFit="1" customWidth="1"/>
    <col min="4867" max="4867" width="11.42578125" style="2"/>
    <col min="4868" max="4868" width="5.140625" style="2" customWidth="1"/>
    <col min="4869" max="4869" width="8" style="2" customWidth="1"/>
    <col min="4870" max="5112" width="11.42578125" style="2"/>
    <col min="5113" max="5113" width="17.7109375" style="2" bestFit="1" customWidth="1"/>
    <col min="5114" max="5114" width="4.5703125" style="2" customWidth="1"/>
    <col min="5115" max="5115" width="12.42578125" style="2" customWidth="1"/>
    <col min="5116" max="5116" width="32.5703125" style="2" customWidth="1"/>
    <col min="5117" max="5117" width="10.140625" style="2" customWidth="1"/>
    <col min="5118" max="5118" width="9.85546875" style="2" customWidth="1"/>
    <col min="5119" max="5119" width="9.5703125" style="2" customWidth="1"/>
    <col min="5120" max="5121" width="11.42578125" style="2"/>
    <col min="5122" max="5122" width="28" style="2" bestFit="1" customWidth="1"/>
    <col min="5123" max="5123" width="11.42578125" style="2"/>
    <col min="5124" max="5124" width="5.140625" style="2" customWidth="1"/>
    <col min="5125" max="5125" width="8" style="2" customWidth="1"/>
    <col min="5126" max="5368" width="11.42578125" style="2"/>
    <col min="5369" max="5369" width="17.7109375" style="2" bestFit="1" customWidth="1"/>
    <col min="5370" max="5370" width="4.5703125" style="2" customWidth="1"/>
    <col min="5371" max="5371" width="12.42578125" style="2" customWidth="1"/>
    <col min="5372" max="5372" width="32.5703125" style="2" customWidth="1"/>
    <col min="5373" max="5373" width="10.140625" style="2" customWidth="1"/>
    <col min="5374" max="5374" width="9.85546875" style="2" customWidth="1"/>
    <col min="5375" max="5375" width="9.5703125" style="2" customWidth="1"/>
    <col min="5376" max="5377" width="11.42578125" style="2"/>
    <col min="5378" max="5378" width="28" style="2" bestFit="1" customWidth="1"/>
    <col min="5379" max="5379" width="11.42578125" style="2"/>
    <col min="5380" max="5380" width="5.140625" style="2" customWidth="1"/>
    <col min="5381" max="5381" width="8" style="2" customWidth="1"/>
    <col min="5382" max="5624" width="11.42578125" style="2"/>
    <col min="5625" max="5625" width="17.7109375" style="2" bestFit="1" customWidth="1"/>
    <col min="5626" max="5626" width="4.5703125" style="2" customWidth="1"/>
    <col min="5627" max="5627" width="12.42578125" style="2" customWidth="1"/>
    <col min="5628" max="5628" width="32.5703125" style="2" customWidth="1"/>
    <col min="5629" max="5629" width="10.140625" style="2" customWidth="1"/>
    <col min="5630" max="5630" width="9.85546875" style="2" customWidth="1"/>
    <col min="5631" max="5631" width="9.5703125" style="2" customWidth="1"/>
    <col min="5632" max="5633" width="11.42578125" style="2"/>
    <col min="5634" max="5634" width="28" style="2" bestFit="1" customWidth="1"/>
    <col min="5635" max="5635" width="11.42578125" style="2"/>
    <col min="5636" max="5636" width="5.140625" style="2" customWidth="1"/>
    <col min="5637" max="5637" width="8" style="2" customWidth="1"/>
    <col min="5638" max="5880" width="11.42578125" style="2"/>
    <col min="5881" max="5881" width="17.7109375" style="2" bestFit="1" customWidth="1"/>
    <col min="5882" max="5882" width="4.5703125" style="2" customWidth="1"/>
    <col min="5883" max="5883" width="12.42578125" style="2" customWidth="1"/>
    <col min="5884" max="5884" width="32.5703125" style="2" customWidth="1"/>
    <col min="5885" max="5885" width="10.140625" style="2" customWidth="1"/>
    <col min="5886" max="5886" width="9.85546875" style="2" customWidth="1"/>
    <col min="5887" max="5887" width="9.5703125" style="2" customWidth="1"/>
    <col min="5888" max="5889" width="11.42578125" style="2"/>
    <col min="5890" max="5890" width="28" style="2" bestFit="1" customWidth="1"/>
    <col min="5891" max="5891" width="11.42578125" style="2"/>
    <col min="5892" max="5892" width="5.140625" style="2" customWidth="1"/>
    <col min="5893" max="5893" width="8" style="2" customWidth="1"/>
    <col min="5894" max="6136" width="11.42578125" style="2"/>
    <col min="6137" max="6137" width="17.7109375" style="2" bestFit="1" customWidth="1"/>
    <col min="6138" max="6138" width="4.5703125" style="2" customWidth="1"/>
    <col min="6139" max="6139" width="12.42578125" style="2" customWidth="1"/>
    <col min="6140" max="6140" width="32.5703125" style="2" customWidth="1"/>
    <col min="6141" max="6141" width="10.140625" style="2" customWidth="1"/>
    <col min="6142" max="6142" width="9.85546875" style="2" customWidth="1"/>
    <col min="6143" max="6143" width="9.5703125" style="2" customWidth="1"/>
    <col min="6144" max="6145" width="11.42578125" style="2"/>
    <col min="6146" max="6146" width="28" style="2" bestFit="1" customWidth="1"/>
    <col min="6147" max="6147" width="11.42578125" style="2"/>
    <col min="6148" max="6148" width="5.140625" style="2" customWidth="1"/>
    <col min="6149" max="6149" width="8" style="2" customWidth="1"/>
    <col min="6150" max="6392" width="11.42578125" style="2"/>
    <col min="6393" max="6393" width="17.7109375" style="2" bestFit="1" customWidth="1"/>
    <col min="6394" max="6394" width="4.5703125" style="2" customWidth="1"/>
    <col min="6395" max="6395" width="12.42578125" style="2" customWidth="1"/>
    <col min="6396" max="6396" width="32.5703125" style="2" customWidth="1"/>
    <col min="6397" max="6397" width="10.140625" style="2" customWidth="1"/>
    <col min="6398" max="6398" width="9.85546875" style="2" customWidth="1"/>
    <col min="6399" max="6399" width="9.5703125" style="2" customWidth="1"/>
    <col min="6400" max="6401" width="11.42578125" style="2"/>
    <col min="6402" max="6402" width="28" style="2" bestFit="1" customWidth="1"/>
    <col min="6403" max="6403" width="11.42578125" style="2"/>
    <col min="6404" max="6404" width="5.140625" style="2" customWidth="1"/>
    <col min="6405" max="6405" width="8" style="2" customWidth="1"/>
    <col min="6406" max="6648" width="11.42578125" style="2"/>
    <col min="6649" max="6649" width="17.7109375" style="2" bestFit="1" customWidth="1"/>
    <col min="6650" max="6650" width="4.5703125" style="2" customWidth="1"/>
    <col min="6651" max="6651" width="12.42578125" style="2" customWidth="1"/>
    <col min="6652" max="6652" width="32.5703125" style="2" customWidth="1"/>
    <col min="6653" max="6653" width="10.140625" style="2" customWidth="1"/>
    <col min="6654" max="6654" width="9.85546875" style="2" customWidth="1"/>
    <col min="6655" max="6655" width="9.5703125" style="2" customWidth="1"/>
    <col min="6656" max="6657" width="11.42578125" style="2"/>
    <col min="6658" max="6658" width="28" style="2" bestFit="1" customWidth="1"/>
    <col min="6659" max="6659" width="11.42578125" style="2"/>
    <col min="6660" max="6660" width="5.140625" style="2" customWidth="1"/>
    <col min="6661" max="6661" width="8" style="2" customWidth="1"/>
    <col min="6662" max="6904" width="11.42578125" style="2"/>
    <col min="6905" max="6905" width="17.7109375" style="2" bestFit="1" customWidth="1"/>
    <col min="6906" max="6906" width="4.5703125" style="2" customWidth="1"/>
    <col min="6907" max="6907" width="12.42578125" style="2" customWidth="1"/>
    <col min="6908" max="6908" width="32.5703125" style="2" customWidth="1"/>
    <col min="6909" max="6909" width="10.140625" style="2" customWidth="1"/>
    <col min="6910" max="6910" width="9.85546875" style="2" customWidth="1"/>
    <col min="6911" max="6911" width="9.5703125" style="2" customWidth="1"/>
    <col min="6912" max="6913" width="11.42578125" style="2"/>
    <col min="6914" max="6914" width="28" style="2" bestFit="1" customWidth="1"/>
    <col min="6915" max="6915" width="11.42578125" style="2"/>
    <col min="6916" max="6916" width="5.140625" style="2" customWidth="1"/>
    <col min="6917" max="6917" width="8" style="2" customWidth="1"/>
    <col min="6918" max="7160" width="11.42578125" style="2"/>
    <col min="7161" max="7161" width="17.7109375" style="2" bestFit="1" customWidth="1"/>
    <col min="7162" max="7162" width="4.5703125" style="2" customWidth="1"/>
    <col min="7163" max="7163" width="12.42578125" style="2" customWidth="1"/>
    <col min="7164" max="7164" width="32.5703125" style="2" customWidth="1"/>
    <col min="7165" max="7165" width="10.140625" style="2" customWidth="1"/>
    <col min="7166" max="7166" width="9.85546875" style="2" customWidth="1"/>
    <col min="7167" max="7167" width="9.5703125" style="2" customWidth="1"/>
    <col min="7168" max="7169" width="11.42578125" style="2"/>
    <col min="7170" max="7170" width="28" style="2" bestFit="1" customWidth="1"/>
    <col min="7171" max="7171" width="11.42578125" style="2"/>
    <col min="7172" max="7172" width="5.140625" style="2" customWidth="1"/>
    <col min="7173" max="7173" width="8" style="2" customWidth="1"/>
    <col min="7174" max="7416" width="11.42578125" style="2"/>
    <col min="7417" max="7417" width="17.7109375" style="2" bestFit="1" customWidth="1"/>
    <col min="7418" max="7418" width="4.5703125" style="2" customWidth="1"/>
    <col min="7419" max="7419" width="12.42578125" style="2" customWidth="1"/>
    <col min="7420" max="7420" width="32.5703125" style="2" customWidth="1"/>
    <col min="7421" max="7421" width="10.140625" style="2" customWidth="1"/>
    <col min="7422" max="7422" width="9.85546875" style="2" customWidth="1"/>
    <col min="7423" max="7423" width="9.5703125" style="2" customWidth="1"/>
    <col min="7424" max="7425" width="11.42578125" style="2"/>
    <col min="7426" max="7426" width="28" style="2" bestFit="1" customWidth="1"/>
    <col min="7427" max="7427" width="11.42578125" style="2"/>
    <col min="7428" max="7428" width="5.140625" style="2" customWidth="1"/>
    <col min="7429" max="7429" width="8" style="2" customWidth="1"/>
    <col min="7430" max="7672" width="11.42578125" style="2"/>
    <col min="7673" max="7673" width="17.7109375" style="2" bestFit="1" customWidth="1"/>
    <col min="7674" max="7674" width="4.5703125" style="2" customWidth="1"/>
    <col min="7675" max="7675" width="12.42578125" style="2" customWidth="1"/>
    <col min="7676" max="7676" width="32.5703125" style="2" customWidth="1"/>
    <col min="7677" max="7677" width="10.140625" style="2" customWidth="1"/>
    <col min="7678" max="7678" width="9.85546875" style="2" customWidth="1"/>
    <col min="7679" max="7679" width="9.5703125" style="2" customWidth="1"/>
    <col min="7680" max="7681" width="11.42578125" style="2"/>
    <col min="7682" max="7682" width="28" style="2" bestFit="1" customWidth="1"/>
    <col min="7683" max="7683" width="11.42578125" style="2"/>
    <col min="7684" max="7684" width="5.140625" style="2" customWidth="1"/>
    <col min="7685" max="7685" width="8" style="2" customWidth="1"/>
    <col min="7686" max="7928" width="11.42578125" style="2"/>
    <col min="7929" max="7929" width="17.7109375" style="2" bestFit="1" customWidth="1"/>
    <col min="7930" max="7930" width="4.5703125" style="2" customWidth="1"/>
    <col min="7931" max="7931" width="12.42578125" style="2" customWidth="1"/>
    <col min="7932" max="7932" width="32.5703125" style="2" customWidth="1"/>
    <col min="7933" max="7933" width="10.140625" style="2" customWidth="1"/>
    <col min="7934" max="7934" width="9.85546875" style="2" customWidth="1"/>
    <col min="7935" max="7935" width="9.5703125" style="2" customWidth="1"/>
    <col min="7936" max="7937" width="11.42578125" style="2"/>
    <col min="7938" max="7938" width="28" style="2" bestFit="1" customWidth="1"/>
    <col min="7939" max="7939" width="11.42578125" style="2"/>
    <col min="7940" max="7940" width="5.140625" style="2" customWidth="1"/>
    <col min="7941" max="7941" width="8" style="2" customWidth="1"/>
    <col min="7942" max="8184" width="11.42578125" style="2"/>
    <col min="8185" max="8185" width="17.7109375" style="2" bestFit="1" customWidth="1"/>
    <col min="8186" max="8186" width="4.5703125" style="2" customWidth="1"/>
    <col min="8187" max="8187" width="12.42578125" style="2" customWidth="1"/>
    <col min="8188" max="8188" width="32.5703125" style="2" customWidth="1"/>
    <col min="8189" max="8189" width="10.140625" style="2" customWidth="1"/>
    <col min="8190" max="8190" width="9.85546875" style="2" customWidth="1"/>
    <col min="8191" max="8191" width="9.5703125" style="2" customWidth="1"/>
    <col min="8192" max="8193" width="11.42578125" style="2"/>
    <col min="8194" max="8194" width="28" style="2" bestFit="1" customWidth="1"/>
    <col min="8195" max="8195" width="11.42578125" style="2"/>
    <col min="8196" max="8196" width="5.140625" style="2" customWidth="1"/>
    <col min="8197" max="8197" width="8" style="2" customWidth="1"/>
    <col min="8198" max="8440" width="11.42578125" style="2"/>
    <col min="8441" max="8441" width="17.7109375" style="2" bestFit="1" customWidth="1"/>
    <col min="8442" max="8442" width="4.5703125" style="2" customWidth="1"/>
    <col min="8443" max="8443" width="12.42578125" style="2" customWidth="1"/>
    <col min="8444" max="8444" width="32.5703125" style="2" customWidth="1"/>
    <col min="8445" max="8445" width="10.140625" style="2" customWidth="1"/>
    <col min="8446" max="8446" width="9.85546875" style="2" customWidth="1"/>
    <col min="8447" max="8447" width="9.5703125" style="2" customWidth="1"/>
    <col min="8448" max="8449" width="11.42578125" style="2"/>
    <col min="8450" max="8450" width="28" style="2" bestFit="1" customWidth="1"/>
    <col min="8451" max="8451" width="11.42578125" style="2"/>
    <col min="8452" max="8452" width="5.140625" style="2" customWidth="1"/>
    <col min="8453" max="8453" width="8" style="2" customWidth="1"/>
    <col min="8454" max="8696" width="11.42578125" style="2"/>
    <col min="8697" max="8697" width="17.7109375" style="2" bestFit="1" customWidth="1"/>
    <col min="8698" max="8698" width="4.5703125" style="2" customWidth="1"/>
    <col min="8699" max="8699" width="12.42578125" style="2" customWidth="1"/>
    <col min="8700" max="8700" width="32.5703125" style="2" customWidth="1"/>
    <col min="8701" max="8701" width="10.140625" style="2" customWidth="1"/>
    <col min="8702" max="8702" width="9.85546875" style="2" customWidth="1"/>
    <col min="8703" max="8703" width="9.5703125" style="2" customWidth="1"/>
    <col min="8704" max="8705" width="11.42578125" style="2"/>
    <col min="8706" max="8706" width="28" style="2" bestFit="1" customWidth="1"/>
    <col min="8707" max="8707" width="11.42578125" style="2"/>
    <col min="8708" max="8708" width="5.140625" style="2" customWidth="1"/>
    <col min="8709" max="8709" width="8" style="2" customWidth="1"/>
    <col min="8710" max="8952" width="11.42578125" style="2"/>
    <col min="8953" max="8953" width="17.7109375" style="2" bestFit="1" customWidth="1"/>
    <col min="8954" max="8954" width="4.5703125" style="2" customWidth="1"/>
    <col min="8955" max="8955" width="12.42578125" style="2" customWidth="1"/>
    <col min="8956" max="8956" width="32.5703125" style="2" customWidth="1"/>
    <col min="8957" max="8957" width="10.140625" style="2" customWidth="1"/>
    <col min="8958" max="8958" width="9.85546875" style="2" customWidth="1"/>
    <col min="8959" max="8959" width="9.5703125" style="2" customWidth="1"/>
    <col min="8960" max="8961" width="11.42578125" style="2"/>
    <col min="8962" max="8962" width="28" style="2" bestFit="1" customWidth="1"/>
    <col min="8963" max="8963" width="11.42578125" style="2"/>
    <col min="8964" max="8964" width="5.140625" style="2" customWidth="1"/>
    <col min="8965" max="8965" width="8" style="2" customWidth="1"/>
    <col min="8966" max="9208" width="11.42578125" style="2"/>
    <col min="9209" max="9209" width="17.7109375" style="2" bestFit="1" customWidth="1"/>
    <col min="9210" max="9210" width="4.5703125" style="2" customWidth="1"/>
    <col min="9211" max="9211" width="12.42578125" style="2" customWidth="1"/>
    <col min="9212" max="9212" width="32.5703125" style="2" customWidth="1"/>
    <col min="9213" max="9213" width="10.140625" style="2" customWidth="1"/>
    <col min="9214" max="9214" width="9.85546875" style="2" customWidth="1"/>
    <col min="9215" max="9215" width="9.5703125" style="2" customWidth="1"/>
    <col min="9216" max="9217" width="11.42578125" style="2"/>
    <col min="9218" max="9218" width="28" style="2" bestFit="1" customWidth="1"/>
    <col min="9219" max="9219" width="11.42578125" style="2"/>
    <col min="9220" max="9220" width="5.140625" style="2" customWidth="1"/>
    <col min="9221" max="9221" width="8" style="2" customWidth="1"/>
    <col min="9222" max="9464" width="11.42578125" style="2"/>
    <col min="9465" max="9465" width="17.7109375" style="2" bestFit="1" customWidth="1"/>
    <col min="9466" max="9466" width="4.5703125" style="2" customWidth="1"/>
    <col min="9467" max="9467" width="12.42578125" style="2" customWidth="1"/>
    <col min="9468" max="9468" width="32.5703125" style="2" customWidth="1"/>
    <col min="9469" max="9469" width="10.140625" style="2" customWidth="1"/>
    <col min="9470" max="9470" width="9.85546875" style="2" customWidth="1"/>
    <col min="9471" max="9471" width="9.5703125" style="2" customWidth="1"/>
    <col min="9472" max="9473" width="11.42578125" style="2"/>
    <col min="9474" max="9474" width="28" style="2" bestFit="1" customWidth="1"/>
    <col min="9475" max="9475" width="11.42578125" style="2"/>
    <col min="9476" max="9476" width="5.140625" style="2" customWidth="1"/>
    <col min="9477" max="9477" width="8" style="2" customWidth="1"/>
    <col min="9478" max="9720" width="11.42578125" style="2"/>
    <col min="9721" max="9721" width="17.7109375" style="2" bestFit="1" customWidth="1"/>
    <col min="9722" max="9722" width="4.5703125" style="2" customWidth="1"/>
    <col min="9723" max="9723" width="12.42578125" style="2" customWidth="1"/>
    <col min="9724" max="9724" width="32.5703125" style="2" customWidth="1"/>
    <col min="9725" max="9725" width="10.140625" style="2" customWidth="1"/>
    <col min="9726" max="9726" width="9.85546875" style="2" customWidth="1"/>
    <col min="9727" max="9727" width="9.5703125" style="2" customWidth="1"/>
    <col min="9728" max="9729" width="11.42578125" style="2"/>
    <col min="9730" max="9730" width="28" style="2" bestFit="1" customWidth="1"/>
    <col min="9731" max="9731" width="11.42578125" style="2"/>
    <col min="9732" max="9732" width="5.140625" style="2" customWidth="1"/>
    <col min="9733" max="9733" width="8" style="2" customWidth="1"/>
    <col min="9734" max="9976" width="11.42578125" style="2"/>
    <col min="9977" max="9977" width="17.7109375" style="2" bestFit="1" customWidth="1"/>
    <col min="9978" max="9978" width="4.5703125" style="2" customWidth="1"/>
    <col min="9979" max="9979" width="12.42578125" style="2" customWidth="1"/>
    <col min="9980" max="9980" width="32.5703125" style="2" customWidth="1"/>
    <col min="9981" max="9981" width="10.140625" style="2" customWidth="1"/>
    <col min="9982" max="9982" width="9.85546875" style="2" customWidth="1"/>
    <col min="9983" max="9983" width="9.5703125" style="2" customWidth="1"/>
    <col min="9984" max="9985" width="11.42578125" style="2"/>
    <col min="9986" max="9986" width="28" style="2" bestFit="1" customWidth="1"/>
    <col min="9987" max="9987" width="11.42578125" style="2"/>
    <col min="9988" max="9988" width="5.140625" style="2" customWidth="1"/>
    <col min="9989" max="9989" width="8" style="2" customWidth="1"/>
    <col min="9990" max="10232" width="11.42578125" style="2"/>
    <col min="10233" max="10233" width="17.7109375" style="2" bestFit="1" customWidth="1"/>
    <col min="10234" max="10234" width="4.5703125" style="2" customWidth="1"/>
    <col min="10235" max="10235" width="12.42578125" style="2" customWidth="1"/>
    <col min="10236" max="10236" width="32.5703125" style="2" customWidth="1"/>
    <col min="10237" max="10237" width="10.140625" style="2" customWidth="1"/>
    <col min="10238" max="10238" width="9.85546875" style="2" customWidth="1"/>
    <col min="10239" max="10239" width="9.5703125" style="2" customWidth="1"/>
    <col min="10240" max="10241" width="11.42578125" style="2"/>
    <col min="10242" max="10242" width="28" style="2" bestFit="1" customWidth="1"/>
    <col min="10243" max="10243" width="11.42578125" style="2"/>
    <col min="10244" max="10244" width="5.140625" style="2" customWidth="1"/>
    <col min="10245" max="10245" width="8" style="2" customWidth="1"/>
    <col min="10246" max="10488" width="11.42578125" style="2"/>
    <col min="10489" max="10489" width="17.7109375" style="2" bestFit="1" customWidth="1"/>
    <col min="10490" max="10490" width="4.5703125" style="2" customWidth="1"/>
    <col min="10491" max="10491" width="12.42578125" style="2" customWidth="1"/>
    <col min="10492" max="10492" width="32.5703125" style="2" customWidth="1"/>
    <col min="10493" max="10493" width="10.140625" style="2" customWidth="1"/>
    <col min="10494" max="10494" width="9.85546875" style="2" customWidth="1"/>
    <col min="10495" max="10495" width="9.5703125" style="2" customWidth="1"/>
    <col min="10496" max="10497" width="11.42578125" style="2"/>
    <col min="10498" max="10498" width="28" style="2" bestFit="1" customWidth="1"/>
    <col min="10499" max="10499" width="11.42578125" style="2"/>
    <col min="10500" max="10500" width="5.140625" style="2" customWidth="1"/>
    <col min="10501" max="10501" width="8" style="2" customWidth="1"/>
    <col min="10502" max="10744" width="11.42578125" style="2"/>
    <col min="10745" max="10745" width="17.7109375" style="2" bestFit="1" customWidth="1"/>
    <col min="10746" max="10746" width="4.5703125" style="2" customWidth="1"/>
    <col min="10747" max="10747" width="12.42578125" style="2" customWidth="1"/>
    <col min="10748" max="10748" width="32.5703125" style="2" customWidth="1"/>
    <col min="10749" max="10749" width="10.140625" style="2" customWidth="1"/>
    <col min="10750" max="10750" width="9.85546875" style="2" customWidth="1"/>
    <col min="10751" max="10751" width="9.5703125" style="2" customWidth="1"/>
    <col min="10752" max="10753" width="11.42578125" style="2"/>
    <col min="10754" max="10754" width="28" style="2" bestFit="1" customWidth="1"/>
    <col min="10755" max="10755" width="11.42578125" style="2"/>
    <col min="10756" max="10756" width="5.140625" style="2" customWidth="1"/>
    <col min="10757" max="10757" width="8" style="2" customWidth="1"/>
    <col min="10758" max="11000" width="11.42578125" style="2"/>
    <col min="11001" max="11001" width="17.7109375" style="2" bestFit="1" customWidth="1"/>
    <col min="11002" max="11002" width="4.5703125" style="2" customWidth="1"/>
    <col min="11003" max="11003" width="12.42578125" style="2" customWidth="1"/>
    <col min="11004" max="11004" width="32.5703125" style="2" customWidth="1"/>
    <col min="11005" max="11005" width="10.140625" style="2" customWidth="1"/>
    <col min="11006" max="11006" width="9.85546875" style="2" customWidth="1"/>
    <col min="11007" max="11007" width="9.5703125" style="2" customWidth="1"/>
    <col min="11008" max="11009" width="11.42578125" style="2"/>
    <col min="11010" max="11010" width="28" style="2" bestFit="1" customWidth="1"/>
    <col min="11011" max="11011" width="11.42578125" style="2"/>
    <col min="11012" max="11012" width="5.140625" style="2" customWidth="1"/>
    <col min="11013" max="11013" width="8" style="2" customWidth="1"/>
    <col min="11014" max="11256" width="11.42578125" style="2"/>
    <col min="11257" max="11257" width="17.7109375" style="2" bestFit="1" customWidth="1"/>
    <col min="11258" max="11258" width="4.5703125" style="2" customWidth="1"/>
    <col min="11259" max="11259" width="12.42578125" style="2" customWidth="1"/>
    <col min="11260" max="11260" width="32.5703125" style="2" customWidth="1"/>
    <col min="11261" max="11261" width="10.140625" style="2" customWidth="1"/>
    <col min="11262" max="11262" width="9.85546875" style="2" customWidth="1"/>
    <col min="11263" max="11263" width="9.5703125" style="2" customWidth="1"/>
    <col min="11264" max="11265" width="11.42578125" style="2"/>
    <col min="11266" max="11266" width="28" style="2" bestFit="1" customWidth="1"/>
    <col min="11267" max="11267" width="11.42578125" style="2"/>
    <col min="11268" max="11268" width="5.140625" style="2" customWidth="1"/>
    <col min="11269" max="11269" width="8" style="2" customWidth="1"/>
    <col min="11270" max="11512" width="11.42578125" style="2"/>
    <col min="11513" max="11513" width="17.7109375" style="2" bestFit="1" customWidth="1"/>
    <col min="11514" max="11514" width="4.5703125" style="2" customWidth="1"/>
    <col min="11515" max="11515" width="12.42578125" style="2" customWidth="1"/>
    <col min="11516" max="11516" width="32.5703125" style="2" customWidth="1"/>
    <col min="11517" max="11517" width="10.140625" style="2" customWidth="1"/>
    <col min="11518" max="11518" width="9.85546875" style="2" customWidth="1"/>
    <col min="11519" max="11519" width="9.5703125" style="2" customWidth="1"/>
    <col min="11520" max="11521" width="11.42578125" style="2"/>
    <col min="11522" max="11522" width="28" style="2" bestFit="1" customWidth="1"/>
    <col min="11523" max="11523" width="11.42578125" style="2"/>
    <col min="11524" max="11524" width="5.140625" style="2" customWidth="1"/>
    <col min="11525" max="11525" width="8" style="2" customWidth="1"/>
    <col min="11526" max="11768" width="11.42578125" style="2"/>
    <col min="11769" max="11769" width="17.7109375" style="2" bestFit="1" customWidth="1"/>
    <col min="11770" max="11770" width="4.5703125" style="2" customWidth="1"/>
    <col min="11771" max="11771" width="12.42578125" style="2" customWidth="1"/>
    <col min="11772" max="11772" width="32.5703125" style="2" customWidth="1"/>
    <col min="11773" max="11773" width="10.140625" style="2" customWidth="1"/>
    <col min="11774" max="11774" width="9.85546875" style="2" customWidth="1"/>
    <col min="11775" max="11775" width="9.5703125" style="2" customWidth="1"/>
    <col min="11776" max="11777" width="11.42578125" style="2"/>
    <col min="11778" max="11778" width="28" style="2" bestFit="1" customWidth="1"/>
    <col min="11779" max="11779" width="11.42578125" style="2"/>
    <col min="11780" max="11780" width="5.140625" style="2" customWidth="1"/>
    <col min="11781" max="11781" width="8" style="2" customWidth="1"/>
    <col min="11782" max="12024" width="11.42578125" style="2"/>
    <col min="12025" max="12025" width="17.7109375" style="2" bestFit="1" customWidth="1"/>
    <col min="12026" max="12026" width="4.5703125" style="2" customWidth="1"/>
    <col min="12027" max="12027" width="12.42578125" style="2" customWidth="1"/>
    <col min="12028" max="12028" width="32.5703125" style="2" customWidth="1"/>
    <col min="12029" max="12029" width="10.140625" style="2" customWidth="1"/>
    <col min="12030" max="12030" width="9.85546875" style="2" customWidth="1"/>
    <col min="12031" max="12031" width="9.5703125" style="2" customWidth="1"/>
    <col min="12032" max="12033" width="11.42578125" style="2"/>
    <col min="12034" max="12034" width="28" style="2" bestFit="1" customWidth="1"/>
    <col min="12035" max="12035" width="11.42578125" style="2"/>
    <col min="12036" max="12036" width="5.140625" style="2" customWidth="1"/>
    <col min="12037" max="12037" width="8" style="2" customWidth="1"/>
    <col min="12038" max="12280" width="11.42578125" style="2"/>
    <col min="12281" max="12281" width="17.7109375" style="2" bestFit="1" customWidth="1"/>
    <col min="12282" max="12282" width="4.5703125" style="2" customWidth="1"/>
    <col min="12283" max="12283" width="12.42578125" style="2" customWidth="1"/>
    <col min="12284" max="12284" width="32.5703125" style="2" customWidth="1"/>
    <col min="12285" max="12285" width="10.140625" style="2" customWidth="1"/>
    <col min="12286" max="12286" width="9.85546875" style="2" customWidth="1"/>
    <col min="12287" max="12287" width="9.5703125" style="2" customWidth="1"/>
    <col min="12288" max="12289" width="11.42578125" style="2"/>
    <col min="12290" max="12290" width="28" style="2" bestFit="1" customWidth="1"/>
    <col min="12291" max="12291" width="11.42578125" style="2"/>
    <col min="12292" max="12292" width="5.140625" style="2" customWidth="1"/>
    <col min="12293" max="12293" width="8" style="2" customWidth="1"/>
    <col min="12294" max="12536" width="11.42578125" style="2"/>
    <col min="12537" max="12537" width="17.7109375" style="2" bestFit="1" customWidth="1"/>
    <col min="12538" max="12538" width="4.5703125" style="2" customWidth="1"/>
    <col min="12539" max="12539" width="12.42578125" style="2" customWidth="1"/>
    <col min="12540" max="12540" width="32.5703125" style="2" customWidth="1"/>
    <col min="12541" max="12541" width="10.140625" style="2" customWidth="1"/>
    <col min="12542" max="12542" width="9.85546875" style="2" customWidth="1"/>
    <col min="12543" max="12543" width="9.5703125" style="2" customWidth="1"/>
    <col min="12544" max="12545" width="11.42578125" style="2"/>
    <col min="12546" max="12546" width="28" style="2" bestFit="1" customWidth="1"/>
    <col min="12547" max="12547" width="11.42578125" style="2"/>
    <col min="12548" max="12548" width="5.140625" style="2" customWidth="1"/>
    <col min="12549" max="12549" width="8" style="2" customWidth="1"/>
    <col min="12550" max="12792" width="11.42578125" style="2"/>
    <col min="12793" max="12793" width="17.7109375" style="2" bestFit="1" customWidth="1"/>
    <col min="12794" max="12794" width="4.5703125" style="2" customWidth="1"/>
    <col min="12795" max="12795" width="12.42578125" style="2" customWidth="1"/>
    <col min="12796" max="12796" width="32.5703125" style="2" customWidth="1"/>
    <col min="12797" max="12797" width="10.140625" style="2" customWidth="1"/>
    <col min="12798" max="12798" width="9.85546875" style="2" customWidth="1"/>
    <col min="12799" max="12799" width="9.5703125" style="2" customWidth="1"/>
    <col min="12800" max="12801" width="11.42578125" style="2"/>
    <col min="12802" max="12802" width="28" style="2" bestFit="1" customWidth="1"/>
    <col min="12803" max="12803" width="11.42578125" style="2"/>
    <col min="12804" max="12804" width="5.140625" style="2" customWidth="1"/>
    <col min="12805" max="12805" width="8" style="2" customWidth="1"/>
    <col min="12806" max="13048" width="11.42578125" style="2"/>
    <col min="13049" max="13049" width="17.7109375" style="2" bestFit="1" customWidth="1"/>
    <col min="13050" max="13050" width="4.5703125" style="2" customWidth="1"/>
    <col min="13051" max="13051" width="12.42578125" style="2" customWidth="1"/>
    <col min="13052" max="13052" width="32.5703125" style="2" customWidth="1"/>
    <col min="13053" max="13053" width="10.140625" style="2" customWidth="1"/>
    <col min="13054" max="13054" width="9.85546875" style="2" customWidth="1"/>
    <col min="13055" max="13055" width="9.5703125" style="2" customWidth="1"/>
    <col min="13056" max="13057" width="11.42578125" style="2"/>
    <col min="13058" max="13058" width="28" style="2" bestFit="1" customWidth="1"/>
    <col min="13059" max="13059" width="11.42578125" style="2"/>
    <col min="13060" max="13060" width="5.140625" style="2" customWidth="1"/>
    <col min="13061" max="13061" width="8" style="2" customWidth="1"/>
    <col min="13062" max="13304" width="11.42578125" style="2"/>
    <col min="13305" max="13305" width="17.7109375" style="2" bestFit="1" customWidth="1"/>
    <col min="13306" max="13306" width="4.5703125" style="2" customWidth="1"/>
    <col min="13307" max="13307" width="12.42578125" style="2" customWidth="1"/>
    <col min="13308" max="13308" width="32.5703125" style="2" customWidth="1"/>
    <col min="13309" max="13309" width="10.140625" style="2" customWidth="1"/>
    <col min="13310" max="13310" width="9.85546875" style="2" customWidth="1"/>
    <col min="13311" max="13311" width="9.5703125" style="2" customWidth="1"/>
    <col min="13312" max="13313" width="11.42578125" style="2"/>
    <col min="13314" max="13314" width="28" style="2" bestFit="1" customWidth="1"/>
    <col min="13315" max="13315" width="11.42578125" style="2"/>
    <col min="13316" max="13316" width="5.140625" style="2" customWidth="1"/>
    <col min="13317" max="13317" width="8" style="2" customWidth="1"/>
    <col min="13318" max="13560" width="11.42578125" style="2"/>
    <col min="13561" max="13561" width="17.7109375" style="2" bestFit="1" customWidth="1"/>
    <col min="13562" max="13562" width="4.5703125" style="2" customWidth="1"/>
    <col min="13563" max="13563" width="12.42578125" style="2" customWidth="1"/>
    <col min="13564" max="13564" width="32.5703125" style="2" customWidth="1"/>
    <col min="13565" max="13565" width="10.140625" style="2" customWidth="1"/>
    <col min="13566" max="13566" width="9.85546875" style="2" customWidth="1"/>
    <col min="13567" max="13567" width="9.5703125" style="2" customWidth="1"/>
    <col min="13568" max="13569" width="11.42578125" style="2"/>
    <col min="13570" max="13570" width="28" style="2" bestFit="1" customWidth="1"/>
    <col min="13571" max="13571" width="11.42578125" style="2"/>
    <col min="13572" max="13572" width="5.140625" style="2" customWidth="1"/>
    <col min="13573" max="13573" width="8" style="2" customWidth="1"/>
    <col min="13574" max="13816" width="11.42578125" style="2"/>
    <col min="13817" max="13817" width="17.7109375" style="2" bestFit="1" customWidth="1"/>
    <col min="13818" max="13818" width="4.5703125" style="2" customWidth="1"/>
    <col min="13819" max="13819" width="12.42578125" style="2" customWidth="1"/>
    <col min="13820" max="13820" width="32.5703125" style="2" customWidth="1"/>
    <col min="13821" max="13821" width="10.140625" style="2" customWidth="1"/>
    <col min="13822" max="13822" width="9.85546875" style="2" customWidth="1"/>
    <col min="13823" max="13823" width="9.5703125" style="2" customWidth="1"/>
    <col min="13824" max="13825" width="11.42578125" style="2"/>
    <col min="13826" max="13826" width="28" style="2" bestFit="1" customWidth="1"/>
    <col min="13827" max="13827" width="11.42578125" style="2"/>
    <col min="13828" max="13828" width="5.140625" style="2" customWidth="1"/>
    <col min="13829" max="13829" width="8" style="2" customWidth="1"/>
    <col min="13830" max="14072" width="11.42578125" style="2"/>
    <col min="14073" max="14073" width="17.7109375" style="2" bestFit="1" customWidth="1"/>
    <col min="14074" max="14074" width="4.5703125" style="2" customWidth="1"/>
    <col min="14075" max="14075" width="12.42578125" style="2" customWidth="1"/>
    <col min="14076" max="14076" width="32.5703125" style="2" customWidth="1"/>
    <col min="14077" max="14077" width="10.140625" style="2" customWidth="1"/>
    <col min="14078" max="14078" width="9.85546875" style="2" customWidth="1"/>
    <col min="14079" max="14079" width="9.5703125" style="2" customWidth="1"/>
    <col min="14080" max="14081" width="11.42578125" style="2"/>
    <col min="14082" max="14082" width="28" style="2" bestFit="1" customWidth="1"/>
    <col min="14083" max="14083" width="11.42578125" style="2"/>
    <col min="14084" max="14084" width="5.140625" style="2" customWidth="1"/>
    <col min="14085" max="14085" width="8" style="2" customWidth="1"/>
    <col min="14086" max="14328" width="11.42578125" style="2"/>
    <col min="14329" max="14329" width="17.7109375" style="2" bestFit="1" customWidth="1"/>
    <col min="14330" max="14330" width="4.5703125" style="2" customWidth="1"/>
    <col min="14331" max="14331" width="12.42578125" style="2" customWidth="1"/>
    <col min="14332" max="14332" width="32.5703125" style="2" customWidth="1"/>
    <col min="14333" max="14333" width="10.140625" style="2" customWidth="1"/>
    <col min="14334" max="14334" width="9.85546875" style="2" customWidth="1"/>
    <col min="14335" max="14335" width="9.5703125" style="2" customWidth="1"/>
    <col min="14336" max="14337" width="11.42578125" style="2"/>
    <col min="14338" max="14338" width="28" style="2" bestFit="1" customWidth="1"/>
    <col min="14339" max="14339" width="11.42578125" style="2"/>
    <col min="14340" max="14340" width="5.140625" style="2" customWidth="1"/>
    <col min="14341" max="14341" width="8" style="2" customWidth="1"/>
    <col min="14342" max="14584" width="11.42578125" style="2"/>
    <col min="14585" max="14585" width="17.7109375" style="2" bestFit="1" customWidth="1"/>
    <col min="14586" max="14586" width="4.5703125" style="2" customWidth="1"/>
    <col min="14587" max="14587" width="12.42578125" style="2" customWidth="1"/>
    <col min="14588" max="14588" width="32.5703125" style="2" customWidth="1"/>
    <col min="14589" max="14589" width="10.140625" style="2" customWidth="1"/>
    <col min="14590" max="14590" width="9.85546875" style="2" customWidth="1"/>
    <col min="14591" max="14591" width="9.5703125" style="2" customWidth="1"/>
    <col min="14592" max="14593" width="11.42578125" style="2"/>
    <col min="14594" max="14594" width="28" style="2" bestFit="1" customWidth="1"/>
    <col min="14595" max="14595" width="11.42578125" style="2"/>
    <col min="14596" max="14596" width="5.140625" style="2" customWidth="1"/>
    <col min="14597" max="14597" width="8" style="2" customWidth="1"/>
    <col min="14598" max="14840" width="11.42578125" style="2"/>
    <col min="14841" max="14841" width="17.7109375" style="2" bestFit="1" customWidth="1"/>
    <col min="14842" max="14842" width="4.5703125" style="2" customWidth="1"/>
    <col min="14843" max="14843" width="12.42578125" style="2" customWidth="1"/>
    <col min="14844" max="14844" width="32.5703125" style="2" customWidth="1"/>
    <col min="14845" max="14845" width="10.140625" style="2" customWidth="1"/>
    <col min="14846" max="14846" width="9.85546875" style="2" customWidth="1"/>
    <col min="14847" max="14847" width="9.5703125" style="2" customWidth="1"/>
    <col min="14848" max="14849" width="11.42578125" style="2"/>
    <col min="14850" max="14850" width="28" style="2" bestFit="1" customWidth="1"/>
    <col min="14851" max="14851" width="11.42578125" style="2"/>
    <col min="14852" max="14852" width="5.140625" style="2" customWidth="1"/>
    <col min="14853" max="14853" width="8" style="2" customWidth="1"/>
    <col min="14854" max="15096" width="11.42578125" style="2"/>
    <col min="15097" max="15097" width="17.7109375" style="2" bestFit="1" customWidth="1"/>
    <col min="15098" max="15098" width="4.5703125" style="2" customWidth="1"/>
    <col min="15099" max="15099" width="12.42578125" style="2" customWidth="1"/>
    <col min="15100" max="15100" width="32.5703125" style="2" customWidth="1"/>
    <col min="15101" max="15101" width="10.140625" style="2" customWidth="1"/>
    <col min="15102" max="15102" width="9.85546875" style="2" customWidth="1"/>
    <col min="15103" max="15103" width="9.5703125" style="2" customWidth="1"/>
    <col min="15104" max="15105" width="11.42578125" style="2"/>
    <col min="15106" max="15106" width="28" style="2" bestFit="1" customWidth="1"/>
    <col min="15107" max="15107" width="11.42578125" style="2"/>
    <col min="15108" max="15108" width="5.140625" style="2" customWidth="1"/>
    <col min="15109" max="15109" width="8" style="2" customWidth="1"/>
    <col min="15110" max="15352" width="11.42578125" style="2"/>
    <col min="15353" max="15353" width="17.7109375" style="2" bestFit="1" customWidth="1"/>
    <col min="15354" max="15354" width="4.5703125" style="2" customWidth="1"/>
    <col min="15355" max="15355" width="12.42578125" style="2" customWidth="1"/>
    <col min="15356" max="15356" width="32.5703125" style="2" customWidth="1"/>
    <col min="15357" max="15357" width="10.140625" style="2" customWidth="1"/>
    <col min="15358" max="15358" width="9.85546875" style="2" customWidth="1"/>
    <col min="15359" max="15359" width="9.5703125" style="2" customWidth="1"/>
    <col min="15360" max="15361" width="11.42578125" style="2"/>
    <col min="15362" max="15362" width="28" style="2" bestFit="1" customWidth="1"/>
    <col min="15363" max="15363" width="11.42578125" style="2"/>
    <col min="15364" max="15364" width="5.140625" style="2" customWidth="1"/>
    <col min="15365" max="15365" width="8" style="2" customWidth="1"/>
    <col min="15366" max="15608" width="11.42578125" style="2"/>
    <col min="15609" max="15609" width="17.7109375" style="2" bestFit="1" customWidth="1"/>
    <col min="15610" max="15610" width="4.5703125" style="2" customWidth="1"/>
    <col min="15611" max="15611" width="12.42578125" style="2" customWidth="1"/>
    <col min="15612" max="15612" width="32.5703125" style="2" customWidth="1"/>
    <col min="15613" max="15613" width="10.140625" style="2" customWidth="1"/>
    <col min="15614" max="15614" width="9.85546875" style="2" customWidth="1"/>
    <col min="15615" max="15615" width="9.5703125" style="2" customWidth="1"/>
    <col min="15616" max="15617" width="11.42578125" style="2"/>
    <col min="15618" max="15618" width="28" style="2" bestFit="1" customWidth="1"/>
    <col min="15619" max="15619" width="11.42578125" style="2"/>
    <col min="15620" max="15620" width="5.140625" style="2" customWidth="1"/>
    <col min="15621" max="15621" width="8" style="2" customWidth="1"/>
    <col min="15622" max="15864" width="11.42578125" style="2"/>
    <col min="15865" max="15865" width="17.7109375" style="2" bestFit="1" customWidth="1"/>
    <col min="15866" max="15866" width="4.5703125" style="2" customWidth="1"/>
    <col min="15867" max="15867" width="12.42578125" style="2" customWidth="1"/>
    <col min="15868" max="15868" width="32.5703125" style="2" customWidth="1"/>
    <col min="15869" max="15869" width="10.140625" style="2" customWidth="1"/>
    <col min="15870" max="15870" width="9.85546875" style="2" customWidth="1"/>
    <col min="15871" max="15871" width="9.5703125" style="2" customWidth="1"/>
    <col min="15872" max="15873" width="11.42578125" style="2"/>
    <col min="15874" max="15874" width="28" style="2" bestFit="1" customWidth="1"/>
    <col min="15875" max="15875" width="11.42578125" style="2"/>
    <col min="15876" max="15876" width="5.140625" style="2" customWidth="1"/>
    <col min="15877" max="15877" width="8" style="2" customWidth="1"/>
    <col min="15878" max="16120" width="11.42578125" style="2"/>
    <col min="16121" max="16121" width="17.7109375" style="2" bestFit="1" customWidth="1"/>
    <col min="16122" max="16122" width="4.5703125" style="2" customWidth="1"/>
    <col min="16123" max="16123" width="12.42578125" style="2" customWidth="1"/>
    <col min="16124" max="16124" width="32.5703125" style="2" customWidth="1"/>
    <col min="16125" max="16125" width="10.140625" style="2" customWidth="1"/>
    <col min="16126" max="16126" width="9.85546875" style="2" customWidth="1"/>
    <col min="16127" max="16127" width="9.5703125" style="2" customWidth="1"/>
    <col min="16128" max="16129" width="11.42578125" style="2"/>
    <col min="16130" max="16130" width="28" style="2" bestFit="1" customWidth="1"/>
    <col min="16131" max="16131" width="11.42578125" style="2"/>
    <col min="16132" max="16132" width="5.140625" style="2" customWidth="1"/>
    <col min="16133" max="16133" width="8" style="2" customWidth="1"/>
    <col min="16134" max="16384" width="11.42578125" style="2"/>
  </cols>
  <sheetData>
    <row r="2" spans="1:247" s="90" customFormat="1" ht="12.75" x14ac:dyDescent="0.2">
      <c r="A2" s="60" t="s">
        <v>144</v>
      </c>
      <c r="B2" s="87"/>
      <c r="C2" s="88"/>
      <c r="D2" s="89"/>
      <c r="E2" s="87"/>
      <c r="F2" s="87"/>
      <c r="G2" s="87"/>
      <c r="H2" s="87"/>
      <c r="I2" s="87"/>
      <c r="J2" s="87"/>
    </row>
    <row r="3" spans="1:247" s="90" customFormat="1" ht="12.75" x14ac:dyDescent="0.2">
      <c r="A3" s="60" t="s">
        <v>1191</v>
      </c>
      <c r="B3" s="87"/>
      <c r="C3" s="88"/>
      <c r="D3" s="89"/>
      <c r="E3" s="87"/>
      <c r="F3" s="87"/>
      <c r="G3" s="87"/>
      <c r="H3" s="87"/>
      <c r="I3" s="87"/>
      <c r="J3" s="87"/>
      <c r="S3" s="1038" t="s">
        <v>1188</v>
      </c>
      <c r="T3" s="1038"/>
      <c r="U3" s="1038"/>
      <c r="V3" s="1038"/>
    </row>
    <row r="4" spans="1:247" ht="12.75" x14ac:dyDescent="0.2">
      <c r="A4" s="74"/>
      <c r="S4" s="234" t="s">
        <v>1187</v>
      </c>
      <c r="T4" s="986">
        <v>51000200001</v>
      </c>
      <c r="U4" s="986" t="s">
        <v>242</v>
      </c>
      <c r="V4" s="1033">
        <v>143.83000000000001</v>
      </c>
    </row>
    <row r="5" spans="1:247" ht="12.75" x14ac:dyDescent="0.2">
      <c r="A5" s="67" t="s">
        <v>99</v>
      </c>
      <c r="B5" s="67" t="s">
        <v>100</v>
      </c>
      <c r="C5" s="84" t="s">
        <v>197</v>
      </c>
      <c r="D5" s="68" t="s">
        <v>39</v>
      </c>
      <c r="E5" s="69" t="s">
        <v>155</v>
      </c>
      <c r="F5" s="70" t="s">
        <v>156</v>
      </c>
      <c r="G5" s="67" t="s">
        <v>157</v>
      </c>
      <c r="H5" s="67" t="s">
        <v>158</v>
      </c>
      <c r="I5" s="71" t="s">
        <v>159</v>
      </c>
      <c r="J5" s="67" t="s">
        <v>160</v>
      </c>
      <c r="K5" s="72" t="s">
        <v>161</v>
      </c>
      <c r="L5" s="72" t="s">
        <v>162</v>
      </c>
      <c r="M5" s="73"/>
      <c r="N5" s="73"/>
      <c r="O5" s="73"/>
      <c r="P5" s="73"/>
      <c r="Q5" s="73"/>
      <c r="R5" s="73"/>
      <c r="S5" s="234" t="s">
        <v>1187</v>
      </c>
      <c r="T5" s="986">
        <v>51000200002</v>
      </c>
      <c r="U5" s="986" t="s">
        <v>242</v>
      </c>
      <c r="V5" s="1033">
        <v>143.83000000000001</v>
      </c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</row>
    <row r="6" spans="1:247" ht="12.75" x14ac:dyDescent="0.2">
      <c r="A6" s="8" t="s">
        <v>54</v>
      </c>
      <c r="B6" s="8" t="s">
        <v>163</v>
      </c>
      <c r="C6" s="99">
        <v>52200000001</v>
      </c>
      <c r="D6" s="92" t="e">
        <f>VLOOKUP(C6,#REF!,2,FALSE)</f>
        <v>#REF!</v>
      </c>
      <c r="E6" s="706">
        <f>SUMIFS($V$4:$V$11,$T$4:$T$11,C6,$U$4:$U$11,J6)</f>
        <v>0</v>
      </c>
      <c r="F6" s="80">
        <v>13337</v>
      </c>
      <c r="G6" s="81">
        <v>1</v>
      </c>
      <c r="H6" s="82">
        <f>+E6</f>
        <v>0</v>
      </c>
      <c r="I6" s="85"/>
      <c r="J6" s="73" t="s">
        <v>242</v>
      </c>
      <c r="K6" s="8">
        <v>13332</v>
      </c>
      <c r="L6" s="8" t="s">
        <v>163</v>
      </c>
      <c r="M6" s="73" t="s">
        <v>103</v>
      </c>
      <c r="N6" s="73" t="s">
        <v>105</v>
      </c>
      <c r="O6" s="73"/>
      <c r="P6" s="73"/>
      <c r="Q6" s="73"/>
      <c r="R6" s="73"/>
      <c r="S6" s="234" t="s">
        <v>1187</v>
      </c>
      <c r="T6" s="986">
        <v>51220200001</v>
      </c>
      <c r="U6" s="986" t="s">
        <v>242</v>
      </c>
      <c r="V6" s="1033">
        <v>1807.46</v>
      </c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</row>
    <row r="7" spans="1:247" ht="12.75" x14ac:dyDescent="0.2">
      <c r="A7" s="8" t="s">
        <v>54</v>
      </c>
      <c r="B7" s="8" t="s">
        <v>163</v>
      </c>
      <c r="C7" s="99">
        <v>51000100001</v>
      </c>
      <c r="D7" s="92" t="e">
        <f>VLOOKUP(C7,#REF!,2,FALSE)</f>
        <v>#REF!</v>
      </c>
      <c r="E7" s="706">
        <f t="shared" ref="E7:E14" si="0">SUMIFS($V$4:$V$11,$T$4:$T$11,C7,$U$4:$U$11,J7)</f>
        <v>0</v>
      </c>
      <c r="F7" s="9">
        <v>13337</v>
      </c>
      <c r="G7" s="8">
        <v>1</v>
      </c>
      <c r="H7" s="76">
        <f t="shared" ref="H7:H30" si="1">+E7</f>
        <v>0</v>
      </c>
      <c r="I7" s="66"/>
      <c r="J7" s="73" t="s">
        <v>242</v>
      </c>
      <c r="K7" s="8">
        <v>13332</v>
      </c>
      <c r="L7" s="8" t="s">
        <v>163</v>
      </c>
      <c r="M7" s="73" t="s">
        <v>103</v>
      </c>
      <c r="N7" s="73" t="s">
        <v>151</v>
      </c>
      <c r="O7" s="73"/>
      <c r="P7" s="73"/>
      <c r="Q7" s="73"/>
      <c r="R7" s="73"/>
      <c r="S7" s="234" t="s">
        <v>1187</v>
      </c>
      <c r="T7" s="986">
        <v>51220200001</v>
      </c>
      <c r="U7" s="986" t="s">
        <v>269</v>
      </c>
      <c r="V7" s="1033">
        <v>354.35</v>
      </c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</row>
    <row r="8" spans="1:247" ht="12.75" x14ac:dyDescent="0.2">
      <c r="A8" s="8" t="s">
        <v>54</v>
      </c>
      <c r="B8" s="8" t="s">
        <v>163</v>
      </c>
      <c r="C8" s="99">
        <v>51000100002</v>
      </c>
      <c r="D8" s="92" t="e">
        <f>VLOOKUP(C8,#REF!,2,FALSE)</f>
        <v>#REF!</v>
      </c>
      <c r="E8" s="706">
        <f t="shared" si="0"/>
        <v>0</v>
      </c>
      <c r="F8" s="9">
        <v>13337</v>
      </c>
      <c r="G8" s="8">
        <v>1</v>
      </c>
      <c r="H8" s="76">
        <f t="shared" si="1"/>
        <v>0</v>
      </c>
      <c r="I8" s="66"/>
      <c r="J8" s="73" t="s">
        <v>242</v>
      </c>
      <c r="K8" s="8">
        <v>13332</v>
      </c>
      <c r="L8" s="8" t="s">
        <v>163</v>
      </c>
      <c r="M8" s="73" t="s">
        <v>103</v>
      </c>
      <c r="N8" s="73" t="s">
        <v>151</v>
      </c>
      <c r="O8" s="73"/>
      <c r="P8" s="73"/>
      <c r="Q8" s="73"/>
      <c r="R8" s="73"/>
      <c r="S8" s="234" t="s">
        <v>1202</v>
      </c>
      <c r="T8" s="986">
        <v>51000200001</v>
      </c>
      <c r="U8" s="986" t="s">
        <v>242</v>
      </c>
      <c r="V8" s="1033">
        <v>527.39</v>
      </c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</row>
    <row r="9" spans="1:247" ht="12.75" x14ac:dyDescent="0.2">
      <c r="A9" s="8" t="s">
        <v>54</v>
      </c>
      <c r="B9" s="8" t="s">
        <v>163</v>
      </c>
      <c r="C9" s="99">
        <v>51000100002</v>
      </c>
      <c r="D9" s="92" t="e">
        <f>VLOOKUP(C9,#REF!,2,FALSE)</f>
        <v>#REF!</v>
      </c>
      <c r="E9" s="706">
        <f t="shared" si="0"/>
        <v>0</v>
      </c>
      <c r="F9" s="9"/>
      <c r="G9" s="8"/>
      <c r="H9" s="76"/>
      <c r="I9" s="66"/>
      <c r="J9" s="73" t="s">
        <v>269</v>
      </c>
      <c r="K9" s="8"/>
      <c r="L9" s="8"/>
      <c r="M9" s="73"/>
      <c r="N9" s="73" t="s">
        <v>151</v>
      </c>
      <c r="O9" s="73"/>
      <c r="P9" s="73"/>
      <c r="Q9" s="73"/>
      <c r="R9" s="73"/>
      <c r="S9" s="234" t="s">
        <v>1202</v>
      </c>
      <c r="T9" s="986">
        <v>51000200002</v>
      </c>
      <c r="U9" s="986" t="s">
        <v>242</v>
      </c>
      <c r="V9" s="1033">
        <v>527.39</v>
      </c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</row>
    <row r="10" spans="1:247" ht="12.75" x14ac:dyDescent="0.2">
      <c r="A10" s="8" t="s">
        <v>54</v>
      </c>
      <c r="B10" s="8" t="s">
        <v>163</v>
      </c>
      <c r="C10" s="99">
        <v>51000200001</v>
      </c>
      <c r="D10" s="92" t="e">
        <f>VLOOKUP(C10,#REF!,2,FALSE)</f>
        <v>#REF!</v>
      </c>
      <c r="E10" s="706">
        <f t="shared" si="0"/>
        <v>671.22</v>
      </c>
      <c r="F10" s="9">
        <v>13337</v>
      </c>
      <c r="G10" s="8">
        <v>1</v>
      </c>
      <c r="H10" s="76">
        <f t="shared" si="1"/>
        <v>671.22</v>
      </c>
      <c r="I10" s="66"/>
      <c r="J10" s="73" t="s">
        <v>242</v>
      </c>
      <c r="K10" s="8">
        <v>13332</v>
      </c>
      <c r="L10" s="8" t="s">
        <v>163</v>
      </c>
      <c r="M10" s="73" t="s">
        <v>103</v>
      </c>
      <c r="N10" s="73" t="s">
        <v>2</v>
      </c>
      <c r="O10" s="73"/>
      <c r="P10" s="73"/>
      <c r="Q10" s="73"/>
      <c r="R10" s="90"/>
      <c r="S10" s="234" t="s">
        <v>1202</v>
      </c>
      <c r="T10" s="986">
        <v>51220200001</v>
      </c>
      <c r="U10" s="986" t="s">
        <v>242</v>
      </c>
      <c r="V10" s="1033">
        <v>2353.11</v>
      </c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</row>
    <row r="11" spans="1:247" ht="12.75" x14ac:dyDescent="0.2">
      <c r="A11" s="8" t="s">
        <v>54</v>
      </c>
      <c r="B11" s="8" t="s">
        <v>163</v>
      </c>
      <c r="C11" s="99">
        <v>51000200002</v>
      </c>
      <c r="D11" s="92" t="e">
        <f>VLOOKUP(C11,#REF!,2,FALSE)</f>
        <v>#REF!</v>
      </c>
      <c r="E11" s="706">
        <f t="shared" si="0"/>
        <v>671.22</v>
      </c>
      <c r="F11" s="9">
        <v>13337</v>
      </c>
      <c r="G11" s="8">
        <v>1</v>
      </c>
      <c r="H11" s="76">
        <f t="shared" si="1"/>
        <v>671.22</v>
      </c>
      <c r="I11" s="66"/>
      <c r="J11" s="73" t="s">
        <v>242</v>
      </c>
      <c r="K11" s="8">
        <v>13332</v>
      </c>
      <c r="L11" s="8" t="s">
        <v>163</v>
      </c>
      <c r="M11" s="73" t="s">
        <v>103</v>
      </c>
      <c r="N11" s="73" t="s">
        <v>2</v>
      </c>
      <c r="O11" s="73"/>
      <c r="P11" s="73"/>
      <c r="Q11" s="73"/>
      <c r="R11" s="90"/>
      <c r="S11" s="234" t="s">
        <v>1202</v>
      </c>
      <c r="T11" s="986">
        <v>51220200001</v>
      </c>
      <c r="U11" s="986" t="s">
        <v>269</v>
      </c>
      <c r="V11" s="1033">
        <v>454.35</v>
      </c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</row>
    <row r="12" spans="1:247" ht="13.5" thickBot="1" x14ac:dyDescent="0.25">
      <c r="A12" s="8" t="s">
        <v>54</v>
      </c>
      <c r="B12" s="8" t="s">
        <v>163</v>
      </c>
      <c r="C12" s="99">
        <v>51000300001</v>
      </c>
      <c r="D12" s="92" t="e">
        <f>VLOOKUP(C12,#REF!,2,FALSE)</f>
        <v>#REF!</v>
      </c>
      <c r="E12" s="706">
        <f t="shared" si="0"/>
        <v>0</v>
      </c>
      <c r="F12" s="9">
        <v>13337</v>
      </c>
      <c r="G12" s="8">
        <v>1</v>
      </c>
      <c r="H12" s="76">
        <f t="shared" si="1"/>
        <v>0</v>
      </c>
      <c r="I12" s="66"/>
      <c r="J12" s="73" t="s">
        <v>242</v>
      </c>
      <c r="K12" s="8">
        <v>13332</v>
      </c>
      <c r="L12" s="8" t="s">
        <v>163</v>
      </c>
      <c r="M12" s="73" t="s">
        <v>103</v>
      </c>
      <c r="N12" s="73" t="s">
        <v>151</v>
      </c>
      <c r="O12" s="73"/>
      <c r="P12" s="73"/>
      <c r="Q12" s="73"/>
      <c r="R12" s="90"/>
      <c r="S12" s="1021"/>
      <c r="T12" s="1022"/>
      <c r="U12" s="1021"/>
      <c r="V12" s="985">
        <f>SUM(V4:V11)</f>
        <v>6311.71</v>
      </c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</row>
    <row r="13" spans="1:247" ht="13.5" thickTop="1" x14ac:dyDescent="0.2">
      <c r="A13" s="8" t="s">
        <v>54</v>
      </c>
      <c r="B13" s="8" t="s">
        <v>163</v>
      </c>
      <c r="C13" s="99">
        <v>51000300002</v>
      </c>
      <c r="D13" s="92" t="e">
        <f>VLOOKUP(C13,#REF!,2,FALSE)</f>
        <v>#REF!</v>
      </c>
      <c r="E13" s="706">
        <f t="shared" si="0"/>
        <v>0</v>
      </c>
      <c r="F13" s="9">
        <v>13337</v>
      </c>
      <c r="G13" s="8">
        <v>1</v>
      </c>
      <c r="H13" s="76">
        <f t="shared" si="1"/>
        <v>0</v>
      </c>
      <c r="I13" s="66"/>
      <c r="J13" s="73" t="s">
        <v>242</v>
      </c>
      <c r="K13" s="8">
        <v>13332</v>
      </c>
      <c r="L13" s="8" t="s">
        <v>163</v>
      </c>
      <c r="M13" s="73" t="s">
        <v>103</v>
      </c>
      <c r="N13" s="73" t="s">
        <v>151</v>
      </c>
      <c r="O13" s="73"/>
      <c r="P13" s="73"/>
      <c r="Q13" s="73"/>
      <c r="R13" s="90"/>
      <c r="S13" s="1021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</row>
    <row r="14" spans="1:247" ht="12.75" x14ac:dyDescent="0.2">
      <c r="A14" s="8" t="s">
        <v>54</v>
      </c>
      <c r="B14" s="8" t="s">
        <v>163</v>
      </c>
      <c r="C14" s="99">
        <v>51220200001</v>
      </c>
      <c r="D14" s="92" t="e">
        <f>VLOOKUP(C14,#REF!,2,FALSE)</f>
        <v>#REF!</v>
      </c>
      <c r="E14" s="706">
        <f t="shared" si="0"/>
        <v>4160.57</v>
      </c>
      <c r="F14" s="9">
        <v>13337</v>
      </c>
      <c r="G14" s="8">
        <v>1</v>
      </c>
      <c r="H14" s="76">
        <f>+E14</f>
        <v>4160.57</v>
      </c>
      <c r="I14" s="66"/>
      <c r="J14" s="73" t="s">
        <v>242</v>
      </c>
      <c r="K14" s="8">
        <v>13332</v>
      </c>
      <c r="L14" s="8" t="s">
        <v>163</v>
      </c>
      <c r="M14" s="73" t="s">
        <v>103</v>
      </c>
      <c r="N14" s="73" t="s">
        <v>152</v>
      </c>
      <c r="O14" s="73"/>
      <c r="P14" s="73"/>
      <c r="Q14" s="73"/>
      <c r="R14" s="90"/>
      <c r="S14" s="1021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</row>
    <row r="15" spans="1:247" ht="12.75" x14ac:dyDescent="0.2">
      <c r="A15" s="81" t="s">
        <v>54</v>
      </c>
      <c r="B15" s="81" t="s">
        <v>163</v>
      </c>
      <c r="C15" s="715">
        <v>41250100001</v>
      </c>
      <c r="D15" s="91" t="e">
        <f>VLOOKUP(C15,#REF!,2,FALSE)</f>
        <v>#REF!</v>
      </c>
      <c r="E15" s="85" t="e">
        <f>-VLOOKUP(C15,#REF!,3,FALSE)</f>
        <v>#REF!</v>
      </c>
      <c r="F15" s="80">
        <v>13337</v>
      </c>
      <c r="G15" s="81">
        <v>1</v>
      </c>
      <c r="H15" s="82" t="e">
        <f t="shared" si="1"/>
        <v>#REF!</v>
      </c>
      <c r="I15" s="85"/>
      <c r="J15" s="716" t="s">
        <v>242</v>
      </c>
      <c r="K15" s="81">
        <v>13332</v>
      </c>
      <c r="L15" s="81" t="s">
        <v>163</v>
      </c>
      <c r="M15" s="716" t="s">
        <v>103</v>
      </c>
      <c r="N15" s="716" t="s">
        <v>203</v>
      </c>
      <c r="O15" s="73"/>
      <c r="P15" s="73"/>
      <c r="Q15" s="73"/>
      <c r="R15" s="90"/>
      <c r="S15" s="1021"/>
      <c r="T15" s="1022"/>
      <c r="U15" s="1021"/>
      <c r="V15" s="102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</row>
    <row r="16" spans="1:247" ht="12.75" x14ac:dyDescent="0.2">
      <c r="A16" s="81" t="s">
        <v>54</v>
      </c>
      <c r="B16" s="81" t="s">
        <v>163</v>
      </c>
      <c r="C16" s="715">
        <v>41250100014</v>
      </c>
      <c r="D16" s="91" t="s">
        <v>251</v>
      </c>
      <c r="E16" s="85" t="e">
        <f>-VLOOKUP(C16,#REF!,3,FALSE)</f>
        <v>#REF!</v>
      </c>
      <c r="F16" s="80"/>
      <c r="G16" s="81"/>
      <c r="H16" s="82"/>
      <c r="I16" s="85"/>
      <c r="J16" s="716" t="s">
        <v>242</v>
      </c>
      <c r="K16" s="81">
        <v>13332</v>
      </c>
      <c r="L16" s="81" t="s">
        <v>163</v>
      </c>
      <c r="M16" s="716" t="s">
        <v>103</v>
      </c>
      <c r="N16" s="716" t="s">
        <v>252</v>
      </c>
      <c r="O16" s="73"/>
      <c r="P16" s="73"/>
      <c r="Q16" s="73"/>
      <c r="R16" s="90"/>
      <c r="S16" s="1021"/>
      <c r="T16" s="1022"/>
      <c r="U16" s="1021"/>
      <c r="V16" s="102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</row>
    <row r="17" spans="1:247" ht="12.75" x14ac:dyDescent="0.2">
      <c r="A17" s="8" t="s">
        <v>54</v>
      </c>
      <c r="B17" s="8" t="s">
        <v>163</v>
      </c>
      <c r="C17" s="99">
        <v>53000100001</v>
      </c>
      <c r="D17" s="92" t="e">
        <f>VLOOKUP(C17,#REF!,2,FALSE)</f>
        <v>#REF!</v>
      </c>
      <c r="E17" s="706">
        <f t="shared" ref="E17:E24" si="2">SUMIFS($V$4:$V$11,$T$4:$T$11,C17,$U$4:$U$11,J17)</f>
        <v>0</v>
      </c>
      <c r="F17" s="9">
        <v>13337</v>
      </c>
      <c r="G17" s="8">
        <v>1</v>
      </c>
      <c r="H17" s="76">
        <f t="shared" si="1"/>
        <v>0</v>
      </c>
      <c r="I17" s="66"/>
      <c r="J17" s="73" t="s">
        <v>242</v>
      </c>
      <c r="K17" s="8">
        <v>13332</v>
      </c>
      <c r="L17" s="8" t="s">
        <v>163</v>
      </c>
      <c r="M17" s="73" t="s">
        <v>103</v>
      </c>
      <c r="N17" s="73" t="s">
        <v>276</v>
      </c>
      <c r="O17" s="73"/>
      <c r="P17" s="73"/>
      <c r="Q17" s="73"/>
      <c r="R17" s="90"/>
      <c r="S17" s="1021"/>
      <c r="T17" s="1022"/>
      <c r="U17" s="1021"/>
      <c r="V17" s="102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</row>
    <row r="18" spans="1:247" ht="12.75" x14ac:dyDescent="0.2">
      <c r="A18" s="8" t="s">
        <v>54</v>
      </c>
      <c r="B18" s="8" t="s">
        <v>163</v>
      </c>
      <c r="C18" s="99">
        <v>51220200001</v>
      </c>
      <c r="D18" s="92" t="e">
        <f>VLOOKUP(C18,#REF!,2,FALSE)</f>
        <v>#REF!</v>
      </c>
      <c r="E18" s="706">
        <f t="shared" si="2"/>
        <v>808.7</v>
      </c>
      <c r="F18" s="9">
        <v>13337</v>
      </c>
      <c r="G18" s="73">
        <v>1</v>
      </c>
      <c r="H18" s="76">
        <f t="shared" si="1"/>
        <v>808.7</v>
      </c>
      <c r="I18" s="78"/>
      <c r="J18" s="73" t="s">
        <v>269</v>
      </c>
      <c r="K18" s="8">
        <v>13331</v>
      </c>
      <c r="L18" s="8" t="s">
        <v>163</v>
      </c>
      <c r="M18" s="73" t="s">
        <v>103</v>
      </c>
      <c r="N18" s="73" t="s">
        <v>128</v>
      </c>
      <c r="O18" s="73"/>
      <c r="P18" s="73"/>
      <c r="Q18" s="73"/>
      <c r="R18" s="90"/>
      <c r="S18" s="1025"/>
      <c r="T18" s="1026"/>
      <c r="U18" s="1025"/>
      <c r="V18" s="1027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</row>
    <row r="19" spans="1:247" ht="12.75" x14ac:dyDescent="0.2">
      <c r="A19" s="8" t="s">
        <v>54</v>
      </c>
      <c r="B19" s="8" t="s">
        <v>163</v>
      </c>
      <c r="C19" s="83">
        <v>51000000001</v>
      </c>
      <c r="D19" s="1" t="s">
        <v>71</v>
      </c>
      <c r="E19" s="706">
        <f t="shared" si="2"/>
        <v>0</v>
      </c>
      <c r="F19" s="9">
        <v>13337</v>
      </c>
      <c r="G19" s="73">
        <v>1</v>
      </c>
      <c r="H19" s="76">
        <f>+E19</f>
        <v>0</v>
      </c>
      <c r="I19" s="78"/>
      <c r="J19" s="73" t="s">
        <v>22</v>
      </c>
      <c r="K19" s="73">
        <v>13341</v>
      </c>
      <c r="L19" s="73" t="s">
        <v>163</v>
      </c>
      <c r="M19" s="73" t="s">
        <v>103</v>
      </c>
      <c r="N19" s="73" t="s">
        <v>199</v>
      </c>
      <c r="O19" s="73"/>
      <c r="P19" s="73"/>
      <c r="Q19" s="73"/>
      <c r="R19" s="90"/>
      <c r="S19" s="1021"/>
      <c r="T19" s="1022"/>
      <c r="U19" s="1021"/>
      <c r="V19" s="102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</row>
    <row r="20" spans="1:247" ht="12.75" x14ac:dyDescent="0.2">
      <c r="A20" s="8" t="s">
        <v>54</v>
      </c>
      <c r="B20" s="8" t="s">
        <v>163</v>
      </c>
      <c r="C20" s="99">
        <v>51000000002</v>
      </c>
      <c r="D20" s="92" t="s">
        <v>3</v>
      </c>
      <c r="E20" s="706">
        <f t="shared" si="2"/>
        <v>0</v>
      </c>
      <c r="F20" s="9">
        <v>13337</v>
      </c>
      <c r="G20" s="73">
        <v>1</v>
      </c>
      <c r="H20" s="76">
        <f>+E20</f>
        <v>0</v>
      </c>
      <c r="I20" s="77"/>
      <c r="J20" s="73" t="s">
        <v>22</v>
      </c>
      <c r="K20" s="73">
        <v>13341</v>
      </c>
      <c r="L20" s="73" t="s">
        <v>163</v>
      </c>
      <c r="M20" s="73" t="s">
        <v>103</v>
      </c>
      <c r="N20" s="73" t="s">
        <v>199</v>
      </c>
      <c r="O20" s="73"/>
      <c r="P20" s="73"/>
      <c r="Q20" s="73"/>
      <c r="R20" s="90"/>
      <c r="S20" s="1021"/>
      <c r="T20" s="1022"/>
      <c r="U20" s="1021"/>
      <c r="V20" s="102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</row>
    <row r="21" spans="1:247" ht="12.75" x14ac:dyDescent="0.2">
      <c r="A21" s="8" t="s">
        <v>54</v>
      </c>
      <c r="B21" s="8" t="s">
        <v>163</v>
      </c>
      <c r="C21" s="99">
        <v>51220200001</v>
      </c>
      <c r="D21" s="92" t="e">
        <f>VLOOKUP(C21,#REF!,2,FALSE)</f>
        <v>#REF!</v>
      </c>
      <c r="E21" s="706">
        <f t="shared" si="2"/>
        <v>0</v>
      </c>
      <c r="F21" s="9">
        <v>13337</v>
      </c>
      <c r="G21" s="73">
        <v>1</v>
      </c>
      <c r="H21" s="76">
        <f t="shared" si="1"/>
        <v>0</v>
      </c>
      <c r="I21" s="77"/>
      <c r="J21" s="73" t="s">
        <v>187</v>
      </c>
      <c r="K21" s="73">
        <v>13340</v>
      </c>
      <c r="L21" s="73" t="s">
        <v>163</v>
      </c>
      <c r="M21" s="73" t="s">
        <v>103</v>
      </c>
      <c r="N21" s="73" t="s">
        <v>128</v>
      </c>
      <c r="O21" s="73"/>
      <c r="P21" s="73"/>
      <c r="Q21" s="73"/>
      <c r="R21" s="90"/>
      <c r="S21" s="1021"/>
      <c r="T21" s="1022"/>
      <c r="U21" s="1021"/>
      <c r="V21" s="102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</row>
    <row r="22" spans="1:247" ht="12.75" x14ac:dyDescent="0.2">
      <c r="A22" s="8" t="s">
        <v>54</v>
      </c>
      <c r="B22" s="8" t="s">
        <v>163</v>
      </c>
      <c r="C22" s="99">
        <v>53000100001</v>
      </c>
      <c r="D22" s="92" t="e">
        <f>VLOOKUP(C22,#REF!,2,FALSE)</f>
        <v>#REF!</v>
      </c>
      <c r="E22" s="706">
        <f t="shared" si="2"/>
        <v>0</v>
      </c>
      <c r="F22" s="9">
        <v>13337</v>
      </c>
      <c r="G22" s="73">
        <v>1</v>
      </c>
      <c r="H22" s="76">
        <f t="shared" si="1"/>
        <v>0</v>
      </c>
      <c r="I22" s="66"/>
      <c r="J22" s="73" t="s">
        <v>187</v>
      </c>
      <c r="K22" s="73">
        <v>13340</v>
      </c>
      <c r="L22" s="73" t="s">
        <v>163</v>
      </c>
      <c r="M22" s="73" t="s">
        <v>103</v>
      </c>
      <c r="N22" s="73" t="s">
        <v>198</v>
      </c>
      <c r="O22" s="73"/>
      <c r="P22" s="73"/>
      <c r="Q22" s="73"/>
      <c r="R22" s="90"/>
      <c r="S22" s="1021"/>
      <c r="T22" s="1022"/>
      <c r="U22" s="1021"/>
      <c r="V22" s="102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</row>
    <row r="23" spans="1:247" ht="12.75" x14ac:dyDescent="0.2">
      <c r="A23" s="8" t="s">
        <v>54</v>
      </c>
      <c r="B23" s="8" t="s">
        <v>163</v>
      </c>
      <c r="C23" s="99">
        <v>51000200001</v>
      </c>
      <c r="D23" s="92" t="s">
        <v>194</v>
      </c>
      <c r="E23" s="706">
        <f t="shared" si="2"/>
        <v>0</v>
      </c>
      <c r="F23" s="9"/>
      <c r="G23" s="73"/>
      <c r="H23" s="76"/>
      <c r="I23" s="66"/>
      <c r="J23" s="73" t="s">
        <v>187</v>
      </c>
      <c r="K23" s="73"/>
      <c r="L23" s="73"/>
      <c r="M23" s="73"/>
      <c r="N23" s="73" t="s">
        <v>2</v>
      </c>
      <c r="O23" s="73"/>
      <c r="P23" s="73"/>
      <c r="Q23" s="73"/>
      <c r="R23" s="90"/>
      <c r="S23" s="1021"/>
      <c r="T23" s="1022"/>
      <c r="U23" s="1021"/>
      <c r="V23" s="102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</row>
    <row r="24" spans="1:247" ht="12.75" x14ac:dyDescent="0.2">
      <c r="A24" s="8" t="s">
        <v>54</v>
      </c>
      <c r="B24" s="8" t="s">
        <v>163</v>
      </c>
      <c r="C24" s="99">
        <v>51000200002</v>
      </c>
      <c r="D24" s="92" t="s">
        <v>195</v>
      </c>
      <c r="E24" s="706">
        <f t="shared" si="2"/>
        <v>0</v>
      </c>
      <c r="F24" s="9"/>
      <c r="G24" s="73"/>
      <c r="H24" s="76"/>
      <c r="I24" s="66"/>
      <c r="J24" s="73" t="s">
        <v>187</v>
      </c>
      <c r="K24" s="73"/>
      <c r="L24" s="73"/>
      <c r="M24" s="73"/>
      <c r="N24" s="73" t="s">
        <v>2</v>
      </c>
      <c r="O24" s="73"/>
      <c r="P24" s="73"/>
      <c r="Q24" s="73"/>
      <c r="R24" s="90"/>
      <c r="S24" s="1021"/>
      <c r="T24" s="1022"/>
      <c r="U24" s="1021"/>
      <c r="V24" s="102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</row>
    <row r="25" spans="1:247" ht="12.75" x14ac:dyDescent="0.2">
      <c r="A25" s="81" t="s">
        <v>54</v>
      </c>
      <c r="B25" s="81" t="s">
        <v>163</v>
      </c>
      <c r="C25" s="715">
        <v>41200800002</v>
      </c>
      <c r="D25" s="91" t="s">
        <v>192</v>
      </c>
      <c r="E25" s="85" t="e">
        <f>-VLOOKUP(C25,#REF!,3,FALSE)</f>
        <v>#REF!</v>
      </c>
      <c r="F25" s="80">
        <v>13337</v>
      </c>
      <c r="G25" s="81">
        <v>1</v>
      </c>
      <c r="H25" s="82" t="e">
        <f>+E25</f>
        <v>#REF!</v>
      </c>
      <c r="I25" s="85"/>
      <c r="J25" s="716" t="s">
        <v>187</v>
      </c>
      <c r="K25" s="716">
        <v>13340</v>
      </c>
      <c r="L25" s="716" t="s">
        <v>163</v>
      </c>
      <c r="M25" s="716" t="s">
        <v>103</v>
      </c>
      <c r="N25" s="716" t="s">
        <v>206</v>
      </c>
      <c r="O25" s="73"/>
      <c r="P25" s="73"/>
      <c r="Q25" s="73"/>
      <c r="R25" s="90"/>
      <c r="S25" s="1021"/>
      <c r="T25" s="1022"/>
      <c r="U25" s="1021"/>
      <c r="V25" s="102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</row>
    <row r="26" spans="1:247" ht="12.75" x14ac:dyDescent="0.2">
      <c r="A26" s="8" t="s">
        <v>54</v>
      </c>
      <c r="B26" s="8" t="s">
        <v>163</v>
      </c>
      <c r="C26" s="99">
        <v>51000100002</v>
      </c>
      <c r="D26" s="92" t="e">
        <f>VLOOKUP(C26,#REF!,2,FALSE)</f>
        <v>#REF!</v>
      </c>
      <c r="E26" s="706">
        <f t="shared" ref="E26:E30" si="3">SUMIFS($V$4:$V$11,$T$4:$T$11,C26,$U$4:$U$11,J26)</f>
        <v>0</v>
      </c>
      <c r="F26" s="9">
        <v>13337</v>
      </c>
      <c r="G26" s="73"/>
      <c r="H26" s="76">
        <f t="shared" si="1"/>
        <v>0</v>
      </c>
      <c r="I26" s="66"/>
      <c r="J26" s="73" t="s">
        <v>22</v>
      </c>
      <c r="K26" s="73">
        <v>13341</v>
      </c>
      <c r="L26" s="73" t="s">
        <v>163</v>
      </c>
      <c r="M26" s="73" t="s">
        <v>103</v>
      </c>
      <c r="N26" s="73" t="s">
        <v>129</v>
      </c>
      <c r="O26" s="73"/>
      <c r="P26" s="73"/>
      <c r="Q26" s="73"/>
      <c r="R26" s="90"/>
      <c r="S26" s="1021"/>
      <c r="T26" s="1022"/>
      <c r="U26" s="1021"/>
      <c r="V26" s="102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</row>
    <row r="27" spans="1:247" ht="12.75" x14ac:dyDescent="0.2">
      <c r="A27" s="8" t="s">
        <v>54</v>
      </c>
      <c r="B27" s="8" t="s">
        <v>163</v>
      </c>
      <c r="C27" s="99">
        <v>51000100001</v>
      </c>
      <c r="D27" s="92" t="e">
        <f>VLOOKUP(C27,#REF!,2,FALSE)</f>
        <v>#REF!</v>
      </c>
      <c r="E27" s="706">
        <f t="shared" si="3"/>
        <v>0</v>
      </c>
      <c r="F27" s="9">
        <v>13337</v>
      </c>
      <c r="G27" s="73">
        <v>1</v>
      </c>
      <c r="H27" s="76">
        <f t="shared" si="1"/>
        <v>0</v>
      </c>
      <c r="I27" s="66"/>
      <c r="J27" s="73" t="s">
        <v>22</v>
      </c>
      <c r="K27" s="73">
        <v>13341</v>
      </c>
      <c r="L27" s="73" t="s">
        <v>163</v>
      </c>
      <c r="M27" s="73" t="s">
        <v>103</v>
      </c>
      <c r="N27" s="73" t="s">
        <v>129</v>
      </c>
      <c r="O27" s="73"/>
      <c r="P27" s="73"/>
      <c r="Q27" s="73"/>
      <c r="R27" s="90"/>
      <c r="S27" s="1021"/>
      <c r="T27" s="1022"/>
      <c r="U27" s="1021"/>
      <c r="V27" s="102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</row>
    <row r="28" spans="1:247" ht="12.75" x14ac:dyDescent="0.2">
      <c r="A28" s="8" t="s">
        <v>54</v>
      </c>
      <c r="B28" s="8" t="s">
        <v>163</v>
      </c>
      <c r="C28" s="99">
        <v>51000100001</v>
      </c>
      <c r="D28" s="92" t="e">
        <f>VLOOKUP(C28,#REF!,2,FALSE)</f>
        <v>#REF!</v>
      </c>
      <c r="E28" s="706">
        <f t="shared" si="3"/>
        <v>0</v>
      </c>
      <c r="F28" s="9"/>
      <c r="G28" s="73"/>
      <c r="H28" s="76"/>
      <c r="I28" s="66"/>
      <c r="J28" s="73" t="s">
        <v>269</v>
      </c>
      <c r="K28" s="73"/>
      <c r="L28" s="73"/>
      <c r="M28" s="73"/>
      <c r="N28" s="73" t="s">
        <v>129</v>
      </c>
      <c r="O28" s="73"/>
      <c r="P28" s="73"/>
      <c r="Q28" s="73"/>
      <c r="R28" s="90"/>
      <c r="S28" s="1021"/>
      <c r="T28" s="1022"/>
      <c r="U28" s="1021"/>
      <c r="V28" s="102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</row>
    <row r="29" spans="1:247" ht="12.75" x14ac:dyDescent="0.2">
      <c r="A29" s="8" t="s">
        <v>54</v>
      </c>
      <c r="B29" s="8" t="s">
        <v>163</v>
      </c>
      <c r="C29" s="99">
        <v>51220200001</v>
      </c>
      <c r="D29" s="92" t="e">
        <f>VLOOKUP(C29,#REF!,2,FALSE)</f>
        <v>#REF!</v>
      </c>
      <c r="E29" s="706">
        <f t="shared" si="3"/>
        <v>0</v>
      </c>
      <c r="F29" s="9">
        <v>13337</v>
      </c>
      <c r="G29" s="73">
        <v>1</v>
      </c>
      <c r="H29" s="76">
        <f t="shared" si="1"/>
        <v>0</v>
      </c>
      <c r="I29" s="77"/>
      <c r="J29" s="73" t="s">
        <v>22</v>
      </c>
      <c r="K29" s="73">
        <v>13341</v>
      </c>
      <c r="L29" s="73" t="s">
        <v>163</v>
      </c>
      <c r="M29" s="73" t="s">
        <v>103</v>
      </c>
      <c r="N29" s="73" t="s">
        <v>128</v>
      </c>
      <c r="O29" s="73"/>
      <c r="P29" s="73"/>
      <c r="Q29" s="73"/>
      <c r="R29" s="90"/>
      <c r="S29" s="1021"/>
      <c r="T29" s="1022"/>
      <c r="U29" s="1021"/>
      <c r="V29" s="102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</row>
    <row r="30" spans="1:247" ht="12.75" x14ac:dyDescent="0.2">
      <c r="A30" s="8" t="s">
        <v>54</v>
      </c>
      <c r="B30" s="8" t="s">
        <v>163</v>
      </c>
      <c r="C30" s="99">
        <v>53000100001</v>
      </c>
      <c r="D30" s="92" t="e">
        <f>VLOOKUP(C30,#REF!,2,FALSE)</f>
        <v>#REF!</v>
      </c>
      <c r="E30" s="706">
        <f t="shared" si="3"/>
        <v>0</v>
      </c>
      <c r="F30" s="9">
        <v>13337</v>
      </c>
      <c r="G30" s="73">
        <v>1</v>
      </c>
      <c r="H30" s="76">
        <f t="shared" si="1"/>
        <v>0</v>
      </c>
      <c r="I30" s="77"/>
      <c r="J30" s="73" t="s">
        <v>22</v>
      </c>
      <c r="K30" s="73">
        <v>13341</v>
      </c>
      <c r="L30" s="73" t="s">
        <v>163</v>
      </c>
      <c r="M30" s="73" t="s">
        <v>103</v>
      </c>
      <c r="N30" s="73" t="s">
        <v>129</v>
      </c>
      <c r="O30" s="73"/>
      <c r="P30" s="73"/>
      <c r="Q30" s="73"/>
      <c r="R30" s="90"/>
      <c r="S30" s="1021"/>
      <c r="T30" s="1022"/>
      <c r="U30" s="1021"/>
      <c r="V30" s="102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</row>
    <row r="31" spans="1:247" ht="12.75" x14ac:dyDescent="0.2">
      <c r="A31" s="81" t="s">
        <v>54</v>
      </c>
      <c r="B31" s="81" t="s">
        <v>163</v>
      </c>
      <c r="C31" s="715">
        <v>41230100001</v>
      </c>
      <c r="D31" s="91" t="s">
        <v>248</v>
      </c>
      <c r="E31" s="709" t="e">
        <f>-VLOOKUP(C31,#REF!,3,FALSE)</f>
        <v>#REF!</v>
      </c>
      <c r="F31" s="79">
        <v>13337</v>
      </c>
      <c r="G31" s="79">
        <v>1</v>
      </c>
      <c r="H31" s="82" t="e">
        <f>+E31</f>
        <v>#REF!</v>
      </c>
      <c r="I31" s="85"/>
      <c r="J31" s="716" t="s">
        <v>187</v>
      </c>
      <c r="K31" s="716">
        <v>13340</v>
      </c>
      <c r="L31" s="716" t="s">
        <v>163</v>
      </c>
      <c r="M31" s="716" t="s">
        <v>103</v>
      </c>
      <c r="N31" s="91" t="s">
        <v>250</v>
      </c>
      <c r="O31" s="73"/>
      <c r="R31" s="90"/>
      <c r="S31" s="1021"/>
      <c r="T31" s="1022"/>
      <c r="U31" s="1021"/>
      <c r="V31" s="1023"/>
    </row>
    <row r="32" spans="1:247" ht="12.75" x14ac:dyDescent="0.2">
      <c r="A32" s="81" t="s">
        <v>54</v>
      </c>
      <c r="B32" s="81" t="s">
        <v>163</v>
      </c>
      <c r="C32" s="715">
        <v>41230300001</v>
      </c>
      <c r="D32" s="91" t="s">
        <v>249</v>
      </c>
      <c r="E32" s="710" t="e">
        <f>-VLOOKUP(C32,#REF!,3,FALSE)</f>
        <v>#REF!</v>
      </c>
      <c r="F32" s="79">
        <v>13337</v>
      </c>
      <c r="G32" s="79">
        <v>1</v>
      </c>
      <c r="H32" s="82" t="e">
        <f>+E32</f>
        <v>#REF!</v>
      </c>
      <c r="I32" s="85"/>
      <c r="J32" s="716" t="s">
        <v>187</v>
      </c>
      <c r="K32" s="716">
        <v>13340</v>
      </c>
      <c r="L32" s="716" t="s">
        <v>163</v>
      </c>
      <c r="M32" s="716" t="s">
        <v>103</v>
      </c>
      <c r="N32" s="91" t="s">
        <v>250</v>
      </c>
      <c r="O32" s="73"/>
      <c r="R32" s="90"/>
      <c r="S32" s="1021"/>
      <c r="T32" s="1022"/>
      <c r="U32" s="1021"/>
      <c r="V32" s="1023"/>
    </row>
    <row r="33" spans="1:22" ht="12.75" x14ac:dyDescent="0.2">
      <c r="A33" s="8" t="s">
        <v>54</v>
      </c>
      <c r="B33" s="8" t="s">
        <v>163</v>
      </c>
      <c r="C33" s="99">
        <v>51000000001</v>
      </c>
      <c r="D33" s="92" t="s">
        <v>71</v>
      </c>
      <c r="E33" s="706">
        <f t="shared" ref="E33:E34" si="4">SUMIFS($V$4:$V$11,$T$4:$T$11,C33,$U$4:$U$11,J33)</f>
        <v>0</v>
      </c>
      <c r="F33" s="79"/>
      <c r="G33" s="79"/>
      <c r="H33" s="82"/>
      <c r="I33" s="85">
        <v>0</v>
      </c>
      <c r="J33" s="73" t="s">
        <v>242</v>
      </c>
      <c r="K33" s="73"/>
      <c r="L33" s="73"/>
      <c r="M33" s="73"/>
      <c r="N33" s="92" t="s">
        <v>274</v>
      </c>
      <c r="O33" s="73"/>
      <c r="R33" s="90"/>
      <c r="S33" s="1021"/>
      <c r="T33" s="1022"/>
      <c r="U33" s="1021"/>
      <c r="V33" s="1023"/>
    </row>
    <row r="34" spans="1:22" ht="12.75" x14ac:dyDescent="0.2">
      <c r="A34" s="8" t="s">
        <v>54</v>
      </c>
      <c r="B34" s="8" t="s">
        <v>163</v>
      </c>
      <c r="C34" s="99">
        <v>51000000002</v>
      </c>
      <c r="D34" s="92" t="s">
        <v>3</v>
      </c>
      <c r="E34" s="706">
        <f t="shared" si="4"/>
        <v>0</v>
      </c>
      <c r="F34" s="79"/>
      <c r="G34" s="79"/>
      <c r="H34" s="82"/>
      <c r="I34" s="85"/>
      <c r="J34" s="73" t="s">
        <v>242</v>
      </c>
      <c r="K34" s="73"/>
      <c r="L34" s="73"/>
      <c r="M34" s="73"/>
      <c r="N34" s="92" t="s">
        <v>274</v>
      </c>
      <c r="O34" s="73"/>
      <c r="R34" s="90"/>
      <c r="S34" s="1021"/>
      <c r="T34" s="1022"/>
      <c r="U34" s="1021"/>
      <c r="V34" s="1023"/>
    </row>
    <row r="35" spans="1:22" ht="12.75" x14ac:dyDescent="0.2">
      <c r="E35" s="157" t="e">
        <f>SUM(E6:E34)</f>
        <v>#REF!</v>
      </c>
      <c r="I35" s="157">
        <f>SUM(I7:I14,I17:I22,I26:I30)</f>
        <v>0</v>
      </c>
      <c r="R35" s="90"/>
      <c r="S35" s="1021"/>
      <c r="T35" s="1022"/>
      <c r="U35" s="1021"/>
      <c r="V35" s="1023"/>
    </row>
    <row r="36" spans="1:22" ht="12.75" x14ac:dyDescent="0.2">
      <c r="R36" s="90"/>
      <c r="S36" s="1021"/>
      <c r="T36" s="1022"/>
      <c r="U36" s="1021"/>
      <c r="V36" s="1023"/>
    </row>
    <row r="37" spans="1:22" ht="12.75" x14ac:dyDescent="0.2">
      <c r="E37" s="261">
        <f>V12</f>
        <v>6311.71</v>
      </c>
      <c r="J37" s="75" t="s">
        <v>266</v>
      </c>
      <c r="N37" s="264"/>
      <c r="R37" s="90"/>
      <c r="S37" s="1021"/>
      <c r="T37" s="1022"/>
      <c r="U37" s="1021"/>
      <c r="V37" s="1023"/>
    </row>
    <row r="38" spans="1:22" ht="15" x14ac:dyDescent="0.35">
      <c r="E38" s="292" t="e">
        <f>E15+E16+E25+E31+E32</f>
        <v>#REF!</v>
      </c>
      <c r="J38" s="75" t="s">
        <v>267</v>
      </c>
      <c r="R38" s="90"/>
      <c r="S38" s="1021"/>
      <c r="T38" s="1022"/>
      <c r="U38" s="1021"/>
      <c r="V38" s="1023"/>
    </row>
    <row r="39" spans="1:22" ht="12.75" x14ac:dyDescent="0.2">
      <c r="E39" s="261" t="e">
        <f>E37+E38</f>
        <v>#REF!</v>
      </c>
      <c r="J39" s="75" t="s">
        <v>268</v>
      </c>
      <c r="R39" s="90"/>
      <c r="S39" s="1021"/>
      <c r="T39" s="1022"/>
      <c r="U39" s="1021"/>
      <c r="V39" s="1023"/>
    </row>
    <row r="40" spans="1:22" ht="12.75" x14ac:dyDescent="0.2">
      <c r="R40" s="90"/>
      <c r="S40" s="1021"/>
      <c r="T40" s="1022"/>
      <c r="U40" s="1021"/>
      <c r="V40" s="1023"/>
    </row>
    <row r="41" spans="1:22" ht="12.75" x14ac:dyDescent="0.2">
      <c r="E41" s="327" t="e">
        <f>E35-E39</f>
        <v>#REF!</v>
      </c>
      <c r="R41" s="90"/>
      <c r="S41" s="1021"/>
      <c r="T41" s="1022"/>
      <c r="U41" s="1021"/>
      <c r="V41" s="1023"/>
    </row>
    <row r="42" spans="1:22" ht="12.75" x14ac:dyDescent="0.2">
      <c r="R42" s="90"/>
      <c r="S42" s="1021"/>
      <c r="T42" s="1022"/>
      <c r="U42" s="1021"/>
      <c r="V42" s="1023"/>
    </row>
    <row r="43" spans="1:22" ht="12.75" x14ac:dyDescent="0.2">
      <c r="E43" s="982"/>
      <c r="R43" s="90"/>
      <c r="S43" s="1021"/>
      <c r="T43" s="1022"/>
      <c r="U43" s="1021"/>
      <c r="V43" s="1023"/>
    </row>
    <row r="44" spans="1:22" ht="12.75" x14ac:dyDescent="0.2">
      <c r="R44" s="90"/>
      <c r="S44" s="1021"/>
      <c r="T44" s="1024"/>
      <c r="U44" s="1021"/>
      <c r="V44" s="1023"/>
    </row>
    <row r="45" spans="1:22" ht="12.75" x14ac:dyDescent="0.2">
      <c r="R45" s="90"/>
      <c r="S45" s="1021"/>
      <c r="T45" s="1024"/>
      <c r="U45" s="1021"/>
      <c r="V45" s="1023"/>
    </row>
    <row r="46" spans="1:22" ht="12.75" x14ac:dyDescent="0.2">
      <c r="E46" s="707"/>
      <c r="R46" s="90"/>
      <c r="S46" s="1021"/>
      <c r="T46" s="1024"/>
      <c r="U46" s="1021"/>
      <c r="V46" s="1023"/>
    </row>
    <row r="47" spans="1:22" ht="12.75" x14ac:dyDescent="0.2">
      <c r="E47" s="707"/>
      <c r="R47" s="90"/>
      <c r="S47" s="1021"/>
      <c r="T47" s="1024"/>
      <c r="U47" s="1021"/>
      <c r="V47" s="1023"/>
    </row>
    <row r="48" spans="1:22" ht="12.75" x14ac:dyDescent="0.2">
      <c r="E48" s="707"/>
      <c r="N48" s="983"/>
      <c r="R48" s="90"/>
      <c r="S48" s="1028"/>
      <c r="T48" s="1022"/>
      <c r="U48" s="1021"/>
      <c r="V48" s="1023"/>
    </row>
    <row r="49" spans="5:22" ht="12.75" x14ac:dyDescent="0.2">
      <c r="E49" s="707"/>
      <c r="R49" s="90"/>
      <c r="S49" s="1021"/>
      <c r="T49" s="1024"/>
      <c r="U49" s="1024"/>
      <c r="V49" s="1024"/>
    </row>
    <row r="50" spans="5:22" ht="12.75" x14ac:dyDescent="0.2">
      <c r="E50" s="707"/>
      <c r="R50" s="90"/>
      <c r="S50" s="1021"/>
      <c r="T50" s="1024"/>
      <c r="U50" s="1024"/>
      <c r="V50" s="1024"/>
    </row>
    <row r="51" spans="5:22" ht="12.75" x14ac:dyDescent="0.2">
      <c r="E51" s="707"/>
      <c r="R51" s="90"/>
      <c r="S51" s="1021"/>
      <c r="T51" s="1024"/>
      <c r="U51" s="1024"/>
      <c r="V51" s="1024"/>
    </row>
    <row r="52" spans="5:22" ht="12.75" x14ac:dyDescent="0.2">
      <c r="E52" s="707"/>
      <c r="R52" s="90"/>
      <c r="S52" s="1021"/>
      <c r="T52" s="1024"/>
      <c r="U52" s="1024"/>
      <c r="V52" s="1024"/>
    </row>
    <row r="53" spans="5:22" ht="12.75" x14ac:dyDescent="0.2">
      <c r="E53" s="708"/>
      <c r="R53" s="90"/>
      <c r="S53" s="1021"/>
      <c r="T53" s="1024"/>
      <c r="U53" s="1024"/>
      <c r="V53" s="1024"/>
    </row>
    <row r="54" spans="5:22" ht="12.75" x14ac:dyDescent="0.2">
      <c r="R54" s="90"/>
      <c r="S54" s="1021"/>
      <c r="T54" s="1024"/>
      <c r="U54" s="1024"/>
      <c r="V54" s="1024"/>
    </row>
    <row r="55" spans="5:22" ht="12.75" x14ac:dyDescent="0.2">
      <c r="R55" s="90"/>
      <c r="S55" s="1021"/>
      <c r="T55" s="1024"/>
      <c r="U55" s="1024"/>
      <c r="V55" s="1024"/>
    </row>
    <row r="56" spans="5:22" ht="12.75" x14ac:dyDescent="0.2">
      <c r="R56" s="90"/>
      <c r="S56" s="1021"/>
      <c r="T56" s="1024"/>
      <c r="U56" s="1024"/>
      <c r="V56" s="1024"/>
    </row>
    <row r="57" spans="5:22" ht="12.75" x14ac:dyDescent="0.2">
      <c r="R57" s="90"/>
      <c r="S57" s="1028"/>
      <c r="T57" s="1022"/>
      <c r="U57" s="1021"/>
      <c r="V57" s="1023"/>
    </row>
    <row r="58" spans="5:22" ht="12.75" x14ac:dyDescent="0.2">
      <c r="R58" s="90"/>
      <c r="S58" s="1024"/>
      <c r="T58" s="1029"/>
      <c r="U58" s="1029"/>
      <c r="V58" s="1030"/>
    </row>
    <row r="59" spans="5:22" ht="12.75" x14ac:dyDescent="0.2">
      <c r="R59" s="90"/>
      <c r="S59" s="90"/>
    </row>
    <row r="60" spans="5:22" ht="12.75" x14ac:dyDescent="0.2">
      <c r="R60" s="90"/>
    </row>
    <row r="68" spans="19:22" ht="12.75" x14ac:dyDescent="0.2">
      <c r="S68" s="90"/>
      <c r="T68" s="90"/>
      <c r="U68" s="90"/>
      <c r="V68" s="90"/>
    </row>
    <row r="69" spans="19:22" ht="12.75" x14ac:dyDescent="0.2">
      <c r="S69" s="90"/>
      <c r="T69" s="90"/>
      <c r="U69" s="90"/>
      <c r="V69" s="90"/>
    </row>
    <row r="70" spans="19:22" ht="12.75" x14ac:dyDescent="0.2">
      <c r="S70" s="90"/>
      <c r="T70" s="90"/>
      <c r="U70" s="90"/>
      <c r="V70" s="90"/>
    </row>
    <row r="71" spans="19:22" ht="12.75" x14ac:dyDescent="0.2">
      <c r="S71" s="90"/>
      <c r="T71" s="90"/>
      <c r="U71" s="90"/>
      <c r="V71" s="90"/>
    </row>
    <row r="72" spans="19:22" ht="12.75" x14ac:dyDescent="0.2">
      <c r="S72" s="90"/>
      <c r="T72" s="90"/>
      <c r="U72" s="90"/>
      <c r="V72" s="90"/>
    </row>
    <row r="73" spans="19:22" ht="12.75" x14ac:dyDescent="0.2">
      <c r="S73" s="90"/>
      <c r="T73" s="90"/>
      <c r="U73" s="90"/>
      <c r="V73" s="90"/>
    </row>
    <row r="74" spans="19:22" ht="12.75" x14ac:dyDescent="0.2">
      <c r="S74" s="90"/>
      <c r="T74" s="90"/>
      <c r="U74" s="90"/>
      <c r="V74" s="90"/>
    </row>
    <row r="75" spans="19:22" ht="12.75" x14ac:dyDescent="0.2">
      <c r="S75" s="90"/>
      <c r="T75" s="90"/>
      <c r="U75" s="90"/>
      <c r="V75" s="90"/>
    </row>
    <row r="76" spans="19:22" ht="12.75" x14ac:dyDescent="0.2">
      <c r="S76" s="90"/>
      <c r="T76" s="90"/>
      <c r="U76" s="90"/>
      <c r="V76" s="90"/>
    </row>
    <row r="77" spans="19:22" ht="12.75" x14ac:dyDescent="0.2">
      <c r="S77" s="90"/>
      <c r="T77" s="90"/>
      <c r="U77" s="90"/>
      <c r="V77" s="90"/>
    </row>
    <row r="78" spans="19:22" ht="12.75" x14ac:dyDescent="0.2">
      <c r="S78" s="90"/>
      <c r="T78" s="90"/>
      <c r="U78" s="90"/>
      <c r="V78" s="90"/>
    </row>
    <row r="81" spans="23:24" x14ac:dyDescent="0.2">
      <c r="W81" s="305"/>
      <c r="X81" s="305"/>
    </row>
  </sheetData>
  <autoFilter ref="A5:L35"/>
  <mergeCells count="1">
    <mergeCell ref="S3:V3"/>
  </mergeCells>
  <phoneticPr fontId="161" type="noConversion"/>
  <pageMargins left="0.75" right="0.75" top="1" bottom="1" header="0" footer="0"/>
  <pageSetup scale="7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194"/>
  <sheetViews>
    <sheetView showGridLines="0" topLeftCell="E1147" zoomScale="85" zoomScaleNormal="85" workbookViewId="0">
      <selection activeCell="Q1188" sqref="Q1188"/>
    </sheetView>
  </sheetViews>
  <sheetFormatPr baseColWidth="10" defaultColWidth="12" defaultRowHeight="12.75" x14ac:dyDescent="0.2"/>
  <cols>
    <col min="1" max="1" width="4.85546875" style="142" customWidth="1"/>
    <col min="2" max="2" width="12" style="142" customWidth="1"/>
    <col min="3" max="3" width="9.140625" style="152" customWidth="1"/>
    <col min="4" max="4" width="12" style="152" customWidth="1"/>
    <col min="5" max="5" width="47.7109375" style="142" customWidth="1"/>
    <col min="6" max="6" width="11.7109375" style="142" customWidth="1"/>
    <col min="7" max="7" width="4.85546875" style="142" hidden="1" customWidth="1"/>
    <col min="8" max="8" width="5.140625" style="142" hidden="1" customWidth="1"/>
    <col min="9" max="9" width="5.85546875" style="142" hidden="1" customWidth="1"/>
    <col min="10" max="10" width="16.42578125" style="142" customWidth="1"/>
    <col min="11" max="11" width="16.7109375" style="142" customWidth="1"/>
    <col min="12" max="12" width="17.28515625" style="142" customWidth="1"/>
    <col min="13" max="13" width="13" style="143" customWidth="1"/>
    <col min="14" max="14" width="1.5703125" style="143" customWidth="1"/>
    <col min="15" max="15" width="7.140625" style="143" customWidth="1"/>
    <col min="16" max="16" width="13.7109375" style="143" bestFit="1" customWidth="1"/>
    <col min="17" max="17" width="36.140625" style="144" bestFit="1" customWidth="1"/>
    <col min="18" max="18" width="13.28515625" style="144" customWidth="1"/>
    <col min="19" max="19" width="2.5703125" style="144" customWidth="1"/>
    <col min="20" max="20" width="13.7109375" style="144" bestFit="1" customWidth="1"/>
    <col min="21" max="22" width="12" style="144"/>
    <col min="23" max="23" width="9.7109375" style="144" customWidth="1"/>
    <col min="24" max="24" width="18.5703125" style="144" customWidth="1"/>
    <col min="25" max="25" width="20.42578125" style="144" bestFit="1" customWidth="1"/>
    <col min="26" max="26" width="13" style="144" bestFit="1" customWidth="1"/>
    <col min="27" max="27" width="12" style="144"/>
    <col min="28" max="28" width="16.5703125" style="144" customWidth="1"/>
    <col min="29" max="16384" width="12" style="144"/>
  </cols>
  <sheetData>
    <row r="1" spans="2:26" ht="12.75" customHeight="1" x14ac:dyDescent="0.2">
      <c r="C1" s="142"/>
      <c r="D1" s="142"/>
    </row>
    <row r="2" spans="2:26" x14ac:dyDescent="0.2">
      <c r="B2" s="145" t="s">
        <v>189</v>
      </c>
      <c r="C2" s="142"/>
      <c r="D2" s="142"/>
      <c r="E2" s="146"/>
      <c r="F2" s="147"/>
    </row>
    <row r="3" spans="2:26" x14ac:dyDescent="0.2">
      <c r="B3" s="148" t="s">
        <v>134</v>
      </c>
      <c r="C3" s="142"/>
      <c r="D3" s="142"/>
      <c r="E3" s="148"/>
      <c r="F3" s="147"/>
      <c r="T3" s="291" t="s">
        <v>262</v>
      </c>
      <c r="U3" s="291" t="s">
        <v>263</v>
      </c>
    </row>
    <row r="4" spans="2:26" x14ac:dyDescent="0.2">
      <c r="B4" s="149" t="s">
        <v>135</v>
      </c>
      <c r="C4" s="142"/>
      <c r="D4" s="142"/>
      <c r="E4" s="146"/>
      <c r="F4" s="150"/>
      <c r="T4" s="144">
        <v>628352</v>
      </c>
      <c r="U4" s="144" t="s">
        <v>264</v>
      </c>
    </row>
    <row r="5" spans="2:26" x14ac:dyDescent="0.2">
      <c r="B5" s="149" t="s">
        <v>190</v>
      </c>
      <c r="C5" s="142"/>
      <c r="D5" s="142"/>
      <c r="E5" s="146"/>
      <c r="F5" s="147"/>
      <c r="T5" s="144">
        <v>1378139</v>
      </c>
      <c r="U5" s="144" t="s">
        <v>260</v>
      </c>
    </row>
    <row r="6" spans="2:26" x14ac:dyDescent="0.2">
      <c r="B6" s="151"/>
      <c r="C6" s="142"/>
      <c r="D6" s="142"/>
      <c r="E6" s="146"/>
      <c r="F6" s="147"/>
      <c r="T6" s="144">
        <v>13185646</v>
      </c>
      <c r="U6" s="144" t="s">
        <v>265</v>
      </c>
    </row>
    <row r="7" spans="2:26" ht="18" x14ac:dyDescent="0.25">
      <c r="B7" s="205" t="s">
        <v>240</v>
      </c>
      <c r="C7" s="206"/>
      <c r="D7" s="207"/>
      <c r="E7" s="208" t="s">
        <v>81</v>
      </c>
      <c r="F7" s="209" t="s">
        <v>97</v>
      </c>
      <c r="G7" s="210">
        <v>2017</v>
      </c>
      <c r="H7" s="211" t="s">
        <v>14</v>
      </c>
      <c r="I7" s="211"/>
      <c r="J7" s="206"/>
      <c r="K7" s="206"/>
      <c r="L7" s="206"/>
      <c r="T7" s="144">
        <v>62294</v>
      </c>
      <c r="U7" s="144" t="s">
        <v>0</v>
      </c>
    </row>
    <row r="8" spans="2:26" x14ac:dyDescent="0.2">
      <c r="B8" s="212" t="s">
        <v>15</v>
      </c>
      <c r="C8" s="206"/>
      <c r="D8" s="206"/>
      <c r="E8" s="213"/>
      <c r="F8" s="214"/>
      <c r="G8" s="206"/>
      <c r="H8" s="215"/>
      <c r="I8" s="215"/>
      <c r="J8" s="206"/>
      <c r="K8" s="206"/>
      <c r="L8" s="206"/>
    </row>
    <row r="9" spans="2:26" x14ac:dyDescent="0.2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1" spans="2:26" x14ac:dyDescent="0.2">
      <c r="B11" s="217"/>
      <c r="C11" s="218" t="s">
        <v>137</v>
      </c>
      <c r="D11" s="219" t="s">
        <v>16</v>
      </c>
      <c r="E11" s="219"/>
      <c r="F11" s="219" t="s">
        <v>74</v>
      </c>
      <c r="G11" s="219"/>
      <c r="H11" s="220" t="s">
        <v>75</v>
      </c>
      <c r="I11" s="221"/>
      <c r="J11" s="221"/>
      <c r="K11" s="221"/>
      <c r="L11" s="239"/>
    </row>
    <row r="12" spans="2:26" x14ac:dyDescent="0.2">
      <c r="B12" s="222" t="s">
        <v>76</v>
      </c>
      <c r="C12" s="223" t="s">
        <v>77</v>
      </c>
      <c r="D12" s="223" t="s">
        <v>141</v>
      </c>
      <c r="E12" s="223" t="s">
        <v>78</v>
      </c>
      <c r="F12" s="223" t="s">
        <v>142</v>
      </c>
      <c r="G12" s="223" t="s">
        <v>79</v>
      </c>
      <c r="H12" s="224" t="s">
        <v>48</v>
      </c>
      <c r="I12" s="221"/>
      <c r="J12" s="224" t="s">
        <v>80</v>
      </c>
      <c r="K12" s="221"/>
      <c r="L12" s="240" t="s">
        <v>175</v>
      </c>
    </row>
    <row r="13" spans="2:26" x14ac:dyDescent="0.2">
      <c r="B13" s="225"/>
      <c r="C13" s="226"/>
      <c r="D13" s="226"/>
      <c r="E13" s="225"/>
      <c r="F13" s="225"/>
      <c r="G13" s="225"/>
      <c r="H13" s="227" t="s">
        <v>176</v>
      </c>
      <c r="I13" s="228" t="s">
        <v>177</v>
      </c>
      <c r="J13" s="241" t="s">
        <v>178</v>
      </c>
      <c r="K13" s="241" t="s">
        <v>46</v>
      </c>
      <c r="L13" s="242" t="s">
        <v>48</v>
      </c>
    </row>
    <row r="14" spans="2:26" x14ac:dyDescent="0.2">
      <c r="B14" s="229"/>
      <c r="C14" s="230"/>
      <c r="D14" s="230"/>
      <c r="E14" s="231"/>
      <c r="F14" s="232"/>
      <c r="G14" s="154"/>
      <c r="H14" s="155"/>
      <c r="I14" s="155"/>
      <c r="J14" s="155"/>
      <c r="K14" s="155"/>
      <c r="L14" s="155"/>
      <c r="O14" s="303" t="s">
        <v>257</v>
      </c>
      <c r="P14" s="303"/>
      <c r="Q14" s="303"/>
      <c r="R14" s="303"/>
      <c r="U14" s="153" t="s">
        <v>247</v>
      </c>
      <c r="Y14" s="144" t="s">
        <v>256</v>
      </c>
      <c r="Z14" s="144" t="s">
        <v>184</v>
      </c>
    </row>
    <row r="15" spans="2:26" x14ac:dyDescent="0.2">
      <c r="B15" s="233">
        <v>43110</v>
      </c>
      <c r="C15" s="230" t="s">
        <v>289</v>
      </c>
      <c r="D15" s="230" t="s">
        <v>241</v>
      </c>
      <c r="E15" s="234" t="s">
        <v>269</v>
      </c>
      <c r="F15" s="234" t="s">
        <v>270</v>
      </c>
      <c r="G15" s="154"/>
      <c r="H15" s="155"/>
      <c r="I15" s="155"/>
      <c r="J15" s="155">
        <v>304.35000000000002</v>
      </c>
      <c r="K15" s="235">
        <v>39.57</v>
      </c>
      <c r="L15" s="155">
        <v>343.92</v>
      </c>
      <c r="M15" s="144">
        <v>51220200001</v>
      </c>
      <c r="O15" s="260" t="s">
        <v>81</v>
      </c>
      <c r="P15" s="96">
        <v>51000000001</v>
      </c>
      <c r="Q15" s="234" t="s">
        <v>242</v>
      </c>
      <c r="R15" s="237">
        <f>SUMIFS($J$15:$J$46,$E$15:$E$46,Q15,$M$15:$M$46,P15)</f>
        <v>18750.09</v>
      </c>
      <c r="T15" s="144">
        <v>51000000001</v>
      </c>
      <c r="U15" s="144" t="s">
        <v>71</v>
      </c>
      <c r="X15" s="156">
        <v>-18750.09</v>
      </c>
      <c r="Y15" s="258">
        <f t="shared" ref="Y15:Y20" si="0">SUMIF($P$15:$P$31,T15,$R$15:$R$31)</f>
        <v>18750.09</v>
      </c>
      <c r="Z15" s="236">
        <f t="shared" ref="Z15:Z20" si="1">X15+Y15</f>
        <v>0</v>
      </c>
    </row>
    <row r="16" spans="2:26" x14ac:dyDescent="0.2">
      <c r="B16" s="233"/>
      <c r="C16" s="230" t="s">
        <v>290</v>
      </c>
      <c r="D16" s="230" t="s">
        <v>241</v>
      </c>
      <c r="E16" s="234" t="s">
        <v>259</v>
      </c>
      <c r="F16" s="234" t="s">
        <v>259</v>
      </c>
      <c r="G16" s="234" t="s">
        <v>259</v>
      </c>
      <c r="H16" s="155"/>
      <c r="I16" s="155"/>
      <c r="J16" s="155">
        <v>0</v>
      </c>
      <c r="K16" s="235">
        <v>0</v>
      </c>
      <c r="L16" s="155">
        <v>0</v>
      </c>
      <c r="M16" s="144"/>
      <c r="O16" s="260" t="s">
        <v>81</v>
      </c>
      <c r="P16" s="96">
        <v>51000000002</v>
      </c>
      <c r="Q16" s="234" t="s">
        <v>242</v>
      </c>
      <c r="R16" s="237">
        <f t="shared" ref="R16:R31" si="2">SUMIFS($J$15:$J$46,$E$15:$E$46,Q16,$M$15:$M$46,P16)</f>
        <v>25000</v>
      </c>
      <c r="T16" s="144">
        <v>51000000002</v>
      </c>
      <c r="U16" s="144" t="s">
        <v>3</v>
      </c>
      <c r="X16" s="156">
        <v>-25000</v>
      </c>
      <c r="Y16" s="258">
        <f t="shared" si="0"/>
        <v>25000</v>
      </c>
      <c r="Z16" s="236">
        <f t="shared" si="1"/>
        <v>0</v>
      </c>
    </row>
    <row r="17" spans="2:26" x14ac:dyDescent="0.2">
      <c r="B17" s="233">
        <v>43110</v>
      </c>
      <c r="C17" s="230" t="s">
        <v>291</v>
      </c>
      <c r="D17" s="230" t="s">
        <v>241</v>
      </c>
      <c r="E17" s="234" t="s">
        <v>242</v>
      </c>
      <c r="F17" s="234" t="s">
        <v>47</v>
      </c>
      <c r="G17" s="154"/>
      <c r="H17" s="155"/>
      <c r="I17" s="155"/>
      <c r="J17" s="155">
        <v>685.61</v>
      </c>
      <c r="K17" s="235">
        <v>89.13</v>
      </c>
      <c r="L17" s="155">
        <v>774.74</v>
      </c>
      <c r="M17" s="144">
        <v>51220200001</v>
      </c>
      <c r="O17" s="260" t="s">
        <v>81</v>
      </c>
      <c r="P17" s="96">
        <v>51000200001</v>
      </c>
      <c r="Q17" s="234" t="s">
        <v>242</v>
      </c>
      <c r="R17" s="237">
        <f t="shared" si="2"/>
        <v>0</v>
      </c>
      <c r="T17" s="144">
        <v>51000300001</v>
      </c>
      <c r="U17" s="144" t="s">
        <v>196</v>
      </c>
      <c r="X17" s="156">
        <v>-12512.45</v>
      </c>
      <c r="Y17" s="258">
        <f t="shared" si="0"/>
        <v>0</v>
      </c>
      <c r="Z17" s="236">
        <f t="shared" si="1"/>
        <v>-12512.45</v>
      </c>
    </row>
    <row r="18" spans="2:26" x14ac:dyDescent="0.2">
      <c r="B18" s="233"/>
      <c r="C18" s="230" t="s">
        <v>292</v>
      </c>
      <c r="D18" s="230" t="s">
        <v>241</v>
      </c>
      <c r="E18" s="234" t="s">
        <v>259</v>
      </c>
      <c r="F18" s="234" t="s">
        <v>259</v>
      </c>
      <c r="G18" s="234" t="s">
        <v>259</v>
      </c>
      <c r="H18" s="155"/>
      <c r="I18" s="155"/>
      <c r="J18" s="155">
        <v>0</v>
      </c>
      <c r="K18" s="235">
        <v>0</v>
      </c>
      <c r="L18" s="155">
        <v>0</v>
      </c>
      <c r="M18" s="144"/>
      <c r="O18" s="260" t="s">
        <v>81</v>
      </c>
      <c r="P18" s="96">
        <v>51000200001</v>
      </c>
      <c r="Q18" s="234" t="s">
        <v>187</v>
      </c>
      <c r="R18" s="237">
        <f t="shared" si="2"/>
        <v>0</v>
      </c>
      <c r="T18" s="144">
        <v>51000300002</v>
      </c>
      <c r="U18" s="144" t="s">
        <v>95</v>
      </c>
      <c r="X18" s="156">
        <v>-6256.21</v>
      </c>
      <c r="Y18" s="258">
        <f t="shared" si="0"/>
        <v>0</v>
      </c>
      <c r="Z18" s="236">
        <f t="shared" si="1"/>
        <v>-6256.21</v>
      </c>
    </row>
    <row r="19" spans="2:26" x14ac:dyDescent="0.2">
      <c r="B19" s="233"/>
      <c r="C19" s="230" t="s">
        <v>293</v>
      </c>
      <c r="D19" s="230" t="s">
        <v>241</v>
      </c>
      <c r="E19" s="234" t="s">
        <v>259</v>
      </c>
      <c r="F19" s="234" t="s">
        <v>259</v>
      </c>
      <c r="G19" s="234" t="s">
        <v>259</v>
      </c>
      <c r="H19" s="155"/>
      <c r="I19" s="155"/>
      <c r="J19" s="155">
        <v>0</v>
      </c>
      <c r="K19" s="235">
        <v>0</v>
      </c>
      <c r="L19" s="155">
        <v>0</v>
      </c>
      <c r="O19" s="260" t="s">
        <v>81</v>
      </c>
      <c r="P19" s="96">
        <v>51000200001</v>
      </c>
      <c r="Q19" s="234" t="s">
        <v>22</v>
      </c>
      <c r="R19" s="237">
        <f t="shared" si="2"/>
        <v>0</v>
      </c>
      <c r="T19" s="144">
        <v>51220200001</v>
      </c>
      <c r="U19" s="144" t="s">
        <v>21</v>
      </c>
      <c r="X19" s="156">
        <v>-1012.15</v>
      </c>
      <c r="Y19" s="258">
        <f t="shared" si="0"/>
        <v>989.96</v>
      </c>
      <c r="Z19" s="236">
        <f t="shared" si="1"/>
        <v>-22.189999999999941</v>
      </c>
    </row>
    <row r="20" spans="2:26" x14ac:dyDescent="0.2">
      <c r="B20" s="233"/>
      <c r="C20" s="230" t="s">
        <v>294</v>
      </c>
      <c r="D20" s="230" t="s">
        <v>241</v>
      </c>
      <c r="E20" s="234" t="s">
        <v>259</v>
      </c>
      <c r="F20" s="234" t="s">
        <v>259</v>
      </c>
      <c r="G20" s="234" t="s">
        <v>259</v>
      </c>
      <c r="H20" s="155"/>
      <c r="I20" s="155"/>
      <c r="J20" s="155">
        <v>0</v>
      </c>
      <c r="K20" s="235">
        <v>0</v>
      </c>
      <c r="L20" s="155">
        <v>0</v>
      </c>
      <c r="O20" s="260" t="s">
        <v>81</v>
      </c>
      <c r="P20" s="96">
        <v>51000200002</v>
      </c>
      <c r="Q20" s="234" t="s">
        <v>242</v>
      </c>
      <c r="R20" s="237">
        <f t="shared" si="2"/>
        <v>0</v>
      </c>
      <c r="T20" s="263">
        <v>52120000003</v>
      </c>
      <c r="U20" s="263" t="s">
        <v>72</v>
      </c>
      <c r="V20" s="263"/>
      <c r="W20" s="263"/>
      <c r="X20" s="262">
        <v>-3484.92</v>
      </c>
      <c r="Y20" s="258">
        <f t="shared" si="0"/>
        <v>0</v>
      </c>
      <c r="Z20" s="236">
        <f t="shared" si="1"/>
        <v>-3484.92</v>
      </c>
    </row>
    <row r="21" spans="2:26" x14ac:dyDescent="0.2">
      <c r="B21" s="233"/>
      <c r="C21" s="230" t="s">
        <v>295</v>
      </c>
      <c r="D21" s="230" t="s">
        <v>241</v>
      </c>
      <c r="E21" s="234" t="s">
        <v>259</v>
      </c>
      <c r="F21" s="234" t="s">
        <v>259</v>
      </c>
      <c r="G21" s="234" t="s">
        <v>259</v>
      </c>
      <c r="H21" s="155"/>
      <c r="I21" s="155"/>
      <c r="J21" s="155">
        <v>0</v>
      </c>
      <c r="K21" s="235">
        <v>0</v>
      </c>
      <c r="L21" s="155">
        <v>0</v>
      </c>
      <c r="O21" s="260" t="s">
        <v>81</v>
      </c>
      <c r="P21" s="96">
        <v>51000200002</v>
      </c>
      <c r="Q21" s="234" t="s">
        <v>187</v>
      </c>
      <c r="R21" s="237">
        <f t="shared" si="2"/>
        <v>0</v>
      </c>
      <c r="X21" s="304"/>
    </row>
    <row r="22" spans="2:26" x14ac:dyDescent="0.2">
      <c r="B22" s="233"/>
      <c r="C22" s="230" t="s">
        <v>296</v>
      </c>
      <c r="D22" s="230" t="s">
        <v>241</v>
      </c>
      <c r="E22" s="234" t="s">
        <v>259</v>
      </c>
      <c r="F22" s="234" t="s">
        <v>259</v>
      </c>
      <c r="G22" s="234" t="s">
        <v>259</v>
      </c>
      <c r="H22" s="155"/>
      <c r="I22" s="155"/>
      <c r="J22" s="155">
        <v>0</v>
      </c>
      <c r="K22" s="235">
        <v>0</v>
      </c>
      <c r="L22" s="155">
        <v>0</v>
      </c>
      <c r="O22" s="260" t="s">
        <v>81</v>
      </c>
      <c r="P22" s="96">
        <v>51000200002</v>
      </c>
      <c r="Q22" s="234" t="s">
        <v>22</v>
      </c>
      <c r="R22" s="237">
        <f t="shared" si="2"/>
        <v>0</v>
      </c>
      <c r="X22" s="290">
        <f>SUM(X15:X21)</f>
        <v>-67015.819999999992</v>
      </c>
      <c r="Y22" s="290">
        <f>SUM(Y15:Y21)</f>
        <v>44740.049999999996</v>
      </c>
      <c r="Z22" s="290">
        <f>SUM(Z15:Z21)</f>
        <v>-22275.769999999997</v>
      </c>
    </row>
    <row r="23" spans="2:26" x14ac:dyDescent="0.2">
      <c r="B23" s="233"/>
      <c r="C23" s="230" t="s">
        <v>297</v>
      </c>
      <c r="D23" s="230" t="s">
        <v>241</v>
      </c>
      <c r="E23" s="234" t="s">
        <v>259</v>
      </c>
      <c r="F23" s="234" t="s">
        <v>259</v>
      </c>
      <c r="G23" s="234" t="s">
        <v>259</v>
      </c>
      <c r="H23" s="155"/>
      <c r="I23" s="155"/>
      <c r="J23" s="155">
        <v>0</v>
      </c>
      <c r="K23" s="235">
        <v>0</v>
      </c>
      <c r="L23" s="155">
        <v>0</v>
      </c>
      <c r="O23" s="260" t="s">
        <v>81</v>
      </c>
      <c r="P23" s="96">
        <v>51220200001</v>
      </c>
      <c r="Q23" s="234" t="s">
        <v>242</v>
      </c>
      <c r="R23" s="237">
        <f t="shared" si="2"/>
        <v>685.61</v>
      </c>
    </row>
    <row r="24" spans="2:26" x14ac:dyDescent="0.2">
      <c r="B24" s="233"/>
      <c r="C24" s="230" t="s">
        <v>298</v>
      </c>
      <c r="D24" s="230" t="s">
        <v>241</v>
      </c>
      <c r="E24" s="234" t="s">
        <v>259</v>
      </c>
      <c r="F24" s="234" t="s">
        <v>259</v>
      </c>
      <c r="G24" s="234" t="s">
        <v>259</v>
      </c>
      <c r="H24" s="155"/>
      <c r="I24" s="155"/>
      <c r="J24" s="155">
        <v>0</v>
      </c>
      <c r="K24" s="235">
        <v>0</v>
      </c>
      <c r="L24" s="155">
        <v>0</v>
      </c>
      <c r="O24" s="260" t="s">
        <v>81</v>
      </c>
      <c r="P24" s="96">
        <v>51220200001</v>
      </c>
      <c r="Q24" s="234" t="s">
        <v>187</v>
      </c>
      <c r="R24" s="237">
        <f t="shared" si="2"/>
        <v>0</v>
      </c>
    </row>
    <row r="25" spans="2:26" x14ac:dyDescent="0.2">
      <c r="B25" s="233"/>
      <c r="C25" s="230" t="s">
        <v>299</v>
      </c>
      <c r="D25" s="230" t="s">
        <v>241</v>
      </c>
      <c r="E25" s="234" t="s">
        <v>259</v>
      </c>
      <c r="F25" s="234" t="s">
        <v>259</v>
      </c>
      <c r="G25" s="234" t="s">
        <v>259</v>
      </c>
      <c r="H25" s="155"/>
      <c r="I25" s="155"/>
      <c r="J25" s="155">
        <v>0</v>
      </c>
      <c r="K25" s="294">
        <v>0</v>
      </c>
      <c r="L25" s="155">
        <v>0</v>
      </c>
      <c r="O25" s="260" t="s">
        <v>81</v>
      </c>
      <c r="P25" s="96">
        <v>51220200001</v>
      </c>
      <c r="Q25" s="234" t="s">
        <v>22</v>
      </c>
      <c r="R25" s="237">
        <f t="shared" si="2"/>
        <v>0</v>
      </c>
    </row>
    <row r="26" spans="2:26" x14ac:dyDescent="0.2">
      <c r="B26" s="233"/>
      <c r="C26" s="230" t="s">
        <v>300</v>
      </c>
      <c r="D26" s="230" t="s">
        <v>241</v>
      </c>
      <c r="E26" s="234" t="s">
        <v>259</v>
      </c>
      <c r="F26" s="234" t="s">
        <v>259</v>
      </c>
      <c r="G26" s="234" t="s">
        <v>259</v>
      </c>
      <c r="H26" s="155"/>
      <c r="I26" s="155"/>
      <c r="J26" s="155">
        <v>0</v>
      </c>
      <c r="K26" s="294">
        <v>0</v>
      </c>
      <c r="L26" s="155">
        <v>0</v>
      </c>
      <c r="O26" s="260" t="s">
        <v>81</v>
      </c>
      <c r="P26" s="96">
        <v>52200000001</v>
      </c>
      <c r="Q26" s="234" t="s">
        <v>242</v>
      </c>
      <c r="R26" s="237">
        <f t="shared" si="2"/>
        <v>0</v>
      </c>
    </row>
    <row r="27" spans="2:26" x14ac:dyDescent="0.2">
      <c r="B27" s="233"/>
      <c r="C27" s="230" t="s">
        <v>301</v>
      </c>
      <c r="D27" s="230" t="s">
        <v>241</v>
      </c>
      <c r="E27" s="234" t="s">
        <v>259</v>
      </c>
      <c r="F27" s="234" t="s">
        <v>259</v>
      </c>
      <c r="G27" s="234" t="s">
        <v>259</v>
      </c>
      <c r="H27" s="155"/>
      <c r="I27" s="155"/>
      <c r="J27" s="155">
        <v>0</v>
      </c>
      <c r="K27" s="294">
        <v>0</v>
      </c>
      <c r="L27" s="155">
        <v>0</v>
      </c>
      <c r="O27" s="260" t="s">
        <v>81</v>
      </c>
      <c r="P27" s="96">
        <v>52200000001</v>
      </c>
      <c r="Q27" s="234" t="s">
        <v>187</v>
      </c>
      <c r="R27" s="237">
        <f t="shared" si="2"/>
        <v>0</v>
      </c>
    </row>
    <row r="28" spans="2:26" x14ac:dyDescent="0.2">
      <c r="B28" s="306">
        <v>43111</v>
      </c>
      <c r="C28" s="307" t="s">
        <v>302</v>
      </c>
      <c r="D28" s="307" t="s">
        <v>241</v>
      </c>
      <c r="E28" s="308" t="s">
        <v>323</v>
      </c>
      <c r="F28" s="308" t="s">
        <v>179</v>
      </c>
      <c r="G28" s="309"/>
      <c r="H28" s="310"/>
      <c r="I28" s="310"/>
      <c r="J28" s="310">
        <v>1321.88</v>
      </c>
      <c r="K28" s="311">
        <v>171.84</v>
      </c>
      <c r="L28" s="310">
        <v>1493.72</v>
      </c>
      <c r="M28" s="263">
        <v>51000300001</v>
      </c>
      <c r="O28" s="260" t="s">
        <v>81</v>
      </c>
      <c r="P28" s="96">
        <v>52200000001</v>
      </c>
      <c r="Q28" s="234" t="s">
        <v>22</v>
      </c>
      <c r="R28" s="237">
        <f t="shared" si="2"/>
        <v>0</v>
      </c>
    </row>
    <row r="29" spans="2:26" x14ac:dyDescent="0.2">
      <c r="B29" s="306">
        <v>43111</v>
      </c>
      <c r="C29" s="307" t="s">
        <v>303</v>
      </c>
      <c r="D29" s="307" t="s">
        <v>241</v>
      </c>
      <c r="E29" s="308" t="s">
        <v>323</v>
      </c>
      <c r="F29" s="308" t="s">
        <v>179</v>
      </c>
      <c r="G29" s="309"/>
      <c r="H29" s="310"/>
      <c r="I29" s="310"/>
      <c r="J29" s="310">
        <v>660.94</v>
      </c>
      <c r="K29" s="311">
        <v>85.92</v>
      </c>
      <c r="L29" s="310">
        <v>746.86</v>
      </c>
      <c r="M29" s="263">
        <v>51000300002</v>
      </c>
      <c r="O29" s="260" t="s">
        <v>81</v>
      </c>
      <c r="P29" s="96">
        <v>52200000001</v>
      </c>
      <c r="Q29" s="234" t="s">
        <v>242</v>
      </c>
      <c r="R29" s="237">
        <f t="shared" si="2"/>
        <v>0</v>
      </c>
    </row>
    <row r="30" spans="2:26" x14ac:dyDescent="0.2">
      <c r="B30" s="306">
        <v>43112</v>
      </c>
      <c r="C30" s="307" t="s">
        <v>304</v>
      </c>
      <c r="D30" s="307" t="s">
        <v>241</v>
      </c>
      <c r="E30" s="308" t="s">
        <v>323</v>
      </c>
      <c r="F30" s="308" t="s">
        <v>179</v>
      </c>
      <c r="G30" s="309"/>
      <c r="H30" s="310"/>
      <c r="I30" s="310"/>
      <c r="J30" s="310">
        <v>3289.06</v>
      </c>
      <c r="K30" s="311">
        <v>427.58</v>
      </c>
      <c r="L30" s="310">
        <v>3716.64</v>
      </c>
      <c r="M30" s="263">
        <v>51000300001</v>
      </c>
      <c r="O30" s="260" t="s">
        <v>81</v>
      </c>
      <c r="P30" s="96">
        <v>51220200001</v>
      </c>
      <c r="Q30" s="234" t="s">
        <v>269</v>
      </c>
      <c r="R30" s="237">
        <f t="shared" si="2"/>
        <v>304.35000000000002</v>
      </c>
    </row>
    <row r="31" spans="2:26" x14ac:dyDescent="0.2">
      <c r="B31" s="306">
        <v>43112</v>
      </c>
      <c r="C31" s="307" t="s">
        <v>305</v>
      </c>
      <c r="D31" s="307" t="s">
        <v>241</v>
      </c>
      <c r="E31" s="308" t="s">
        <v>323</v>
      </c>
      <c r="F31" s="308" t="s">
        <v>179</v>
      </c>
      <c r="G31" s="309"/>
      <c r="H31" s="310"/>
      <c r="I31" s="310"/>
      <c r="J31" s="310">
        <v>1644.53</v>
      </c>
      <c r="K31" s="311">
        <v>213.79</v>
      </c>
      <c r="L31" s="310">
        <v>1858.32</v>
      </c>
      <c r="M31" s="263">
        <v>51000300002</v>
      </c>
      <c r="O31" s="260" t="s">
        <v>81</v>
      </c>
      <c r="P31" s="96">
        <v>53000100001</v>
      </c>
      <c r="Q31" s="234" t="s">
        <v>242</v>
      </c>
      <c r="R31" s="237">
        <f t="shared" si="2"/>
        <v>0</v>
      </c>
    </row>
    <row r="32" spans="2:26" x14ac:dyDescent="0.2">
      <c r="B32" s="306">
        <v>43116</v>
      </c>
      <c r="C32" s="307" t="s">
        <v>306</v>
      </c>
      <c r="D32" s="307" t="s">
        <v>241</v>
      </c>
      <c r="E32" s="308" t="s">
        <v>323</v>
      </c>
      <c r="F32" s="308" t="s">
        <v>179</v>
      </c>
      <c r="G32" s="309"/>
      <c r="H32" s="310"/>
      <c r="I32" s="310"/>
      <c r="J32" s="310">
        <v>1976.25</v>
      </c>
      <c r="K32" s="311">
        <v>256.91000000000003</v>
      </c>
      <c r="L32" s="310">
        <v>2233.16</v>
      </c>
      <c r="M32" s="263">
        <v>51000300001</v>
      </c>
      <c r="O32" s="293"/>
      <c r="R32" s="259">
        <f>SUM(R15:R31)</f>
        <v>44740.049999999996</v>
      </c>
    </row>
    <row r="33" spans="2:13" x14ac:dyDescent="0.2">
      <c r="B33" s="306">
        <v>43116</v>
      </c>
      <c r="C33" s="307" t="s">
        <v>307</v>
      </c>
      <c r="D33" s="307" t="s">
        <v>241</v>
      </c>
      <c r="E33" s="308" t="s">
        <v>323</v>
      </c>
      <c r="F33" s="308" t="s">
        <v>179</v>
      </c>
      <c r="G33" s="309"/>
      <c r="H33" s="310"/>
      <c r="I33" s="310"/>
      <c r="J33" s="310">
        <v>988.12</v>
      </c>
      <c r="K33" s="311">
        <v>128.46</v>
      </c>
      <c r="L33" s="310">
        <v>1116.58</v>
      </c>
      <c r="M33" s="263">
        <v>51000300002</v>
      </c>
    </row>
    <row r="34" spans="2:13" x14ac:dyDescent="0.2">
      <c r="B34" s="306">
        <v>43117</v>
      </c>
      <c r="C34" s="307" t="s">
        <v>308</v>
      </c>
      <c r="D34" s="307" t="s">
        <v>241</v>
      </c>
      <c r="E34" s="308" t="s">
        <v>323</v>
      </c>
      <c r="F34" s="308" t="s">
        <v>179</v>
      </c>
      <c r="G34" s="309"/>
      <c r="H34" s="310"/>
      <c r="I34" s="310"/>
      <c r="J34" s="310">
        <v>5269.01</v>
      </c>
      <c r="K34" s="311">
        <v>684.97</v>
      </c>
      <c r="L34" s="310">
        <v>5953.9800000000005</v>
      </c>
      <c r="M34" s="263">
        <v>51000300001</v>
      </c>
    </row>
    <row r="35" spans="2:13" x14ac:dyDescent="0.2">
      <c r="B35" s="306">
        <v>43117</v>
      </c>
      <c r="C35" s="307" t="s">
        <v>309</v>
      </c>
      <c r="D35" s="307" t="s">
        <v>241</v>
      </c>
      <c r="E35" s="308" t="s">
        <v>323</v>
      </c>
      <c r="F35" s="308" t="s">
        <v>179</v>
      </c>
      <c r="G35" s="309"/>
      <c r="H35" s="310"/>
      <c r="I35" s="310"/>
      <c r="J35" s="310">
        <v>2634.5</v>
      </c>
      <c r="K35" s="311">
        <v>342.49</v>
      </c>
      <c r="L35" s="310">
        <v>2976.99</v>
      </c>
      <c r="M35" s="263">
        <v>51000300002</v>
      </c>
    </row>
    <row r="36" spans="2:13" x14ac:dyDescent="0.2">
      <c r="B36" s="233"/>
      <c r="C36" s="230" t="s">
        <v>310</v>
      </c>
      <c r="D36" s="230" t="s">
        <v>241</v>
      </c>
      <c r="E36" s="234" t="s">
        <v>259</v>
      </c>
      <c r="F36" s="234" t="s">
        <v>259</v>
      </c>
      <c r="G36" s="234" t="s">
        <v>259</v>
      </c>
      <c r="H36" s="155"/>
      <c r="I36" s="155"/>
      <c r="J36" s="155">
        <v>0</v>
      </c>
      <c r="K36" s="235">
        <v>0</v>
      </c>
      <c r="L36" s="155">
        <v>0</v>
      </c>
    </row>
    <row r="37" spans="2:13" x14ac:dyDescent="0.2">
      <c r="B37" s="233"/>
      <c r="C37" s="230" t="s">
        <v>311</v>
      </c>
      <c r="D37" s="230" t="s">
        <v>241</v>
      </c>
      <c r="E37" s="234" t="s">
        <v>259</v>
      </c>
      <c r="F37" s="234" t="s">
        <v>259</v>
      </c>
      <c r="G37" s="234" t="s">
        <v>259</v>
      </c>
      <c r="H37" s="155"/>
      <c r="I37" s="155"/>
      <c r="J37" s="155">
        <v>0</v>
      </c>
      <c r="K37" s="235">
        <v>0</v>
      </c>
      <c r="L37" s="155">
        <v>0</v>
      </c>
    </row>
    <row r="38" spans="2:13" x14ac:dyDescent="0.2">
      <c r="B38" s="233"/>
      <c r="C38" s="230" t="s">
        <v>312</v>
      </c>
      <c r="D38" s="230" t="s">
        <v>241</v>
      </c>
      <c r="E38" s="234" t="s">
        <v>259</v>
      </c>
      <c r="F38" s="234" t="s">
        <v>259</v>
      </c>
      <c r="G38" s="234" t="s">
        <v>259</v>
      </c>
      <c r="H38" s="155"/>
      <c r="I38" s="155"/>
      <c r="J38" s="155">
        <v>0</v>
      </c>
      <c r="K38" s="235">
        <v>0</v>
      </c>
      <c r="L38" s="155">
        <v>0</v>
      </c>
    </row>
    <row r="39" spans="2:13" x14ac:dyDescent="0.2">
      <c r="B39" s="233"/>
      <c r="C39" s="230" t="s">
        <v>313</v>
      </c>
      <c r="D39" s="230" t="s">
        <v>241</v>
      </c>
      <c r="E39" s="234" t="s">
        <v>259</v>
      </c>
      <c r="F39" s="234" t="s">
        <v>259</v>
      </c>
      <c r="G39" s="234" t="s">
        <v>259</v>
      </c>
      <c r="H39" s="155"/>
      <c r="I39" s="155"/>
      <c r="J39" s="155">
        <v>0</v>
      </c>
      <c r="K39" s="235">
        <v>0</v>
      </c>
      <c r="L39" s="155">
        <v>0</v>
      </c>
    </row>
    <row r="40" spans="2:13" x14ac:dyDescent="0.2">
      <c r="B40" s="233"/>
      <c r="C40" s="230" t="s">
        <v>314</v>
      </c>
      <c r="D40" s="230" t="s">
        <v>241</v>
      </c>
      <c r="E40" s="234" t="s">
        <v>259</v>
      </c>
      <c r="F40" s="234" t="s">
        <v>259</v>
      </c>
      <c r="G40" s="234" t="s">
        <v>259</v>
      </c>
      <c r="H40" s="155"/>
      <c r="I40" s="155"/>
      <c r="J40" s="155">
        <v>0</v>
      </c>
      <c r="K40" s="235">
        <v>0</v>
      </c>
      <c r="L40" s="155">
        <v>0</v>
      </c>
    </row>
    <row r="41" spans="2:13" x14ac:dyDescent="0.2">
      <c r="B41" s="233"/>
      <c r="C41" s="230" t="s">
        <v>315</v>
      </c>
      <c r="D41" s="230" t="s">
        <v>241</v>
      </c>
      <c r="E41" s="234" t="s">
        <v>259</v>
      </c>
      <c r="F41" s="234" t="s">
        <v>259</v>
      </c>
      <c r="G41" s="234" t="s">
        <v>259</v>
      </c>
      <c r="H41" s="155"/>
      <c r="I41" s="155"/>
      <c r="J41" s="155">
        <v>0</v>
      </c>
      <c r="K41" s="235">
        <v>0</v>
      </c>
      <c r="L41" s="155">
        <v>0</v>
      </c>
    </row>
    <row r="42" spans="2:13" x14ac:dyDescent="0.2">
      <c r="B42" s="233"/>
      <c r="C42" s="230" t="s">
        <v>316</v>
      </c>
      <c r="D42" s="230" t="s">
        <v>241</v>
      </c>
      <c r="E42" s="234" t="s">
        <v>242</v>
      </c>
      <c r="F42" s="234" t="s">
        <v>47</v>
      </c>
      <c r="G42" s="154"/>
      <c r="H42" s="155"/>
      <c r="I42" s="155"/>
      <c r="J42" s="155">
        <v>25000</v>
      </c>
      <c r="K42" s="235">
        <v>3250</v>
      </c>
      <c r="L42" s="155">
        <v>28250</v>
      </c>
      <c r="M42" s="144">
        <v>51000000001</v>
      </c>
    </row>
    <row r="43" spans="2:13" x14ac:dyDescent="0.2">
      <c r="B43" s="233"/>
      <c r="C43" s="230" t="s">
        <v>317</v>
      </c>
      <c r="D43" s="230" t="s">
        <v>241</v>
      </c>
      <c r="E43" s="234" t="s">
        <v>242</v>
      </c>
      <c r="F43" s="234" t="s">
        <v>47</v>
      </c>
      <c r="G43" s="154"/>
      <c r="H43" s="155"/>
      <c r="I43" s="155"/>
      <c r="J43" s="155">
        <v>25000</v>
      </c>
      <c r="K43" s="235">
        <v>3250</v>
      </c>
      <c r="L43" s="155">
        <v>28250</v>
      </c>
      <c r="M43" s="144">
        <v>51000000002</v>
      </c>
    </row>
    <row r="44" spans="2:13" x14ac:dyDescent="0.2">
      <c r="B44" s="233">
        <v>43126</v>
      </c>
      <c r="C44" s="230" t="s">
        <v>318</v>
      </c>
      <c r="D44" s="230" t="s">
        <v>241</v>
      </c>
      <c r="E44" s="234" t="s">
        <v>242</v>
      </c>
      <c r="F44" s="234" t="s">
        <v>47</v>
      </c>
      <c r="G44" s="154"/>
      <c r="H44" s="155"/>
      <c r="I44" s="155"/>
      <c r="J44" s="155">
        <v>-6249.91</v>
      </c>
      <c r="K44" s="235">
        <v>-812.49</v>
      </c>
      <c r="L44" s="155">
        <v>-7062.4</v>
      </c>
      <c r="M44" s="144">
        <v>51000000001</v>
      </c>
    </row>
    <row r="45" spans="2:13" x14ac:dyDescent="0.2">
      <c r="B45" s="306">
        <v>43126</v>
      </c>
      <c r="C45" s="307" t="s">
        <v>319</v>
      </c>
      <c r="D45" s="307" t="s">
        <v>241</v>
      </c>
      <c r="E45" s="308" t="s">
        <v>323</v>
      </c>
      <c r="F45" s="308" t="s">
        <v>179</v>
      </c>
      <c r="G45" s="309"/>
      <c r="H45" s="310"/>
      <c r="I45" s="310"/>
      <c r="J45" s="310">
        <v>656.25</v>
      </c>
      <c r="K45" s="311">
        <v>85.31</v>
      </c>
      <c r="L45" s="310">
        <v>741.56</v>
      </c>
      <c r="M45" s="263">
        <v>51000300001</v>
      </c>
    </row>
    <row r="46" spans="2:13" x14ac:dyDescent="0.2">
      <c r="B46" s="306">
        <v>43126</v>
      </c>
      <c r="C46" s="307" t="s">
        <v>320</v>
      </c>
      <c r="D46" s="307" t="s">
        <v>241</v>
      </c>
      <c r="E46" s="308" t="s">
        <v>323</v>
      </c>
      <c r="F46" s="308" t="s">
        <v>179</v>
      </c>
      <c r="G46" s="309"/>
      <c r="H46" s="310"/>
      <c r="I46" s="310"/>
      <c r="J46" s="310">
        <v>328.12</v>
      </c>
      <c r="K46" s="311">
        <v>42.66</v>
      </c>
      <c r="L46" s="310">
        <v>370.78</v>
      </c>
      <c r="M46" s="263">
        <v>51000300002</v>
      </c>
    </row>
    <row r="47" spans="2:13" x14ac:dyDescent="0.2">
      <c r="B47" s="233"/>
      <c r="C47" s="230"/>
      <c r="D47" s="230"/>
      <c r="E47" s="234" t="s">
        <v>321</v>
      </c>
      <c r="F47" s="206"/>
      <c r="G47" s="289"/>
      <c r="H47" s="289"/>
      <c r="I47" s="289"/>
      <c r="J47" s="289"/>
      <c r="K47" s="235">
        <v>-3268.73</v>
      </c>
      <c r="L47" s="155">
        <v>-3268.73</v>
      </c>
    </row>
    <row r="48" spans="2:13" x14ac:dyDescent="0.2">
      <c r="B48" s="233"/>
      <c r="C48" s="230"/>
      <c r="D48" s="230"/>
      <c r="E48" s="234" t="s">
        <v>322</v>
      </c>
      <c r="F48" s="206"/>
      <c r="G48" s="289"/>
      <c r="H48" s="289"/>
      <c r="I48" s="289"/>
      <c r="J48" s="289"/>
      <c r="K48" s="235">
        <v>-800.82</v>
      </c>
      <c r="L48" s="155"/>
    </row>
    <row r="49" spans="2:26" x14ac:dyDescent="0.2">
      <c r="B49" s="233"/>
      <c r="C49" s="230"/>
      <c r="D49" s="230"/>
      <c r="E49" s="234"/>
      <c r="F49" s="206"/>
      <c r="G49" s="289"/>
      <c r="H49" s="289"/>
      <c r="I49" s="289"/>
      <c r="J49" s="289"/>
      <c r="K49" s="235"/>
      <c r="L49" s="155"/>
    </row>
    <row r="50" spans="2:26" x14ac:dyDescent="0.2">
      <c r="B50" s="206"/>
      <c r="C50" s="207"/>
      <c r="D50" s="207"/>
      <c r="E50" s="234"/>
      <c r="F50" s="206"/>
      <c r="G50" s="289"/>
      <c r="H50" s="289"/>
      <c r="I50" s="289"/>
      <c r="J50" s="289"/>
      <c r="K50" s="289"/>
      <c r="L50" s="289"/>
    </row>
    <row r="51" spans="2:26" x14ac:dyDescent="0.2">
      <c r="B51" s="295"/>
      <c r="C51" s="296"/>
      <c r="D51" s="296"/>
      <c r="E51" s="234"/>
      <c r="F51" s="295"/>
      <c r="G51" s="297"/>
      <c r="H51" s="297"/>
      <c r="I51" s="297"/>
      <c r="J51" s="297"/>
      <c r="K51" s="297"/>
      <c r="L51" s="297"/>
    </row>
    <row r="52" spans="2:26" x14ac:dyDescent="0.2">
      <c r="B52" s="206"/>
      <c r="C52" s="207"/>
      <c r="D52" s="207"/>
      <c r="E52" s="206"/>
      <c r="F52" s="206"/>
      <c r="G52" s="298">
        <v>0</v>
      </c>
      <c r="H52" s="298">
        <v>0</v>
      </c>
      <c r="I52" s="298">
        <v>0</v>
      </c>
      <c r="J52" s="298">
        <v>63508.71</v>
      </c>
      <c r="K52" s="298">
        <v>4186.59</v>
      </c>
      <c r="L52" s="298">
        <v>68496.12000000001</v>
      </c>
    </row>
    <row r="53" spans="2:26" x14ac:dyDescent="0.2">
      <c r="B53" s="206"/>
      <c r="C53" s="207"/>
      <c r="D53" s="207"/>
      <c r="E53" s="206"/>
      <c r="F53" s="206"/>
      <c r="G53" s="298"/>
      <c r="H53" s="298"/>
      <c r="I53" s="298"/>
      <c r="J53" s="298"/>
      <c r="K53" s="298"/>
      <c r="L53" s="298"/>
    </row>
    <row r="54" spans="2:26" x14ac:dyDescent="0.2">
      <c r="B54" s="206"/>
      <c r="C54" s="207"/>
      <c r="D54" s="207"/>
      <c r="E54" s="206"/>
      <c r="F54" s="206"/>
      <c r="G54" s="298"/>
      <c r="H54" s="298"/>
      <c r="I54" s="298"/>
      <c r="J54" s="298"/>
      <c r="K54" s="298"/>
      <c r="L54" s="298"/>
    </row>
    <row r="55" spans="2:26" x14ac:dyDescent="0.2">
      <c r="B55" s="206"/>
      <c r="C55" s="207"/>
      <c r="D55" s="207"/>
      <c r="E55" s="206"/>
      <c r="F55" s="206"/>
      <c r="G55" s="298"/>
      <c r="H55" s="298"/>
      <c r="I55" s="298"/>
      <c r="J55" s="298"/>
      <c r="K55" s="298"/>
      <c r="L55" s="298"/>
    </row>
    <row r="57" spans="2:26" ht="16.5" x14ac:dyDescent="0.25">
      <c r="B57" s="205" t="s">
        <v>240</v>
      </c>
      <c r="C57" s="206"/>
      <c r="D57" s="207"/>
      <c r="E57" s="208" t="s">
        <v>82</v>
      </c>
    </row>
    <row r="58" spans="2:26" x14ac:dyDescent="0.2">
      <c r="B58" s="212" t="s">
        <v>15</v>
      </c>
      <c r="C58" s="206"/>
      <c r="D58" s="206"/>
      <c r="E58" s="213"/>
    </row>
    <row r="61" spans="2:26" x14ac:dyDescent="0.2">
      <c r="B61" s="217"/>
      <c r="C61" s="218" t="s">
        <v>137</v>
      </c>
      <c r="D61" s="219" t="s">
        <v>16</v>
      </c>
      <c r="E61" s="219"/>
      <c r="F61" s="219" t="s">
        <v>74</v>
      </c>
      <c r="G61" s="219"/>
      <c r="H61" s="220" t="s">
        <v>75</v>
      </c>
      <c r="I61" s="221"/>
      <c r="J61" s="221"/>
      <c r="K61" s="221"/>
      <c r="L61" s="239"/>
    </row>
    <row r="62" spans="2:26" x14ac:dyDescent="0.2">
      <c r="B62" s="222" t="s">
        <v>76</v>
      </c>
      <c r="C62" s="223" t="s">
        <v>77</v>
      </c>
      <c r="D62" s="223" t="s">
        <v>141</v>
      </c>
      <c r="E62" s="223" t="s">
        <v>78</v>
      </c>
      <c r="F62" s="223" t="s">
        <v>142</v>
      </c>
      <c r="G62" s="223" t="s">
        <v>79</v>
      </c>
      <c r="H62" s="224" t="s">
        <v>48</v>
      </c>
      <c r="I62" s="221"/>
      <c r="J62" s="224" t="s">
        <v>80</v>
      </c>
      <c r="K62" s="221"/>
      <c r="L62" s="240" t="s">
        <v>175</v>
      </c>
    </row>
    <row r="63" spans="2:26" x14ac:dyDescent="0.2">
      <c r="B63" s="225"/>
      <c r="C63" s="226"/>
      <c r="D63" s="226"/>
      <c r="E63" s="225"/>
      <c r="F63" s="225"/>
      <c r="G63" s="225"/>
      <c r="H63" s="227" t="s">
        <v>176</v>
      </c>
      <c r="I63" s="228" t="s">
        <v>177</v>
      </c>
      <c r="J63" s="241" t="s">
        <v>178</v>
      </c>
      <c r="K63" s="241" t="s">
        <v>46</v>
      </c>
      <c r="L63" s="242" t="s">
        <v>48</v>
      </c>
    </row>
    <row r="64" spans="2:26" x14ac:dyDescent="0.2">
      <c r="B64" s="229"/>
      <c r="C64" s="230"/>
      <c r="D64" s="230"/>
      <c r="E64" s="231"/>
      <c r="F64" s="232"/>
      <c r="G64" s="154"/>
      <c r="H64" s="155"/>
      <c r="I64" s="155"/>
      <c r="J64" s="155"/>
      <c r="K64" s="155"/>
      <c r="L64" s="155"/>
      <c r="O64" s="303" t="s">
        <v>257</v>
      </c>
      <c r="P64" s="303"/>
      <c r="Q64" s="303"/>
      <c r="R64" s="303"/>
      <c r="U64" s="153" t="s">
        <v>247</v>
      </c>
      <c r="Y64" s="144" t="s">
        <v>256</v>
      </c>
      <c r="Z64" s="144" t="s">
        <v>184</v>
      </c>
    </row>
    <row r="65" spans="2:26" x14ac:dyDescent="0.2">
      <c r="B65" s="233">
        <v>43140</v>
      </c>
      <c r="C65" s="230" t="s">
        <v>349</v>
      </c>
      <c r="D65" s="230" t="s">
        <v>241</v>
      </c>
      <c r="E65" s="234" t="s">
        <v>269</v>
      </c>
      <c r="F65" s="234" t="s">
        <v>270</v>
      </c>
      <c r="G65" s="154"/>
      <c r="H65" s="155"/>
      <c r="I65" s="155"/>
      <c r="J65" s="155">
        <v>454.35</v>
      </c>
      <c r="K65" s="235">
        <v>59.07</v>
      </c>
      <c r="L65" s="155">
        <v>513.42000000000007</v>
      </c>
      <c r="M65" s="144">
        <v>51220200001</v>
      </c>
      <c r="O65" s="260" t="s">
        <v>82</v>
      </c>
      <c r="P65" s="96">
        <v>51000000001</v>
      </c>
      <c r="Q65" s="234" t="s">
        <v>242</v>
      </c>
      <c r="R65" s="237">
        <f>SUMIFS($J$65:$J$75,$E$65:$E$75,Q65,$M$65:$M$75,P65)</f>
        <v>0</v>
      </c>
      <c r="T65" s="144">
        <v>51000300001</v>
      </c>
      <c r="U65" s="144" t="s">
        <v>196</v>
      </c>
      <c r="X65" s="156">
        <v>-17590.059999999998</v>
      </c>
      <c r="Y65" s="258">
        <f>SUMIF($P$65:$P$81,T65,$R$65:$R$81)</f>
        <v>0</v>
      </c>
      <c r="Z65" s="236">
        <f>X65+Y65</f>
        <v>-17590.059999999998</v>
      </c>
    </row>
    <row r="66" spans="2:26" x14ac:dyDescent="0.2">
      <c r="B66" s="233">
        <v>43140</v>
      </c>
      <c r="C66" s="230" t="s">
        <v>350</v>
      </c>
      <c r="D66" s="230" t="s">
        <v>241</v>
      </c>
      <c r="E66" s="234" t="s">
        <v>242</v>
      </c>
      <c r="F66" s="234" t="s">
        <v>47</v>
      </c>
      <c r="G66" s="234"/>
      <c r="H66" s="155"/>
      <c r="I66" s="155"/>
      <c r="J66" s="155">
        <v>1396.07</v>
      </c>
      <c r="K66" s="235">
        <v>181.49</v>
      </c>
      <c r="L66" s="155">
        <v>1577.56</v>
      </c>
      <c r="M66" s="144">
        <v>51220200001</v>
      </c>
      <c r="O66" s="260" t="s">
        <v>82</v>
      </c>
      <c r="P66" s="96">
        <v>51000000002</v>
      </c>
      <c r="Q66" s="234" t="s">
        <v>242</v>
      </c>
      <c r="R66" s="237">
        <f t="shared" ref="R66:R72" si="3">SUMIFS($J$65:$J$75,$E$65:$E$75,Q66,$M$65:$M$75,P66)</f>
        <v>0</v>
      </c>
      <c r="T66" s="144">
        <v>51000300002</v>
      </c>
      <c r="U66" s="144" t="s">
        <v>95</v>
      </c>
      <c r="X66" s="156">
        <v>-8795.02</v>
      </c>
      <c r="Y66" s="258">
        <f>SUMIF($P$65:$P$81,T66,$R$65:$R$81)</f>
        <v>0</v>
      </c>
      <c r="Z66" s="236">
        <f>X66+Y66</f>
        <v>-8795.02</v>
      </c>
    </row>
    <row r="67" spans="2:26" x14ac:dyDescent="0.2">
      <c r="B67" s="306">
        <v>43140</v>
      </c>
      <c r="C67" s="307" t="s">
        <v>351</v>
      </c>
      <c r="D67" s="307" t="s">
        <v>241</v>
      </c>
      <c r="E67" s="308" t="s">
        <v>323</v>
      </c>
      <c r="F67" s="308" t="s">
        <v>179</v>
      </c>
      <c r="G67" s="309"/>
      <c r="H67" s="310"/>
      <c r="I67" s="310"/>
      <c r="J67" s="310">
        <v>1552.16</v>
      </c>
      <c r="K67" s="311">
        <v>201.78</v>
      </c>
      <c r="L67" s="310">
        <v>1753.94</v>
      </c>
      <c r="M67" s="263">
        <v>51220200001</v>
      </c>
      <c r="O67" s="260" t="s">
        <v>82</v>
      </c>
      <c r="P67" s="96">
        <v>51000200001</v>
      </c>
      <c r="Q67" s="234" t="s">
        <v>242</v>
      </c>
      <c r="R67" s="237">
        <f t="shared" si="3"/>
        <v>0</v>
      </c>
      <c r="T67" s="144">
        <v>51220200001</v>
      </c>
      <c r="U67" s="144" t="s">
        <v>21</v>
      </c>
      <c r="X67" s="156">
        <v>-3404.44</v>
      </c>
      <c r="Y67" s="258">
        <f>SUMIF($P$65:$P$81,T67,$R$65:$R$81)</f>
        <v>1850.42</v>
      </c>
      <c r="Z67" s="236">
        <f>X67+Y67</f>
        <v>-1554.02</v>
      </c>
    </row>
    <row r="68" spans="2:26" x14ac:dyDescent="0.2">
      <c r="B68" s="306">
        <v>43145</v>
      </c>
      <c r="C68" s="307" t="s">
        <v>352</v>
      </c>
      <c r="D68" s="307" t="s">
        <v>241</v>
      </c>
      <c r="E68" s="308" t="s">
        <v>323</v>
      </c>
      <c r="F68" s="308" t="s">
        <v>179</v>
      </c>
      <c r="G68" s="308"/>
      <c r="H68" s="310"/>
      <c r="I68" s="310"/>
      <c r="J68" s="310">
        <v>12906.25</v>
      </c>
      <c r="K68" s="311">
        <v>1677.81</v>
      </c>
      <c r="L68" s="310">
        <v>14584.06</v>
      </c>
      <c r="M68" s="263">
        <v>51000300001</v>
      </c>
      <c r="O68" s="260" t="s">
        <v>82</v>
      </c>
      <c r="P68" s="96">
        <v>51000200001</v>
      </c>
      <c r="Q68" s="234" t="s">
        <v>187</v>
      </c>
      <c r="R68" s="237">
        <f t="shared" si="3"/>
        <v>0</v>
      </c>
      <c r="T68" s="263">
        <v>52120000001</v>
      </c>
      <c r="U68" s="263" t="s">
        <v>9</v>
      </c>
      <c r="V68" s="263"/>
      <c r="W68" s="263"/>
      <c r="X68" s="262">
        <v>-5</v>
      </c>
      <c r="Y68" s="258">
        <f>SUMIF($P$65:$P$81,T68,$R$65:$R$81)</f>
        <v>0</v>
      </c>
      <c r="Z68" s="236">
        <f t="shared" ref="Z68:Z69" si="4">X68+Y68</f>
        <v>-5</v>
      </c>
    </row>
    <row r="69" spans="2:26" x14ac:dyDescent="0.2">
      <c r="B69" s="306">
        <v>43145</v>
      </c>
      <c r="C69" s="307" t="s">
        <v>353</v>
      </c>
      <c r="D69" s="307" t="s">
        <v>241</v>
      </c>
      <c r="E69" s="308" t="s">
        <v>323</v>
      </c>
      <c r="F69" s="308" t="s">
        <v>179</v>
      </c>
      <c r="G69" s="308"/>
      <c r="H69" s="310"/>
      <c r="I69" s="310"/>
      <c r="J69" s="310">
        <v>6453.12</v>
      </c>
      <c r="K69" s="311">
        <v>838.91</v>
      </c>
      <c r="L69" s="310">
        <v>7292.03</v>
      </c>
      <c r="M69" s="263">
        <v>51000300002</v>
      </c>
      <c r="O69" s="260" t="s">
        <v>82</v>
      </c>
      <c r="P69" s="96">
        <v>51000200001</v>
      </c>
      <c r="Q69" s="234" t="s">
        <v>22</v>
      </c>
      <c r="R69" s="237">
        <f t="shared" si="3"/>
        <v>0</v>
      </c>
      <c r="T69" s="263">
        <v>52120000003</v>
      </c>
      <c r="U69" s="263" t="s">
        <v>72</v>
      </c>
      <c r="V69" s="263"/>
      <c r="W69" s="263"/>
      <c r="X69" s="262">
        <v>-3484.9300000000003</v>
      </c>
      <c r="Y69" s="258">
        <f>SUMIF($P$65:$P$81,T69,$R$65:$R$81)</f>
        <v>0</v>
      </c>
      <c r="Z69" s="236">
        <f t="shared" si="4"/>
        <v>-3484.9300000000003</v>
      </c>
    </row>
    <row r="70" spans="2:26" x14ac:dyDescent="0.2">
      <c r="B70" s="306">
        <v>43146</v>
      </c>
      <c r="C70" s="307" t="s">
        <v>354</v>
      </c>
      <c r="D70" s="307" t="s">
        <v>241</v>
      </c>
      <c r="E70" s="308" t="s">
        <v>323</v>
      </c>
      <c r="F70" s="308" t="s">
        <v>179</v>
      </c>
      <c r="G70" s="308"/>
      <c r="H70" s="310"/>
      <c r="I70" s="310"/>
      <c r="J70" s="310">
        <v>4683.8100000000004</v>
      </c>
      <c r="K70" s="311">
        <v>608.89</v>
      </c>
      <c r="L70" s="310">
        <v>5292.7000000000007</v>
      </c>
      <c r="M70" s="263">
        <v>51000300001</v>
      </c>
      <c r="O70" s="260" t="s">
        <v>82</v>
      </c>
      <c r="P70" s="96">
        <v>51000200002</v>
      </c>
      <c r="Q70" s="234" t="s">
        <v>242</v>
      </c>
      <c r="R70" s="237">
        <f t="shared" si="3"/>
        <v>0</v>
      </c>
      <c r="Y70" s="258"/>
      <c r="Z70" s="236"/>
    </row>
    <row r="71" spans="2:26" x14ac:dyDescent="0.2">
      <c r="B71" s="306">
        <v>43146</v>
      </c>
      <c r="C71" s="307" t="s">
        <v>355</v>
      </c>
      <c r="D71" s="307" t="s">
        <v>241</v>
      </c>
      <c r="E71" s="308" t="s">
        <v>323</v>
      </c>
      <c r="F71" s="308" t="s">
        <v>179</v>
      </c>
      <c r="G71" s="308"/>
      <c r="H71" s="310"/>
      <c r="I71" s="310"/>
      <c r="J71" s="310">
        <v>2341.9</v>
      </c>
      <c r="K71" s="311">
        <v>304.45</v>
      </c>
      <c r="L71" s="310">
        <v>2646.35</v>
      </c>
      <c r="M71" s="263">
        <v>51000300002</v>
      </c>
      <c r="O71" s="260" t="s">
        <v>82</v>
      </c>
      <c r="P71" s="96">
        <v>51000200002</v>
      </c>
      <c r="Q71" s="234" t="s">
        <v>187</v>
      </c>
      <c r="R71" s="237">
        <f t="shared" si="3"/>
        <v>0</v>
      </c>
      <c r="Y71" s="290">
        <f>SUM(Y65:Y70)</f>
        <v>1850.42</v>
      </c>
      <c r="Z71" s="290">
        <f>SUM(Z65:Z70)</f>
        <v>-31429.03</v>
      </c>
    </row>
    <row r="72" spans="2:26" x14ac:dyDescent="0.2">
      <c r="B72" s="233"/>
      <c r="C72" s="230"/>
      <c r="D72" s="230"/>
      <c r="E72" s="234" t="s">
        <v>321</v>
      </c>
      <c r="F72" s="206"/>
      <c r="G72" s="289"/>
      <c r="H72" s="289"/>
      <c r="I72" s="289"/>
      <c r="J72" s="289"/>
      <c r="K72" s="235">
        <v>-1955.03</v>
      </c>
      <c r="L72" s="155">
        <v>-1955.03</v>
      </c>
      <c r="O72" s="260" t="s">
        <v>82</v>
      </c>
      <c r="P72" s="96">
        <v>51000200002</v>
      </c>
      <c r="Q72" s="234" t="s">
        <v>22</v>
      </c>
      <c r="R72" s="237">
        <f t="shared" si="3"/>
        <v>0</v>
      </c>
    </row>
    <row r="73" spans="2:26" x14ac:dyDescent="0.2">
      <c r="B73" s="233"/>
      <c r="C73" s="230"/>
      <c r="D73" s="230"/>
      <c r="E73" s="234" t="s">
        <v>322</v>
      </c>
      <c r="F73" s="206"/>
      <c r="G73" s="289"/>
      <c r="H73" s="289"/>
      <c r="I73" s="289"/>
      <c r="J73" s="289"/>
      <c r="K73" s="235">
        <v>0</v>
      </c>
      <c r="L73" s="155"/>
      <c r="O73" s="260" t="s">
        <v>82</v>
      </c>
      <c r="P73" s="96">
        <v>51220200001</v>
      </c>
      <c r="Q73" s="234" t="s">
        <v>242</v>
      </c>
      <c r="R73" s="237">
        <f t="shared" ref="R73:R81" si="5">SUMIFS($J$65:$J$75,$E$65:$E$75,Q73,$M$65:$M$75,P73)</f>
        <v>1396.07</v>
      </c>
    </row>
    <row r="74" spans="2:26" x14ac:dyDescent="0.2">
      <c r="B74" s="233"/>
      <c r="C74" s="230"/>
      <c r="D74" s="230"/>
      <c r="E74" s="234"/>
      <c r="F74" s="206"/>
      <c r="G74" s="289"/>
      <c r="H74" s="289"/>
      <c r="I74" s="289"/>
      <c r="J74" s="289"/>
      <c r="K74" s="235"/>
      <c r="L74" s="155"/>
      <c r="O74" s="260" t="s">
        <v>82</v>
      </c>
      <c r="P74" s="96">
        <v>51220200001</v>
      </c>
      <c r="Q74" s="234" t="s">
        <v>187</v>
      </c>
      <c r="R74" s="237">
        <f t="shared" si="5"/>
        <v>0</v>
      </c>
    </row>
    <row r="75" spans="2:26" x14ac:dyDescent="0.2">
      <c r="B75" s="206"/>
      <c r="C75" s="207"/>
      <c r="D75" s="207"/>
      <c r="E75" s="234"/>
      <c r="F75" s="206"/>
      <c r="G75" s="289"/>
      <c r="H75" s="289"/>
      <c r="I75" s="289"/>
      <c r="J75" s="289"/>
      <c r="K75" s="289"/>
      <c r="L75" s="289"/>
      <c r="O75" s="260" t="s">
        <v>82</v>
      </c>
      <c r="P75" s="96">
        <v>51220200001</v>
      </c>
      <c r="Q75" s="234" t="s">
        <v>22</v>
      </c>
      <c r="R75" s="237">
        <f t="shared" si="5"/>
        <v>0</v>
      </c>
    </row>
    <row r="76" spans="2:26" x14ac:dyDescent="0.2">
      <c r="B76" s="295"/>
      <c r="C76" s="296"/>
      <c r="D76" s="296"/>
      <c r="E76" s="234"/>
      <c r="F76" s="295"/>
      <c r="G76" s="297"/>
      <c r="H76" s="297"/>
      <c r="I76" s="297"/>
      <c r="J76" s="297"/>
      <c r="K76" s="297"/>
      <c r="L76" s="297"/>
      <c r="O76" s="260" t="s">
        <v>82</v>
      </c>
      <c r="P76" s="96">
        <v>52200000001</v>
      </c>
      <c r="Q76" s="234" t="s">
        <v>242</v>
      </c>
      <c r="R76" s="237">
        <f t="shared" si="5"/>
        <v>0</v>
      </c>
    </row>
    <row r="77" spans="2:26" x14ac:dyDescent="0.2">
      <c r="B77" s="206"/>
      <c r="C77" s="207"/>
      <c r="D77" s="207"/>
      <c r="E77" s="206"/>
      <c r="F77" s="206"/>
      <c r="G77" s="298">
        <v>0</v>
      </c>
      <c r="H77" s="298">
        <v>0</v>
      </c>
      <c r="I77" s="298">
        <v>0</v>
      </c>
      <c r="J77" s="298">
        <v>29787.660000000003</v>
      </c>
      <c r="K77" s="298">
        <v>1917.3699999999997</v>
      </c>
      <c r="L77" s="298">
        <v>31705.03</v>
      </c>
      <c r="O77" s="260" t="s">
        <v>82</v>
      </c>
      <c r="P77" s="96">
        <v>52200000001</v>
      </c>
      <c r="Q77" s="234" t="s">
        <v>187</v>
      </c>
      <c r="R77" s="237">
        <f t="shared" si="5"/>
        <v>0</v>
      </c>
      <c r="W77" s="153" t="s">
        <v>255</v>
      </c>
      <c r="X77" s="236">
        <f>X65+X66+X67</f>
        <v>-29789.519999999997</v>
      </c>
    </row>
    <row r="78" spans="2:26" x14ac:dyDescent="0.2">
      <c r="O78" s="260" t="s">
        <v>82</v>
      </c>
      <c r="P78" s="96">
        <v>52200000001</v>
      </c>
      <c r="Q78" s="234" t="s">
        <v>22</v>
      </c>
      <c r="R78" s="237">
        <f t="shared" si="5"/>
        <v>0</v>
      </c>
      <c r="W78" s="144" t="s">
        <v>257</v>
      </c>
      <c r="X78" s="236">
        <f>Y71</f>
        <v>1850.42</v>
      </c>
    </row>
    <row r="79" spans="2:26" x14ac:dyDescent="0.2">
      <c r="O79" s="260" t="s">
        <v>82</v>
      </c>
      <c r="P79" s="96">
        <v>52200000001</v>
      </c>
      <c r="Q79" s="234" t="s">
        <v>242</v>
      </c>
      <c r="R79" s="237">
        <f t="shared" si="5"/>
        <v>0</v>
      </c>
      <c r="W79" s="144" t="s">
        <v>260</v>
      </c>
      <c r="X79" s="300">
        <f>SUM(J67:J71)</f>
        <v>27937.24</v>
      </c>
    </row>
    <row r="80" spans="2:26" x14ac:dyDescent="0.2">
      <c r="O80" s="260" t="s">
        <v>82</v>
      </c>
      <c r="P80" s="96">
        <v>51220200001</v>
      </c>
      <c r="Q80" s="234" t="s">
        <v>269</v>
      </c>
      <c r="R80" s="237">
        <f t="shared" si="5"/>
        <v>454.35</v>
      </c>
      <c r="X80" s="290">
        <f>X77+X78+X79</f>
        <v>-1.8599999999969441</v>
      </c>
      <c r="Y80" s="144" t="s">
        <v>275</v>
      </c>
    </row>
    <row r="81" spans="2:26" x14ac:dyDescent="0.2">
      <c r="O81" s="260" t="s">
        <v>82</v>
      </c>
      <c r="P81" s="96">
        <v>53000100001</v>
      </c>
      <c r="Q81" s="234" t="s">
        <v>242</v>
      </c>
      <c r="R81" s="237">
        <f t="shared" si="5"/>
        <v>0</v>
      </c>
    </row>
    <row r="82" spans="2:26" x14ac:dyDescent="0.2">
      <c r="O82" s="293"/>
      <c r="R82" s="259">
        <f>SUM(R65:R81)</f>
        <v>1850.42</v>
      </c>
    </row>
    <row r="89" spans="2:26" ht="18" x14ac:dyDescent="0.25">
      <c r="B89" s="205" t="s">
        <v>240</v>
      </c>
      <c r="C89" s="206"/>
      <c r="D89" s="207"/>
      <c r="E89" s="208" t="s">
        <v>83</v>
      </c>
      <c r="F89" s="209" t="s">
        <v>97</v>
      </c>
      <c r="G89" s="210">
        <v>2017</v>
      </c>
      <c r="H89" s="211" t="s">
        <v>14</v>
      </c>
      <c r="I89" s="211"/>
      <c r="J89" s="206"/>
      <c r="K89" s="206"/>
      <c r="L89" s="206"/>
    </row>
    <row r="90" spans="2:26" x14ac:dyDescent="0.2">
      <c r="B90" s="212" t="s">
        <v>15</v>
      </c>
      <c r="C90" s="206"/>
      <c r="D90" s="206"/>
      <c r="E90" s="213"/>
      <c r="F90" s="214"/>
      <c r="G90" s="206"/>
      <c r="H90" s="215"/>
      <c r="I90" s="215"/>
      <c r="J90" s="206"/>
      <c r="K90" s="206"/>
      <c r="L90" s="206"/>
    </row>
    <row r="91" spans="2:26" x14ac:dyDescent="0.2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</row>
    <row r="92" spans="2:26" x14ac:dyDescent="0.2">
      <c r="B92" s="216"/>
      <c r="C92" s="216"/>
      <c r="D92" s="216"/>
      <c r="E92" s="216"/>
      <c r="F92" s="216"/>
      <c r="G92" s="216"/>
      <c r="H92" s="209"/>
      <c r="I92" s="209"/>
      <c r="J92" s="209"/>
      <c r="K92" s="209"/>
      <c r="L92" s="216"/>
    </row>
    <row r="93" spans="2:26" x14ac:dyDescent="0.2">
      <c r="B93" s="217"/>
      <c r="C93" s="218" t="s">
        <v>137</v>
      </c>
      <c r="D93" s="219" t="s">
        <v>16</v>
      </c>
      <c r="E93" s="219"/>
      <c r="F93" s="219" t="s">
        <v>74</v>
      </c>
      <c r="G93" s="219"/>
      <c r="H93" s="220" t="s">
        <v>75</v>
      </c>
      <c r="I93" s="221"/>
      <c r="J93" s="221"/>
      <c r="K93" s="221"/>
      <c r="L93" s="239"/>
      <c r="M93" s="335"/>
      <c r="N93" s="335"/>
    </row>
    <row r="94" spans="2:26" x14ac:dyDescent="0.2">
      <c r="B94" s="222" t="s">
        <v>76</v>
      </c>
      <c r="C94" s="223" t="s">
        <v>77</v>
      </c>
      <c r="D94" s="223" t="s">
        <v>141</v>
      </c>
      <c r="E94" s="223" t="s">
        <v>78</v>
      </c>
      <c r="F94" s="223" t="s">
        <v>142</v>
      </c>
      <c r="G94" s="223" t="s">
        <v>79</v>
      </c>
      <c r="H94" s="224" t="s">
        <v>48</v>
      </c>
      <c r="I94" s="221"/>
      <c r="J94" s="224" t="s">
        <v>80</v>
      </c>
      <c r="K94" s="221"/>
      <c r="L94" s="240" t="s">
        <v>175</v>
      </c>
      <c r="M94" s="335"/>
      <c r="N94" s="335"/>
    </row>
    <row r="95" spans="2:26" x14ac:dyDescent="0.2">
      <c r="B95" s="225"/>
      <c r="C95" s="226"/>
      <c r="D95" s="226"/>
      <c r="E95" s="225"/>
      <c r="F95" s="225"/>
      <c r="G95" s="225"/>
      <c r="H95" s="227" t="s">
        <v>176</v>
      </c>
      <c r="I95" s="228" t="s">
        <v>177</v>
      </c>
      <c r="J95" s="241" t="s">
        <v>178</v>
      </c>
      <c r="K95" s="241" t="s">
        <v>46</v>
      </c>
      <c r="L95" s="242" t="s">
        <v>48</v>
      </c>
      <c r="M95" s="335"/>
      <c r="N95" s="335"/>
    </row>
    <row r="96" spans="2:26" x14ac:dyDescent="0.2">
      <c r="B96" s="229"/>
      <c r="C96" s="230"/>
      <c r="D96" s="230"/>
      <c r="E96" s="231"/>
      <c r="F96" s="232"/>
      <c r="G96" s="154"/>
      <c r="H96" s="155"/>
      <c r="I96" s="155"/>
      <c r="J96" s="155"/>
      <c r="K96" s="155"/>
      <c r="L96" s="155"/>
      <c r="M96" s="336"/>
      <c r="N96" s="336"/>
      <c r="O96" s="303" t="s">
        <v>257</v>
      </c>
      <c r="P96" s="303"/>
      <c r="Q96" s="303"/>
      <c r="R96" s="303"/>
      <c r="U96" s="153" t="s">
        <v>247</v>
      </c>
      <c r="Y96" s="144" t="s">
        <v>256</v>
      </c>
      <c r="Z96" s="144" t="s">
        <v>184</v>
      </c>
    </row>
    <row r="97" spans="2:26" x14ac:dyDescent="0.2">
      <c r="B97" s="233">
        <v>43168</v>
      </c>
      <c r="C97" s="230" t="s">
        <v>363</v>
      </c>
      <c r="D97" s="230" t="s">
        <v>241</v>
      </c>
      <c r="E97" s="234" t="str">
        <f>+VLOOKUP(F97,[1]bd!A:B,2,0)</f>
        <v>CITIBANK, N.A. SUCURSAL EL SALVADOR</v>
      </c>
      <c r="F97" s="234" t="s">
        <v>179</v>
      </c>
      <c r="G97" s="154"/>
      <c r="H97" s="155"/>
      <c r="I97" s="155"/>
      <c r="J97" s="155">
        <v>1784.17</v>
      </c>
      <c r="K97" s="235">
        <v>231.94</v>
      </c>
      <c r="L97" s="155">
        <f t="shared" ref="L97:L100" si="6">+J97+K97</f>
        <v>2016.1100000000001</v>
      </c>
      <c r="M97" s="336"/>
      <c r="N97" s="336"/>
      <c r="O97" s="260" t="s">
        <v>83</v>
      </c>
      <c r="P97" s="96">
        <v>51000000001</v>
      </c>
      <c r="Q97" s="234" t="s">
        <v>242</v>
      </c>
      <c r="R97" s="237">
        <f>SUMIFS($J$97:$J$104,$E$97:$E$104,Q97,$M$97:$M$104,P97)</f>
        <v>0</v>
      </c>
      <c r="T97" s="144">
        <v>51220200001</v>
      </c>
      <c r="U97" s="144" t="s">
        <v>21</v>
      </c>
      <c r="X97" s="156">
        <v>-2831.04</v>
      </c>
      <c r="Y97" s="258">
        <f>SUMIF($P$97:$P$113,T97,$R$97:$R$113)</f>
        <v>1045.04</v>
      </c>
      <c r="Z97" s="236">
        <f>X97+Y97</f>
        <v>-1786</v>
      </c>
    </row>
    <row r="98" spans="2:26" x14ac:dyDescent="0.2">
      <c r="B98" s="338">
        <v>43168</v>
      </c>
      <c r="C98" s="339" t="s">
        <v>364</v>
      </c>
      <c r="D98" s="339" t="s">
        <v>241</v>
      </c>
      <c r="E98" s="340" t="str">
        <f>+VLOOKUP(F98,[1]bd!A:B,2,0)</f>
        <v>INVERSIONES FINANCIERAS IMPERIA CUSCATLAN, SA</v>
      </c>
      <c r="F98" s="340" t="s">
        <v>270</v>
      </c>
      <c r="G98" s="340"/>
      <c r="H98" s="341"/>
      <c r="I98" s="341"/>
      <c r="J98" s="345">
        <v>354.35</v>
      </c>
      <c r="K98" s="342">
        <v>46.07</v>
      </c>
      <c r="L98" s="341">
        <f t="shared" si="6"/>
        <v>400.42</v>
      </c>
      <c r="M98" s="344">
        <v>51220200001</v>
      </c>
      <c r="N98" s="336"/>
      <c r="O98" s="260" t="s">
        <v>83</v>
      </c>
      <c r="P98" s="96">
        <v>51000000002</v>
      </c>
      <c r="Q98" s="234" t="s">
        <v>242</v>
      </c>
      <c r="R98" s="237">
        <f t="shared" ref="R98:R113" si="7">SUMIFS($J$97:$J$104,$E$97:$E$104,Q98,$M$97:$M$104,P98)</f>
        <v>0</v>
      </c>
      <c r="T98" s="144">
        <v>52120000003</v>
      </c>
      <c r="U98" s="144" t="s">
        <v>72</v>
      </c>
      <c r="X98" s="156">
        <v>-3484.9300000000003</v>
      </c>
      <c r="Y98" s="258">
        <f>SUMIF($P$97:$P$113,T98,$R$97:$R$113)</f>
        <v>0</v>
      </c>
      <c r="Z98" s="236">
        <f>X98+Y98</f>
        <v>-3484.9300000000003</v>
      </c>
    </row>
    <row r="99" spans="2:26" x14ac:dyDescent="0.2">
      <c r="B99" s="338">
        <v>43168</v>
      </c>
      <c r="C99" s="339" t="s">
        <v>365</v>
      </c>
      <c r="D99" s="339" t="s">
        <v>241</v>
      </c>
      <c r="E99" s="340" t="str">
        <f>+VLOOKUP(F99,[1]bd!A:B,2,0)</f>
        <v>BANCO CUSCATLAN DE EL SALVADOR S.A.</v>
      </c>
      <c r="F99" s="340" t="s">
        <v>47</v>
      </c>
      <c r="G99" s="343"/>
      <c r="H99" s="341"/>
      <c r="I99" s="341"/>
      <c r="J99" s="345">
        <v>690.69</v>
      </c>
      <c r="K99" s="342">
        <v>89.79</v>
      </c>
      <c r="L99" s="341">
        <f t="shared" si="6"/>
        <v>780.48</v>
      </c>
      <c r="M99" s="344">
        <v>51220200001</v>
      </c>
      <c r="N99" s="336"/>
      <c r="O99" s="260" t="s">
        <v>83</v>
      </c>
      <c r="P99" s="96">
        <v>51000200001</v>
      </c>
      <c r="Q99" s="234" t="s">
        <v>242</v>
      </c>
      <c r="R99" s="237">
        <f t="shared" si="7"/>
        <v>0</v>
      </c>
      <c r="T99" s="348">
        <v>52200000001</v>
      </c>
      <c r="U99" s="349" t="s">
        <v>11</v>
      </c>
      <c r="V99" s="349"/>
      <c r="W99" s="349"/>
      <c r="X99" s="350">
        <v>-1025.82</v>
      </c>
      <c r="Y99" s="258">
        <v>1025.82</v>
      </c>
      <c r="Z99" s="236">
        <f>X99+Y99</f>
        <v>0</v>
      </c>
    </row>
    <row r="100" spans="2:26" x14ac:dyDescent="0.2">
      <c r="B100" s="233"/>
      <c r="C100" s="230"/>
      <c r="D100" s="230"/>
      <c r="E100" s="234" t="s">
        <v>321</v>
      </c>
      <c r="F100" s="206"/>
      <c r="G100" s="289"/>
      <c r="H100" s="289"/>
      <c r="I100" s="289"/>
      <c r="J100" s="289"/>
      <c r="K100" s="235">
        <v>-367.8</v>
      </c>
      <c r="L100" s="155">
        <f t="shared" si="6"/>
        <v>-367.8</v>
      </c>
      <c r="M100" s="336"/>
      <c r="N100" s="336"/>
      <c r="O100" s="260" t="s">
        <v>83</v>
      </c>
      <c r="P100" s="96">
        <v>51000200001</v>
      </c>
      <c r="Q100" s="234" t="s">
        <v>187</v>
      </c>
      <c r="R100" s="237">
        <f t="shared" si="7"/>
        <v>0</v>
      </c>
      <c r="T100" s="351"/>
      <c r="U100" s="351"/>
      <c r="V100" s="351"/>
      <c r="W100" s="351"/>
      <c r="X100" s="347"/>
      <c r="Y100" s="290">
        <f>SUM(Y97:Y98)</f>
        <v>1045.04</v>
      </c>
      <c r="Z100" s="290">
        <f>SUM(Z97:Z99)</f>
        <v>-5270.93</v>
      </c>
    </row>
    <row r="101" spans="2:26" x14ac:dyDescent="0.2">
      <c r="B101" s="233"/>
      <c r="C101" s="230"/>
      <c r="D101" s="230"/>
      <c r="E101" s="234"/>
      <c r="F101" s="206"/>
      <c r="G101" s="289"/>
      <c r="H101" s="289"/>
      <c r="I101" s="289"/>
      <c r="J101" s="289"/>
      <c r="K101" s="235">
        <v>0</v>
      </c>
      <c r="L101" s="155"/>
      <c r="M101" s="336"/>
      <c r="N101" s="336"/>
      <c r="O101" s="260" t="s">
        <v>83</v>
      </c>
      <c r="P101" s="96">
        <v>51000200001</v>
      </c>
      <c r="Q101" s="234" t="s">
        <v>22</v>
      </c>
      <c r="R101" s="237">
        <f t="shared" si="7"/>
        <v>0</v>
      </c>
      <c r="T101" s="351"/>
      <c r="U101" s="351"/>
      <c r="V101" s="351"/>
      <c r="W101" s="351"/>
      <c r="X101" s="347"/>
      <c r="Y101" s="258"/>
      <c r="Z101" s="236"/>
    </row>
    <row r="102" spans="2:26" x14ac:dyDescent="0.2">
      <c r="B102" s="233"/>
      <c r="C102" s="230"/>
      <c r="D102" s="230"/>
      <c r="E102" s="234"/>
      <c r="F102" s="206"/>
      <c r="G102" s="289"/>
      <c r="H102" s="289"/>
      <c r="I102" s="289"/>
      <c r="J102" s="289"/>
      <c r="K102" s="235"/>
      <c r="L102" s="155"/>
      <c r="M102" s="336"/>
      <c r="N102" s="336"/>
      <c r="O102" s="260" t="s">
        <v>83</v>
      </c>
      <c r="P102" s="96">
        <v>51000200002</v>
      </c>
      <c r="Q102" s="234" t="s">
        <v>242</v>
      </c>
      <c r="R102" s="237">
        <f t="shared" si="7"/>
        <v>0</v>
      </c>
      <c r="Y102" s="258"/>
      <c r="Z102" s="236"/>
    </row>
    <row r="103" spans="2:26" x14ac:dyDescent="0.2">
      <c r="B103" s="206"/>
      <c r="C103" s="207"/>
      <c r="D103" s="207"/>
      <c r="E103" s="234"/>
      <c r="F103" s="206"/>
      <c r="G103" s="289"/>
      <c r="H103" s="289"/>
      <c r="I103" s="289"/>
      <c r="J103" s="289"/>
      <c r="K103" s="289"/>
      <c r="L103" s="289"/>
      <c r="M103" s="337"/>
      <c r="N103" s="337"/>
      <c r="O103" s="260" t="s">
        <v>83</v>
      </c>
      <c r="P103" s="96">
        <v>51000200002</v>
      </c>
      <c r="Q103" s="234" t="s">
        <v>187</v>
      </c>
      <c r="R103" s="237">
        <f t="shared" si="7"/>
        <v>0</v>
      </c>
    </row>
    <row r="104" spans="2:26" x14ac:dyDescent="0.2">
      <c r="B104" s="295"/>
      <c r="C104" s="296"/>
      <c r="D104" s="296"/>
      <c r="E104" s="234"/>
      <c r="F104" s="295"/>
      <c r="G104" s="297"/>
      <c r="H104" s="297"/>
      <c r="I104" s="297"/>
      <c r="J104" s="297"/>
      <c r="K104" s="297"/>
      <c r="L104" s="297"/>
      <c r="O104" s="260" t="s">
        <v>83</v>
      </c>
      <c r="P104" s="96">
        <v>51000200002</v>
      </c>
      <c r="Q104" s="234" t="s">
        <v>22</v>
      </c>
      <c r="R104" s="237">
        <f t="shared" si="7"/>
        <v>0</v>
      </c>
    </row>
    <row r="105" spans="2:26" x14ac:dyDescent="0.2">
      <c r="B105" s="206"/>
      <c r="C105" s="207"/>
      <c r="D105" s="207"/>
      <c r="E105" s="206"/>
      <c r="F105" s="206"/>
      <c r="G105" s="298">
        <f t="shared" ref="G105:I105" si="8">SUM(G96:G104)</f>
        <v>0</v>
      </c>
      <c r="H105" s="298">
        <f t="shared" si="8"/>
        <v>0</v>
      </c>
      <c r="I105" s="298">
        <f t="shared" si="8"/>
        <v>0</v>
      </c>
      <c r="J105" s="298">
        <f>SUM(J96:J104)</f>
        <v>2829.21</v>
      </c>
      <c r="K105" s="298">
        <f>SUM(K96:K104)</f>
        <v>0</v>
      </c>
      <c r="L105" s="298">
        <f>SUM(L96:L104)</f>
        <v>2829.21</v>
      </c>
      <c r="O105" s="260" t="s">
        <v>83</v>
      </c>
      <c r="P105" s="96">
        <v>51220200001</v>
      </c>
      <c r="Q105" s="234" t="s">
        <v>242</v>
      </c>
      <c r="R105" s="237">
        <f t="shared" si="7"/>
        <v>690.69</v>
      </c>
    </row>
    <row r="106" spans="2:26" x14ac:dyDescent="0.2">
      <c r="O106" s="260" t="s">
        <v>83</v>
      </c>
      <c r="P106" s="96">
        <v>51220200001</v>
      </c>
      <c r="Q106" s="234" t="s">
        <v>187</v>
      </c>
      <c r="R106" s="237">
        <f t="shared" si="7"/>
        <v>0</v>
      </c>
    </row>
    <row r="107" spans="2:26" x14ac:dyDescent="0.2">
      <c r="O107" s="260" t="s">
        <v>83</v>
      </c>
      <c r="P107" s="96">
        <v>51220200001</v>
      </c>
      <c r="Q107" s="234" t="s">
        <v>22</v>
      </c>
      <c r="R107" s="237">
        <f t="shared" si="7"/>
        <v>0</v>
      </c>
    </row>
    <row r="108" spans="2:26" x14ac:dyDescent="0.2">
      <c r="O108" s="260" t="s">
        <v>83</v>
      </c>
      <c r="P108" s="96">
        <v>52200000001</v>
      </c>
      <c r="Q108" s="234" t="s">
        <v>242</v>
      </c>
      <c r="R108" s="237">
        <f t="shared" si="7"/>
        <v>0</v>
      </c>
    </row>
    <row r="109" spans="2:26" x14ac:dyDescent="0.2">
      <c r="O109" s="260" t="s">
        <v>83</v>
      </c>
      <c r="P109" s="96">
        <v>52200000001</v>
      </c>
      <c r="Q109" s="234" t="s">
        <v>187</v>
      </c>
      <c r="R109" s="237">
        <f t="shared" si="7"/>
        <v>0</v>
      </c>
      <c r="W109" s="153" t="s">
        <v>255</v>
      </c>
      <c r="X109" s="236">
        <f>+X97</f>
        <v>-2831.04</v>
      </c>
    </row>
    <row r="110" spans="2:26" x14ac:dyDescent="0.2">
      <c r="O110" s="260" t="s">
        <v>83</v>
      </c>
      <c r="P110" s="96">
        <v>52200000001</v>
      </c>
      <c r="Q110" s="234" t="s">
        <v>22</v>
      </c>
      <c r="R110" s="237">
        <f t="shared" si="7"/>
        <v>0</v>
      </c>
      <c r="W110" s="144" t="s">
        <v>257</v>
      </c>
      <c r="X110" s="236">
        <f>Y100</f>
        <v>1045.04</v>
      </c>
    </row>
    <row r="111" spans="2:26" x14ac:dyDescent="0.2">
      <c r="O111" s="260" t="s">
        <v>83</v>
      </c>
      <c r="P111" s="96">
        <v>52200000001</v>
      </c>
      <c r="Q111" s="234" t="s">
        <v>242</v>
      </c>
      <c r="R111" s="237">
        <f t="shared" si="7"/>
        <v>0</v>
      </c>
      <c r="W111" s="144" t="s">
        <v>260</v>
      </c>
      <c r="X111" s="300">
        <f>SUM(J97)</f>
        <v>1784.17</v>
      </c>
    </row>
    <row r="112" spans="2:26" x14ac:dyDescent="0.2">
      <c r="O112" s="260" t="s">
        <v>83</v>
      </c>
      <c r="P112" s="96">
        <v>51220200001</v>
      </c>
      <c r="Q112" s="234" t="s">
        <v>269</v>
      </c>
      <c r="R112" s="237">
        <f t="shared" si="7"/>
        <v>354.35</v>
      </c>
      <c r="X112" s="290">
        <f>X109+X110+X111</f>
        <v>-1.8299999999999272</v>
      </c>
      <c r="Y112" s="144" t="s">
        <v>275</v>
      </c>
    </row>
    <row r="113" spans="2:26" x14ac:dyDescent="0.2">
      <c r="O113" s="260" t="s">
        <v>83</v>
      </c>
      <c r="P113" s="96">
        <v>53000100001</v>
      </c>
      <c r="Q113" s="234" t="s">
        <v>242</v>
      </c>
      <c r="R113" s="237">
        <f t="shared" si="7"/>
        <v>0</v>
      </c>
    </row>
    <row r="114" spans="2:26" x14ac:dyDescent="0.2">
      <c r="O114" s="260"/>
      <c r="P114" s="144"/>
      <c r="Q114" s="234"/>
      <c r="R114" s="259">
        <f>SUM(R97:R113)</f>
        <v>1045.04</v>
      </c>
    </row>
    <row r="117" spans="2:26" ht="16.5" x14ac:dyDescent="0.25">
      <c r="B117" s="205" t="s">
        <v>240</v>
      </c>
      <c r="C117" s="206"/>
      <c r="D117" s="207"/>
      <c r="E117" s="208" t="s">
        <v>84</v>
      </c>
    </row>
    <row r="118" spans="2:26" x14ac:dyDescent="0.2">
      <c r="B118" s="212" t="s">
        <v>15</v>
      </c>
      <c r="C118" s="206"/>
      <c r="D118" s="206"/>
      <c r="E118" s="213"/>
    </row>
    <row r="120" spans="2:26" x14ac:dyDescent="0.2">
      <c r="O120" s="303" t="s">
        <v>257</v>
      </c>
      <c r="P120" s="303"/>
      <c r="Q120" s="303"/>
      <c r="R120" s="303"/>
      <c r="U120" s="153" t="s">
        <v>247</v>
      </c>
      <c r="Y120" s="144" t="s">
        <v>256</v>
      </c>
      <c r="Z120" s="144" t="s">
        <v>184</v>
      </c>
    </row>
    <row r="121" spans="2:26" x14ac:dyDescent="0.2">
      <c r="B121" s="217"/>
      <c r="C121" s="218" t="s">
        <v>137</v>
      </c>
      <c r="D121" s="219" t="s">
        <v>16</v>
      </c>
      <c r="E121" s="219"/>
      <c r="F121" s="219" t="s">
        <v>74</v>
      </c>
      <c r="G121" s="219"/>
      <c r="H121" s="220" t="s">
        <v>75</v>
      </c>
      <c r="I121" s="221"/>
      <c r="J121" s="221"/>
      <c r="K121" s="221"/>
      <c r="L121" s="239"/>
      <c r="O121" s="260" t="s">
        <v>84</v>
      </c>
      <c r="P121" s="96">
        <v>51000000001</v>
      </c>
      <c r="Q121" s="234" t="s">
        <v>242</v>
      </c>
      <c r="R121" s="237">
        <f>SUMIFS($J$125:$J$134,$E$125:$E$134,Q121,$M$125:$M$134,P121)</f>
        <v>0</v>
      </c>
      <c r="T121" s="144">
        <v>51000100001</v>
      </c>
      <c r="U121" s="144" t="s">
        <v>4</v>
      </c>
      <c r="X121" s="156">
        <v>-193.27</v>
      </c>
      <c r="Y121" s="258">
        <f>R123</f>
        <v>193.27</v>
      </c>
      <c r="Z121" s="236">
        <f>X121+Y121</f>
        <v>0</v>
      </c>
    </row>
    <row r="122" spans="2:26" x14ac:dyDescent="0.2">
      <c r="B122" s="222" t="s">
        <v>76</v>
      </c>
      <c r="C122" s="223" t="s">
        <v>77</v>
      </c>
      <c r="D122" s="223" t="s">
        <v>141</v>
      </c>
      <c r="E122" s="223" t="s">
        <v>78</v>
      </c>
      <c r="F122" s="223" t="s">
        <v>142</v>
      </c>
      <c r="G122" s="223" t="s">
        <v>79</v>
      </c>
      <c r="H122" s="224" t="s">
        <v>48</v>
      </c>
      <c r="I122" s="221"/>
      <c r="J122" s="224" t="s">
        <v>80</v>
      </c>
      <c r="K122" s="221"/>
      <c r="L122" s="240" t="s">
        <v>175</v>
      </c>
      <c r="O122" s="260" t="s">
        <v>84</v>
      </c>
      <c r="P122" s="96">
        <v>51000000002</v>
      </c>
      <c r="Q122" s="234" t="s">
        <v>242</v>
      </c>
      <c r="R122" s="237">
        <f t="shared" ref="R122:R124" si="9">SUMIFS($J$125:$J$134,$E$125:$E$134,Q122,$M$125:$M$134,P122)</f>
        <v>0</v>
      </c>
      <c r="T122" s="144">
        <v>51000100002</v>
      </c>
      <c r="U122" s="144" t="s">
        <v>193</v>
      </c>
      <c r="X122" s="156">
        <v>-193.27</v>
      </c>
      <c r="Y122" s="258">
        <f>R124</f>
        <v>193.27</v>
      </c>
      <c r="Z122" s="236">
        <f>X122+Y122</f>
        <v>0</v>
      </c>
    </row>
    <row r="123" spans="2:26" x14ac:dyDescent="0.2">
      <c r="B123" s="225"/>
      <c r="C123" s="226"/>
      <c r="D123" s="226"/>
      <c r="E123" s="225"/>
      <c r="F123" s="225"/>
      <c r="G123" s="225"/>
      <c r="H123" s="227" t="s">
        <v>176</v>
      </c>
      <c r="I123" s="228" t="s">
        <v>177</v>
      </c>
      <c r="J123" s="241" t="s">
        <v>178</v>
      </c>
      <c r="K123" s="241" t="s">
        <v>46</v>
      </c>
      <c r="L123" s="242" t="s">
        <v>48</v>
      </c>
      <c r="O123" s="260" t="s">
        <v>84</v>
      </c>
      <c r="P123" s="96">
        <v>51000100001</v>
      </c>
      <c r="Q123" s="234" t="s">
        <v>242</v>
      </c>
      <c r="R123" s="237">
        <f t="shared" si="9"/>
        <v>193.27</v>
      </c>
      <c r="T123" s="144">
        <v>51220200001</v>
      </c>
      <c r="U123" s="144" t="s">
        <v>21</v>
      </c>
      <c r="X123" s="156">
        <v>-1024.6799999999994</v>
      </c>
      <c r="Y123" s="258">
        <f>R131+R138</f>
        <v>1022.86</v>
      </c>
      <c r="Z123" s="236">
        <f>X123+Y123</f>
        <v>-1.8199999999993679</v>
      </c>
    </row>
    <row r="124" spans="2:26" x14ac:dyDescent="0.2">
      <c r="B124" s="229"/>
      <c r="C124" s="230"/>
      <c r="D124" s="230"/>
      <c r="E124" s="231"/>
      <c r="F124" s="232"/>
      <c r="G124" s="154"/>
      <c r="H124" s="155"/>
      <c r="I124" s="155"/>
      <c r="J124" s="155"/>
      <c r="K124" s="155"/>
      <c r="L124" s="155"/>
      <c r="O124" s="260" t="s">
        <v>84</v>
      </c>
      <c r="P124" s="96">
        <v>51000100002</v>
      </c>
      <c r="Q124" s="234" t="s">
        <v>242</v>
      </c>
      <c r="R124" s="237">
        <f t="shared" si="9"/>
        <v>193.27</v>
      </c>
      <c r="T124" s="144">
        <v>52200000001</v>
      </c>
      <c r="U124" s="144" t="s">
        <v>11</v>
      </c>
      <c r="X124" s="156">
        <v>-6719.37</v>
      </c>
    </row>
    <row r="125" spans="2:26" x14ac:dyDescent="0.2">
      <c r="B125" s="233"/>
      <c r="C125" s="230" t="s">
        <v>374</v>
      </c>
      <c r="D125" s="230" t="s">
        <v>241</v>
      </c>
      <c r="E125" s="234" t="s">
        <v>259</v>
      </c>
      <c r="F125" s="234">
        <v>0</v>
      </c>
      <c r="G125" s="154"/>
      <c r="H125" s="155"/>
      <c r="I125" s="155"/>
      <c r="J125" s="155">
        <v>0</v>
      </c>
      <c r="K125" s="235">
        <v>0</v>
      </c>
      <c r="L125" s="155">
        <v>0</v>
      </c>
      <c r="O125" s="260" t="s">
        <v>84</v>
      </c>
      <c r="P125" s="96">
        <v>51000200001</v>
      </c>
      <c r="Q125" s="234" t="s">
        <v>242</v>
      </c>
      <c r="R125" s="237">
        <f t="shared" ref="R125:R139" si="10">SUMIFS($J$125:$J$134,$E$125:$E$134,Q125,$M$125:$M$134,P125)</f>
        <v>0</v>
      </c>
      <c r="Y125" s="290">
        <f>SUM(Y121:Y124)</f>
        <v>1409.4</v>
      </c>
      <c r="Z125" s="290">
        <f>SUM(Z121:Z124)</f>
        <v>-1.8199999999993679</v>
      </c>
    </row>
    <row r="126" spans="2:26" x14ac:dyDescent="0.2">
      <c r="B126" s="233"/>
      <c r="C126" s="230" t="s">
        <v>375</v>
      </c>
      <c r="D126" s="230" t="s">
        <v>241</v>
      </c>
      <c r="E126" s="234" t="s">
        <v>259</v>
      </c>
      <c r="F126" s="234">
        <v>0</v>
      </c>
      <c r="G126" s="234"/>
      <c r="H126" s="155"/>
      <c r="I126" s="155"/>
      <c r="J126" s="155">
        <v>0</v>
      </c>
      <c r="K126" s="235">
        <v>0</v>
      </c>
      <c r="L126" s="155">
        <v>0</v>
      </c>
      <c r="O126" s="260" t="s">
        <v>84</v>
      </c>
      <c r="P126" s="96">
        <v>51000200001</v>
      </c>
      <c r="Q126" s="234" t="s">
        <v>187</v>
      </c>
      <c r="R126" s="237">
        <f t="shared" si="10"/>
        <v>0</v>
      </c>
    </row>
    <row r="127" spans="2:26" x14ac:dyDescent="0.2">
      <c r="B127" s="233">
        <v>43196</v>
      </c>
      <c r="C127" s="230" t="s">
        <v>376</v>
      </c>
      <c r="D127" s="230" t="s">
        <v>241</v>
      </c>
      <c r="E127" s="234" t="s">
        <v>242</v>
      </c>
      <c r="F127" s="234" t="s">
        <v>47</v>
      </c>
      <c r="G127" s="154"/>
      <c r="H127" s="155"/>
      <c r="I127" s="155"/>
      <c r="J127" s="155">
        <v>193.27</v>
      </c>
      <c r="K127" s="235">
        <v>25.12</v>
      </c>
      <c r="L127" s="155">
        <v>218.39000000000001</v>
      </c>
      <c r="M127" s="144">
        <v>51000100001</v>
      </c>
      <c r="O127" s="260" t="s">
        <v>84</v>
      </c>
      <c r="P127" s="96">
        <v>51000200001</v>
      </c>
      <c r="Q127" s="234" t="s">
        <v>22</v>
      </c>
      <c r="R127" s="237">
        <f t="shared" si="10"/>
        <v>0</v>
      </c>
    </row>
    <row r="128" spans="2:26" x14ac:dyDescent="0.2">
      <c r="B128" s="233">
        <v>43196</v>
      </c>
      <c r="C128" s="230" t="s">
        <v>377</v>
      </c>
      <c r="D128" s="230" t="s">
        <v>241</v>
      </c>
      <c r="E128" s="234" t="s">
        <v>242</v>
      </c>
      <c r="F128" s="234" t="s">
        <v>47</v>
      </c>
      <c r="G128" s="234"/>
      <c r="H128" s="155"/>
      <c r="I128" s="155"/>
      <c r="J128" s="155">
        <v>193.27</v>
      </c>
      <c r="K128" s="235">
        <v>25.12</v>
      </c>
      <c r="L128" s="155">
        <v>218.39000000000001</v>
      </c>
      <c r="M128" s="144">
        <v>51000100002</v>
      </c>
      <c r="O128" s="260" t="s">
        <v>84</v>
      </c>
      <c r="P128" s="96">
        <v>51000200002</v>
      </c>
      <c r="Q128" s="234" t="s">
        <v>242</v>
      </c>
      <c r="R128" s="237">
        <f t="shared" si="10"/>
        <v>0</v>
      </c>
    </row>
    <row r="129" spans="2:25" x14ac:dyDescent="0.2">
      <c r="B129" s="233"/>
      <c r="C129" s="230" t="s">
        <v>378</v>
      </c>
      <c r="D129" s="230" t="s">
        <v>241</v>
      </c>
      <c r="E129" s="234" t="s">
        <v>259</v>
      </c>
      <c r="F129" s="234">
        <v>0</v>
      </c>
      <c r="G129" s="234"/>
      <c r="H129" s="155"/>
      <c r="I129" s="155"/>
      <c r="J129" s="155">
        <v>0</v>
      </c>
      <c r="K129" s="235">
        <v>0</v>
      </c>
      <c r="L129" s="155">
        <v>0</v>
      </c>
      <c r="O129" s="260" t="s">
        <v>84</v>
      </c>
      <c r="P129" s="96">
        <v>51000200002</v>
      </c>
      <c r="Q129" s="234" t="s">
        <v>187</v>
      </c>
      <c r="R129" s="237">
        <f t="shared" si="10"/>
        <v>0</v>
      </c>
    </row>
    <row r="130" spans="2:25" x14ac:dyDescent="0.2">
      <c r="B130" s="233"/>
      <c r="C130" s="230" t="s">
        <v>379</v>
      </c>
      <c r="D130" s="230" t="s">
        <v>241</v>
      </c>
      <c r="E130" s="234" t="s">
        <v>259</v>
      </c>
      <c r="F130" s="234">
        <v>0</v>
      </c>
      <c r="G130" s="234"/>
      <c r="H130" s="155"/>
      <c r="I130" s="155"/>
      <c r="J130" s="155">
        <v>0</v>
      </c>
      <c r="K130" s="235">
        <v>0</v>
      </c>
      <c r="L130" s="155">
        <v>0</v>
      </c>
      <c r="O130" s="260" t="s">
        <v>84</v>
      </c>
      <c r="P130" s="96">
        <v>51000200002</v>
      </c>
      <c r="Q130" s="234" t="s">
        <v>22</v>
      </c>
      <c r="R130" s="237">
        <f t="shared" si="10"/>
        <v>0</v>
      </c>
    </row>
    <row r="131" spans="2:25" x14ac:dyDescent="0.2">
      <c r="B131" s="233">
        <v>43202</v>
      </c>
      <c r="C131" s="230" t="s">
        <v>380</v>
      </c>
      <c r="D131" s="230" t="s">
        <v>241</v>
      </c>
      <c r="E131" s="234" t="s">
        <v>269</v>
      </c>
      <c r="F131" s="234" t="s">
        <v>270</v>
      </c>
      <c r="G131" s="234"/>
      <c r="H131" s="155"/>
      <c r="I131" s="155"/>
      <c r="J131" s="155">
        <v>379.35</v>
      </c>
      <c r="K131" s="235">
        <v>49.32</v>
      </c>
      <c r="L131" s="155">
        <v>428.67</v>
      </c>
      <c r="M131" s="144">
        <v>51220200001</v>
      </c>
      <c r="O131" s="260" t="s">
        <v>84</v>
      </c>
      <c r="P131" s="96">
        <v>51220200001</v>
      </c>
      <c r="Q131" s="234" t="s">
        <v>242</v>
      </c>
      <c r="R131" s="237">
        <f t="shared" si="10"/>
        <v>643.51</v>
      </c>
      <c r="W131" s="153" t="s">
        <v>255</v>
      </c>
      <c r="X131" s="236">
        <f>+X121+X122+X123</f>
        <v>-1411.2199999999993</v>
      </c>
    </row>
    <row r="132" spans="2:25" x14ac:dyDescent="0.2">
      <c r="B132" s="233">
        <v>43202</v>
      </c>
      <c r="C132" s="230" t="s">
        <v>381</v>
      </c>
      <c r="D132" s="230" t="s">
        <v>241</v>
      </c>
      <c r="E132" s="234" t="s">
        <v>242</v>
      </c>
      <c r="F132" s="234" t="s">
        <v>47</v>
      </c>
      <c r="G132" s="234"/>
      <c r="H132" s="155"/>
      <c r="I132" s="155"/>
      <c r="J132" s="155">
        <v>643.51</v>
      </c>
      <c r="K132" s="235">
        <v>83.66</v>
      </c>
      <c r="L132" s="155">
        <v>727.17</v>
      </c>
      <c r="M132" s="144">
        <v>51220200001</v>
      </c>
      <c r="O132" s="260" t="s">
        <v>84</v>
      </c>
      <c r="P132" s="96">
        <v>51220200001</v>
      </c>
      <c r="Q132" s="234" t="s">
        <v>187</v>
      </c>
      <c r="R132" s="237">
        <f t="shared" si="10"/>
        <v>0</v>
      </c>
      <c r="W132" s="144" t="s">
        <v>257</v>
      </c>
      <c r="X132" s="236">
        <f>Y125</f>
        <v>1409.4</v>
      </c>
    </row>
    <row r="133" spans="2:25" x14ac:dyDescent="0.2">
      <c r="O133" s="260" t="s">
        <v>84</v>
      </c>
      <c r="P133" s="96">
        <v>51220200001</v>
      </c>
      <c r="Q133" s="234" t="s">
        <v>22</v>
      </c>
      <c r="R133" s="237">
        <f t="shared" si="10"/>
        <v>0</v>
      </c>
      <c r="W133" s="144" t="s">
        <v>260</v>
      </c>
      <c r="X133" s="300">
        <v>0</v>
      </c>
    </row>
    <row r="134" spans="2:25" x14ac:dyDescent="0.2">
      <c r="E134" s="234" t="s">
        <v>321</v>
      </c>
      <c r="F134" s="206"/>
      <c r="G134" s="289"/>
      <c r="H134" s="289"/>
      <c r="I134" s="289"/>
      <c r="J134" s="289"/>
      <c r="K134" s="235">
        <v>-183.22</v>
      </c>
      <c r="L134" s="155">
        <f t="shared" ref="L134" si="11">+J134+K134</f>
        <v>-183.22</v>
      </c>
      <c r="O134" s="260" t="s">
        <v>84</v>
      </c>
      <c r="P134" s="96">
        <v>52200000001</v>
      </c>
      <c r="Q134" s="234" t="s">
        <v>242</v>
      </c>
      <c r="R134" s="237">
        <f t="shared" si="10"/>
        <v>0</v>
      </c>
      <c r="X134" s="290">
        <f>X131+X132+X133</f>
        <v>-1.8199999999992542</v>
      </c>
      <c r="Y134" s="144" t="s">
        <v>275</v>
      </c>
    </row>
    <row r="135" spans="2:25" x14ac:dyDescent="0.2">
      <c r="E135" s="234"/>
      <c r="F135" s="206"/>
      <c r="G135" s="289"/>
      <c r="H135" s="289"/>
      <c r="I135" s="289"/>
      <c r="J135" s="289"/>
      <c r="K135" s="235">
        <v>0</v>
      </c>
      <c r="L135" s="155"/>
      <c r="O135" s="260" t="s">
        <v>84</v>
      </c>
      <c r="P135" s="96">
        <v>52200000001</v>
      </c>
      <c r="Q135" s="234" t="s">
        <v>187</v>
      </c>
      <c r="R135" s="237">
        <f t="shared" si="10"/>
        <v>0</v>
      </c>
    </row>
    <row r="136" spans="2:25" x14ac:dyDescent="0.2">
      <c r="E136" s="234"/>
      <c r="F136" s="206"/>
      <c r="G136" s="289"/>
      <c r="H136" s="289"/>
      <c r="I136" s="289"/>
      <c r="J136" s="289"/>
      <c r="K136" s="235"/>
      <c r="L136" s="155"/>
      <c r="O136" s="260" t="s">
        <v>84</v>
      </c>
      <c r="P136" s="96">
        <v>52200000001</v>
      </c>
      <c r="Q136" s="234" t="s">
        <v>22</v>
      </c>
      <c r="R136" s="237">
        <f t="shared" si="10"/>
        <v>0</v>
      </c>
    </row>
    <row r="137" spans="2:25" x14ac:dyDescent="0.2">
      <c r="E137" s="234"/>
      <c r="F137" s="206"/>
      <c r="G137" s="289"/>
      <c r="H137" s="289"/>
      <c r="I137" s="289"/>
      <c r="J137" s="289"/>
      <c r="K137" s="289"/>
      <c r="L137" s="289"/>
      <c r="O137" s="260" t="s">
        <v>84</v>
      </c>
      <c r="P137" s="96">
        <v>52200000001</v>
      </c>
      <c r="Q137" s="234" t="s">
        <v>242</v>
      </c>
      <c r="R137" s="237">
        <f t="shared" si="10"/>
        <v>0</v>
      </c>
    </row>
    <row r="138" spans="2:25" x14ac:dyDescent="0.2">
      <c r="E138" s="234"/>
      <c r="F138" s="295"/>
      <c r="G138" s="297"/>
      <c r="H138" s="297"/>
      <c r="I138" s="297"/>
      <c r="J138" s="297"/>
      <c r="K138" s="297"/>
      <c r="L138" s="297"/>
      <c r="O138" s="260" t="s">
        <v>84</v>
      </c>
      <c r="P138" s="96">
        <v>51220200001</v>
      </c>
      <c r="Q138" s="234" t="s">
        <v>269</v>
      </c>
      <c r="R138" s="237">
        <f t="shared" si="10"/>
        <v>379.35</v>
      </c>
    </row>
    <row r="139" spans="2:25" x14ac:dyDescent="0.2">
      <c r="E139" s="206"/>
      <c r="F139" s="206"/>
      <c r="G139" s="298">
        <f t="shared" ref="G139:I139" si="12">SUM(G56:G138)</f>
        <v>2017</v>
      </c>
      <c r="H139" s="298">
        <f t="shared" si="12"/>
        <v>0</v>
      </c>
      <c r="I139" s="298">
        <f t="shared" si="12"/>
        <v>0</v>
      </c>
      <c r="J139" s="298">
        <f>SUM(J56:J138)</f>
        <v>66643.14</v>
      </c>
      <c r="K139" s="298">
        <f>SUM(K56:K138)</f>
        <v>3834.7399999999989</v>
      </c>
      <c r="L139" s="298">
        <f>SUM(L56:L138)</f>
        <v>70477.87999999999</v>
      </c>
      <c r="O139" s="260" t="s">
        <v>84</v>
      </c>
      <c r="P139" s="96">
        <v>53000100001</v>
      </c>
      <c r="Q139" s="234" t="s">
        <v>242</v>
      </c>
      <c r="R139" s="353">
        <f t="shared" si="10"/>
        <v>0</v>
      </c>
    </row>
    <row r="140" spans="2:25" x14ac:dyDescent="0.2">
      <c r="R140" s="259">
        <f>SUM(R121:R139)</f>
        <v>1409.4</v>
      </c>
    </row>
    <row r="147" spans="2:26" ht="16.5" x14ac:dyDescent="0.25">
      <c r="B147" s="205" t="s">
        <v>240</v>
      </c>
      <c r="C147" s="206"/>
      <c r="D147" s="207"/>
      <c r="E147" s="208" t="s">
        <v>85</v>
      </c>
    </row>
    <row r="148" spans="2:26" x14ac:dyDescent="0.2">
      <c r="B148" s="212" t="s">
        <v>15</v>
      </c>
      <c r="C148" s="206"/>
      <c r="D148" s="206"/>
      <c r="E148" s="213"/>
    </row>
    <row r="151" spans="2:26" x14ac:dyDescent="0.2">
      <c r="B151" s="217"/>
      <c r="C151" s="218" t="s">
        <v>137</v>
      </c>
      <c r="D151" s="219" t="s">
        <v>16</v>
      </c>
      <c r="E151" s="219"/>
      <c r="F151" s="219" t="s">
        <v>74</v>
      </c>
      <c r="G151" s="219"/>
      <c r="H151" s="220" t="s">
        <v>75</v>
      </c>
      <c r="I151" s="221"/>
      <c r="J151" s="221"/>
      <c r="K151" s="221"/>
      <c r="L151" s="239"/>
      <c r="O151" s="303" t="s">
        <v>257</v>
      </c>
      <c r="P151" s="303"/>
      <c r="Q151" s="303"/>
      <c r="R151" s="303"/>
      <c r="U151" s="153" t="s">
        <v>247</v>
      </c>
      <c r="Y151" s="144" t="s">
        <v>256</v>
      </c>
      <c r="Z151" s="144" t="s">
        <v>184</v>
      </c>
    </row>
    <row r="152" spans="2:26" x14ac:dyDescent="0.2">
      <c r="B152" s="222" t="s">
        <v>76</v>
      </c>
      <c r="C152" s="223" t="s">
        <v>77</v>
      </c>
      <c r="D152" s="223" t="s">
        <v>141</v>
      </c>
      <c r="E152" s="223" t="s">
        <v>78</v>
      </c>
      <c r="F152" s="223" t="s">
        <v>142</v>
      </c>
      <c r="G152" s="223" t="s">
        <v>79</v>
      </c>
      <c r="H152" s="224" t="s">
        <v>48</v>
      </c>
      <c r="I152" s="221"/>
      <c r="J152" s="224" t="s">
        <v>80</v>
      </c>
      <c r="K152" s="221"/>
      <c r="L152" s="240" t="s">
        <v>175</v>
      </c>
      <c r="O152" s="260" t="s">
        <v>85</v>
      </c>
      <c r="P152" s="96">
        <v>51000000001</v>
      </c>
      <c r="Q152" s="234" t="s">
        <v>242</v>
      </c>
      <c r="R152" s="237">
        <f>SUMIFS($J$155:$J$171,$E$155:$E$171,Q152,$M$155:$M$171,P152)</f>
        <v>0</v>
      </c>
      <c r="T152" s="144">
        <v>51000100001</v>
      </c>
      <c r="U152" s="144" t="s">
        <v>4</v>
      </c>
      <c r="X152" s="156">
        <v>-16204.79</v>
      </c>
      <c r="Y152" s="156">
        <f>R154</f>
        <v>2246.86</v>
      </c>
      <c r="Z152" s="236">
        <f>X152+Y152</f>
        <v>-13957.93</v>
      </c>
    </row>
    <row r="153" spans="2:26" x14ac:dyDescent="0.2">
      <c r="B153" s="225"/>
      <c r="C153" s="226"/>
      <c r="D153" s="226"/>
      <c r="E153" s="225"/>
      <c r="F153" s="225"/>
      <c r="G153" s="225"/>
      <c r="H153" s="227" t="s">
        <v>176</v>
      </c>
      <c r="I153" s="228" t="s">
        <v>177</v>
      </c>
      <c r="J153" s="241" t="s">
        <v>178</v>
      </c>
      <c r="K153" s="241" t="s">
        <v>46</v>
      </c>
      <c r="L153" s="242" t="s">
        <v>48</v>
      </c>
      <c r="O153" s="260" t="s">
        <v>85</v>
      </c>
      <c r="P153" s="96">
        <v>51000000002</v>
      </c>
      <c r="Q153" s="234" t="s">
        <v>242</v>
      </c>
      <c r="R153" s="237">
        <f t="shared" ref="R153:R170" si="13">SUMIFS($J$155:$J$171,$E$155:$E$171,Q153,$M$155:$M$171,P153)</f>
        <v>0</v>
      </c>
      <c r="T153" s="144">
        <v>51000100002</v>
      </c>
      <c r="U153" s="144" t="s">
        <v>193</v>
      </c>
      <c r="X153" s="156">
        <v>-10970.58</v>
      </c>
      <c r="Y153" s="156">
        <f>R155</f>
        <v>2246.86</v>
      </c>
      <c r="Z153" s="236">
        <f>X153+Y153</f>
        <v>-8723.7199999999993</v>
      </c>
    </row>
    <row r="154" spans="2:26" x14ac:dyDescent="0.2">
      <c r="B154" s="229"/>
      <c r="C154" s="230"/>
      <c r="D154" s="230"/>
      <c r="E154" s="231"/>
      <c r="F154" s="232"/>
      <c r="G154" s="154"/>
      <c r="H154" s="155"/>
      <c r="I154" s="155"/>
      <c r="J154" s="155"/>
      <c r="K154" s="155"/>
      <c r="L154" s="155"/>
      <c r="O154" s="260" t="s">
        <v>85</v>
      </c>
      <c r="P154" s="96">
        <v>51000100001</v>
      </c>
      <c r="Q154" s="234" t="s">
        <v>242</v>
      </c>
      <c r="R154" s="237">
        <f t="shared" si="13"/>
        <v>2246.86</v>
      </c>
      <c r="T154" s="144">
        <v>51220200001</v>
      </c>
      <c r="U154" s="144" t="s">
        <v>21</v>
      </c>
      <c r="X154" s="156">
        <v>-942.17000000000007</v>
      </c>
      <c r="Y154" s="156">
        <f>R162+R169</f>
        <v>918.99</v>
      </c>
      <c r="Z154" s="236">
        <f>X154+Y154</f>
        <v>-23.180000000000064</v>
      </c>
    </row>
    <row r="155" spans="2:26" x14ac:dyDescent="0.2">
      <c r="B155" s="233">
        <v>43222</v>
      </c>
      <c r="C155" s="230" t="s">
        <v>393</v>
      </c>
      <c r="D155" s="230" t="s">
        <v>241</v>
      </c>
      <c r="E155" s="234" t="s">
        <v>242</v>
      </c>
      <c r="F155" s="234" t="s">
        <v>47</v>
      </c>
      <c r="G155" s="154"/>
      <c r="H155" s="155"/>
      <c r="I155" s="155"/>
      <c r="J155" s="155">
        <v>2246.86</v>
      </c>
      <c r="K155" s="235">
        <v>292.08999999999997</v>
      </c>
      <c r="L155" s="155">
        <v>2538.9500000000003</v>
      </c>
      <c r="M155" s="144">
        <v>51000100002</v>
      </c>
      <c r="O155" s="260" t="s">
        <v>85</v>
      </c>
      <c r="P155" s="96">
        <v>51000100002</v>
      </c>
      <c r="Q155" s="234" t="s">
        <v>242</v>
      </c>
      <c r="R155" s="237">
        <f t="shared" si="13"/>
        <v>2246.86</v>
      </c>
      <c r="T155" s="144">
        <v>52200000001</v>
      </c>
      <c r="U155" s="144" t="s">
        <v>11</v>
      </c>
      <c r="X155" s="156">
        <v>-5836.4399999999987</v>
      </c>
      <c r="Y155" s="304"/>
      <c r="Z155" s="359"/>
    </row>
    <row r="156" spans="2:26" x14ac:dyDescent="0.2">
      <c r="B156" s="233"/>
      <c r="C156" s="230" t="s">
        <v>394</v>
      </c>
      <c r="D156" s="230" t="s">
        <v>241</v>
      </c>
      <c r="E156" s="234" t="s">
        <v>259</v>
      </c>
      <c r="F156" s="234">
        <v>0</v>
      </c>
      <c r="G156" s="234"/>
      <c r="H156" s="155"/>
      <c r="I156" s="155"/>
      <c r="J156" s="155">
        <v>0</v>
      </c>
      <c r="K156" s="235">
        <v>0</v>
      </c>
      <c r="L156" s="155">
        <v>0</v>
      </c>
      <c r="O156" s="260" t="s">
        <v>85</v>
      </c>
      <c r="P156" s="96">
        <v>51000200001</v>
      </c>
      <c r="Q156" s="234" t="s">
        <v>242</v>
      </c>
      <c r="R156" s="237">
        <f t="shared" si="13"/>
        <v>0</v>
      </c>
      <c r="Y156" s="290">
        <f>SUM(Y152:Y155)</f>
        <v>5412.71</v>
      </c>
      <c r="Z156" s="290">
        <f>SUM(Z152:Z155)</f>
        <v>-22704.83</v>
      </c>
    </row>
    <row r="157" spans="2:26" x14ac:dyDescent="0.2">
      <c r="B157" s="233">
        <v>43222</v>
      </c>
      <c r="C157" s="230" t="s">
        <v>395</v>
      </c>
      <c r="D157" s="230" t="s">
        <v>241</v>
      </c>
      <c r="E157" s="234" t="s">
        <v>323</v>
      </c>
      <c r="F157" s="234" t="s">
        <v>179</v>
      </c>
      <c r="G157" s="154"/>
      <c r="H157" s="155"/>
      <c r="I157" s="155"/>
      <c r="J157" s="155">
        <v>3594.96</v>
      </c>
      <c r="K157" s="235">
        <v>467.33</v>
      </c>
      <c r="L157" s="155">
        <v>4062.29</v>
      </c>
      <c r="M157" s="144">
        <v>51000100001</v>
      </c>
      <c r="O157" s="260" t="s">
        <v>85</v>
      </c>
      <c r="P157" s="96">
        <v>51000200001</v>
      </c>
      <c r="Q157" s="234" t="s">
        <v>187</v>
      </c>
      <c r="R157" s="237">
        <f t="shared" si="13"/>
        <v>0</v>
      </c>
    </row>
    <row r="158" spans="2:26" x14ac:dyDescent="0.2">
      <c r="B158" s="233"/>
      <c r="C158" s="230" t="s">
        <v>396</v>
      </c>
      <c r="D158" s="230" t="s">
        <v>241</v>
      </c>
      <c r="E158" s="234" t="s">
        <v>259</v>
      </c>
      <c r="F158" s="234">
        <v>0</v>
      </c>
      <c r="G158" s="234"/>
      <c r="H158" s="155"/>
      <c r="I158" s="155"/>
      <c r="J158" s="155">
        <v>0</v>
      </c>
      <c r="K158" s="235">
        <v>0</v>
      </c>
      <c r="L158" s="155">
        <v>0</v>
      </c>
      <c r="O158" s="260" t="s">
        <v>85</v>
      </c>
      <c r="P158" s="96">
        <v>51000200001</v>
      </c>
      <c r="Q158" s="234" t="s">
        <v>22</v>
      </c>
      <c r="R158" s="237">
        <f t="shared" si="13"/>
        <v>0</v>
      </c>
    </row>
    <row r="159" spans="2:26" x14ac:dyDescent="0.2">
      <c r="B159" s="233"/>
      <c r="C159" s="230" t="s">
        <v>397</v>
      </c>
      <c r="D159" s="230" t="s">
        <v>241</v>
      </c>
      <c r="E159" s="234" t="s">
        <v>259</v>
      </c>
      <c r="F159" s="234">
        <v>0</v>
      </c>
      <c r="G159" s="234"/>
      <c r="H159" s="155"/>
      <c r="I159" s="155"/>
      <c r="J159" s="155">
        <v>0</v>
      </c>
      <c r="K159" s="235">
        <v>0</v>
      </c>
      <c r="L159" s="155">
        <v>0</v>
      </c>
      <c r="O159" s="260" t="s">
        <v>85</v>
      </c>
      <c r="P159" s="96">
        <v>51000200002</v>
      </c>
      <c r="Q159" s="234" t="s">
        <v>242</v>
      </c>
      <c r="R159" s="237">
        <f t="shared" si="13"/>
        <v>0</v>
      </c>
    </row>
    <row r="160" spans="2:26" x14ac:dyDescent="0.2">
      <c r="B160" s="233"/>
      <c r="C160" s="230" t="s">
        <v>398</v>
      </c>
      <c r="D160" s="230" t="s">
        <v>241</v>
      </c>
      <c r="E160" s="234" t="s">
        <v>259</v>
      </c>
      <c r="F160" s="234">
        <v>0</v>
      </c>
      <c r="G160" s="234"/>
      <c r="H160" s="155"/>
      <c r="I160" s="155"/>
      <c r="J160" s="155">
        <v>0</v>
      </c>
      <c r="K160" s="235">
        <v>0</v>
      </c>
      <c r="L160" s="155">
        <v>0</v>
      </c>
      <c r="O160" s="260" t="s">
        <v>85</v>
      </c>
      <c r="P160" s="96">
        <v>51000200002</v>
      </c>
      <c r="Q160" s="234" t="s">
        <v>187</v>
      </c>
      <c r="R160" s="237">
        <f t="shared" si="13"/>
        <v>0</v>
      </c>
    </row>
    <row r="161" spans="2:25" x14ac:dyDescent="0.2">
      <c r="B161" s="233">
        <v>43222</v>
      </c>
      <c r="C161" s="230" t="s">
        <v>399</v>
      </c>
      <c r="D161" s="230" t="s">
        <v>241</v>
      </c>
      <c r="E161" s="234" t="s">
        <v>323</v>
      </c>
      <c r="F161" s="234" t="s">
        <v>179</v>
      </c>
      <c r="G161" s="234"/>
      <c r="H161" s="155"/>
      <c r="I161" s="155"/>
      <c r="J161" s="155">
        <v>2246.86</v>
      </c>
      <c r="K161" s="235">
        <v>292.08999999999997</v>
      </c>
      <c r="L161" s="155">
        <v>2538.9500000000003</v>
      </c>
      <c r="M161" s="144">
        <v>51000100002</v>
      </c>
      <c r="O161" s="260" t="s">
        <v>85</v>
      </c>
      <c r="P161" s="96">
        <v>51000200002</v>
      </c>
      <c r="Q161" s="234" t="s">
        <v>22</v>
      </c>
      <c r="R161" s="237">
        <f t="shared" si="13"/>
        <v>0</v>
      </c>
    </row>
    <row r="162" spans="2:25" x14ac:dyDescent="0.2">
      <c r="B162" s="233"/>
      <c r="C162" s="230" t="s">
        <v>400</v>
      </c>
      <c r="D162" s="230" t="s">
        <v>241</v>
      </c>
      <c r="E162" s="234" t="s">
        <v>259</v>
      </c>
      <c r="F162" s="234">
        <v>0</v>
      </c>
      <c r="G162" s="234"/>
      <c r="H162" s="155"/>
      <c r="I162" s="155"/>
      <c r="J162" s="155">
        <v>0</v>
      </c>
      <c r="K162" s="235">
        <v>0</v>
      </c>
      <c r="L162" s="155">
        <v>0</v>
      </c>
      <c r="O162" s="260" t="s">
        <v>85</v>
      </c>
      <c r="P162" s="96">
        <v>51220200001</v>
      </c>
      <c r="Q162" s="234" t="s">
        <v>242</v>
      </c>
      <c r="R162" s="237">
        <f t="shared" si="13"/>
        <v>539.64</v>
      </c>
    </row>
    <row r="163" spans="2:25" x14ac:dyDescent="0.2">
      <c r="B163" s="233">
        <v>43222</v>
      </c>
      <c r="C163" s="230" t="s">
        <v>401</v>
      </c>
      <c r="D163" s="230" t="s">
        <v>241</v>
      </c>
      <c r="E163" s="234" t="s">
        <v>242</v>
      </c>
      <c r="F163" s="234" t="s">
        <v>47</v>
      </c>
      <c r="G163" s="234"/>
      <c r="H163" s="155"/>
      <c r="I163" s="155"/>
      <c r="J163" s="155">
        <v>2246.86</v>
      </c>
      <c r="K163" s="235">
        <v>292.08999999999997</v>
      </c>
      <c r="L163" s="155">
        <v>2538.9500000000003</v>
      </c>
      <c r="M163" s="144">
        <v>51000100001</v>
      </c>
      <c r="O163" s="260" t="s">
        <v>85</v>
      </c>
      <c r="P163" s="96">
        <v>51220200001</v>
      </c>
      <c r="Q163" s="234" t="s">
        <v>187</v>
      </c>
      <c r="R163" s="237">
        <f t="shared" si="13"/>
        <v>0</v>
      </c>
    </row>
    <row r="164" spans="2:25" x14ac:dyDescent="0.2">
      <c r="B164" s="233"/>
      <c r="C164" s="230" t="s">
        <v>402</v>
      </c>
      <c r="D164" s="230" t="s">
        <v>241</v>
      </c>
      <c r="E164" s="234" t="s">
        <v>259</v>
      </c>
      <c r="F164" s="234">
        <v>0</v>
      </c>
      <c r="G164" s="234"/>
      <c r="H164" s="155"/>
      <c r="I164" s="155"/>
      <c r="J164" s="155">
        <v>0</v>
      </c>
      <c r="K164" s="235">
        <v>0</v>
      </c>
      <c r="L164" s="155">
        <v>0</v>
      </c>
      <c r="O164" s="260" t="s">
        <v>85</v>
      </c>
      <c r="P164" s="96">
        <v>51220200001</v>
      </c>
      <c r="Q164" s="234" t="s">
        <v>22</v>
      </c>
      <c r="R164" s="237">
        <f t="shared" si="13"/>
        <v>0</v>
      </c>
      <c r="W164" s="153" t="s">
        <v>255</v>
      </c>
      <c r="X164" s="236">
        <f>+X152+X153+X154</f>
        <v>-28117.54</v>
      </c>
    </row>
    <row r="165" spans="2:25" x14ac:dyDescent="0.2">
      <c r="B165" s="233">
        <v>43229</v>
      </c>
      <c r="C165" s="230" t="s">
        <v>403</v>
      </c>
      <c r="D165" s="230" t="s">
        <v>241</v>
      </c>
      <c r="E165" s="234" t="s">
        <v>269</v>
      </c>
      <c r="F165" s="234" t="s">
        <v>270</v>
      </c>
      <c r="G165" s="234"/>
      <c r="H165" s="155"/>
      <c r="I165" s="155"/>
      <c r="J165" s="155">
        <v>379.35</v>
      </c>
      <c r="K165" s="294">
        <v>49.32</v>
      </c>
      <c r="L165" s="155">
        <v>428.67</v>
      </c>
      <c r="M165" s="144">
        <v>51220200001</v>
      </c>
      <c r="O165" s="260" t="s">
        <v>85</v>
      </c>
      <c r="P165" s="96">
        <v>52200000001</v>
      </c>
      <c r="Q165" s="234" t="s">
        <v>242</v>
      </c>
      <c r="R165" s="237">
        <f t="shared" si="13"/>
        <v>0</v>
      </c>
      <c r="W165" s="144" t="s">
        <v>257</v>
      </c>
      <c r="X165" s="236">
        <f>Y156</f>
        <v>5412.71</v>
      </c>
    </row>
    <row r="166" spans="2:25" x14ac:dyDescent="0.2">
      <c r="B166" s="233">
        <v>43229</v>
      </c>
      <c r="C166" s="230" t="s">
        <v>404</v>
      </c>
      <c r="D166" s="230" t="s">
        <v>241</v>
      </c>
      <c r="E166" s="234" t="s">
        <v>242</v>
      </c>
      <c r="F166" s="234" t="s">
        <v>47</v>
      </c>
      <c r="G166" s="234"/>
      <c r="H166" s="155"/>
      <c r="I166" s="155"/>
      <c r="J166" s="155">
        <v>539.64</v>
      </c>
      <c r="K166" s="294">
        <v>70.150000000000006</v>
      </c>
      <c r="L166" s="155">
        <v>609.79</v>
      </c>
      <c r="M166" s="144">
        <v>51220200001</v>
      </c>
      <c r="O166" s="260" t="s">
        <v>85</v>
      </c>
      <c r="P166" s="96">
        <v>52200000001</v>
      </c>
      <c r="Q166" s="234" t="s">
        <v>187</v>
      </c>
      <c r="R166" s="237">
        <f t="shared" si="13"/>
        <v>0</v>
      </c>
      <c r="W166" s="144" t="s">
        <v>260</v>
      </c>
      <c r="X166" s="300">
        <f>J157+J161+J167+J168</f>
        <v>22681.649999999998</v>
      </c>
    </row>
    <row r="167" spans="2:25" x14ac:dyDescent="0.2">
      <c r="B167" s="233">
        <v>43235</v>
      </c>
      <c r="C167" s="230" t="s">
        <v>405</v>
      </c>
      <c r="D167" s="230" t="s">
        <v>241</v>
      </c>
      <c r="E167" s="234" t="s">
        <v>323</v>
      </c>
      <c r="F167" s="234" t="s">
        <v>179</v>
      </c>
      <c r="G167" s="234"/>
      <c r="H167" s="155"/>
      <c r="I167" s="155"/>
      <c r="J167" s="155">
        <v>10362.969999999999</v>
      </c>
      <c r="K167" s="294">
        <v>1347.19</v>
      </c>
      <c r="L167" s="155">
        <v>11710.16</v>
      </c>
      <c r="M167" s="358">
        <v>51000100001</v>
      </c>
      <c r="O167" s="260" t="s">
        <v>85</v>
      </c>
      <c r="P167" s="96">
        <v>52200000001</v>
      </c>
      <c r="Q167" s="234" t="s">
        <v>22</v>
      </c>
      <c r="R167" s="237">
        <f t="shared" si="13"/>
        <v>0</v>
      </c>
      <c r="X167" s="290">
        <f>X164+X165+X166</f>
        <v>-23.180000000003929</v>
      </c>
      <c r="Y167" s="144" t="s">
        <v>275</v>
      </c>
    </row>
    <row r="168" spans="2:25" x14ac:dyDescent="0.2">
      <c r="B168" s="233">
        <v>43235</v>
      </c>
      <c r="C168" s="230" t="s">
        <v>406</v>
      </c>
      <c r="D168" s="230" t="s">
        <v>241</v>
      </c>
      <c r="E168" s="234" t="s">
        <v>323</v>
      </c>
      <c r="F168" s="234" t="s">
        <v>179</v>
      </c>
      <c r="G168" s="154"/>
      <c r="H168" s="155"/>
      <c r="I168" s="155"/>
      <c r="J168" s="155">
        <v>6476.86</v>
      </c>
      <c r="K168" s="294">
        <v>841.99</v>
      </c>
      <c r="L168" s="155">
        <v>7318.8499999999995</v>
      </c>
      <c r="M168" s="358">
        <v>51000100002</v>
      </c>
      <c r="O168" s="260" t="s">
        <v>85</v>
      </c>
      <c r="P168" s="96">
        <v>52200000001</v>
      </c>
      <c r="Q168" s="234" t="s">
        <v>242</v>
      </c>
      <c r="R168" s="237">
        <f t="shared" si="13"/>
        <v>0</v>
      </c>
    </row>
    <row r="169" spans="2:25" x14ac:dyDescent="0.2">
      <c r="O169" s="260" t="s">
        <v>85</v>
      </c>
      <c r="P169" s="96">
        <v>51220200001</v>
      </c>
      <c r="Q169" s="234" t="s">
        <v>269</v>
      </c>
      <c r="R169" s="237">
        <f t="shared" si="13"/>
        <v>379.35</v>
      </c>
    </row>
    <row r="170" spans="2:25" x14ac:dyDescent="0.2">
      <c r="O170" s="260" t="s">
        <v>85</v>
      </c>
      <c r="P170" s="96">
        <v>53000100001</v>
      </c>
      <c r="Q170" s="234" t="s">
        <v>242</v>
      </c>
      <c r="R170" s="353">
        <f t="shared" si="13"/>
        <v>0</v>
      </c>
    </row>
    <row r="171" spans="2:25" x14ac:dyDescent="0.2">
      <c r="B171" s="233"/>
      <c r="C171" s="230"/>
      <c r="D171" s="230"/>
      <c r="E171" s="234" t="s">
        <v>321</v>
      </c>
      <c r="F171" s="206"/>
      <c r="G171" s="289"/>
      <c r="H171" s="289"/>
      <c r="I171" s="289"/>
      <c r="J171" s="356"/>
      <c r="K171" s="347">
        <v>-1332.68</v>
      </c>
      <c r="L171" s="155">
        <v>-1332.68</v>
      </c>
      <c r="R171" s="259">
        <f>SUM(R152:R170)</f>
        <v>5412.7100000000009</v>
      </c>
    </row>
    <row r="172" spans="2:25" x14ac:dyDescent="0.2">
      <c r="B172" s="233"/>
      <c r="C172" s="230"/>
      <c r="D172" s="230"/>
      <c r="E172" s="234"/>
      <c r="F172" s="206"/>
      <c r="G172" s="289"/>
      <c r="H172" s="289"/>
      <c r="I172" s="289"/>
      <c r="J172" s="356"/>
      <c r="K172" s="347">
        <v>0</v>
      </c>
      <c r="L172" s="155"/>
    </row>
    <row r="173" spans="2:25" x14ac:dyDescent="0.2">
      <c r="B173" s="233"/>
      <c r="C173" s="230"/>
      <c r="D173" s="230"/>
      <c r="E173" s="234"/>
      <c r="F173" s="206"/>
      <c r="G173" s="289"/>
      <c r="H173" s="289"/>
      <c r="I173" s="289"/>
      <c r="J173" s="356"/>
      <c r="K173" s="347"/>
      <c r="L173" s="155"/>
    </row>
    <row r="174" spans="2:25" x14ac:dyDescent="0.2">
      <c r="B174" s="206"/>
      <c r="C174" s="207"/>
      <c r="D174" s="207"/>
      <c r="E174" s="234"/>
      <c r="F174" s="206"/>
      <c r="G174" s="289"/>
      <c r="H174" s="289"/>
      <c r="I174" s="289"/>
      <c r="J174" s="356"/>
      <c r="K174" s="356"/>
      <c r="L174" s="356"/>
    </row>
    <row r="175" spans="2:25" x14ac:dyDescent="0.2">
      <c r="B175" s="295"/>
      <c r="C175" s="296"/>
      <c r="D175" s="296"/>
      <c r="E175" s="234"/>
      <c r="F175" s="295"/>
      <c r="G175" s="297"/>
      <c r="H175" s="297"/>
      <c r="I175" s="297"/>
      <c r="J175" s="304"/>
      <c r="K175" s="304"/>
      <c r="L175" s="304"/>
    </row>
    <row r="176" spans="2:25" x14ac:dyDescent="0.2">
      <c r="B176" s="206"/>
      <c r="C176" s="207"/>
      <c r="D176" s="207"/>
      <c r="E176" s="206"/>
      <c r="F176" s="206"/>
      <c r="G176" s="298">
        <v>0</v>
      </c>
      <c r="H176" s="298">
        <v>0</v>
      </c>
      <c r="I176" s="298">
        <v>0</v>
      </c>
      <c r="J176" s="357">
        <v>28094.36</v>
      </c>
      <c r="K176" s="357">
        <v>2319.5699999999997</v>
      </c>
      <c r="L176" s="357">
        <v>30413.93</v>
      </c>
    </row>
    <row r="177" spans="1:28" x14ac:dyDescent="0.2">
      <c r="J177" s="356"/>
      <c r="K177" s="356"/>
      <c r="L177" s="356"/>
    </row>
    <row r="181" spans="1:28" ht="3.75" customHeight="1" x14ac:dyDescent="0.2">
      <c r="A181" s="610"/>
      <c r="B181" s="610"/>
      <c r="C181" s="611"/>
      <c r="D181" s="611"/>
      <c r="E181" s="610"/>
      <c r="F181" s="610"/>
      <c r="G181" s="610"/>
      <c r="H181" s="610"/>
      <c r="I181" s="610"/>
      <c r="J181" s="610"/>
      <c r="K181" s="610"/>
      <c r="L181" s="610"/>
      <c r="M181" s="612"/>
      <c r="N181" s="612"/>
      <c r="O181" s="612"/>
      <c r="P181" s="612"/>
      <c r="Q181" s="613"/>
      <c r="R181" s="613"/>
      <c r="S181" s="613"/>
      <c r="T181" s="613"/>
      <c r="U181" s="613"/>
      <c r="V181" s="613"/>
      <c r="W181" s="613"/>
      <c r="X181" s="613"/>
      <c r="Y181" s="613"/>
      <c r="Z181" s="613"/>
      <c r="AA181" s="613"/>
      <c r="AB181" s="613"/>
    </row>
    <row r="185" spans="1:28" ht="16.5" x14ac:dyDescent="0.25">
      <c r="B185" s="205" t="s">
        <v>240</v>
      </c>
      <c r="C185" s="206"/>
      <c r="D185" s="207"/>
      <c r="E185" s="208" t="s">
        <v>86</v>
      </c>
    </row>
    <row r="186" spans="1:28" x14ac:dyDescent="0.2">
      <c r="B186" s="212" t="s">
        <v>15</v>
      </c>
      <c r="C186" s="206"/>
      <c r="D186" s="206"/>
      <c r="E186" s="213"/>
    </row>
    <row r="189" spans="1:28" x14ac:dyDescent="0.2">
      <c r="B189" s="217"/>
      <c r="C189" s="218" t="s">
        <v>137</v>
      </c>
      <c r="D189" s="219" t="s">
        <v>16</v>
      </c>
      <c r="E189" s="219"/>
      <c r="F189" s="219" t="s">
        <v>74</v>
      </c>
      <c r="G189" s="219"/>
      <c r="H189" s="220" t="s">
        <v>75</v>
      </c>
      <c r="I189" s="221"/>
      <c r="J189" s="221"/>
      <c r="K189" s="221"/>
      <c r="L189" s="239"/>
      <c r="O189" s="303" t="s">
        <v>257</v>
      </c>
      <c r="P189" s="303"/>
      <c r="Q189" s="303"/>
      <c r="R189" s="303"/>
      <c r="U189" s="153" t="s">
        <v>247</v>
      </c>
      <c r="Y189" s="144" t="s">
        <v>256</v>
      </c>
      <c r="Z189" s="144" t="s">
        <v>184</v>
      </c>
    </row>
    <row r="190" spans="1:28" x14ac:dyDescent="0.2">
      <c r="B190" s="222" t="s">
        <v>76</v>
      </c>
      <c r="C190" s="223" t="s">
        <v>77</v>
      </c>
      <c r="D190" s="223" t="s">
        <v>141</v>
      </c>
      <c r="E190" s="223" t="s">
        <v>78</v>
      </c>
      <c r="F190" s="223" t="s">
        <v>142</v>
      </c>
      <c r="G190" s="223" t="s">
        <v>79</v>
      </c>
      <c r="H190" s="224" t="s">
        <v>48</v>
      </c>
      <c r="I190" s="221"/>
      <c r="J190" s="224" t="s">
        <v>80</v>
      </c>
      <c r="K190" s="221"/>
      <c r="L190" s="240" t="s">
        <v>175</v>
      </c>
      <c r="O190" s="260" t="s">
        <v>86</v>
      </c>
      <c r="P190" s="96">
        <v>51000000001</v>
      </c>
      <c r="Q190" s="234" t="s">
        <v>242</v>
      </c>
      <c r="R190" s="237">
        <f>SUMIFS($J$193:$J$203,$E$193:$E$203,Q190,$M$193:$M$203,P190)</f>
        <v>0</v>
      </c>
      <c r="T190" s="144">
        <v>51000100001</v>
      </c>
      <c r="U190" s="144" t="s">
        <v>4</v>
      </c>
      <c r="X190" s="156">
        <v>-1176.8099999999977</v>
      </c>
      <c r="Y190" s="156">
        <f>R193</f>
        <v>1176.81</v>
      </c>
      <c r="Z190" s="236">
        <f>X190+Y190</f>
        <v>2.2737367544323206E-12</v>
      </c>
    </row>
    <row r="191" spans="1:28" x14ac:dyDescent="0.2">
      <c r="B191" s="225"/>
      <c r="C191" s="226"/>
      <c r="D191" s="226"/>
      <c r="E191" s="225"/>
      <c r="F191" s="225"/>
      <c r="G191" s="225"/>
      <c r="H191" s="227" t="s">
        <v>176</v>
      </c>
      <c r="I191" s="228" t="s">
        <v>177</v>
      </c>
      <c r="J191" s="241" t="s">
        <v>178</v>
      </c>
      <c r="K191" s="241" t="s">
        <v>46</v>
      </c>
      <c r="L191" s="242" t="s">
        <v>48</v>
      </c>
      <c r="O191" s="260" t="s">
        <v>86</v>
      </c>
      <c r="P191" s="96">
        <v>51000000002</v>
      </c>
      <c r="Q191" s="234" t="s">
        <v>242</v>
      </c>
      <c r="R191" s="155">
        <f t="shared" ref="R191" si="14">SUMIFS($J$193:$J$203,$E$193:$E$203,Q191,$M$193:$M$203,P191)</f>
        <v>0</v>
      </c>
      <c r="T191" s="144">
        <v>51000100002</v>
      </c>
      <c r="U191" s="144" t="s">
        <v>193</v>
      </c>
      <c r="X191" s="156">
        <v>-36.779999999998836</v>
      </c>
      <c r="Y191" s="156">
        <f>R195</f>
        <v>36.78</v>
      </c>
      <c r="Z191" s="236">
        <f>X191+Y191</f>
        <v>1.1652900866465643E-12</v>
      </c>
    </row>
    <row r="192" spans="1:28" x14ac:dyDescent="0.2">
      <c r="B192" s="229"/>
      <c r="C192" s="230"/>
      <c r="D192" s="230"/>
      <c r="E192" s="231"/>
      <c r="F192" s="232"/>
      <c r="G192" s="154"/>
      <c r="H192" s="155"/>
      <c r="I192" s="155"/>
      <c r="J192" s="155"/>
      <c r="K192" s="155"/>
      <c r="L192" s="155"/>
      <c r="O192" s="260" t="s">
        <v>86</v>
      </c>
      <c r="P192" s="96">
        <v>51000100001</v>
      </c>
      <c r="Q192" s="234" t="s">
        <v>242</v>
      </c>
      <c r="R192" s="155">
        <f t="shared" ref="R192:R210" si="15">SUMIFS($J$193:$J$203,$E$193:$E$203,Q192,$M$193:$M$203,P192)</f>
        <v>0</v>
      </c>
      <c r="T192" s="144">
        <v>51220200001</v>
      </c>
      <c r="U192" s="144" t="s">
        <v>21</v>
      </c>
      <c r="X192" s="156">
        <v>-1423.9600000000009</v>
      </c>
      <c r="Y192" s="156">
        <f>R202+R209</f>
        <v>941.89</v>
      </c>
      <c r="Z192" s="236">
        <f>X192+Y192</f>
        <v>-482.07000000000096</v>
      </c>
    </row>
    <row r="193" spans="2:26" x14ac:dyDescent="0.2">
      <c r="B193" s="233">
        <v>43262</v>
      </c>
      <c r="C193" s="230" t="s">
        <v>407</v>
      </c>
      <c r="D193" s="230" t="s">
        <v>241</v>
      </c>
      <c r="E193" s="234" t="s">
        <v>269</v>
      </c>
      <c r="F193" s="234" t="s">
        <v>270</v>
      </c>
      <c r="G193" s="154"/>
      <c r="H193" s="155"/>
      <c r="I193" s="155"/>
      <c r="J193" s="155">
        <v>354.35</v>
      </c>
      <c r="K193" s="347">
        <v>46.07</v>
      </c>
      <c r="L193" s="155">
        <f t="shared" ref="L193:L195" si="16">+J193+K193</f>
        <v>400.42</v>
      </c>
      <c r="M193" s="144">
        <v>51220200001</v>
      </c>
      <c r="O193" s="260" t="s">
        <v>86</v>
      </c>
      <c r="P193" s="96">
        <v>51000100001</v>
      </c>
      <c r="Q193" s="234" t="s">
        <v>269</v>
      </c>
      <c r="R193" s="155">
        <f t="shared" si="15"/>
        <v>1176.81</v>
      </c>
      <c r="T193" s="144">
        <v>52200000001</v>
      </c>
      <c r="U193" s="144" t="s">
        <v>11</v>
      </c>
      <c r="X193" s="156">
        <v>-3719.9600000000028</v>
      </c>
      <c r="Y193" s="304"/>
      <c r="Z193" s="359"/>
    </row>
    <row r="194" spans="2:26" x14ac:dyDescent="0.2">
      <c r="B194" s="233">
        <v>43262</v>
      </c>
      <c r="C194" s="230" t="s">
        <v>408</v>
      </c>
      <c r="D194" s="230" t="s">
        <v>241</v>
      </c>
      <c r="E194" s="234" t="s">
        <v>242</v>
      </c>
      <c r="F194" s="234" t="s">
        <v>47</v>
      </c>
      <c r="G194" s="234"/>
      <c r="H194" s="155"/>
      <c r="I194" s="155"/>
      <c r="J194" s="155">
        <v>587.54</v>
      </c>
      <c r="K194" s="347">
        <v>76.38</v>
      </c>
      <c r="L194" s="155">
        <f t="shared" si="16"/>
        <v>663.92</v>
      </c>
      <c r="M194" s="144">
        <v>51220200001</v>
      </c>
      <c r="O194" s="260" t="s">
        <v>86</v>
      </c>
      <c r="P194" s="96">
        <v>51000100002</v>
      </c>
      <c r="Q194" s="234" t="s">
        <v>242</v>
      </c>
      <c r="R194" s="155">
        <f t="shared" si="15"/>
        <v>0</v>
      </c>
      <c r="X194" s="290">
        <f>SUM(X190:X193)</f>
        <v>-6357.51</v>
      </c>
      <c r="Y194" s="290">
        <f>SUM(Y190:Y193)</f>
        <v>2155.48</v>
      </c>
      <c r="Z194" s="290">
        <f>SUM(Z190:Z193)</f>
        <v>-482.06999999999755</v>
      </c>
    </row>
    <row r="195" spans="2:26" x14ac:dyDescent="0.2">
      <c r="B195" s="233">
        <v>43262</v>
      </c>
      <c r="C195" s="230" t="s">
        <v>409</v>
      </c>
      <c r="D195" s="230" t="s">
        <v>241</v>
      </c>
      <c r="E195" s="234" t="s">
        <v>323</v>
      </c>
      <c r="F195" s="234" t="s">
        <v>179</v>
      </c>
      <c r="G195" s="154"/>
      <c r="H195" s="155"/>
      <c r="I195" s="155"/>
      <c r="J195" s="155">
        <v>480.34</v>
      </c>
      <c r="K195" s="347">
        <v>62.44</v>
      </c>
      <c r="L195" s="155">
        <f t="shared" si="16"/>
        <v>542.78</v>
      </c>
      <c r="M195" s="144">
        <v>51220200001</v>
      </c>
      <c r="O195" s="260" t="s">
        <v>86</v>
      </c>
      <c r="P195" s="96">
        <v>51000100002</v>
      </c>
      <c r="Q195" s="234" t="s">
        <v>269</v>
      </c>
      <c r="R195" s="155">
        <f t="shared" si="15"/>
        <v>36.78</v>
      </c>
    </row>
    <row r="196" spans="2:26" x14ac:dyDescent="0.2">
      <c r="B196" s="361">
        <v>43278</v>
      </c>
      <c r="C196" s="362"/>
      <c r="D196" s="339" t="s">
        <v>241</v>
      </c>
      <c r="E196" s="340" t="s">
        <v>269</v>
      </c>
      <c r="F196" s="340" t="s">
        <v>270</v>
      </c>
      <c r="J196" s="341">
        <v>1176.81</v>
      </c>
      <c r="K196" s="363">
        <f>J196*0.13</f>
        <v>152.9853</v>
      </c>
      <c r="L196" s="341">
        <f>J196+K196</f>
        <v>1329.7953</v>
      </c>
      <c r="M196" s="358">
        <v>51000100001</v>
      </c>
      <c r="O196" s="260" t="s">
        <v>86</v>
      </c>
      <c r="P196" s="96">
        <v>51000200001</v>
      </c>
      <c r="Q196" s="234" t="s">
        <v>242</v>
      </c>
      <c r="R196" s="155">
        <f t="shared" si="15"/>
        <v>0</v>
      </c>
    </row>
    <row r="197" spans="2:26" x14ac:dyDescent="0.2">
      <c r="B197" s="361">
        <v>43278</v>
      </c>
      <c r="C197" s="362"/>
      <c r="D197" s="339" t="s">
        <v>241</v>
      </c>
      <c r="E197" s="340" t="s">
        <v>269</v>
      </c>
      <c r="F197" s="340" t="s">
        <v>270</v>
      </c>
      <c r="J197" s="341">
        <v>36.78</v>
      </c>
      <c r="K197" s="363">
        <f>J197*0.13</f>
        <v>4.7814000000000005</v>
      </c>
      <c r="L197" s="341">
        <f>J197+K197</f>
        <v>41.561399999999999</v>
      </c>
      <c r="M197" s="358">
        <v>51000100002</v>
      </c>
      <c r="O197" s="260" t="s">
        <v>86</v>
      </c>
      <c r="P197" s="96">
        <v>51000200001</v>
      </c>
      <c r="Q197" s="234" t="s">
        <v>187</v>
      </c>
      <c r="R197" s="155">
        <f t="shared" si="15"/>
        <v>0</v>
      </c>
    </row>
    <row r="198" spans="2:26" x14ac:dyDescent="0.2">
      <c r="O198" s="260" t="s">
        <v>86</v>
      </c>
      <c r="P198" s="96">
        <v>51000200001</v>
      </c>
      <c r="Q198" s="234" t="s">
        <v>22</v>
      </c>
      <c r="R198" s="155">
        <f t="shared" si="15"/>
        <v>0</v>
      </c>
    </row>
    <row r="199" spans="2:26" x14ac:dyDescent="0.2">
      <c r="O199" s="260" t="s">
        <v>86</v>
      </c>
      <c r="P199" s="96">
        <v>51000200002</v>
      </c>
      <c r="Q199" s="234" t="s">
        <v>242</v>
      </c>
      <c r="R199" s="155">
        <f t="shared" si="15"/>
        <v>0</v>
      </c>
    </row>
    <row r="200" spans="2:26" x14ac:dyDescent="0.2">
      <c r="O200" s="260" t="s">
        <v>86</v>
      </c>
      <c r="P200" s="96">
        <v>51000200002</v>
      </c>
      <c r="Q200" s="234" t="s">
        <v>187</v>
      </c>
      <c r="R200" s="155">
        <f t="shared" si="15"/>
        <v>0</v>
      </c>
    </row>
    <row r="201" spans="2:26" x14ac:dyDescent="0.2">
      <c r="E201" s="142" t="s">
        <v>321</v>
      </c>
      <c r="K201" s="142">
        <v>-182.1</v>
      </c>
      <c r="L201" s="142">
        <v>-182.1</v>
      </c>
      <c r="O201" s="260" t="s">
        <v>86</v>
      </c>
      <c r="P201" s="96">
        <v>51000200002</v>
      </c>
      <c r="Q201" s="234" t="s">
        <v>22</v>
      </c>
      <c r="R201" s="155">
        <f t="shared" si="15"/>
        <v>0</v>
      </c>
    </row>
    <row r="202" spans="2:26" x14ac:dyDescent="0.2">
      <c r="O202" s="260" t="s">
        <v>86</v>
      </c>
      <c r="P202" s="96">
        <v>51220200001</v>
      </c>
      <c r="Q202" s="234" t="s">
        <v>242</v>
      </c>
      <c r="R202" s="155">
        <f t="shared" si="15"/>
        <v>587.54</v>
      </c>
    </row>
    <row r="203" spans="2:26" x14ac:dyDescent="0.2">
      <c r="B203" s="359"/>
      <c r="C203" s="360"/>
      <c r="D203" s="360"/>
      <c r="E203" s="359"/>
      <c r="F203" s="359"/>
      <c r="G203" s="359"/>
      <c r="H203" s="359"/>
      <c r="I203" s="359"/>
      <c r="J203" s="359"/>
      <c r="K203" s="359"/>
      <c r="L203" s="359"/>
      <c r="O203" s="260" t="s">
        <v>86</v>
      </c>
      <c r="P203" s="96">
        <v>51220200001</v>
      </c>
      <c r="Q203" s="234" t="s">
        <v>187</v>
      </c>
      <c r="R203" s="155">
        <f t="shared" si="15"/>
        <v>0</v>
      </c>
      <c r="W203" s="153" t="s">
        <v>255</v>
      </c>
      <c r="X203" s="236">
        <f>+X191+X192+X190</f>
        <v>-2637.5499999999975</v>
      </c>
    </row>
    <row r="204" spans="2:26" x14ac:dyDescent="0.2">
      <c r="G204" s="142">
        <v>0</v>
      </c>
      <c r="H204" s="142">
        <v>0</v>
      </c>
      <c r="I204" s="142">
        <v>0</v>
      </c>
      <c r="J204" s="142">
        <v>1422.23</v>
      </c>
      <c r="K204" s="142">
        <v>2.789999999999992</v>
      </c>
      <c r="L204" s="142">
        <v>1425.02</v>
      </c>
      <c r="O204" s="260" t="s">
        <v>86</v>
      </c>
      <c r="P204" s="96">
        <v>51220200001</v>
      </c>
      <c r="Q204" s="234" t="s">
        <v>22</v>
      </c>
      <c r="R204" s="155">
        <f t="shared" si="15"/>
        <v>0</v>
      </c>
      <c r="W204" s="144" t="s">
        <v>257</v>
      </c>
      <c r="X204" s="236">
        <f>R211</f>
        <v>2155.48</v>
      </c>
    </row>
    <row r="205" spans="2:26" x14ac:dyDescent="0.2">
      <c r="O205" s="260" t="s">
        <v>86</v>
      </c>
      <c r="P205" s="96">
        <v>52200000001</v>
      </c>
      <c r="Q205" s="234" t="s">
        <v>242</v>
      </c>
      <c r="R205" s="155">
        <f t="shared" si="15"/>
        <v>0</v>
      </c>
      <c r="W205" s="144" t="s">
        <v>260</v>
      </c>
      <c r="X205" s="300">
        <f>J195</f>
        <v>480.34</v>
      </c>
    </row>
    <row r="206" spans="2:26" x14ac:dyDescent="0.2">
      <c r="O206" s="260" t="s">
        <v>86</v>
      </c>
      <c r="P206" s="96">
        <v>52200000001</v>
      </c>
      <c r="Q206" s="234" t="s">
        <v>187</v>
      </c>
      <c r="R206" s="155">
        <f t="shared" si="15"/>
        <v>0</v>
      </c>
      <c r="X206" s="290">
        <f>X203+X204+X205</f>
        <v>-1.7299999999974602</v>
      </c>
      <c r="Y206" s="144" t="s">
        <v>275</v>
      </c>
    </row>
    <row r="207" spans="2:26" x14ac:dyDescent="0.2">
      <c r="O207" s="260" t="s">
        <v>86</v>
      </c>
      <c r="P207" s="96">
        <v>52200000001</v>
      </c>
      <c r="Q207" s="234" t="s">
        <v>22</v>
      </c>
      <c r="R207" s="155">
        <f t="shared" si="15"/>
        <v>0</v>
      </c>
    </row>
    <row r="208" spans="2:26" x14ac:dyDescent="0.2">
      <c r="O208" s="260" t="s">
        <v>86</v>
      </c>
      <c r="P208" s="96">
        <v>52200000001</v>
      </c>
      <c r="Q208" s="234" t="s">
        <v>242</v>
      </c>
      <c r="R208" s="155">
        <f t="shared" si="15"/>
        <v>0</v>
      </c>
    </row>
    <row r="209" spans="1:28" x14ac:dyDescent="0.2">
      <c r="O209" s="260" t="s">
        <v>86</v>
      </c>
      <c r="P209" s="96">
        <v>51220200001</v>
      </c>
      <c r="Q209" s="234" t="s">
        <v>269</v>
      </c>
      <c r="R209" s="155">
        <f t="shared" si="15"/>
        <v>354.35</v>
      </c>
    </row>
    <row r="210" spans="1:28" x14ac:dyDescent="0.2">
      <c r="O210" s="260" t="s">
        <v>86</v>
      </c>
      <c r="P210" s="96">
        <v>53000100001</v>
      </c>
      <c r="Q210" s="234" t="s">
        <v>242</v>
      </c>
      <c r="R210" s="353">
        <f t="shared" si="15"/>
        <v>0</v>
      </c>
    </row>
    <row r="211" spans="1:28" x14ac:dyDescent="0.2">
      <c r="R211" s="236">
        <f>SUM(R190:R210)</f>
        <v>2155.48</v>
      </c>
    </row>
    <row r="212" spans="1:28" ht="3.75" customHeight="1" x14ac:dyDescent="0.2">
      <c r="A212" s="610"/>
      <c r="B212" s="610"/>
      <c r="C212" s="611"/>
      <c r="D212" s="611"/>
      <c r="E212" s="610"/>
      <c r="F212" s="610"/>
      <c r="G212" s="610"/>
      <c r="H212" s="610"/>
      <c r="I212" s="610"/>
      <c r="J212" s="610"/>
      <c r="K212" s="610"/>
      <c r="L212" s="610"/>
      <c r="M212" s="612"/>
      <c r="N212" s="612"/>
      <c r="O212" s="612"/>
      <c r="P212" s="612"/>
      <c r="Q212" s="613"/>
      <c r="R212" s="613"/>
      <c r="S212" s="613"/>
      <c r="T212" s="613"/>
      <c r="U212" s="613"/>
      <c r="V212" s="613"/>
      <c r="W212" s="613"/>
      <c r="X212" s="613"/>
      <c r="Y212" s="613"/>
      <c r="Z212" s="613"/>
      <c r="AA212" s="613"/>
      <c r="AB212" s="613"/>
    </row>
    <row r="213" spans="1:28" ht="16.5" x14ac:dyDescent="0.25">
      <c r="B213" s="205" t="s">
        <v>240</v>
      </c>
      <c r="C213" s="206"/>
      <c r="E213" s="208" t="s">
        <v>87</v>
      </c>
    </row>
    <row r="214" spans="1:28" x14ac:dyDescent="0.2">
      <c r="B214" s="212" t="s">
        <v>15</v>
      </c>
      <c r="C214" s="206"/>
    </row>
    <row r="215" spans="1:28" x14ac:dyDescent="0.2">
      <c r="A215" s="365"/>
      <c r="B215" s="216"/>
      <c r="C215" s="216"/>
      <c r="D215" s="216"/>
      <c r="E215" s="216"/>
      <c r="F215" s="216"/>
      <c r="G215" s="216"/>
      <c r="H215" s="209"/>
      <c r="I215" s="209"/>
      <c r="J215" s="209"/>
      <c r="K215" s="209"/>
      <c r="L215" s="216"/>
      <c r="M215" s="462"/>
      <c r="N215" s="462"/>
    </row>
    <row r="216" spans="1:28" x14ac:dyDescent="0.2">
      <c r="A216" s="364"/>
      <c r="B216" s="217"/>
      <c r="C216" s="218" t="s">
        <v>137</v>
      </c>
      <c r="D216" s="219" t="s">
        <v>16</v>
      </c>
      <c r="E216" s="219"/>
      <c r="F216" s="219" t="s">
        <v>74</v>
      </c>
      <c r="G216" s="219"/>
      <c r="H216" s="220" t="s">
        <v>75</v>
      </c>
      <c r="I216" s="221"/>
      <c r="J216" s="221"/>
      <c r="K216" s="221"/>
      <c r="L216" s="239"/>
      <c r="M216" s="463"/>
      <c r="N216" s="463"/>
      <c r="O216" s="303" t="s">
        <v>257</v>
      </c>
      <c r="P216" s="303"/>
      <c r="Q216" s="303"/>
      <c r="R216" s="303"/>
      <c r="U216" s="153" t="s">
        <v>247</v>
      </c>
      <c r="Y216" s="144" t="s">
        <v>256</v>
      </c>
      <c r="Z216" s="144" t="s">
        <v>184</v>
      </c>
    </row>
    <row r="217" spans="1:28" x14ac:dyDescent="0.2">
      <c r="A217" s="364"/>
      <c r="B217" s="222" t="s">
        <v>76</v>
      </c>
      <c r="C217" s="223" t="s">
        <v>77</v>
      </c>
      <c r="D217" s="223" t="s">
        <v>141</v>
      </c>
      <c r="E217" s="223" t="s">
        <v>78</v>
      </c>
      <c r="F217" s="223" t="s">
        <v>142</v>
      </c>
      <c r="G217" s="223" t="s">
        <v>79</v>
      </c>
      <c r="H217" s="224" t="s">
        <v>48</v>
      </c>
      <c r="I217" s="221"/>
      <c r="J217" s="224" t="s">
        <v>80</v>
      </c>
      <c r="K217" s="221"/>
      <c r="L217" s="240" t="s">
        <v>175</v>
      </c>
      <c r="M217" s="463"/>
      <c r="N217" s="463"/>
      <c r="O217" s="260" t="s">
        <v>87</v>
      </c>
      <c r="P217" s="96">
        <v>51000000001</v>
      </c>
      <c r="Q217" s="234" t="s">
        <v>242</v>
      </c>
      <c r="R217" s="465">
        <f t="shared" ref="R217:R219" si="17">SUMIFS($J$220:$J$229,$E$220:$E$229,Q217,$M$220:$M$229,P217)</f>
        <v>0</v>
      </c>
      <c r="T217" s="144">
        <v>51000100001</v>
      </c>
      <c r="U217" s="144" t="s">
        <v>4</v>
      </c>
      <c r="X217" s="156">
        <v>0</v>
      </c>
      <c r="Y217" s="156">
        <f>R220</f>
        <v>0</v>
      </c>
      <c r="Z217" s="236">
        <f>X217+Y217</f>
        <v>0</v>
      </c>
    </row>
    <row r="218" spans="1:28" x14ac:dyDescent="0.2">
      <c r="A218" s="364"/>
      <c r="B218" s="225"/>
      <c r="C218" s="226"/>
      <c r="D218" s="226"/>
      <c r="E218" s="225"/>
      <c r="F218" s="225"/>
      <c r="G218" s="225"/>
      <c r="H218" s="227" t="s">
        <v>176</v>
      </c>
      <c r="I218" s="228" t="s">
        <v>177</v>
      </c>
      <c r="J218" s="241" t="s">
        <v>178</v>
      </c>
      <c r="K218" s="241" t="s">
        <v>46</v>
      </c>
      <c r="L218" s="242" t="s">
        <v>48</v>
      </c>
      <c r="M218" s="463"/>
      <c r="N218" s="463"/>
      <c r="O218" s="260" t="s">
        <v>87</v>
      </c>
      <c r="P218" s="96">
        <v>51000000002</v>
      </c>
      <c r="Q218" s="234" t="s">
        <v>242</v>
      </c>
      <c r="R218" s="465">
        <f t="shared" si="17"/>
        <v>0</v>
      </c>
      <c r="T218" s="144">
        <v>51000100002</v>
      </c>
      <c r="U218" s="144" t="s">
        <v>193</v>
      </c>
      <c r="X218" s="156">
        <v>0</v>
      </c>
      <c r="Y218" s="156">
        <f>R222</f>
        <v>0</v>
      </c>
      <c r="Z218" s="236">
        <f>X218+Y218</f>
        <v>0</v>
      </c>
    </row>
    <row r="219" spans="1:28" x14ac:dyDescent="0.2">
      <c r="A219" s="365"/>
      <c r="B219" s="229"/>
      <c r="C219" s="230"/>
      <c r="D219" s="230"/>
      <c r="E219" s="231"/>
      <c r="F219" s="232"/>
      <c r="G219" s="464"/>
      <c r="H219" s="465"/>
      <c r="I219" s="465"/>
      <c r="J219" s="465"/>
      <c r="K219" s="465"/>
      <c r="L219" s="465"/>
      <c r="M219" s="463"/>
      <c r="N219" s="463"/>
      <c r="O219" s="260" t="s">
        <v>87</v>
      </c>
      <c r="P219" s="96">
        <v>51000100001</v>
      </c>
      <c r="Q219" s="234" t="s">
        <v>242</v>
      </c>
      <c r="R219" s="465">
        <f t="shared" si="17"/>
        <v>0</v>
      </c>
      <c r="T219" s="144">
        <v>51220200001</v>
      </c>
      <c r="U219" s="144" t="s">
        <v>21</v>
      </c>
      <c r="X219" s="156">
        <v>-1003.0900000000001</v>
      </c>
      <c r="Y219" s="156">
        <f>R229+R236</f>
        <v>981.03</v>
      </c>
      <c r="Z219" s="236">
        <f>X219+Y219</f>
        <v>-22.060000000000173</v>
      </c>
    </row>
    <row r="220" spans="1:28" x14ac:dyDescent="0.2">
      <c r="A220" s="365"/>
      <c r="B220" s="233"/>
      <c r="C220" s="230" t="s">
        <v>441</v>
      </c>
      <c r="D220" s="230" t="s">
        <v>241</v>
      </c>
      <c r="E220" s="234" t="s">
        <v>259</v>
      </c>
      <c r="F220" s="234">
        <v>0</v>
      </c>
      <c r="G220" s="464"/>
      <c r="H220" s="465"/>
      <c r="I220" s="465"/>
      <c r="J220" s="465">
        <v>0</v>
      </c>
      <c r="K220" s="235">
        <v>0</v>
      </c>
      <c r="L220" s="465">
        <f t="shared" ref="L220:L223" si="18">+J220+K220</f>
        <v>0</v>
      </c>
      <c r="M220" s="463"/>
      <c r="N220" s="463"/>
      <c r="O220" s="260" t="s">
        <v>87</v>
      </c>
      <c r="P220" s="96">
        <v>51000100001</v>
      </c>
      <c r="Q220" s="234" t="s">
        <v>269</v>
      </c>
      <c r="R220" s="465">
        <f>SUMIFS($J$220:$J$229,$E$220:$E$229,Q220,$M$220:$M$229,P220)</f>
        <v>0</v>
      </c>
      <c r="T220" s="144">
        <v>52200000001</v>
      </c>
      <c r="U220" s="144" t="s">
        <v>11</v>
      </c>
      <c r="X220" s="156">
        <f>-8532.43</f>
        <v>-8532.43</v>
      </c>
      <c r="Y220" s="156">
        <f t="shared" ref="Y220:Y222" si="19">R230+R237</f>
        <v>0</v>
      </c>
      <c r="Z220" s="236">
        <v>0</v>
      </c>
    </row>
    <row r="221" spans="1:28" x14ac:dyDescent="0.2">
      <c r="A221" s="365"/>
      <c r="B221" s="233"/>
      <c r="C221" s="230" t="s">
        <v>442</v>
      </c>
      <c r="D221" s="230" t="s">
        <v>241</v>
      </c>
      <c r="E221" s="234" t="s">
        <v>259</v>
      </c>
      <c r="F221" s="234">
        <v>0</v>
      </c>
      <c r="G221" s="234"/>
      <c r="H221" s="465"/>
      <c r="I221" s="465"/>
      <c r="J221" s="465">
        <v>0</v>
      </c>
      <c r="K221" s="235">
        <v>0</v>
      </c>
      <c r="L221" s="465">
        <f t="shared" si="18"/>
        <v>0</v>
      </c>
      <c r="M221" s="463"/>
      <c r="N221" s="463"/>
      <c r="O221" s="260" t="s">
        <v>87</v>
      </c>
      <c r="P221" s="96">
        <v>51000100002</v>
      </c>
      <c r="Q221" s="234" t="s">
        <v>242</v>
      </c>
      <c r="R221" s="465">
        <f t="shared" ref="R221:R237" si="20">SUMIFS($J$220:$J$229,$E$220:$E$229,Q221,$M$220:$M$229,P221)</f>
        <v>0</v>
      </c>
      <c r="T221" s="144">
        <v>53000000009</v>
      </c>
      <c r="U221" s="144" t="s">
        <v>214</v>
      </c>
      <c r="X221" s="356">
        <v>-60</v>
      </c>
      <c r="Y221" s="156">
        <v>0</v>
      </c>
      <c r="Z221" s="236">
        <v>0</v>
      </c>
    </row>
    <row r="222" spans="1:28" x14ac:dyDescent="0.2">
      <c r="A222" s="365"/>
      <c r="B222" s="233">
        <v>43298</v>
      </c>
      <c r="C222" s="230" t="s">
        <v>443</v>
      </c>
      <c r="D222" s="230" t="s">
        <v>241</v>
      </c>
      <c r="E222" s="479" t="s">
        <v>269</v>
      </c>
      <c r="F222" s="479" t="s">
        <v>270</v>
      </c>
      <c r="G222" s="480"/>
      <c r="H222" s="481"/>
      <c r="I222" s="481"/>
      <c r="J222" s="481">
        <v>379.35</v>
      </c>
      <c r="K222" s="482">
        <v>49.32</v>
      </c>
      <c r="L222" s="481">
        <f t="shared" si="18"/>
        <v>428.67</v>
      </c>
      <c r="M222" s="144">
        <v>51220200001</v>
      </c>
      <c r="N222" s="463"/>
      <c r="O222" s="260" t="s">
        <v>87</v>
      </c>
      <c r="P222" s="96">
        <v>51000100002</v>
      </c>
      <c r="Q222" s="234" t="s">
        <v>269</v>
      </c>
      <c r="R222" s="465">
        <f t="shared" si="20"/>
        <v>0</v>
      </c>
      <c r="T222" s="144">
        <v>53000000012</v>
      </c>
      <c r="U222" s="144" t="s">
        <v>215</v>
      </c>
      <c r="X222" s="304">
        <v>-1</v>
      </c>
      <c r="Y222" s="304">
        <f t="shared" si="19"/>
        <v>0</v>
      </c>
      <c r="Z222" s="300">
        <v>0</v>
      </c>
    </row>
    <row r="223" spans="1:28" x14ac:dyDescent="0.2">
      <c r="A223" s="365"/>
      <c r="B223" s="233">
        <v>43298</v>
      </c>
      <c r="C223" s="230" t="s">
        <v>444</v>
      </c>
      <c r="D223" s="230" t="s">
        <v>241</v>
      </c>
      <c r="E223" s="479" t="s">
        <v>242</v>
      </c>
      <c r="F223" s="479" t="s">
        <v>47</v>
      </c>
      <c r="G223" s="479"/>
      <c r="H223" s="481"/>
      <c r="I223" s="481"/>
      <c r="J223" s="481">
        <v>601.67999999999995</v>
      </c>
      <c r="K223" s="482">
        <v>78.22</v>
      </c>
      <c r="L223" s="481">
        <f t="shared" si="18"/>
        <v>679.9</v>
      </c>
      <c r="M223" s="144">
        <v>51220200001</v>
      </c>
      <c r="N223" s="463"/>
      <c r="O223" s="260" t="s">
        <v>87</v>
      </c>
      <c r="P223" s="96">
        <v>51000200001</v>
      </c>
      <c r="Q223" s="234" t="s">
        <v>242</v>
      </c>
      <c r="R223" s="465">
        <f t="shared" si="20"/>
        <v>0</v>
      </c>
      <c r="X223" s="290">
        <f>SUM(X217:X222)</f>
        <v>-9596.52</v>
      </c>
      <c r="Y223" s="290">
        <f t="shared" ref="Y223:Z223" si="21">SUM(Y217:Y222)</f>
        <v>981.03</v>
      </c>
      <c r="Z223" s="290">
        <f t="shared" si="21"/>
        <v>-22.060000000000173</v>
      </c>
    </row>
    <row r="224" spans="1:28" x14ac:dyDescent="0.2">
      <c r="A224" s="206"/>
      <c r="B224" s="233"/>
      <c r="C224" s="230"/>
      <c r="D224" s="230"/>
      <c r="E224" s="234" t="s">
        <v>321</v>
      </c>
      <c r="F224" s="206"/>
      <c r="G224" s="289"/>
      <c r="H224" s="289"/>
      <c r="I224" s="289"/>
      <c r="J224" s="289"/>
      <c r="K224" s="235">
        <v>-127.54</v>
      </c>
      <c r="L224" s="465">
        <f t="shared" ref="L224:L225" si="22">+J224+K224</f>
        <v>-127.54</v>
      </c>
      <c r="M224" s="463"/>
      <c r="N224" s="463"/>
      <c r="O224" s="260" t="s">
        <v>87</v>
      </c>
      <c r="P224" s="96">
        <v>51000200001</v>
      </c>
      <c r="Q224" s="234" t="s">
        <v>187</v>
      </c>
      <c r="R224" s="465">
        <f t="shared" si="20"/>
        <v>0</v>
      </c>
    </row>
    <row r="225" spans="1:25" x14ac:dyDescent="0.2">
      <c r="A225" s="206"/>
      <c r="B225" s="233"/>
      <c r="C225" s="230"/>
      <c r="D225" s="230"/>
      <c r="E225" s="234"/>
      <c r="F225" s="206"/>
      <c r="G225" s="289"/>
      <c r="H225" s="289"/>
      <c r="I225" s="289"/>
      <c r="J225" s="289"/>
      <c r="K225" s="235"/>
      <c r="L225" s="465">
        <f t="shared" si="22"/>
        <v>0</v>
      </c>
      <c r="M225" s="463"/>
      <c r="N225" s="463"/>
      <c r="O225" s="260" t="s">
        <v>87</v>
      </c>
      <c r="P225" s="96">
        <v>51000200001</v>
      </c>
      <c r="Q225" s="234" t="s">
        <v>22</v>
      </c>
      <c r="R225" s="465">
        <f t="shared" si="20"/>
        <v>0</v>
      </c>
    </row>
    <row r="226" spans="1:25" x14ac:dyDescent="0.2">
      <c r="A226" s="206"/>
      <c r="B226" s="233"/>
      <c r="C226" s="230"/>
      <c r="D226" s="230"/>
      <c r="E226" s="234"/>
      <c r="F226" s="206"/>
      <c r="G226" s="289"/>
      <c r="H226" s="289"/>
      <c r="I226" s="289"/>
      <c r="J226" s="289"/>
      <c r="K226" s="235"/>
      <c r="L226" s="465"/>
      <c r="M226" s="463"/>
      <c r="N226" s="463"/>
      <c r="O226" s="260" t="s">
        <v>87</v>
      </c>
      <c r="P226" s="96">
        <v>51000200002</v>
      </c>
      <c r="Q226" s="234" t="s">
        <v>242</v>
      </c>
      <c r="R226" s="465">
        <f t="shared" si="20"/>
        <v>0</v>
      </c>
    </row>
    <row r="227" spans="1:25" x14ac:dyDescent="0.2">
      <c r="A227" s="206"/>
      <c r="B227" s="233"/>
      <c r="C227" s="230"/>
      <c r="D227" s="230"/>
      <c r="E227" s="234"/>
      <c r="F227" s="206"/>
      <c r="G227" s="289"/>
      <c r="H227" s="289"/>
      <c r="I227" s="289"/>
      <c r="J227" s="289"/>
      <c r="K227" s="235"/>
      <c r="L227" s="465"/>
      <c r="M227" s="463"/>
      <c r="N227" s="463"/>
      <c r="O227" s="260" t="s">
        <v>87</v>
      </c>
      <c r="P227" s="96">
        <v>51000200002</v>
      </c>
      <c r="Q227" s="234" t="s">
        <v>187</v>
      </c>
      <c r="R227" s="465">
        <f t="shared" si="20"/>
        <v>0</v>
      </c>
    </row>
    <row r="228" spans="1:25" x14ac:dyDescent="0.2">
      <c r="A228" s="206"/>
      <c r="B228" s="206"/>
      <c r="C228" s="207"/>
      <c r="D228" s="207"/>
      <c r="E228" s="234"/>
      <c r="F228" s="206"/>
      <c r="G228" s="289"/>
      <c r="H228" s="289"/>
      <c r="I228" s="289"/>
      <c r="J228" s="289"/>
      <c r="K228" s="289"/>
      <c r="L228" s="289"/>
      <c r="M228" s="466"/>
      <c r="N228" s="466"/>
      <c r="O228" s="260" t="s">
        <v>87</v>
      </c>
      <c r="P228" s="96">
        <v>51000200002</v>
      </c>
      <c r="Q228" s="234" t="s">
        <v>22</v>
      </c>
      <c r="R228" s="465">
        <f t="shared" si="20"/>
        <v>0</v>
      </c>
    </row>
    <row r="229" spans="1:25" x14ac:dyDescent="0.2">
      <c r="A229" s="206"/>
      <c r="B229" s="295"/>
      <c r="C229" s="296"/>
      <c r="D229" s="296"/>
      <c r="E229" s="234"/>
      <c r="F229" s="295"/>
      <c r="G229" s="297"/>
      <c r="H229" s="297"/>
      <c r="I229" s="297"/>
      <c r="J229" s="297"/>
      <c r="K229" s="297"/>
      <c r="L229" s="297"/>
      <c r="M229" s="462"/>
      <c r="N229" s="462"/>
      <c r="O229" s="260" t="s">
        <v>87</v>
      </c>
      <c r="P229" s="96">
        <v>51220200001</v>
      </c>
      <c r="Q229" s="234" t="s">
        <v>242</v>
      </c>
      <c r="R229" s="465">
        <f t="shared" si="20"/>
        <v>601.67999999999995</v>
      </c>
    </row>
    <row r="230" spans="1:25" x14ac:dyDescent="0.2">
      <c r="A230" s="206"/>
      <c r="B230" s="206"/>
      <c r="C230" s="207"/>
      <c r="D230" s="207"/>
      <c r="E230" s="206"/>
      <c r="F230" s="206"/>
      <c r="G230" s="298">
        <f t="shared" ref="G230:I230" si="23">SUM(G219:G229)</f>
        <v>0</v>
      </c>
      <c r="H230" s="298">
        <f t="shared" si="23"/>
        <v>0</v>
      </c>
      <c r="I230" s="298">
        <f t="shared" si="23"/>
        <v>0</v>
      </c>
      <c r="J230" s="298">
        <f>SUM(J219:J229)</f>
        <v>981.03</v>
      </c>
      <c r="K230" s="298">
        <f>SUM(K219:K229)</f>
        <v>0</v>
      </c>
      <c r="L230" s="298">
        <f>SUM(L219:L229)</f>
        <v>981.03</v>
      </c>
      <c r="M230" s="462"/>
      <c r="N230" s="462"/>
      <c r="O230" s="260" t="s">
        <v>87</v>
      </c>
      <c r="P230" s="96">
        <v>51220200001</v>
      </c>
      <c r="Q230" s="234" t="s">
        <v>187</v>
      </c>
      <c r="R230" s="465">
        <f t="shared" si="20"/>
        <v>0</v>
      </c>
      <c r="W230" s="153" t="s">
        <v>255</v>
      </c>
      <c r="X230" s="236">
        <f>+X218+X219+X217+X221+X222</f>
        <v>-1064.0900000000001</v>
      </c>
    </row>
    <row r="231" spans="1:25" x14ac:dyDescent="0.2">
      <c r="A231" s="206"/>
      <c r="B231" s="206"/>
      <c r="C231" s="207"/>
      <c r="D231" s="207"/>
      <c r="E231" s="206"/>
      <c r="F231" s="206"/>
      <c r="G231" s="366"/>
      <c r="H231" s="366"/>
      <c r="I231" s="366"/>
      <c r="J231" s="366"/>
      <c r="K231" s="366"/>
      <c r="L231" s="366"/>
      <c r="M231" s="462"/>
      <c r="N231" s="462"/>
      <c r="O231" s="260" t="s">
        <v>87</v>
      </c>
      <c r="P231" s="96">
        <v>51220200001</v>
      </c>
      <c r="Q231" s="234" t="s">
        <v>22</v>
      </c>
      <c r="R231" s="465">
        <f t="shared" si="20"/>
        <v>0</v>
      </c>
      <c r="W231" s="144" t="s">
        <v>257</v>
      </c>
      <c r="X231" s="236">
        <f>R238</f>
        <v>981.03</v>
      </c>
    </row>
    <row r="232" spans="1:25" x14ac:dyDescent="0.2">
      <c r="A232" s="206"/>
      <c r="B232" s="206"/>
      <c r="C232" s="207"/>
      <c r="D232" s="207"/>
      <c r="E232" s="206"/>
      <c r="F232" s="206"/>
      <c r="G232" s="366"/>
      <c r="H232" s="366"/>
      <c r="I232" s="366"/>
      <c r="J232" s="366"/>
      <c r="K232" s="366"/>
      <c r="L232" s="366"/>
      <c r="M232" s="462"/>
      <c r="N232" s="462"/>
      <c r="O232" s="260" t="s">
        <v>87</v>
      </c>
      <c r="P232" s="96">
        <v>52200000001</v>
      </c>
      <c r="Q232" s="234" t="s">
        <v>242</v>
      </c>
      <c r="R232" s="465">
        <f t="shared" si="20"/>
        <v>0</v>
      </c>
      <c r="W232" s="144" t="s">
        <v>260</v>
      </c>
      <c r="X232" s="300">
        <v>0</v>
      </c>
    </row>
    <row r="233" spans="1:25" x14ac:dyDescent="0.2">
      <c r="A233" s="206"/>
      <c r="B233" s="206"/>
      <c r="C233" s="207"/>
      <c r="D233" s="207"/>
      <c r="E233" s="206"/>
      <c r="F233" s="206"/>
      <c r="G233" s="366"/>
      <c r="H233" s="366"/>
      <c r="I233" s="366"/>
      <c r="J233" s="366"/>
      <c r="K233" s="366"/>
      <c r="L233" s="366"/>
      <c r="M233" s="462"/>
      <c r="N233" s="462"/>
      <c r="O233" s="260" t="s">
        <v>87</v>
      </c>
      <c r="P233" s="96">
        <v>52200000001</v>
      </c>
      <c r="Q233" s="234" t="s">
        <v>187</v>
      </c>
      <c r="R233" s="465">
        <f t="shared" si="20"/>
        <v>0</v>
      </c>
      <c r="X233" s="290">
        <f>X230+X231+X232</f>
        <v>-83.060000000000173</v>
      </c>
      <c r="Y233" s="144" t="s">
        <v>275</v>
      </c>
    </row>
    <row r="234" spans="1:25" x14ac:dyDescent="0.2">
      <c r="A234" s="206"/>
      <c r="B234" s="206"/>
      <c r="C234" s="207"/>
      <c r="D234" s="207"/>
      <c r="E234" s="206"/>
      <c r="F234" s="206"/>
      <c r="G234" s="366"/>
      <c r="H234" s="366"/>
      <c r="I234" s="366"/>
      <c r="J234" s="366"/>
      <c r="K234" s="366"/>
      <c r="L234" s="366"/>
      <c r="M234" s="462"/>
      <c r="N234" s="462"/>
      <c r="O234" s="260" t="s">
        <v>87</v>
      </c>
      <c r="P234" s="96">
        <v>52200000001</v>
      </c>
      <c r="Q234" s="234" t="s">
        <v>22</v>
      </c>
      <c r="R234" s="465">
        <f t="shared" si="20"/>
        <v>0</v>
      </c>
    </row>
    <row r="235" spans="1:25" x14ac:dyDescent="0.2">
      <c r="A235" s="206"/>
      <c r="B235" s="206"/>
      <c r="C235" s="207"/>
      <c r="D235" s="207"/>
      <c r="E235" s="206"/>
      <c r="F235" s="206"/>
      <c r="G235" s="366"/>
      <c r="H235" s="366"/>
      <c r="I235" s="366"/>
      <c r="J235" s="366"/>
      <c r="K235" s="366"/>
      <c r="L235" s="366"/>
      <c r="M235" s="462"/>
      <c r="N235" s="462"/>
      <c r="O235" s="260" t="s">
        <v>87</v>
      </c>
      <c r="P235" s="96">
        <v>52200000001</v>
      </c>
      <c r="Q235" s="234" t="s">
        <v>242</v>
      </c>
      <c r="R235" s="465">
        <f t="shared" si="20"/>
        <v>0</v>
      </c>
    </row>
    <row r="236" spans="1:25" x14ac:dyDescent="0.2">
      <c r="A236" s="206"/>
      <c r="B236" s="206"/>
      <c r="C236" s="207"/>
      <c r="D236" s="207"/>
      <c r="E236" s="206"/>
      <c r="F236" s="206"/>
      <c r="G236" s="206"/>
      <c r="H236" s="206"/>
      <c r="I236" s="206"/>
      <c r="J236" s="206"/>
      <c r="K236" s="206"/>
      <c r="L236" s="206"/>
      <c r="M236" s="462"/>
      <c r="N236" s="462"/>
      <c r="O236" s="260" t="s">
        <v>87</v>
      </c>
      <c r="P236" s="96">
        <v>51220200001</v>
      </c>
      <c r="Q236" s="234" t="s">
        <v>269</v>
      </c>
      <c r="R236" s="465">
        <f t="shared" si="20"/>
        <v>379.35</v>
      </c>
    </row>
    <row r="237" spans="1:25" x14ac:dyDescent="0.2">
      <c r="A237" s="206"/>
      <c r="B237" s="206"/>
      <c r="C237" s="209" t="s">
        <v>445</v>
      </c>
      <c r="D237" s="207"/>
      <c r="E237" s="207"/>
      <c r="F237" s="206"/>
      <c r="G237" s="206"/>
      <c r="H237" s="206"/>
      <c r="I237" s="209" t="s">
        <v>446</v>
      </c>
      <c r="J237" s="206"/>
      <c r="K237" s="206"/>
      <c r="L237" s="206"/>
      <c r="M237" s="462"/>
      <c r="N237" s="462"/>
      <c r="O237" s="260" t="s">
        <v>87</v>
      </c>
      <c r="P237" s="96">
        <v>53000100001</v>
      </c>
      <c r="Q237" s="234" t="s">
        <v>242</v>
      </c>
      <c r="R237" s="353">
        <f t="shared" si="20"/>
        <v>0</v>
      </c>
    </row>
    <row r="238" spans="1:25" x14ac:dyDescent="0.2">
      <c r="A238" s="206"/>
      <c r="B238" s="206"/>
      <c r="C238" s="209"/>
      <c r="D238" s="207"/>
      <c r="E238" s="207"/>
      <c r="F238" s="206"/>
      <c r="G238" s="206"/>
      <c r="H238" s="206"/>
      <c r="I238" s="209"/>
      <c r="J238" s="206"/>
      <c r="K238" s="206"/>
      <c r="L238" s="206"/>
      <c r="M238" s="462"/>
      <c r="N238" s="462"/>
      <c r="O238" s="462"/>
      <c r="P238" s="462"/>
      <c r="R238" s="236">
        <f>SUM(R217:R237)</f>
        <v>981.03</v>
      </c>
    </row>
    <row r="239" spans="1:25" x14ac:dyDescent="0.2">
      <c r="A239" s="206"/>
      <c r="B239" s="206"/>
      <c r="C239" s="206" t="s">
        <v>79</v>
      </c>
      <c r="D239" s="207"/>
      <c r="E239" s="207"/>
      <c r="F239" s="206"/>
      <c r="G239" s="467">
        <v>0</v>
      </c>
      <c r="H239" s="206"/>
      <c r="I239" s="206" t="s">
        <v>79</v>
      </c>
      <c r="J239" s="206"/>
      <c r="K239" s="206"/>
      <c r="L239" s="467">
        <v>0</v>
      </c>
      <c r="M239" s="462"/>
      <c r="N239" s="462"/>
    </row>
    <row r="240" spans="1:25" x14ac:dyDescent="0.2">
      <c r="A240" s="206"/>
      <c r="B240" s="206"/>
      <c r="C240" s="206"/>
      <c r="D240" s="207"/>
      <c r="E240" s="207"/>
      <c r="F240" s="206"/>
      <c r="G240" s="206"/>
      <c r="H240" s="206"/>
      <c r="I240" s="206"/>
      <c r="J240" s="206"/>
      <c r="K240" s="206"/>
      <c r="L240" s="206"/>
      <c r="M240" s="462"/>
      <c r="N240" s="462"/>
    </row>
    <row r="241" spans="1:28" x14ac:dyDescent="0.2">
      <c r="A241" s="206"/>
      <c r="B241" s="206"/>
      <c r="C241" s="206" t="s">
        <v>447</v>
      </c>
      <c r="D241" s="207"/>
      <c r="E241" s="207"/>
      <c r="F241" s="206"/>
      <c r="G241" s="467">
        <v>0</v>
      </c>
      <c r="H241" s="206"/>
      <c r="I241" s="206" t="s">
        <v>447</v>
      </c>
      <c r="J241" s="206"/>
      <c r="K241" s="206"/>
      <c r="L241" s="467">
        <v>0</v>
      </c>
      <c r="M241" s="462"/>
      <c r="N241" s="462"/>
    </row>
    <row r="242" spans="1:28" x14ac:dyDescent="0.2">
      <c r="A242" s="206"/>
      <c r="B242" s="206"/>
      <c r="C242" s="206"/>
      <c r="D242" s="207"/>
      <c r="E242" s="207"/>
      <c r="F242" s="206"/>
      <c r="G242" s="467"/>
      <c r="H242" s="206"/>
      <c r="I242" s="206"/>
      <c r="J242" s="206"/>
      <c r="K242" s="206"/>
      <c r="L242" s="467"/>
      <c r="M242" s="462"/>
      <c r="N242" s="462"/>
    </row>
    <row r="243" spans="1:28" x14ac:dyDescent="0.2">
      <c r="A243" s="206"/>
      <c r="B243" s="206"/>
      <c r="C243" s="206"/>
      <c r="D243" s="207"/>
      <c r="E243" s="207"/>
      <c r="F243" s="206"/>
      <c r="G243" s="467"/>
      <c r="H243" s="206"/>
      <c r="I243" s="206"/>
      <c r="J243" s="206"/>
      <c r="K243" s="206"/>
      <c r="L243" s="467"/>
      <c r="M243" s="462"/>
      <c r="N243" s="462"/>
    </row>
    <row r="244" spans="1:28" x14ac:dyDescent="0.2">
      <c r="A244" s="206"/>
      <c r="B244" s="206"/>
      <c r="C244" s="206" t="s">
        <v>448</v>
      </c>
      <c r="D244" s="207"/>
      <c r="E244" s="207"/>
      <c r="F244" s="206"/>
      <c r="G244" s="467"/>
      <c r="H244" s="206"/>
      <c r="I244" s="206" t="s">
        <v>448</v>
      </c>
      <c r="J244" s="206"/>
      <c r="K244" s="206"/>
      <c r="L244" s="467"/>
      <c r="M244" s="462"/>
      <c r="N244" s="462"/>
    </row>
    <row r="245" spans="1:28" x14ac:dyDescent="0.2">
      <c r="A245" s="206"/>
      <c r="B245" s="206"/>
      <c r="C245" s="206" t="s">
        <v>80</v>
      </c>
      <c r="D245" s="207"/>
      <c r="E245" s="207"/>
      <c r="F245" s="206"/>
      <c r="G245" s="467" t="e">
        <f>+#REF!</f>
        <v>#REF!</v>
      </c>
      <c r="H245" s="206"/>
      <c r="I245" s="206" t="s">
        <v>80</v>
      </c>
      <c r="J245" s="206"/>
      <c r="K245" s="206"/>
      <c r="L245" s="467">
        <f>+J230</f>
        <v>981.03</v>
      </c>
      <c r="M245" s="462"/>
      <c r="N245" s="462"/>
    </row>
    <row r="246" spans="1:28" x14ac:dyDescent="0.2">
      <c r="A246" s="206"/>
      <c r="B246" s="206"/>
      <c r="C246" s="206" t="s">
        <v>449</v>
      </c>
      <c r="D246" s="207"/>
      <c r="E246" s="207"/>
      <c r="F246" s="206"/>
      <c r="G246" s="468" t="e">
        <f>+G245*0.13</f>
        <v>#REF!</v>
      </c>
      <c r="H246" s="206"/>
      <c r="I246" s="206" t="s">
        <v>449</v>
      </c>
      <c r="J246" s="206"/>
      <c r="K246" s="206"/>
      <c r="L246" s="468">
        <f>+K230</f>
        <v>0</v>
      </c>
      <c r="M246" s="462"/>
      <c r="N246" s="462"/>
    </row>
    <row r="247" spans="1:28" x14ac:dyDescent="0.2">
      <c r="A247" s="206"/>
      <c r="B247" s="206"/>
      <c r="C247" s="206"/>
      <c r="D247" s="207"/>
      <c r="E247" s="207"/>
      <c r="F247" s="206"/>
      <c r="G247" s="467"/>
      <c r="H247" s="206"/>
      <c r="I247" s="206"/>
      <c r="J247" s="206"/>
      <c r="K247" s="206"/>
      <c r="L247" s="467"/>
      <c r="M247" s="462"/>
      <c r="N247" s="462"/>
    </row>
    <row r="248" spans="1:28" ht="13.5" thickBot="1" x14ac:dyDescent="0.25">
      <c r="A248" s="206"/>
      <c r="B248" s="206"/>
      <c r="C248" s="206" t="s">
        <v>450</v>
      </c>
      <c r="D248" s="207"/>
      <c r="E248" s="207"/>
      <c r="F248" s="206"/>
      <c r="G248" s="469" t="e">
        <f>SUM(G239:G246)</f>
        <v>#REF!</v>
      </c>
      <c r="H248" s="206"/>
      <c r="I248" s="206" t="s">
        <v>450</v>
      </c>
      <c r="J248" s="206"/>
      <c r="K248" s="206"/>
      <c r="L248" s="469">
        <f>SUM(L245:L247)</f>
        <v>981.03</v>
      </c>
      <c r="M248" s="462"/>
      <c r="N248" s="462"/>
    </row>
    <row r="249" spans="1:28" ht="13.5" thickTop="1" x14ac:dyDescent="0.2"/>
    <row r="250" spans="1:28" ht="3.75" customHeight="1" x14ac:dyDescent="0.2">
      <c r="A250" s="610"/>
      <c r="B250" s="610"/>
      <c r="C250" s="611"/>
      <c r="D250" s="611"/>
      <c r="E250" s="610"/>
      <c r="F250" s="610"/>
      <c r="G250" s="610"/>
      <c r="H250" s="610"/>
      <c r="I250" s="610"/>
      <c r="J250" s="610"/>
      <c r="K250" s="610"/>
      <c r="L250" s="610"/>
      <c r="M250" s="612"/>
      <c r="N250" s="612"/>
      <c r="O250" s="612"/>
      <c r="P250" s="612"/>
      <c r="Q250" s="613"/>
      <c r="R250" s="613"/>
      <c r="S250" s="613"/>
      <c r="T250" s="613"/>
      <c r="U250" s="613"/>
      <c r="V250" s="613"/>
      <c r="W250" s="613"/>
      <c r="X250" s="613"/>
      <c r="Y250" s="613"/>
      <c r="Z250" s="613"/>
      <c r="AA250" s="613"/>
      <c r="AB250" s="613"/>
    </row>
    <row r="254" spans="1:28" x14ac:dyDescent="0.2">
      <c r="A254" s="144"/>
      <c r="B254" s="484" t="s">
        <v>189</v>
      </c>
      <c r="C254" s="206"/>
      <c r="D254" s="206"/>
      <c r="E254" s="213"/>
      <c r="F254" s="214"/>
      <c r="G254" s="206"/>
      <c r="H254" s="206"/>
      <c r="I254" s="206"/>
      <c r="J254" s="206"/>
      <c r="K254" s="206"/>
      <c r="L254" s="206"/>
      <c r="M254" s="589"/>
      <c r="N254" s="589"/>
    </row>
    <row r="255" spans="1:28" x14ac:dyDescent="0.2">
      <c r="A255" s="144"/>
      <c r="B255" s="485" t="s">
        <v>134</v>
      </c>
      <c r="C255" s="206"/>
      <c r="D255" s="206"/>
      <c r="E255" s="485"/>
      <c r="F255" s="214"/>
      <c r="G255" s="206"/>
      <c r="H255" s="206"/>
      <c r="I255" s="206"/>
      <c r="J255" s="206"/>
      <c r="K255" s="206"/>
      <c r="L255" s="206"/>
      <c r="M255" s="589"/>
      <c r="N255" s="589"/>
    </row>
    <row r="256" spans="1:28" x14ac:dyDescent="0.2">
      <c r="A256" s="144"/>
      <c r="B256" s="491" t="s">
        <v>135</v>
      </c>
      <c r="C256" s="206"/>
      <c r="D256" s="206"/>
      <c r="E256" s="213"/>
      <c r="F256" s="490"/>
      <c r="G256" s="206"/>
      <c r="H256" s="206"/>
      <c r="I256" s="206"/>
      <c r="J256" s="206"/>
      <c r="K256" s="206"/>
      <c r="L256" s="206"/>
      <c r="M256" s="589"/>
      <c r="N256" s="589"/>
    </row>
    <row r="257" spans="1:26" x14ac:dyDescent="0.2">
      <c r="A257" s="144"/>
      <c r="B257" s="491" t="s">
        <v>190</v>
      </c>
      <c r="C257" s="206"/>
      <c r="D257" s="206"/>
      <c r="E257" s="213"/>
      <c r="F257" s="214"/>
      <c r="G257" s="206"/>
      <c r="H257" s="206"/>
      <c r="I257" s="206"/>
      <c r="J257" s="206"/>
      <c r="K257" s="206"/>
      <c r="L257" s="206"/>
      <c r="M257" s="589"/>
      <c r="N257" s="589"/>
    </row>
    <row r="258" spans="1:26" x14ac:dyDescent="0.2">
      <c r="A258" s="144"/>
      <c r="B258" s="489"/>
      <c r="C258" s="206"/>
      <c r="D258" s="206"/>
      <c r="E258" s="213"/>
      <c r="F258" s="214"/>
      <c r="G258" s="206"/>
      <c r="H258" s="206"/>
      <c r="I258" s="206"/>
      <c r="J258" s="206"/>
      <c r="K258" s="206"/>
      <c r="L258" s="206"/>
      <c r="M258" s="589"/>
      <c r="N258" s="589"/>
    </row>
    <row r="259" spans="1:26" ht="18" x14ac:dyDescent="0.25">
      <c r="A259" s="144"/>
      <c r="B259" s="205" t="s">
        <v>240</v>
      </c>
      <c r="C259" s="206"/>
      <c r="D259" s="207"/>
      <c r="E259" s="208" t="s">
        <v>88</v>
      </c>
      <c r="F259" s="209" t="s">
        <v>97</v>
      </c>
      <c r="G259" s="210">
        <v>2017</v>
      </c>
      <c r="H259" s="211" t="s">
        <v>14</v>
      </c>
      <c r="I259" s="211"/>
      <c r="J259" s="206"/>
      <c r="K259" s="206"/>
      <c r="L259" s="206"/>
      <c r="M259" s="589"/>
      <c r="N259" s="589"/>
    </row>
    <row r="260" spans="1:26" x14ac:dyDescent="0.2">
      <c r="A260" s="144"/>
      <c r="B260" s="212" t="s">
        <v>15</v>
      </c>
      <c r="C260" s="206"/>
      <c r="D260" s="206"/>
      <c r="E260" s="213"/>
      <c r="F260" s="214"/>
      <c r="G260" s="206"/>
      <c r="H260" s="215"/>
      <c r="I260" s="215"/>
      <c r="J260" s="206"/>
      <c r="K260" s="206"/>
      <c r="L260" s="206"/>
      <c r="M260" s="589"/>
      <c r="N260" s="589"/>
    </row>
    <row r="261" spans="1:26" x14ac:dyDescent="0.2">
      <c r="A261" s="144"/>
      <c r="B261" s="216"/>
      <c r="C261" s="216"/>
      <c r="D261" s="216"/>
      <c r="E261" s="216"/>
      <c r="F261" s="216"/>
      <c r="G261" s="216"/>
      <c r="H261" s="216"/>
      <c r="I261" s="216"/>
      <c r="J261" s="216"/>
      <c r="K261" s="216"/>
      <c r="L261" s="216"/>
      <c r="M261" s="589"/>
      <c r="N261" s="589"/>
    </row>
    <row r="262" spans="1:26" x14ac:dyDescent="0.2">
      <c r="A262" s="144"/>
      <c r="B262" s="216"/>
      <c r="C262" s="216"/>
      <c r="D262" s="216"/>
      <c r="E262" s="216"/>
      <c r="F262" s="216"/>
      <c r="G262" s="216"/>
      <c r="H262" s="209"/>
      <c r="I262" s="209"/>
      <c r="J262" s="209"/>
      <c r="K262" s="209"/>
      <c r="L262" s="216"/>
      <c r="M262" s="589"/>
      <c r="N262" s="589"/>
    </row>
    <row r="263" spans="1:26" x14ac:dyDescent="0.2">
      <c r="A263" s="144"/>
      <c r="B263" s="217"/>
      <c r="C263" s="218" t="s">
        <v>137</v>
      </c>
      <c r="D263" s="219" t="s">
        <v>16</v>
      </c>
      <c r="E263" s="219"/>
      <c r="F263" s="219" t="s">
        <v>74</v>
      </c>
      <c r="G263" s="219"/>
      <c r="H263" s="220" t="s">
        <v>75</v>
      </c>
      <c r="I263" s="221"/>
      <c r="J263" s="221"/>
      <c r="K263" s="221"/>
      <c r="L263" s="239"/>
      <c r="M263" s="590"/>
      <c r="N263" s="590"/>
      <c r="O263" s="303" t="s">
        <v>257</v>
      </c>
      <c r="P263" s="303"/>
      <c r="Q263" s="303"/>
      <c r="R263" s="303"/>
      <c r="U263" s="153" t="s">
        <v>247</v>
      </c>
      <c r="Y263" s="144" t="s">
        <v>256</v>
      </c>
      <c r="Z263" s="144" t="s">
        <v>184</v>
      </c>
    </row>
    <row r="264" spans="1:26" x14ac:dyDescent="0.2">
      <c r="A264" s="144"/>
      <c r="B264" s="222" t="s">
        <v>76</v>
      </c>
      <c r="C264" s="223" t="s">
        <v>77</v>
      </c>
      <c r="D264" s="223" t="s">
        <v>141</v>
      </c>
      <c r="E264" s="223" t="s">
        <v>78</v>
      </c>
      <c r="F264" s="223" t="s">
        <v>142</v>
      </c>
      <c r="G264" s="223" t="s">
        <v>79</v>
      </c>
      <c r="H264" s="224" t="s">
        <v>48</v>
      </c>
      <c r="I264" s="221"/>
      <c r="J264" s="224" t="s">
        <v>80</v>
      </c>
      <c r="K264" s="221"/>
      <c r="L264" s="240" t="s">
        <v>175</v>
      </c>
      <c r="M264" s="590"/>
      <c r="N264" s="590"/>
      <c r="O264" s="260" t="s">
        <v>88</v>
      </c>
      <c r="P264" s="96">
        <v>51000000001</v>
      </c>
      <c r="Q264" s="234" t="s">
        <v>242</v>
      </c>
      <c r="R264" s="592">
        <f>SUMIFS($J$267:$J$276,$E$267:$E$276,Q264,$M$267:$M$276,P264)</f>
        <v>0</v>
      </c>
      <c r="T264" s="144">
        <v>51000200001</v>
      </c>
      <c r="U264" s="144" t="s">
        <v>194</v>
      </c>
      <c r="X264" s="156">
        <v>-47.95</v>
      </c>
      <c r="Y264" s="156">
        <f>R267</f>
        <v>0</v>
      </c>
      <c r="Z264" s="236">
        <v>0</v>
      </c>
    </row>
    <row r="265" spans="1:26" x14ac:dyDescent="0.2">
      <c r="A265" s="144"/>
      <c r="B265" s="225"/>
      <c r="C265" s="226"/>
      <c r="D265" s="226"/>
      <c r="E265" s="225"/>
      <c r="F265" s="225"/>
      <c r="G265" s="225"/>
      <c r="H265" s="227" t="s">
        <v>176</v>
      </c>
      <c r="I265" s="228" t="s">
        <v>177</v>
      </c>
      <c r="J265" s="241" t="s">
        <v>178</v>
      </c>
      <c r="K265" s="241" t="s">
        <v>46</v>
      </c>
      <c r="L265" s="242" t="s">
        <v>48</v>
      </c>
      <c r="M265" s="590"/>
      <c r="N265" s="590"/>
      <c r="O265" s="260" t="s">
        <v>88</v>
      </c>
      <c r="P265" s="96">
        <v>51000000002</v>
      </c>
      <c r="Q265" s="234" t="s">
        <v>242</v>
      </c>
      <c r="R265" s="592">
        <f t="shared" ref="R265:R284" si="24">SUMIFS($J$267:$J$276,$E$267:$E$276,Q265,$M$267:$M$276,P265)</f>
        <v>0</v>
      </c>
      <c r="T265" s="144">
        <v>51000200002</v>
      </c>
      <c r="U265" s="144" t="s">
        <v>195</v>
      </c>
      <c r="X265" s="156">
        <v>-47.95</v>
      </c>
      <c r="Y265" s="156">
        <f>R269</f>
        <v>0</v>
      </c>
      <c r="Z265" s="236">
        <v>0</v>
      </c>
    </row>
    <row r="266" spans="1:26" x14ac:dyDescent="0.2">
      <c r="A266" s="144"/>
      <c r="B266" s="229"/>
      <c r="C266" s="230"/>
      <c r="D266" s="230"/>
      <c r="E266" s="231"/>
      <c r="F266" s="232"/>
      <c r="G266" s="591"/>
      <c r="H266" s="592"/>
      <c r="I266" s="592"/>
      <c r="J266" s="592"/>
      <c r="K266" s="592"/>
      <c r="L266" s="592"/>
      <c r="M266" s="593"/>
      <c r="N266" s="593"/>
      <c r="O266" s="260" t="s">
        <v>88</v>
      </c>
      <c r="P266" s="96">
        <v>51000100001</v>
      </c>
      <c r="Q266" s="234" t="s">
        <v>242</v>
      </c>
      <c r="R266" s="592">
        <f t="shared" si="24"/>
        <v>0</v>
      </c>
      <c r="T266" s="144">
        <v>51220200001</v>
      </c>
      <c r="U266" s="144" t="s">
        <v>21</v>
      </c>
      <c r="X266" s="156">
        <v>-1776.8599999999988</v>
      </c>
      <c r="Y266" s="156">
        <f>R276+R283</f>
        <v>1775.1599999999999</v>
      </c>
      <c r="Z266" s="236">
        <f>X266+Y266</f>
        <v>-1.6999999999989086</v>
      </c>
    </row>
    <row r="267" spans="1:26" x14ac:dyDescent="0.2">
      <c r="A267" s="144"/>
      <c r="B267" s="233">
        <v>43333</v>
      </c>
      <c r="C267" s="230" t="s">
        <v>473</v>
      </c>
      <c r="D267" s="230" t="s">
        <v>241</v>
      </c>
      <c r="E267" s="234" t="s">
        <v>269</v>
      </c>
      <c r="F267" s="234" t="s">
        <v>270</v>
      </c>
      <c r="G267" s="591"/>
      <c r="H267" s="592"/>
      <c r="I267" s="592"/>
      <c r="J267" s="592">
        <v>384.11</v>
      </c>
      <c r="K267" s="235">
        <v>49.93</v>
      </c>
      <c r="L267" s="592">
        <f t="shared" ref="L267:L273" si="25">+J267+K267</f>
        <v>434.04</v>
      </c>
      <c r="M267" s="144">
        <v>51220200001</v>
      </c>
      <c r="N267" s="593"/>
      <c r="O267" s="260" t="s">
        <v>88</v>
      </c>
      <c r="P267" s="96">
        <v>51000100001</v>
      </c>
      <c r="Q267" s="234" t="s">
        <v>269</v>
      </c>
      <c r="R267" s="592">
        <f t="shared" si="24"/>
        <v>0</v>
      </c>
      <c r="T267" s="144">
        <v>52200000001</v>
      </c>
      <c r="U267" s="144" t="s">
        <v>11</v>
      </c>
      <c r="X267" s="156">
        <v>0</v>
      </c>
      <c r="Y267" s="156">
        <f t="shared" ref="Y267" si="26">R277+R284</f>
        <v>0</v>
      </c>
      <c r="Z267" s="236">
        <v>0</v>
      </c>
    </row>
    <row r="268" spans="1:26" x14ac:dyDescent="0.2">
      <c r="A268" s="144"/>
      <c r="B268" s="233">
        <v>43333</v>
      </c>
      <c r="C268" s="230" t="s">
        <v>474</v>
      </c>
      <c r="D268" s="230" t="s">
        <v>241</v>
      </c>
      <c r="E268" s="234" t="s">
        <v>242</v>
      </c>
      <c r="F268" s="234" t="s">
        <v>47</v>
      </c>
      <c r="G268" s="234"/>
      <c r="H268" s="592"/>
      <c r="I268" s="592"/>
      <c r="J268" s="592">
        <v>1391.05</v>
      </c>
      <c r="K268" s="235">
        <v>180.84</v>
      </c>
      <c r="L268" s="592">
        <f t="shared" si="25"/>
        <v>1571.8899999999999</v>
      </c>
      <c r="M268" s="144">
        <v>51220200001</v>
      </c>
      <c r="N268" s="593"/>
      <c r="O268" s="260" t="s">
        <v>88</v>
      </c>
      <c r="P268" s="96">
        <v>51000100002</v>
      </c>
      <c r="Q268" s="234" t="s">
        <v>242</v>
      </c>
      <c r="R268" s="592">
        <f t="shared" si="24"/>
        <v>0</v>
      </c>
      <c r="T268" s="144">
        <v>53000000009</v>
      </c>
      <c r="U268" s="144" t="s">
        <v>214</v>
      </c>
      <c r="X268" s="356">
        <v>0</v>
      </c>
      <c r="Y268" s="156">
        <v>0</v>
      </c>
      <c r="Z268" s="236">
        <v>0</v>
      </c>
    </row>
    <row r="269" spans="1:26" x14ac:dyDescent="0.2">
      <c r="A269" s="144"/>
      <c r="B269" s="233">
        <v>43335</v>
      </c>
      <c r="C269" s="230" t="s">
        <v>475</v>
      </c>
      <c r="D269" s="230" t="s">
        <v>241</v>
      </c>
      <c r="E269" s="234" t="s">
        <v>242</v>
      </c>
      <c r="F269" s="234" t="s">
        <v>47</v>
      </c>
      <c r="G269" s="591"/>
      <c r="H269" s="592"/>
      <c r="I269" s="592"/>
      <c r="J269" s="592">
        <v>47.95</v>
      </c>
      <c r="K269" s="235">
        <v>6.23</v>
      </c>
      <c r="L269" s="592">
        <f t="shared" si="25"/>
        <v>54.180000000000007</v>
      </c>
      <c r="M269" s="144">
        <v>51000200001</v>
      </c>
      <c r="N269" s="593"/>
      <c r="O269" s="260" t="s">
        <v>88</v>
      </c>
      <c r="P269" s="96">
        <v>51000100002</v>
      </c>
      <c r="Q269" s="234" t="s">
        <v>269</v>
      </c>
      <c r="R269" s="592">
        <f t="shared" si="24"/>
        <v>0</v>
      </c>
      <c r="T269" s="144">
        <v>53000000012</v>
      </c>
      <c r="U269" s="144" t="s">
        <v>215</v>
      </c>
      <c r="X269" s="304">
        <v>0</v>
      </c>
      <c r="Y269" s="304">
        <f t="shared" ref="Y269" si="27">R279+R286</f>
        <v>0</v>
      </c>
      <c r="Z269" s="300">
        <v>0</v>
      </c>
    </row>
    <row r="270" spans="1:26" x14ac:dyDescent="0.2">
      <c r="A270" s="144"/>
      <c r="B270" s="233">
        <v>43335</v>
      </c>
      <c r="C270" s="230" t="s">
        <v>476</v>
      </c>
      <c r="D270" s="230" t="s">
        <v>241</v>
      </c>
      <c r="E270" s="234" t="s">
        <v>242</v>
      </c>
      <c r="F270" s="234" t="s">
        <v>47</v>
      </c>
      <c r="G270" s="234"/>
      <c r="H270" s="592"/>
      <c r="I270" s="592"/>
      <c r="J270" s="592">
        <v>47.95</v>
      </c>
      <c r="K270" s="235">
        <v>6.23</v>
      </c>
      <c r="L270" s="592">
        <f t="shared" si="25"/>
        <v>54.180000000000007</v>
      </c>
      <c r="M270" s="144">
        <v>51000200002</v>
      </c>
      <c r="N270" s="593"/>
      <c r="O270" s="260" t="s">
        <v>88</v>
      </c>
      <c r="P270" s="96">
        <v>51000200001</v>
      </c>
      <c r="Q270" s="234" t="s">
        <v>242</v>
      </c>
      <c r="R270" s="592">
        <f t="shared" si="24"/>
        <v>47.95</v>
      </c>
      <c r="X270" s="290">
        <f>SUM(X264:X269)</f>
        <v>-1872.7599999999989</v>
      </c>
      <c r="Y270" s="290">
        <f t="shared" ref="Y270" si="28">SUM(Y264:Y269)</f>
        <v>1775.1599999999999</v>
      </c>
      <c r="Z270" s="290">
        <f t="shared" ref="Z270" si="29">SUM(Z264:Z269)</f>
        <v>-1.6999999999989086</v>
      </c>
    </row>
    <row r="271" spans="1:26" x14ac:dyDescent="0.2">
      <c r="A271" s="144"/>
      <c r="B271" s="233"/>
      <c r="C271" s="230"/>
      <c r="D271" s="230"/>
      <c r="E271" s="234"/>
      <c r="F271" s="234"/>
      <c r="G271" s="234"/>
      <c r="H271" s="592"/>
      <c r="I271" s="592"/>
      <c r="J271" s="592"/>
      <c r="K271" s="235"/>
      <c r="L271" s="592"/>
      <c r="M271" s="593"/>
      <c r="N271" s="593"/>
      <c r="O271" s="260" t="s">
        <v>88</v>
      </c>
      <c r="P271" s="96">
        <v>51000200001</v>
      </c>
      <c r="Q271" s="234" t="s">
        <v>187</v>
      </c>
      <c r="R271" s="592">
        <f t="shared" si="24"/>
        <v>0</v>
      </c>
    </row>
    <row r="272" spans="1:26" x14ac:dyDescent="0.2">
      <c r="B272" s="233"/>
      <c r="C272" s="230"/>
      <c r="D272" s="230"/>
      <c r="E272" s="234" t="s">
        <v>321</v>
      </c>
      <c r="F272" s="206"/>
      <c r="G272" s="289"/>
      <c r="H272" s="289"/>
      <c r="I272" s="289"/>
      <c r="J272" s="289"/>
      <c r="K272" s="235">
        <v>-243.23</v>
      </c>
      <c r="L272" s="592">
        <f t="shared" si="25"/>
        <v>-243.23</v>
      </c>
      <c r="M272" s="593"/>
      <c r="N272" s="593"/>
      <c r="O272" s="260" t="s">
        <v>88</v>
      </c>
      <c r="P272" s="96">
        <v>51000200001</v>
      </c>
      <c r="Q272" s="234" t="s">
        <v>22</v>
      </c>
      <c r="R272" s="592">
        <f t="shared" si="24"/>
        <v>0</v>
      </c>
    </row>
    <row r="273" spans="2:25" x14ac:dyDescent="0.2">
      <c r="B273" s="233"/>
      <c r="C273" s="230"/>
      <c r="D273" s="230"/>
      <c r="E273" s="234"/>
      <c r="F273" s="206"/>
      <c r="G273" s="289"/>
      <c r="H273" s="289"/>
      <c r="I273" s="289"/>
      <c r="J273" s="289"/>
      <c r="K273" s="235"/>
      <c r="L273" s="592">
        <f t="shared" si="25"/>
        <v>0</v>
      </c>
      <c r="M273" s="593"/>
      <c r="N273" s="593"/>
      <c r="O273" s="260" t="s">
        <v>88</v>
      </c>
      <c r="P273" s="96">
        <v>51000200002</v>
      </c>
      <c r="Q273" s="234" t="s">
        <v>242</v>
      </c>
      <c r="R273" s="592">
        <f t="shared" si="24"/>
        <v>47.95</v>
      </c>
    </row>
    <row r="274" spans="2:25" x14ac:dyDescent="0.2">
      <c r="B274" s="233"/>
      <c r="C274" s="230"/>
      <c r="D274" s="230"/>
      <c r="E274" s="234"/>
      <c r="F274" s="206"/>
      <c r="G274" s="289"/>
      <c r="H274" s="289"/>
      <c r="I274" s="289"/>
      <c r="J274" s="289"/>
      <c r="K274" s="235"/>
      <c r="L274" s="592"/>
      <c r="M274" s="593"/>
      <c r="N274" s="593"/>
      <c r="O274" s="260" t="s">
        <v>88</v>
      </c>
      <c r="P274" s="96">
        <v>51000200002</v>
      </c>
      <c r="Q274" s="234" t="s">
        <v>187</v>
      </c>
      <c r="R274" s="592">
        <f t="shared" si="24"/>
        <v>0</v>
      </c>
    </row>
    <row r="275" spans="2:25" x14ac:dyDescent="0.2">
      <c r="B275" s="233"/>
      <c r="C275" s="230"/>
      <c r="D275" s="230"/>
      <c r="E275" s="234"/>
      <c r="F275" s="206"/>
      <c r="G275" s="289"/>
      <c r="H275" s="289"/>
      <c r="I275" s="289"/>
      <c r="J275" s="289"/>
      <c r="K275" s="235"/>
      <c r="L275" s="592"/>
      <c r="M275" s="593"/>
      <c r="N275" s="593"/>
      <c r="O275" s="260" t="s">
        <v>88</v>
      </c>
      <c r="P275" s="96">
        <v>51000200002</v>
      </c>
      <c r="Q275" s="234" t="s">
        <v>22</v>
      </c>
      <c r="R275" s="592">
        <f t="shared" si="24"/>
        <v>0</v>
      </c>
    </row>
    <row r="276" spans="2:25" x14ac:dyDescent="0.2">
      <c r="B276" s="206"/>
      <c r="C276" s="207"/>
      <c r="D276" s="207"/>
      <c r="E276" s="234"/>
      <c r="F276" s="206"/>
      <c r="G276" s="289"/>
      <c r="H276" s="289"/>
      <c r="I276" s="289"/>
      <c r="J276" s="289"/>
      <c r="K276" s="289"/>
      <c r="L276" s="289"/>
      <c r="M276" s="594"/>
      <c r="N276" s="594"/>
      <c r="O276" s="260" t="s">
        <v>88</v>
      </c>
      <c r="P276" s="96">
        <v>51220200001</v>
      </c>
      <c r="Q276" s="234" t="s">
        <v>242</v>
      </c>
      <c r="R276" s="592">
        <f t="shared" si="24"/>
        <v>1391.05</v>
      </c>
    </row>
    <row r="277" spans="2:25" x14ac:dyDescent="0.2">
      <c r="B277" s="295"/>
      <c r="C277" s="296"/>
      <c r="D277" s="296"/>
      <c r="E277" s="234"/>
      <c r="F277" s="295"/>
      <c r="G277" s="297"/>
      <c r="H277" s="297"/>
      <c r="I277" s="297"/>
      <c r="J277" s="297"/>
      <c r="K277" s="297"/>
      <c r="L277" s="297"/>
      <c r="M277" s="589"/>
      <c r="N277" s="589"/>
      <c r="O277" s="260" t="s">
        <v>88</v>
      </c>
      <c r="P277" s="96">
        <v>51220200001</v>
      </c>
      <c r="Q277" s="234" t="s">
        <v>187</v>
      </c>
      <c r="R277" s="592">
        <f t="shared" si="24"/>
        <v>0</v>
      </c>
      <c r="W277" s="153" t="s">
        <v>255</v>
      </c>
      <c r="X277" s="236">
        <f>+X265+X266+X264+X268+X269</f>
        <v>-1872.7599999999989</v>
      </c>
    </row>
    <row r="278" spans="2:25" x14ac:dyDescent="0.2">
      <c r="B278" s="206"/>
      <c r="C278" s="207"/>
      <c r="D278" s="207"/>
      <c r="E278" s="206"/>
      <c r="F278" s="206"/>
      <c r="G278" s="298" t="e">
        <f t="shared" ref="G278:I278" si="30">SUM(G194:G277)</f>
        <v>#REF!</v>
      </c>
      <c r="H278" s="298">
        <f t="shared" si="30"/>
        <v>0</v>
      </c>
      <c r="I278" s="298">
        <f t="shared" si="30"/>
        <v>0</v>
      </c>
      <c r="J278" s="298">
        <f>SUM(J267:J277)</f>
        <v>1871.06</v>
      </c>
      <c r="K278" s="298">
        <f>SUM(K266:K277)</f>
        <v>0</v>
      </c>
      <c r="L278" s="298">
        <f>SUM(L267:L277)</f>
        <v>1871.0599999999995</v>
      </c>
      <c r="M278" s="589"/>
      <c r="N278" s="589"/>
      <c r="O278" s="260" t="s">
        <v>88</v>
      </c>
      <c r="P278" s="96">
        <v>51220200001</v>
      </c>
      <c r="Q278" s="234" t="s">
        <v>22</v>
      </c>
      <c r="R278" s="592">
        <f t="shared" si="24"/>
        <v>0</v>
      </c>
      <c r="W278" s="144" t="s">
        <v>257</v>
      </c>
      <c r="X278" s="236">
        <f>R285</f>
        <v>1871.06</v>
      </c>
    </row>
    <row r="279" spans="2:25" x14ac:dyDescent="0.2">
      <c r="B279" s="206"/>
      <c r="C279" s="207"/>
      <c r="D279" s="207"/>
      <c r="E279" s="206"/>
      <c r="F279" s="206"/>
      <c r="G279" s="366"/>
      <c r="H279" s="366"/>
      <c r="I279" s="366"/>
      <c r="J279" s="366"/>
      <c r="K279" s="366"/>
      <c r="L279" s="366"/>
      <c r="M279" s="589"/>
      <c r="N279" s="589"/>
      <c r="O279" s="260" t="s">
        <v>88</v>
      </c>
      <c r="P279" s="96">
        <v>52200000001</v>
      </c>
      <c r="Q279" s="234" t="s">
        <v>242</v>
      </c>
      <c r="R279" s="592">
        <f t="shared" si="24"/>
        <v>0</v>
      </c>
      <c r="W279" s="144" t="s">
        <v>260</v>
      </c>
      <c r="X279" s="300">
        <v>0</v>
      </c>
    </row>
    <row r="280" spans="2:25" x14ac:dyDescent="0.2">
      <c r="B280" s="206"/>
      <c r="C280" s="207"/>
      <c r="D280" s="207"/>
      <c r="E280" s="206"/>
      <c r="F280" s="206"/>
      <c r="G280" s="366"/>
      <c r="H280" s="366"/>
      <c r="I280" s="366"/>
      <c r="J280" s="366"/>
      <c r="K280" s="366"/>
      <c r="L280" s="366"/>
      <c r="M280" s="589"/>
      <c r="N280" s="589"/>
      <c r="O280" s="260" t="s">
        <v>88</v>
      </c>
      <c r="P280" s="96">
        <v>52200000001</v>
      </c>
      <c r="Q280" s="234" t="s">
        <v>187</v>
      </c>
      <c r="R280" s="592">
        <f t="shared" si="24"/>
        <v>0</v>
      </c>
      <c r="X280" s="290">
        <f>X277+X278+X279</f>
        <v>-1.6999999999989086</v>
      </c>
      <c r="Y280" s="144" t="s">
        <v>275</v>
      </c>
    </row>
    <row r="281" spans="2:25" x14ac:dyDescent="0.2">
      <c r="B281" s="206"/>
      <c r="C281" s="207"/>
      <c r="D281" s="207"/>
      <c r="E281" s="206"/>
      <c r="F281" s="206"/>
      <c r="G281" s="366"/>
      <c r="H281" s="366"/>
      <c r="I281" s="366"/>
      <c r="J281" s="366"/>
      <c r="K281" s="366"/>
      <c r="L281" s="366"/>
      <c r="M281" s="589"/>
      <c r="N281" s="589"/>
      <c r="O281" s="260" t="s">
        <v>88</v>
      </c>
      <c r="P281" s="96">
        <v>52200000001</v>
      </c>
      <c r="Q281" s="234" t="s">
        <v>22</v>
      </c>
      <c r="R281" s="592">
        <f t="shared" si="24"/>
        <v>0</v>
      </c>
    </row>
    <row r="282" spans="2:25" x14ac:dyDescent="0.2">
      <c r="B282" s="206"/>
      <c r="C282" s="207"/>
      <c r="D282" s="207"/>
      <c r="E282" s="206"/>
      <c r="F282" s="206"/>
      <c r="G282" s="366"/>
      <c r="H282" s="366"/>
      <c r="I282" s="366"/>
      <c r="J282" s="366"/>
      <c r="K282" s="366"/>
      <c r="L282" s="366"/>
      <c r="M282" s="589"/>
      <c r="N282" s="589"/>
      <c r="O282" s="260" t="s">
        <v>88</v>
      </c>
      <c r="P282" s="96">
        <v>52200000001</v>
      </c>
      <c r="Q282" s="234" t="s">
        <v>242</v>
      </c>
      <c r="R282" s="592">
        <f t="shared" si="24"/>
        <v>0</v>
      </c>
    </row>
    <row r="283" spans="2:25" x14ac:dyDescent="0.2">
      <c r="B283" s="206"/>
      <c r="C283" s="207"/>
      <c r="D283" s="207"/>
      <c r="E283" s="206"/>
      <c r="F283" s="206"/>
      <c r="G283" s="366"/>
      <c r="H283" s="366"/>
      <c r="I283" s="366"/>
      <c r="J283" s="366"/>
      <c r="K283" s="366"/>
      <c r="L283" s="366"/>
      <c r="M283" s="589"/>
      <c r="N283" s="589"/>
      <c r="O283" s="260" t="s">
        <v>88</v>
      </c>
      <c r="P283" s="96">
        <v>51220200001</v>
      </c>
      <c r="Q283" s="234" t="s">
        <v>269</v>
      </c>
      <c r="R283" s="592">
        <f t="shared" si="24"/>
        <v>384.11</v>
      </c>
    </row>
    <row r="284" spans="2:25" x14ac:dyDescent="0.2">
      <c r="B284" s="206"/>
      <c r="C284" s="207"/>
      <c r="D284" s="207"/>
      <c r="E284" s="206"/>
      <c r="F284" s="206"/>
      <c r="G284" s="206"/>
      <c r="H284" s="206"/>
      <c r="I284" s="206"/>
      <c r="J284" s="206"/>
      <c r="K284" s="206"/>
      <c r="L284" s="206"/>
      <c r="M284" s="589"/>
      <c r="N284" s="589"/>
      <c r="O284" s="260" t="s">
        <v>88</v>
      </c>
      <c r="P284" s="96">
        <v>53000100001</v>
      </c>
      <c r="Q284" s="234" t="s">
        <v>242</v>
      </c>
      <c r="R284" s="353">
        <f t="shared" si="24"/>
        <v>0</v>
      </c>
    </row>
    <row r="285" spans="2:25" x14ac:dyDescent="0.2">
      <c r="B285" s="206"/>
      <c r="C285" s="209" t="s">
        <v>445</v>
      </c>
      <c r="D285" s="207"/>
      <c r="E285" s="207"/>
      <c r="F285" s="206"/>
      <c r="G285" s="206"/>
      <c r="H285" s="206"/>
      <c r="I285" s="209" t="s">
        <v>446</v>
      </c>
      <c r="J285" s="206"/>
      <c r="K285" s="206"/>
      <c r="L285" s="206"/>
      <c r="M285" s="589"/>
      <c r="N285" s="589"/>
      <c r="O285" s="589"/>
      <c r="P285" s="589"/>
      <c r="R285" s="236">
        <f>SUM(R264:R284)</f>
        <v>1871.06</v>
      </c>
    </row>
    <row r="286" spans="2:25" x14ac:dyDescent="0.2">
      <c r="B286" s="206"/>
      <c r="C286" s="209"/>
      <c r="D286" s="207"/>
      <c r="E286" s="207"/>
      <c r="F286" s="206"/>
      <c r="G286" s="206"/>
      <c r="H286" s="206"/>
      <c r="I286" s="209"/>
      <c r="J286" s="206"/>
      <c r="K286" s="206"/>
      <c r="L286" s="206"/>
      <c r="M286" s="589"/>
      <c r="N286" s="589"/>
    </row>
    <row r="287" spans="2:25" x14ac:dyDescent="0.2">
      <c r="B287" s="206"/>
      <c r="C287" s="206" t="s">
        <v>79</v>
      </c>
      <c r="D287" s="207"/>
      <c r="E287" s="207"/>
      <c r="F287" s="206"/>
      <c r="G287" s="467">
        <v>0</v>
      </c>
      <c r="H287" s="206"/>
      <c r="I287" s="206" t="s">
        <v>79</v>
      </c>
      <c r="J287" s="206"/>
      <c r="K287" s="206"/>
      <c r="L287" s="467">
        <v>0</v>
      </c>
      <c r="M287" s="589"/>
      <c r="N287" s="589"/>
    </row>
    <row r="288" spans="2:25" x14ac:dyDescent="0.2">
      <c r="B288" s="206"/>
      <c r="C288" s="206"/>
      <c r="D288" s="207"/>
      <c r="E288" s="207"/>
      <c r="F288" s="206"/>
      <c r="G288" s="206"/>
      <c r="H288" s="206"/>
      <c r="I288" s="206"/>
      <c r="J288" s="206"/>
      <c r="K288" s="206"/>
      <c r="L288" s="206"/>
      <c r="M288" s="589"/>
      <c r="N288" s="589"/>
    </row>
    <row r="289" spans="1:28" x14ac:dyDescent="0.2">
      <c r="B289" s="206"/>
      <c r="C289" s="206" t="s">
        <v>447</v>
      </c>
      <c r="D289" s="207"/>
      <c r="E289" s="207"/>
      <c r="F289" s="206"/>
      <c r="G289" s="467">
        <v>0</v>
      </c>
      <c r="H289" s="206"/>
      <c r="I289" s="206" t="s">
        <v>447</v>
      </c>
      <c r="J289" s="206"/>
      <c r="K289" s="206"/>
      <c r="L289" s="467">
        <v>0</v>
      </c>
      <c r="M289" s="589"/>
      <c r="N289" s="589"/>
    </row>
    <row r="290" spans="1:28" x14ac:dyDescent="0.2">
      <c r="B290" s="206"/>
      <c r="C290" s="206"/>
      <c r="D290" s="207"/>
      <c r="E290" s="207"/>
      <c r="F290" s="206"/>
      <c r="G290" s="467"/>
      <c r="H290" s="206"/>
      <c r="I290" s="206"/>
      <c r="J290" s="206"/>
      <c r="K290" s="206"/>
      <c r="L290" s="467"/>
      <c r="M290" s="589"/>
      <c r="N290" s="589"/>
    </row>
    <row r="291" spans="1:28" x14ac:dyDescent="0.2">
      <c r="B291" s="206"/>
      <c r="C291" s="206"/>
      <c r="D291" s="207"/>
      <c r="E291" s="207"/>
      <c r="F291" s="206"/>
      <c r="G291" s="467"/>
      <c r="H291" s="206"/>
      <c r="I291" s="206"/>
      <c r="J291" s="206"/>
      <c r="K291" s="206"/>
      <c r="L291" s="467"/>
      <c r="M291" s="589"/>
      <c r="N291" s="589"/>
    </row>
    <row r="292" spans="1:28" x14ac:dyDescent="0.2">
      <c r="B292" s="206"/>
      <c r="C292" s="206" t="s">
        <v>448</v>
      </c>
      <c r="D292" s="207"/>
      <c r="E292" s="207"/>
      <c r="F292" s="206"/>
      <c r="G292" s="467"/>
      <c r="H292" s="206"/>
      <c r="I292" s="206" t="s">
        <v>448</v>
      </c>
      <c r="J292" s="206"/>
      <c r="K292" s="206"/>
      <c r="L292" s="467"/>
      <c r="M292" s="589"/>
      <c r="N292" s="589"/>
    </row>
    <row r="293" spans="1:28" x14ac:dyDescent="0.2">
      <c r="B293" s="206"/>
      <c r="C293" s="206" t="s">
        <v>80</v>
      </c>
      <c r="D293" s="207"/>
      <c r="E293" s="207"/>
      <c r="F293" s="206"/>
      <c r="G293" s="467">
        <v>1.6991150442477878</v>
      </c>
      <c r="H293" s="206"/>
      <c r="I293" s="206" t="s">
        <v>80</v>
      </c>
      <c r="J293" s="206"/>
      <c r="K293" s="206"/>
      <c r="L293" s="467">
        <f>+J278</f>
        <v>1871.06</v>
      </c>
      <c r="M293" s="589"/>
      <c r="N293" s="589"/>
    </row>
    <row r="294" spans="1:28" x14ac:dyDescent="0.2">
      <c r="B294" s="206"/>
      <c r="C294" s="206" t="s">
        <v>449</v>
      </c>
      <c r="D294" s="207"/>
      <c r="E294" s="207"/>
      <c r="F294" s="206"/>
      <c r="G294" s="468">
        <v>0.22088495575221243</v>
      </c>
      <c r="H294" s="206"/>
      <c r="I294" s="206" t="s">
        <v>449</v>
      </c>
      <c r="J294" s="206"/>
      <c r="K294" s="206"/>
      <c r="L294" s="468">
        <f>+K278</f>
        <v>0</v>
      </c>
      <c r="M294" s="589"/>
      <c r="N294" s="589"/>
    </row>
    <row r="295" spans="1:28" x14ac:dyDescent="0.2">
      <c r="B295" s="206"/>
      <c r="C295" s="206"/>
      <c r="D295" s="207"/>
      <c r="E295" s="207"/>
      <c r="F295" s="206"/>
      <c r="G295" s="467"/>
      <c r="H295" s="206"/>
      <c r="I295" s="206"/>
      <c r="J295" s="206"/>
      <c r="K295" s="206"/>
      <c r="L295" s="467"/>
      <c r="M295" s="589"/>
      <c r="N295" s="589"/>
    </row>
    <row r="296" spans="1:28" ht="13.5" thickBot="1" x14ac:dyDescent="0.25">
      <c r="B296" s="206"/>
      <c r="C296" s="206" t="s">
        <v>450</v>
      </c>
      <c r="D296" s="207"/>
      <c r="E296" s="207"/>
      <c r="F296" s="206"/>
      <c r="G296" s="469">
        <v>1.9200000000000002</v>
      </c>
      <c r="H296" s="206"/>
      <c r="I296" s="206" t="s">
        <v>450</v>
      </c>
      <c r="J296" s="206"/>
      <c r="K296" s="206"/>
      <c r="L296" s="469">
        <f>SUM(L293:L295)</f>
        <v>1871.06</v>
      </c>
      <c r="M296" s="589"/>
      <c r="N296" s="589"/>
    </row>
    <row r="297" spans="1:28" ht="13.5" thickTop="1" x14ac:dyDescent="0.2"/>
    <row r="301" spans="1:28" ht="3.75" customHeight="1" x14ac:dyDescent="0.2">
      <c r="A301" s="610"/>
      <c r="B301" s="610"/>
      <c r="C301" s="611"/>
      <c r="D301" s="611"/>
      <c r="E301" s="610"/>
      <c r="F301" s="610"/>
      <c r="G301" s="610"/>
      <c r="H301" s="610"/>
      <c r="I301" s="610"/>
      <c r="J301" s="610"/>
      <c r="K301" s="610"/>
      <c r="L301" s="610"/>
      <c r="M301" s="612"/>
      <c r="N301" s="612"/>
      <c r="O301" s="612"/>
      <c r="P301" s="612"/>
      <c r="Q301" s="613"/>
      <c r="R301" s="613"/>
      <c r="S301" s="613"/>
      <c r="T301" s="613"/>
      <c r="U301" s="613"/>
      <c r="V301" s="613"/>
      <c r="W301" s="613"/>
      <c r="X301" s="613"/>
      <c r="Y301" s="613"/>
      <c r="Z301" s="613"/>
      <c r="AA301" s="613"/>
      <c r="AB301" s="613"/>
    </row>
    <row r="307" spans="2:26" x14ac:dyDescent="0.2">
      <c r="B307" s="484" t="s">
        <v>189</v>
      </c>
      <c r="C307" s="206"/>
      <c r="D307" s="206"/>
      <c r="E307" s="213"/>
      <c r="F307" s="214"/>
      <c r="G307" s="206"/>
      <c r="H307" s="206"/>
      <c r="I307" s="206"/>
      <c r="J307" s="206"/>
      <c r="K307" s="206"/>
      <c r="L307" s="206"/>
    </row>
    <row r="308" spans="2:26" x14ac:dyDescent="0.2">
      <c r="B308" s="485" t="s">
        <v>134</v>
      </c>
      <c r="C308" s="206"/>
      <c r="D308" s="206"/>
      <c r="E308" s="485"/>
      <c r="F308" s="214"/>
      <c r="G308" s="206"/>
      <c r="H308" s="206"/>
      <c r="I308" s="206"/>
      <c r="J308" s="206"/>
      <c r="K308" s="206"/>
      <c r="L308" s="206"/>
    </row>
    <row r="309" spans="2:26" x14ac:dyDescent="0.2">
      <c r="B309" s="491" t="s">
        <v>135</v>
      </c>
      <c r="C309" s="206"/>
      <c r="D309" s="206"/>
      <c r="E309" s="213"/>
      <c r="F309" s="490"/>
      <c r="G309" s="206"/>
      <c r="H309" s="206"/>
      <c r="I309" s="206"/>
      <c r="J309" s="206"/>
      <c r="K309" s="206"/>
      <c r="L309" s="206"/>
    </row>
    <row r="310" spans="2:26" x14ac:dyDescent="0.2">
      <c r="B310" s="491" t="s">
        <v>190</v>
      </c>
      <c r="C310" s="206"/>
      <c r="D310" s="206"/>
      <c r="E310" s="213"/>
      <c r="F310" s="214"/>
      <c r="G310" s="206"/>
      <c r="H310" s="206"/>
      <c r="I310" s="206"/>
      <c r="J310" s="206"/>
      <c r="K310" s="206"/>
      <c r="L310" s="206"/>
    </row>
    <row r="311" spans="2:26" x14ac:dyDescent="0.2">
      <c r="B311" s="489"/>
      <c r="C311" s="206"/>
      <c r="D311" s="206"/>
      <c r="E311" s="213"/>
      <c r="F311" s="214"/>
      <c r="G311" s="206"/>
      <c r="H311" s="206"/>
      <c r="I311" s="206"/>
      <c r="J311" s="206"/>
      <c r="K311" s="206"/>
      <c r="L311" s="206"/>
    </row>
    <row r="312" spans="2:26" ht="18" x14ac:dyDescent="0.25">
      <c r="B312" s="205" t="s">
        <v>240</v>
      </c>
      <c r="C312" s="206"/>
      <c r="D312" s="207"/>
      <c r="E312" s="208" t="s">
        <v>419</v>
      </c>
      <c r="F312" s="209" t="s">
        <v>97</v>
      </c>
      <c r="G312" s="210">
        <v>2017</v>
      </c>
      <c r="H312" s="211" t="s">
        <v>14</v>
      </c>
      <c r="I312" s="211"/>
      <c r="J312" s="206"/>
      <c r="K312" s="206"/>
      <c r="L312" s="206"/>
    </row>
    <row r="313" spans="2:26" x14ac:dyDescent="0.2">
      <c r="B313" s="212" t="s">
        <v>15</v>
      </c>
      <c r="C313" s="206"/>
      <c r="D313" s="206"/>
      <c r="E313" s="213"/>
      <c r="F313" s="214"/>
      <c r="G313" s="206"/>
      <c r="H313" s="215"/>
      <c r="I313" s="215"/>
      <c r="J313" s="206"/>
      <c r="K313" s="206"/>
      <c r="L313" s="206"/>
    </row>
    <row r="314" spans="2:26" x14ac:dyDescent="0.2">
      <c r="B314" s="216"/>
      <c r="C314" s="216"/>
      <c r="D314" s="216"/>
      <c r="E314" s="216"/>
      <c r="F314" s="216"/>
      <c r="G314" s="216"/>
      <c r="H314" s="216"/>
      <c r="I314" s="216"/>
      <c r="J314" s="216"/>
      <c r="K314" s="216"/>
      <c r="L314" s="216"/>
    </row>
    <row r="315" spans="2:26" x14ac:dyDescent="0.2">
      <c r="B315" s="216"/>
      <c r="C315" s="216"/>
      <c r="D315" s="216"/>
      <c r="E315" s="216"/>
      <c r="F315" s="216"/>
      <c r="G315" s="216"/>
      <c r="H315" s="209"/>
      <c r="I315" s="209"/>
      <c r="J315" s="209"/>
      <c r="K315" s="209"/>
      <c r="L315" s="216"/>
    </row>
    <row r="316" spans="2:26" x14ac:dyDescent="0.2">
      <c r="B316" s="217"/>
      <c r="C316" s="218" t="s">
        <v>137</v>
      </c>
      <c r="D316" s="219" t="s">
        <v>16</v>
      </c>
      <c r="E316" s="219"/>
      <c r="F316" s="219" t="s">
        <v>74</v>
      </c>
      <c r="G316" s="219"/>
      <c r="H316" s="220" t="s">
        <v>75</v>
      </c>
      <c r="I316" s="221"/>
      <c r="J316" s="221"/>
      <c r="K316" s="221"/>
      <c r="L316" s="239"/>
      <c r="O316" s="303" t="s">
        <v>257</v>
      </c>
      <c r="P316" s="303"/>
      <c r="Q316" s="303"/>
      <c r="R316" s="303"/>
      <c r="U316" s="153" t="s">
        <v>247</v>
      </c>
      <c r="Y316" s="144" t="s">
        <v>256</v>
      </c>
      <c r="Z316" s="144" t="s">
        <v>184</v>
      </c>
    </row>
    <row r="317" spans="2:26" x14ac:dyDescent="0.2">
      <c r="B317" s="222" t="s">
        <v>76</v>
      </c>
      <c r="C317" s="223" t="s">
        <v>77</v>
      </c>
      <c r="D317" s="223" t="s">
        <v>141</v>
      </c>
      <c r="E317" s="223" t="s">
        <v>78</v>
      </c>
      <c r="F317" s="223" t="s">
        <v>142</v>
      </c>
      <c r="G317" s="223" t="s">
        <v>79</v>
      </c>
      <c r="H317" s="224" t="s">
        <v>48</v>
      </c>
      <c r="I317" s="221"/>
      <c r="J317" s="224" t="s">
        <v>80</v>
      </c>
      <c r="K317" s="221"/>
      <c r="L317" s="240" t="s">
        <v>175</v>
      </c>
      <c r="O317" s="260" t="s">
        <v>419</v>
      </c>
      <c r="P317" s="96">
        <v>51000000001</v>
      </c>
      <c r="Q317" s="234" t="s">
        <v>242</v>
      </c>
      <c r="R317" s="592">
        <f>SUMIFS($J$320:$J$335,$E$320:$E$335,Q317,$M$320:$M$335,P317)</f>
        <v>0</v>
      </c>
      <c r="T317" s="144">
        <v>51000200001</v>
      </c>
      <c r="U317" s="144" t="s">
        <v>194</v>
      </c>
      <c r="X317" s="156">
        <v>-416.72</v>
      </c>
      <c r="Y317" s="156">
        <f>R320</f>
        <v>0</v>
      </c>
      <c r="Z317" s="236">
        <v>0</v>
      </c>
    </row>
    <row r="318" spans="2:26" x14ac:dyDescent="0.2">
      <c r="B318" s="225"/>
      <c r="C318" s="226"/>
      <c r="D318" s="226"/>
      <c r="E318" s="225"/>
      <c r="F318" s="225"/>
      <c r="G318" s="225"/>
      <c r="H318" s="227" t="s">
        <v>176</v>
      </c>
      <c r="I318" s="228" t="s">
        <v>177</v>
      </c>
      <c r="J318" s="241" t="s">
        <v>178</v>
      </c>
      <c r="K318" s="241" t="s">
        <v>46</v>
      </c>
      <c r="L318" s="242" t="s">
        <v>48</v>
      </c>
      <c r="O318" s="260" t="s">
        <v>419</v>
      </c>
      <c r="P318" s="96">
        <v>51000000002</v>
      </c>
      <c r="Q318" s="234" t="s">
        <v>242</v>
      </c>
      <c r="R318" s="592">
        <f t="shared" ref="R318:R337" si="31">SUMIFS($J$320:$J$335,$E$320:$E$335,Q318,$M$320:$M$335,P318)</f>
        <v>0</v>
      </c>
      <c r="T318" s="144">
        <v>51000200002</v>
      </c>
      <c r="U318" s="144" t="s">
        <v>195</v>
      </c>
      <c r="X318" s="156">
        <v>-416.72</v>
      </c>
      <c r="Y318" s="156">
        <f>R322</f>
        <v>0</v>
      </c>
      <c r="Z318" s="236">
        <v>0</v>
      </c>
    </row>
    <row r="319" spans="2:26" x14ac:dyDescent="0.2">
      <c r="B319" s="229"/>
      <c r="C319" s="230"/>
      <c r="D319" s="230"/>
      <c r="E319" s="231"/>
      <c r="F319" s="232"/>
      <c r="G319" s="591"/>
      <c r="H319" s="592"/>
      <c r="I319" s="592"/>
      <c r="J319" s="592"/>
      <c r="K319" s="592"/>
      <c r="L319" s="592"/>
      <c r="O319" s="260" t="s">
        <v>419</v>
      </c>
      <c r="P319" s="96">
        <v>51000100001</v>
      </c>
      <c r="Q319" s="234" t="s">
        <v>242</v>
      </c>
      <c r="R319" s="592">
        <f t="shared" si="31"/>
        <v>0</v>
      </c>
      <c r="T319" s="144">
        <v>51000100001</v>
      </c>
      <c r="U319" s="156" t="s">
        <v>4</v>
      </c>
      <c r="X319" s="156">
        <v>-11947.14</v>
      </c>
    </row>
    <row r="320" spans="2:26" x14ac:dyDescent="0.2">
      <c r="B320" s="233">
        <v>43350</v>
      </c>
      <c r="C320" s="230" t="s">
        <v>489</v>
      </c>
      <c r="D320" s="230" t="s">
        <v>241</v>
      </c>
      <c r="E320" s="476" t="str">
        <f>+VLOOKUP(F320,[2]bd!A:B,2,0)</f>
        <v>BANCO CUSCATLAN DE EL SALVADOR S.A.</v>
      </c>
      <c r="F320" s="476" t="s">
        <v>47</v>
      </c>
      <c r="G320" s="477"/>
      <c r="H320" s="478"/>
      <c r="I320" s="478"/>
      <c r="J320" s="478">
        <v>143.86000000000001</v>
      </c>
      <c r="K320" s="487">
        <v>18.7</v>
      </c>
      <c r="L320" s="478">
        <f t="shared" ref="L320:L326" si="32">+J320+K320</f>
        <v>162.56</v>
      </c>
      <c r="M320" s="483">
        <v>51000200002</v>
      </c>
      <c r="O320" s="260" t="s">
        <v>419</v>
      </c>
      <c r="P320" s="96">
        <v>51000100001</v>
      </c>
      <c r="Q320" s="234" t="s">
        <v>269</v>
      </c>
      <c r="R320" s="592">
        <f t="shared" si="31"/>
        <v>0</v>
      </c>
      <c r="T320" s="144">
        <v>51000100002</v>
      </c>
      <c r="U320" s="156" t="s">
        <v>193</v>
      </c>
      <c r="X320" s="156">
        <v>-7466.97</v>
      </c>
    </row>
    <row r="321" spans="2:26" x14ac:dyDescent="0.2">
      <c r="B321" s="233">
        <v>43350</v>
      </c>
      <c r="C321" s="230" t="s">
        <v>490</v>
      </c>
      <c r="D321" s="230" t="s">
        <v>241</v>
      </c>
      <c r="E321" s="476" t="str">
        <f>+VLOOKUP(F321,[2]bd!A:B,2,0)</f>
        <v>BANCO CUSCATLAN DE EL SALVADOR S.A.</v>
      </c>
      <c r="F321" s="476" t="s">
        <v>47</v>
      </c>
      <c r="G321" s="476"/>
      <c r="H321" s="478"/>
      <c r="I321" s="478"/>
      <c r="J321" s="478">
        <v>143.86000000000001</v>
      </c>
      <c r="K321" s="487">
        <v>18.7</v>
      </c>
      <c r="L321" s="478">
        <f t="shared" si="32"/>
        <v>162.56</v>
      </c>
      <c r="M321" s="483">
        <v>51000200001</v>
      </c>
      <c r="O321" s="260" t="s">
        <v>419</v>
      </c>
      <c r="P321" s="96">
        <v>51000100002</v>
      </c>
      <c r="Q321" s="234" t="s">
        <v>242</v>
      </c>
      <c r="R321" s="592">
        <f t="shared" si="31"/>
        <v>0</v>
      </c>
      <c r="T321" s="144">
        <v>51220200001</v>
      </c>
      <c r="U321" s="144" t="s">
        <v>21</v>
      </c>
      <c r="X321" s="156">
        <v>-1847.14</v>
      </c>
      <c r="Y321" s="156">
        <f>R329+R336</f>
        <v>1845.48</v>
      </c>
      <c r="Z321" s="236">
        <f>X321+Y321</f>
        <v>-1.6600000000000819</v>
      </c>
    </row>
    <row r="322" spans="2:26" x14ac:dyDescent="0.2">
      <c r="B322" s="233">
        <v>43350</v>
      </c>
      <c r="C322" s="230" t="s">
        <v>491</v>
      </c>
      <c r="D322" s="230" t="s">
        <v>241</v>
      </c>
      <c r="E322" s="234" t="str">
        <f>+VLOOKUP(F322,[2]bd!A:B,2,0)</f>
        <v>CITIBANK, N.A. SUCURSAL EL SALVADOR</v>
      </c>
      <c r="F322" s="234" t="s">
        <v>179</v>
      </c>
      <c r="G322" s="591"/>
      <c r="H322" s="592"/>
      <c r="I322" s="592"/>
      <c r="J322" s="354">
        <v>7369.39</v>
      </c>
      <c r="K322" s="347">
        <v>958.02</v>
      </c>
      <c r="L322" s="592">
        <f t="shared" si="32"/>
        <v>8327.41</v>
      </c>
      <c r="O322" s="260" t="s">
        <v>419</v>
      </c>
      <c r="P322" s="96">
        <v>51000100002</v>
      </c>
      <c r="Q322" s="234" t="s">
        <v>269</v>
      </c>
      <c r="R322" s="592">
        <f t="shared" si="31"/>
        <v>0</v>
      </c>
      <c r="T322" s="144">
        <v>52200000001</v>
      </c>
      <c r="U322" s="144" t="s">
        <v>11</v>
      </c>
      <c r="X322" s="156">
        <v>-2040.21</v>
      </c>
      <c r="Y322" s="156">
        <f>R330+R337</f>
        <v>0</v>
      </c>
      <c r="Z322" s="236">
        <v>0</v>
      </c>
    </row>
    <row r="323" spans="2:26" x14ac:dyDescent="0.2">
      <c r="B323" s="233">
        <v>43350</v>
      </c>
      <c r="C323" s="230" t="s">
        <v>492</v>
      </c>
      <c r="D323" s="230" t="s">
        <v>241</v>
      </c>
      <c r="E323" s="234" t="str">
        <f>+VLOOKUP(F323,[2]bd!A:B,2,0)</f>
        <v>CITIBANK, N.A. SUCURSAL EL SALVADOR</v>
      </c>
      <c r="F323" s="234" t="s">
        <v>179</v>
      </c>
      <c r="G323" s="234"/>
      <c r="H323" s="592"/>
      <c r="I323" s="592"/>
      <c r="J323" s="592">
        <v>4605.87</v>
      </c>
      <c r="K323" s="347">
        <v>598.76</v>
      </c>
      <c r="L323" s="592">
        <f t="shared" si="32"/>
        <v>5204.63</v>
      </c>
      <c r="O323" s="260" t="s">
        <v>419</v>
      </c>
      <c r="P323" s="486">
        <v>51000200001</v>
      </c>
      <c r="Q323" s="234" t="s">
        <v>242</v>
      </c>
      <c r="R323" s="592">
        <f t="shared" si="31"/>
        <v>416.72</v>
      </c>
      <c r="X323" s="356">
        <v>0</v>
      </c>
      <c r="Y323" s="156">
        <v>0</v>
      </c>
      <c r="Z323" s="236">
        <v>0</v>
      </c>
    </row>
    <row r="324" spans="2:26" x14ac:dyDescent="0.2">
      <c r="B324" s="233">
        <v>43350</v>
      </c>
      <c r="C324" s="230" t="s">
        <v>493</v>
      </c>
      <c r="D324" s="230" t="s">
        <v>241</v>
      </c>
      <c r="E324" s="234" t="str">
        <f>+VLOOKUP(F324,[2]bd!A:B,2,0)</f>
        <v>CITIBANK, N.A. SUCURSAL EL SALVADOR</v>
      </c>
      <c r="F324" s="234" t="s">
        <v>179</v>
      </c>
      <c r="G324" s="234"/>
      <c r="H324" s="592"/>
      <c r="I324" s="592"/>
      <c r="J324" s="354">
        <v>4577.75</v>
      </c>
      <c r="K324" s="347">
        <v>595.11</v>
      </c>
      <c r="L324" s="592">
        <f t="shared" si="32"/>
        <v>5172.8599999999997</v>
      </c>
      <c r="O324" s="260" t="s">
        <v>419</v>
      </c>
      <c r="P324" s="96">
        <v>51000200001</v>
      </c>
      <c r="Q324" s="234" t="s">
        <v>187</v>
      </c>
      <c r="R324" s="592">
        <f t="shared" si="31"/>
        <v>0</v>
      </c>
      <c r="X324" s="304">
        <v>0</v>
      </c>
      <c r="Y324" s="304">
        <f>R332+R339</f>
        <v>0</v>
      </c>
      <c r="Z324" s="300">
        <v>0</v>
      </c>
    </row>
    <row r="325" spans="2:26" x14ac:dyDescent="0.2">
      <c r="B325" s="233">
        <v>43350</v>
      </c>
      <c r="C325" s="230" t="s">
        <v>494</v>
      </c>
      <c r="D325" s="230" t="s">
        <v>241</v>
      </c>
      <c r="E325" s="234" t="str">
        <f>+VLOOKUP(F325,[2]bd!A:B,2,0)</f>
        <v>CITIBANK, N.A. SUCURSAL EL SALVADOR</v>
      </c>
      <c r="F325" s="234" t="s">
        <v>179</v>
      </c>
      <c r="G325" s="234"/>
      <c r="H325" s="592"/>
      <c r="I325" s="592"/>
      <c r="J325" s="592">
        <v>2861.1</v>
      </c>
      <c r="K325" s="347">
        <v>371.94</v>
      </c>
      <c r="L325" s="592">
        <f t="shared" si="32"/>
        <v>3233.04</v>
      </c>
      <c r="O325" s="260" t="s">
        <v>419</v>
      </c>
      <c r="P325" s="96">
        <v>51000200001</v>
      </c>
      <c r="Q325" s="234" t="s">
        <v>22</v>
      </c>
      <c r="R325" s="592">
        <f t="shared" si="31"/>
        <v>0</v>
      </c>
      <c r="X325" s="290">
        <f>SUM(X317:X324)</f>
        <v>-24134.899999999998</v>
      </c>
      <c r="Y325" s="290">
        <f>SUM(Y317:Y324)</f>
        <v>1845.48</v>
      </c>
      <c r="Z325" s="290">
        <f>SUM(Z317:Z324)</f>
        <v>-1.6600000000000819</v>
      </c>
    </row>
    <row r="326" spans="2:26" x14ac:dyDescent="0.2">
      <c r="B326" s="233">
        <v>43356</v>
      </c>
      <c r="C326" s="230" t="s">
        <v>495</v>
      </c>
      <c r="D326" s="230" t="s">
        <v>241</v>
      </c>
      <c r="E326" s="476" t="str">
        <f>+VLOOKUP(F326,[2]bd!A:B,2,0)</f>
        <v>BANCO CUSCATLAN DE EL SALVADOR S.A.</v>
      </c>
      <c r="F326" s="476" t="s">
        <v>47</v>
      </c>
      <c r="G326" s="476"/>
      <c r="H326" s="478"/>
      <c r="I326" s="478"/>
      <c r="J326" s="478">
        <v>81.069999999999993</v>
      </c>
      <c r="K326" s="487">
        <v>10.54</v>
      </c>
      <c r="L326" s="478">
        <f t="shared" si="32"/>
        <v>91.609999999999985</v>
      </c>
      <c r="M326" s="483">
        <v>51000200002</v>
      </c>
      <c r="O326" s="260" t="s">
        <v>419</v>
      </c>
      <c r="P326" s="486">
        <v>51000200002</v>
      </c>
      <c r="Q326" s="234" t="s">
        <v>242</v>
      </c>
      <c r="R326" s="592">
        <f t="shared" si="31"/>
        <v>416.72</v>
      </c>
      <c r="U326" s="156"/>
    </row>
    <row r="327" spans="2:26" x14ac:dyDescent="0.2">
      <c r="B327" s="233">
        <v>43356</v>
      </c>
      <c r="C327" s="230" t="s">
        <v>496</v>
      </c>
      <c r="D327" s="230" t="s">
        <v>241</v>
      </c>
      <c r="E327" s="476" t="str">
        <f>+VLOOKUP(F327,[2]bd!A:B,2,0)</f>
        <v>BANCO CUSCATLAN DE EL SALVADOR S.A.</v>
      </c>
      <c r="F327" s="476" t="s">
        <v>47</v>
      </c>
      <c r="G327" s="476"/>
      <c r="H327" s="478"/>
      <c r="I327" s="478"/>
      <c r="J327" s="478">
        <v>81.069999999999993</v>
      </c>
      <c r="K327" s="487">
        <v>10.54</v>
      </c>
      <c r="L327" s="478">
        <f>+J327+K327</f>
        <v>91.609999999999985</v>
      </c>
      <c r="M327" s="483">
        <v>51000200001</v>
      </c>
      <c r="O327" s="260" t="s">
        <v>419</v>
      </c>
      <c r="P327" s="96">
        <v>51000200002</v>
      </c>
      <c r="Q327" s="234" t="s">
        <v>187</v>
      </c>
      <c r="R327" s="592">
        <f t="shared" si="31"/>
        <v>0</v>
      </c>
      <c r="U327" s="156"/>
    </row>
    <row r="328" spans="2:26" x14ac:dyDescent="0.2">
      <c r="B328" s="233">
        <v>43361</v>
      </c>
      <c r="C328" s="230" t="s">
        <v>497</v>
      </c>
      <c r="D328" s="230" t="s">
        <v>241</v>
      </c>
      <c r="E328" s="476" t="str">
        <f>+VLOOKUP(F328,[2]bd!A:B,2,0)</f>
        <v>BANCO CUSCATLAN DE EL SALVADOR S.A.</v>
      </c>
      <c r="F328" s="476" t="s">
        <v>47</v>
      </c>
      <c r="G328" s="476"/>
      <c r="H328" s="478"/>
      <c r="I328" s="478"/>
      <c r="J328" s="478">
        <v>95.89</v>
      </c>
      <c r="K328" s="487">
        <v>12.47</v>
      </c>
      <c r="L328" s="478">
        <f>+J328+K328</f>
        <v>108.36</v>
      </c>
      <c r="M328" s="483">
        <v>51000200002</v>
      </c>
      <c r="O328" s="260" t="s">
        <v>419</v>
      </c>
      <c r="P328" s="96">
        <v>51000200002</v>
      </c>
      <c r="Q328" s="234" t="s">
        <v>22</v>
      </c>
      <c r="R328" s="592">
        <f t="shared" si="31"/>
        <v>0</v>
      </c>
      <c r="U328" s="156"/>
    </row>
    <row r="329" spans="2:26" x14ac:dyDescent="0.2">
      <c r="B329" s="233">
        <v>43361</v>
      </c>
      <c r="C329" s="230" t="s">
        <v>498</v>
      </c>
      <c r="D329" s="230" t="s">
        <v>241</v>
      </c>
      <c r="E329" s="476" t="str">
        <f>+VLOOKUP(F329,[2]bd!A:B,2,0)</f>
        <v>BANCO CUSCATLAN DE EL SALVADOR S.A.</v>
      </c>
      <c r="F329" s="476" t="s">
        <v>47</v>
      </c>
      <c r="G329" s="476"/>
      <c r="H329" s="478"/>
      <c r="I329" s="478"/>
      <c r="J329" s="478">
        <v>95.89</v>
      </c>
      <c r="K329" s="487">
        <v>12.47</v>
      </c>
      <c r="L329" s="478">
        <f t="shared" ref="L329:L335" si="33">+J329+K329</f>
        <v>108.36</v>
      </c>
      <c r="M329" s="483">
        <v>51000200001</v>
      </c>
      <c r="O329" s="260" t="s">
        <v>419</v>
      </c>
      <c r="P329" s="486">
        <v>51220200001</v>
      </c>
      <c r="Q329" s="234" t="s">
        <v>242</v>
      </c>
      <c r="R329" s="592">
        <f t="shared" si="31"/>
        <v>1478.63</v>
      </c>
      <c r="U329" s="156"/>
    </row>
    <row r="330" spans="2:26" x14ac:dyDescent="0.2">
      <c r="B330" s="233">
        <v>43361</v>
      </c>
      <c r="C330" s="230" t="s">
        <v>499</v>
      </c>
      <c r="D330" s="230" t="s">
        <v>241</v>
      </c>
      <c r="E330" s="234" t="str">
        <f>+VLOOKUP(F330,[2]bd!A:B,2,0)</f>
        <v>INVERSIONES FINANCIERAS IMPERIA CUSCATLAN, SA</v>
      </c>
      <c r="F330" s="234" t="s">
        <v>270</v>
      </c>
      <c r="G330" s="234"/>
      <c r="H330" s="592"/>
      <c r="I330" s="592"/>
      <c r="J330" s="592">
        <v>366.85</v>
      </c>
      <c r="K330" s="237">
        <v>47.69</v>
      </c>
      <c r="L330" s="592">
        <f t="shared" si="33"/>
        <v>414.54</v>
      </c>
      <c r="M330" s="483">
        <v>51220200001</v>
      </c>
      <c r="O330" s="260" t="s">
        <v>419</v>
      </c>
      <c r="P330" s="96">
        <v>51220200001</v>
      </c>
      <c r="Q330" s="234" t="s">
        <v>187</v>
      </c>
      <c r="R330" s="592">
        <f t="shared" si="31"/>
        <v>0</v>
      </c>
    </row>
    <row r="331" spans="2:26" x14ac:dyDescent="0.2">
      <c r="B331" s="233">
        <v>43361</v>
      </c>
      <c r="C331" s="230" t="s">
        <v>500</v>
      </c>
      <c r="D331" s="230" t="s">
        <v>241</v>
      </c>
      <c r="E331" s="476" t="str">
        <f>+VLOOKUP(F331,[2]bd!A:B,2,0)</f>
        <v>BANCO CUSCATLAN DE EL SALVADOR S.A.</v>
      </c>
      <c r="F331" s="476" t="s">
        <v>47</v>
      </c>
      <c r="G331" s="476"/>
      <c r="H331" s="478"/>
      <c r="I331" s="478"/>
      <c r="J331" s="478">
        <v>1478.63</v>
      </c>
      <c r="K331" s="487">
        <v>192.22</v>
      </c>
      <c r="L331" s="478">
        <f t="shared" si="33"/>
        <v>1670.8500000000001</v>
      </c>
      <c r="M331" s="483">
        <v>51220200001</v>
      </c>
      <c r="O331" s="260" t="s">
        <v>419</v>
      </c>
      <c r="P331" s="96">
        <v>51220200001</v>
      </c>
      <c r="Q331" s="234" t="s">
        <v>22</v>
      </c>
      <c r="R331" s="592">
        <f t="shared" si="31"/>
        <v>0</v>
      </c>
    </row>
    <row r="332" spans="2:26" x14ac:dyDescent="0.2">
      <c r="B332" s="233">
        <v>43367</v>
      </c>
      <c r="C332" s="230" t="s">
        <v>501</v>
      </c>
      <c r="D332" s="230" t="s">
        <v>241</v>
      </c>
      <c r="E332" s="476" t="str">
        <f>+VLOOKUP(F332,[2]bd!A:B,2,0)</f>
        <v>BANCO CUSCATLAN DE EL SALVADOR S.A.</v>
      </c>
      <c r="F332" s="476" t="s">
        <v>47</v>
      </c>
      <c r="G332" s="476"/>
      <c r="H332" s="478"/>
      <c r="I332" s="478"/>
      <c r="J332" s="478">
        <v>41.1</v>
      </c>
      <c r="K332" s="487">
        <v>5.34</v>
      </c>
      <c r="L332" s="478">
        <f t="shared" si="33"/>
        <v>46.44</v>
      </c>
      <c r="M332" s="483">
        <v>51000200002</v>
      </c>
      <c r="O332" s="260" t="s">
        <v>419</v>
      </c>
      <c r="P332" s="96">
        <v>52200000001</v>
      </c>
      <c r="Q332" s="234" t="s">
        <v>242</v>
      </c>
      <c r="R332" s="592">
        <f t="shared" si="31"/>
        <v>0</v>
      </c>
      <c r="W332" s="153" t="s">
        <v>255</v>
      </c>
      <c r="X332" s="236">
        <f>+X318+X321+X317+X323+X324+X319+X320</f>
        <v>-22094.69</v>
      </c>
    </row>
    <row r="333" spans="2:26" x14ac:dyDescent="0.2">
      <c r="B333" s="233">
        <v>43367</v>
      </c>
      <c r="C333" s="230" t="s">
        <v>502</v>
      </c>
      <c r="D333" s="230" t="s">
        <v>241</v>
      </c>
      <c r="E333" s="476" t="str">
        <f>+VLOOKUP(F333,[2]bd!A:B,2,0)</f>
        <v>BANCO CUSCATLAN DE EL SALVADOR S.A.</v>
      </c>
      <c r="F333" s="476" t="s">
        <v>47</v>
      </c>
      <c r="G333" s="477"/>
      <c r="H333" s="478"/>
      <c r="I333" s="478"/>
      <c r="J333" s="478">
        <v>41.1</v>
      </c>
      <c r="K333" s="487">
        <v>5.34</v>
      </c>
      <c r="L333" s="478">
        <f t="shared" si="33"/>
        <v>46.44</v>
      </c>
      <c r="M333" s="483">
        <v>51000200001</v>
      </c>
      <c r="O333" s="260" t="s">
        <v>419</v>
      </c>
      <c r="P333" s="96">
        <v>52200000001</v>
      </c>
      <c r="Q333" s="234" t="s">
        <v>187</v>
      </c>
      <c r="R333" s="592">
        <f t="shared" si="31"/>
        <v>0</v>
      </c>
      <c r="W333" s="144" t="s">
        <v>257</v>
      </c>
      <c r="X333" s="236">
        <f>R338</f>
        <v>2678.92</v>
      </c>
    </row>
    <row r="334" spans="2:26" x14ac:dyDescent="0.2">
      <c r="B334" s="233">
        <v>43371</v>
      </c>
      <c r="C334" s="230" t="s">
        <v>503</v>
      </c>
      <c r="D334" s="230" t="s">
        <v>241</v>
      </c>
      <c r="E334" s="476" t="str">
        <f>+VLOOKUP(F334,[2]bd!A:B,2,0)</f>
        <v>BANCO CUSCATLAN DE EL SALVADOR S.A.</v>
      </c>
      <c r="F334" s="476" t="s">
        <v>47</v>
      </c>
      <c r="G334" s="477"/>
      <c r="H334" s="478"/>
      <c r="I334" s="478"/>
      <c r="J334" s="478">
        <v>54.8</v>
      </c>
      <c r="K334" s="487">
        <v>7.12</v>
      </c>
      <c r="L334" s="478">
        <f t="shared" si="33"/>
        <v>61.919999999999995</v>
      </c>
      <c r="M334" s="483">
        <v>51000200002</v>
      </c>
      <c r="O334" s="260" t="s">
        <v>419</v>
      </c>
      <c r="P334" s="96">
        <v>52200000001</v>
      </c>
      <c r="Q334" s="234" t="s">
        <v>22</v>
      </c>
      <c r="R334" s="592">
        <f t="shared" si="31"/>
        <v>0</v>
      </c>
      <c r="W334" s="144" t="s">
        <v>260</v>
      </c>
      <c r="X334" s="300">
        <v>19414.11</v>
      </c>
    </row>
    <row r="335" spans="2:26" x14ac:dyDescent="0.2">
      <c r="B335" s="233">
        <v>43371</v>
      </c>
      <c r="C335" s="230" t="s">
        <v>504</v>
      </c>
      <c r="D335" s="230" t="s">
        <v>241</v>
      </c>
      <c r="E335" s="476" t="str">
        <f>+VLOOKUP(F335,[2]bd!A:B,2,0)</f>
        <v>BANCO CUSCATLAN DE EL SALVADOR S.A.</v>
      </c>
      <c r="F335" s="476" t="s">
        <v>47</v>
      </c>
      <c r="G335" s="477"/>
      <c r="H335" s="478"/>
      <c r="I335" s="478"/>
      <c r="J335" s="478">
        <v>54.8</v>
      </c>
      <c r="K335" s="487">
        <v>7.12</v>
      </c>
      <c r="L335" s="478">
        <f t="shared" si="33"/>
        <v>61.919999999999995</v>
      </c>
      <c r="M335" s="483">
        <v>51000200001</v>
      </c>
      <c r="O335" s="260" t="s">
        <v>419</v>
      </c>
      <c r="P335" s="96">
        <v>52200000001</v>
      </c>
      <c r="Q335" s="234" t="s">
        <v>242</v>
      </c>
      <c r="R335" s="592">
        <f t="shared" si="31"/>
        <v>0</v>
      </c>
      <c r="X335" s="290">
        <f>X332+X333+X334</f>
        <v>-1.6599999999962165</v>
      </c>
      <c r="Y335" s="144" t="s">
        <v>275</v>
      </c>
    </row>
    <row r="336" spans="2:26" x14ac:dyDescent="0.2">
      <c r="J336" s="356"/>
      <c r="K336" s="356"/>
      <c r="L336" s="356"/>
      <c r="O336" s="260" t="s">
        <v>419</v>
      </c>
      <c r="P336" s="486">
        <v>51220200001</v>
      </c>
      <c r="Q336" s="234" t="s">
        <v>269</v>
      </c>
      <c r="R336" s="592">
        <f t="shared" si="31"/>
        <v>366.85</v>
      </c>
    </row>
    <row r="337" spans="3:18" x14ac:dyDescent="0.2">
      <c r="E337" s="142" t="s">
        <v>321</v>
      </c>
      <c r="J337" s="356"/>
      <c r="K337" s="356">
        <v>-1394.73</v>
      </c>
      <c r="L337" s="356">
        <v>-1394.73</v>
      </c>
      <c r="O337" s="260" t="s">
        <v>419</v>
      </c>
      <c r="P337" s="96">
        <v>53000100001</v>
      </c>
      <c r="Q337" s="234" t="s">
        <v>242</v>
      </c>
      <c r="R337" s="353">
        <f t="shared" si="31"/>
        <v>0</v>
      </c>
    </row>
    <row r="338" spans="3:18" x14ac:dyDescent="0.2">
      <c r="J338" s="356"/>
      <c r="K338" s="356"/>
      <c r="L338" s="356">
        <v>0</v>
      </c>
      <c r="O338" s="589"/>
      <c r="P338" s="589"/>
      <c r="R338" s="236">
        <f>SUM(R317:R337)</f>
        <v>2678.92</v>
      </c>
    </row>
    <row r="339" spans="3:18" x14ac:dyDescent="0.2">
      <c r="J339" s="356"/>
      <c r="K339" s="356"/>
      <c r="L339" s="356"/>
    </row>
    <row r="340" spans="3:18" x14ac:dyDescent="0.2">
      <c r="J340" s="356"/>
      <c r="K340" s="356"/>
      <c r="L340" s="356"/>
    </row>
    <row r="341" spans="3:18" x14ac:dyDescent="0.2">
      <c r="J341" s="356"/>
      <c r="K341" s="356"/>
      <c r="L341" s="356"/>
    </row>
    <row r="342" spans="3:18" x14ac:dyDescent="0.2">
      <c r="J342" s="356"/>
      <c r="K342" s="356"/>
      <c r="L342" s="356"/>
    </row>
    <row r="343" spans="3:18" x14ac:dyDescent="0.2">
      <c r="G343" s="142">
        <v>0</v>
      </c>
      <c r="H343" s="142">
        <v>0</v>
      </c>
      <c r="I343" s="142">
        <v>0</v>
      </c>
      <c r="J343" s="356">
        <v>22093.029999999992</v>
      </c>
      <c r="K343" s="356">
        <v>1477.3499999999995</v>
      </c>
      <c r="L343" s="356">
        <v>23570.379999999997</v>
      </c>
    </row>
    <row r="344" spans="3:18" x14ac:dyDescent="0.2">
      <c r="J344" s="356"/>
      <c r="K344" s="356"/>
      <c r="L344" s="356"/>
    </row>
    <row r="345" spans="3:18" x14ac:dyDescent="0.2">
      <c r="J345" s="356"/>
      <c r="K345" s="356"/>
      <c r="L345" s="356"/>
    </row>
    <row r="346" spans="3:18" x14ac:dyDescent="0.2">
      <c r="J346" s="356"/>
      <c r="K346" s="356"/>
      <c r="L346" s="356"/>
    </row>
    <row r="347" spans="3:18" x14ac:dyDescent="0.2">
      <c r="J347" s="356"/>
      <c r="K347" s="356"/>
      <c r="L347" s="356"/>
    </row>
    <row r="348" spans="3:18" x14ac:dyDescent="0.2">
      <c r="J348" s="356"/>
      <c r="K348" s="356"/>
      <c r="L348" s="356"/>
    </row>
    <row r="349" spans="3:18" x14ac:dyDescent="0.2">
      <c r="J349" s="356"/>
      <c r="K349" s="356"/>
      <c r="L349" s="356"/>
    </row>
    <row r="350" spans="3:18" x14ac:dyDescent="0.2">
      <c r="C350" s="152" t="s">
        <v>445</v>
      </c>
      <c r="I350" s="142" t="s">
        <v>446</v>
      </c>
      <c r="J350" s="356"/>
      <c r="K350" s="356"/>
      <c r="L350" s="356"/>
    </row>
    <row r="351" spans="3:18" x14ac:dyDescent="0.2">
      <c r="J351" s="356"/>
      <c r="K351" s="356"/>
      <c r="L351" s="356"/>
    </row>
    <row r="352" spans="3:18" x14ac:dyDescent="0.2">
      <c r="C352" s="152" t="s">
        <v>79</v>
      </c>
      <c r="G352" s="142">
        <v>0</v>
      </c>
      <c r="I352" s="142" t="s">
        <v>79</v>
      </c>
      <c r="J352" s="356"/>
      <c r="K352" s="356"/>
      <c r="L352" s="356">
        <v>0</v>
      </c>
    </row>
    <row r="353" spans="1:28" x14ac:dyDescent="0.2">
      <c r="J353" s="356"/>
      <c r="K353" s="356"/>
      <c r="L353" s="356"/>
    </row>
    <row r="354" spans="1:28" x14ac:dyDescent="0.2">
      <c r="C354" s="152" t="s">
        <v>447</v>
      </c>
      <c r="G354" s="142">
        <v>0</v>
      </c>
      <c r="I354" s="142" t="s">
        <v>447</v>
      </c>
      <c r="J354" s="356"/>
      <c r="K354" s="356"/>
      <c r="L354" s="356">
        <v>0</v>
      </c>
    </row>
    <row r="355" spans="1:28" x14ac:dyDescent="0.2">
      <c r="J355" s="356"/>
      <c r="K355" s="356"/>
      <c r="L355" s="356"/>
    </row>
    <row r="356" spans="1:28" x14ac:dyDescent="0.2">
      <c r="J356" s="356"/>
      <c r="K356" s="356"/>
      <c r="L356" s="356"/>
    </row>
    <row r="357" spans="1:28" x14ac:dyDescent="0.2">
      <c r="C357" s="152" t="s">
        <v>448</v>
      </c>
      <c r="I357" s="142" t="s">
        <v>448</v>
      </c>
      <c r="J357" s="356"/>
      <c r="K357" s="356"/>
      <c r="L357" s="356"/>
    </row>
    <row r="358" spans="1:28" x14ac:dyDescent="0.2">
      <c r="C358" s="152" t="s">
        <v>80</v>
      </c>
      <c r="G358" s="142">
        <v>1.6637168141592922</v>
      </c>
      <c r="I358" s="142" t="s">
        <v>80</v>
      </c>
      <c r="J358" s="356"/>
      <c r="K358" s="356"/>
      <c r="L358" s="356">
        <v>22093.029999999992</v>
      </c>
    </row>
    <row r="359" spans="1:28" x14ac:dyDescent="0.2">
      <c r="C359" s="152" t="s">
        <v>449</v>
      </c>
      <c r="G359" s="142">
        <v>0.21628318584070799</v>
      </c>
      <c r="I359" s="142" t="s">
        <v>449</v>
      </c>
      <c r="J359" s="356"/>
      <c r="K359" s="356"/>
      <c r="L359" s="356">
        <v>1477.3499999999995</v>
      </c>
    </row>
    <row r="360" spans="1:28" x14ac:dyDescent="0.2">
      <c r="J360" s="356"/>
      <c r="K360" s="356"/>
      <c r="L360" s="356"/>
    </row>
    <row r="361" spans="1:28" x14ac:dyDescent="0.2">
      <c r="C361" s="152" t="s">
        <v>450</v>
      </c>
      <c r="G361" s="142">
        <v>1.8800000000000001</v>
      </c>
      <c r="I361" s="142" t="s">
        <v>450</v>
      </c>
      <c r="J361" s="356"/>
      <c r="K361" s="356"/>
      <c r="L361" s="356">
        <v>23570.37999999999</v>
      </c>
    </row>
    <row r="363" spans="1:28" ht="3.75" customHeight="1" x14ac:dyDescent="0.2">
      <c r="A363" s="610"/>
      <c r="B363" s="610"/>
      <c r="C363" s="611"/>
      <c r="D363" s="611"/>
      <c r="E363" s="610"/>
      <c r="F363" s="610"/>
      <c r="G363" s="610"/>
      <c r="H363" s="610"/>
      <c r="I363" s="610"/>
      <c r="J363" s="610"/>
      <c r="K363" s="610"/>
      <c r="L363" s="610"/>
      <c r="M363" s="612"/>
      <c r="N363" s="612"/>
      <c r="O363" s="612"/>
      <c r="P363" s="612"/>
      <c r="Q363" s="613"/>
      <c r="R363" s="613"/>
      <c r="S363" s="613"/>
      <c r="T363" s="613"/>
      <c r="U363" s="613"/>
      <c r="V363" s="613"/>
      <c r="W363" s="613"/>
      <c r="X363" s="613"/>
      <c r="Y363" s="613"/>
      <c r="Z363" s="613"/>
      <c r="AA363" s="613"/>
      <c r="AB363" s="613"/>
    </row>
    <row r="365" spans="1:28" x14ac:dyDescent="0.2">
      <c r="B365" s="484" t="s">
        <v>189</v>
      </c>
      <c r="C365" s="206"/>
      <c r="D365" s="206"/>
      <c r="E365" s="213"/>
      <c r="F365" s="214"/>
      <c r="G365" s="206"/>
      <c r="H365" s="206"/>
      <c r="I365" s="206"/>
      <c r="J365" s="206"/>
      <c r="K365" s="206"/>
      <c r="L365" s="206"/>
      <c r="M365" s="589"/>
      <c r="N365" s="589"/>
      <c r="O365" s="589"/>
      <c r="P365" s="589"/>
    </row>
    <row r="366" spans="1:28" x14ac:dyDescent="0.2">
      <c r="B366" s="485" t="s">
        <v>134</v>
      </c>
      <c r="C366" s="206"/>
      <c r="D366" s="206"/>
      <c r="E366" s="485"/>
      <c r="F366" s="214"/>
      <c r="G366" s="206"/>
      <c r="H366" s="206"/>
      <c r="I366" s="206"/>
      <c r="J366" s="206"/>
      <c r="K366" s="206"/>
      <c r="L366" s="206"/>
      <c r="M366" s="589"/>
      <c r="N366" s="589"/>
      <c r="O366" s="589"/>
      <c r="P366" s="589"/>
    </row>
    <row r="367" spans="1:28" x14ac:dyDescent="0.2">
      <c r="B367" s="491" t="s">
        <v>135</v>
      </c>
      <c r="C367" s="206"/>
      <c r="D367" s="206"/>
      <c r="E367" s="213"/>
      <c r="F367" s="490"/>
      <c r="G367" s="206"/>
      <c r="H367" s="206"/>
      <c r="I367" s="206"/>
      <c r="J367" s="206"/>
      <c r="K367" s="206"/>
      <c r="L367" s="206"/>
      <c r="M367" s="589"/>
      <c r="N367" s="589"/>
      <c r="O367" s="589"/>
      <c r="P367" s="589"/>
    </row>
    <row r="368" spans="1:28" x14ac:dyDescent="0.2">
      <c r="B368" s="491" t="s">
        <v>190</v>
      </c>
      <c r="C368" s="206"/>
      <c r="D368" s="206"/>
      <c r="E368" s="213"/>
      <c r="F368" s="214"/>
      <c r="G368" s="206"/>
      <c r="H368" s="206"/>
      <c r="I368" s="206"/>
      <c r="J368" s="206"/>
      <c r="K368" s="206"/>
      <c r="L368" s="206"/>
      <c r="M368" s="589"/>
      <c r="N368" s="589"/>
      <c r="O368" s="589"/>
      <c r="P368" s="589"/>
    </row>
    <row r="369" spans="2:26" x14ac:dyDescent="0.2">
      <c r="B369" s="489"/>
      <c r="C369" s="206"/>
      <c r="D369" s="206"/>
      <c r="E369" s="213"/>
      <c r="F369" s="214"/>
      <c r="G369" s="206"/>
      <c r="H369" s="206"/>
      <c r="I369" s="206"/>
      <c r="J369" s="206"/>
      <c r="K369" s="206"/>
      <c r="L369" s="206"/>
      <c r="M369" s="589"/>
      <c r="N369" s="589"/>
      <c r="O369" s="589"/>
      <c r="P369" s="589"/>
    </row>
    <row r="370" spans="2:26" ht="18" x14ac:dyDescent="0.25">
      <c r="B370" s="205" t="s">
        <v>240</v>
      </c>
      <c r="C370" s="206"/>
      <c r="D370" s="207"/>
      <c r="E370" s="208" t="s">
        <v>528</v>
      </c>
      <c r="F370" s="209" t="s">
        <v>97</v>
      </c>
      <c r="G370" s="210">
        <v>2017</v>
      </c>
      <c r="H370" s="211" t="s">
        <v>14</v>
      </c>
      <c r="I370" s="211"/>
      <c r="J370" s="206"/>
      <c r="K370" s="206"/>
      <c r="L370" s="206"/>
      <c r="M370" s="589"/>
      <c r="N370" s="589"/>
      <c r="O370" s="589"/>
      <c r="P370" s="589"/>
    </row>
    <row r="371" spans="2:26" x14ac:dyDescent="0.2">
      <c r="B371" s="212" t="s">
        <v>15</v>
      </c>
      <c r="C371" s="206"/>
      <c r="D371" s="206"/>
      <c r="E371" s="213"/>
      <c r="F371" s="214"/>
      <c r="G371" s="206"/>
      <c r="H371" s="215"/>
      <c r="I371" s="215"/>
      <c r="J371" s="206"/>
      <c r="K371" s="206"/>
      <c r="L371" s="206"/>
      <c r="M371" s="589"/>
      <c r="N371" s="589"/>
      <c r="O371" s="589"/>
      <c r="P371" s="589"/>
    </row>
    <row r="374" spans="2:26" x14ac:dyDescent="0.2">
      <c r="B374" s="222" t="s">
        <v>76</v>
      </c>
      <c r="C374" s="223" t="s">
        <v>77</v>
      </c>
      <c r="D374" s="223" t="s">
        <v>141</v>
      </c>
      <c r="E374" s="223" t="s">
        <v>78</v>
      </c>
      <c r="F374" s="223" t="s">
        <v>142</v>
      </c>
      <c r="G374" s="223" t="s">
        <v>79</v>
      </c>
      <c r="H374" s="224" t="s">
        <v>48</v>
      </c>
      <c r="I374" s="221"/>
      <c r="J374" s="224" t="s">
        <v>80</v>
      </c>
      <c r="K374" s="221"/>
      <c r="L374" s="240" t="s">
        <v>175</v>
      </c>
      <c r="M374" s="590"/>
      <c r="N374" s="590"/>
      <c r="O374" s="303" t="s">
        <v>257</v>
      </c>
      <c r="P374" s="303"/>
      <c r="Q374" s="303"/>
      <c r="R374" s="303"/>
      <c r="U374" s="153" t="s">
        <v>247</v>
      </c>
      <c r="Y374" s="144" t="s">
        <v>256</v>
      </c>
      <c r="Z374" s="144" t="s">
        <v>184</v>
      </c>
    </row>
    <row r="375" spans="2:26" x14ac:dyDescent="0.2">
      <c r="B375" s="225"/>
      <c r="C375" s="226"/>
      <c r="D375" s="226"/>
      <c r="E375" s="225"/>
      <c r="F375" s="225"/>
      <c r="G375" s="225"/>
      <c r="H375" s="227" t="s">
        <v>176</v>
      </c>
      <c r="I375" s="228" t="s">
        <v>177</v>
      </c>
      <c r="J375" s="241" t="s">
        <v>178</v>
      </c>
      <c r="K375" s="241" t="s">
        <v>46</v>
      </c>
      <c r="L375" s="242" t="s">
        <v>48</v>
      </c>
      <c r="M375" s="590"/>
      <c r="N375" s="590"/>
      <c r="O375" s="260" t="s">
        <v>528</v>
      </c>
      <c r="P375" s="96">
        <v>51000000001</v>
      </c>
      <c r="Q375" s="234" t="s">
        <v>242</v>
      </c>
      <c r="R375" s="592">
        <f>SUMIFS($J$377:$J$399,$E$377:$E$399,Q375,$M$377:$M$399,P375)</f>
        <v>0</v>
      </c>
      <c r="T375" s="144">
        <v>51000200001</v>
      </c>
      <c r="U375" s="144" t="s">
        <v>194</v>
      </c>
      <c r="X375" s="156">
        <v>-700.3</v>
      </c>
      <c r="Y375" s="156">
        <f>R378</f>
        <v>0</v>
      </c>
      <c r="Z375" s="236">
        <v>0</v>
      </c>
    </row>
    <row r="376" spans="2:26" x14ac:dyDescent="0.2">
      <c r="B376" s="229"/>
      <c r="C376" s="230"/>
      <c r="D376" s="230"/>
      <c r="E376" s="231"/>
      <c r="F376" s="232"/>
      <c r="G376" s="591"/>
      <c r="H376" s="592"/>
      <c r="I376" s="592"/>
      <c r="J376" s="592"/>
      <c r="K376" s="592"/>
      <c r="L376" s="592"/>
      <c r="M376" s="593"/>
      <c r="N376" s="593"/>
      <c r="O376" s="260" t="s">
        <v>528</v>
      </c>
      <c r="P376" s="96">
        <v>51000000002</v>
      </c>
      <c r="Q376" s="234" t="s">
        <v>242</v>
      </c>
      <c r="R376" s="592">
        <f t="shared" ref="R376:R395" si="34">SUMIFS($J$377:$J$399,$E$377:$E$399,Q376,$M$377:$M$399,P376)</f>
        <v>0</v>
      </c>
      <c r="T376" s="144">
        <v>51000200002</v>
      </c>
      <c r="U376" s="144" t="s">
        <v>195</v>
      </c>
      <c r="X376" s="156">
        <v>-700.3</v>
      </c>
      <c r="Y376" s="156">
        <f>R380</f>
        <v>0</v>
      </c>
      <c r="Z376" s="236">
        <v>0</v>
      </c>
    </row>
    <row r="377" spans="2:26" x14ac:dyDescent="0.2">
      <c r="B377" s="233">
        <v>43374</v>
      </c>
      <c r="C377" s="230" t="s">
        <v>505</v>
      </c>
      <c r="D377" s="230" t="s">
        <v>241</v>
      </c>
      <c r="E377" s="340" t="str">
        <f>+VLOOKUP(F377,[3]bd!A:B,2,0)</f>
        <v>BANCO CUSCATLAN DE EL SALVADOR S.A.</v>
      </c>
      <c r="F377" s="340" t="s">
        <v>47</v>
      </c>
      <c r="G377" s="343"/>
      <c r="H377" s="341"/>
      <c r="I377" s="341"/>
      <c r="J377" s="478">
        <v>14.02</v>
      </c>
      <c r="K377" s="342">
        <v>1.82</v>
      </c>
      <c r="L377" s="341">
        <f t="shared" ref="L377:L384" si="35">+J377+K377</f>
        <v>15.84</v>
      </c>
      <c r="M377" s="608">
        <v>51000200002</v>
      </c>
      <c r="N377" s="593"/>
      <c r="O377" s="260" t="s">
        <v>528</v>
      </c>
      <c r="P377" s="96">
        <v>51000100001</v>
      </c>
      <c r="Q377" s="234" t="s">
        <v>242</v>
      </c>
      <c r="R377" s="592">
        <f t="shared" si="34"/>
        <v>0</v>
      </c>
      <c r="T377" s="144">
        <v>51000100001</v>
      </c>
      <c r="U377" s="156" t="s">
        <v>4</v>
      </c>
      <c r="X377" s="156">
        <v>0</v>
      </c>
    </row>
    <row r="378" spans="2:26" x14ac:dyDescent="0.2">
      <c r="B378" s="233">
        <v>43374</v>
      </c>
      <c r="C378" s="230" t="s">
        <v>506</v>
      </c>
      <c r="D378" s="230" t="s">
        <v>241</v>
      </c>
      <c r="E378" s="340" t="str">
        <f>+VLOOKUP(F378,[3]bd!A:B,2,0)</f>
        <v>BANCO CUSCATLAN DE EL SALVADOR S.A.</v>
      </c>
      <c r="F378" s="340" t="s">
        <v>47</v>
      </c>
      <c r="G378" s="340"/>
      <c r="H378" s="341"/>
      <c r="I378" s="341"/>
      <c r="J378" s="341">
        <v>14.02</v>
      </c>
      <c r="K378" s="342">
        <v>1.82</v>
      </c>
      <c r="L378" s="341">
        <f t="shared" si="35"/>
        <v>15.84</v>
      </c>
      <c r="M378" s="608">
        <v>51000200001</v>
      </c>
      <c r="N378" s="593"/>
      <c r="O378" s="260" t="s">
        <v>528</v>
      </c>
      <c r="P378" s="96">
        <v>51000100001</v>
      </c>
      <c r="Q378" s="234" t="s">
        <v>269</v>
      </c>
      <c r="R378" s="592">
        <f t="shared" si="34"/>
        <v>0</v>
      </c>
      <c r="T378" s="144">
        <v>51000100002</v>
      </c>
      <c r="U378" s="156" t="s">
        <v>193</v>
      </c>
      <c r="X378" s="156">
        <v>0</v>
      </c>
    </row>
    <row r="379" spans="2:26" x14ac:dyDescent="0.2">
      <c r="B379" s="233">
        <v>43375</v>
      </c>
      <c r="C379" s="230" t="s">
        <v>507</v>
      </c>
      <c r="D379" s="230" t="s">
        <v>241</v>
      </c>
      <c r="E379" s="340" t="str">
        <f>+VLOOKUP(F379,[3]bd!A:B,2,0)</f>
        <v>BANCO CUSCATLAN DE EL SALVADOR S.A.</v>
      </c>
      <c r="F379" s="340" t="s">
        <v>47</v>
      </c>
      <c r="G379" s="343"/>
      <c r="H379" s="341"/>
      <c r="I379" s="341"/>
      <c r="J379" s="478">
        <v>95.89</v>
      </c>
      <c r="K379" s="342">
        <v>12.47</v>
      </c>
      <c r="L379" s="341">
        <f t="shared" si="35"/>
        <v>108.36</v>
      </c>
      <c r="M379" s="608">
        <v>51000200002</v>
      </c>
      <c r="N379" s="593"/>
      <c r="O379" s="260" t="s">
        <v>528</v>
      </c>
      <c r="P379" s="96">
        <v>51000100002</v>
      </c>
      <c r="Q379" s="234" t="s">
        <v>242</v>
      </c>
      <c r="R379" s="592">
        <f t="shared" si="34"/>
        <v>0</v>
      </c>
      <c r="T379" s="144">
        <v>51220200001</v>
      </c>
      <c r="U379" s="144" t="s">
        <v>21</v>
      </c>
      <c r="X379" s="156">
        <v>-1915.7100000000009</v>
      </c>
      <c r="Y379" s="156">
        <f>R387+R394</f>
        <v>1418.28</v>
      </c>
      <c r="Z379" s="236">
        <f>X379+Y379</f>
        <v>-497.43000000000097</v>
      </c>
    </row>
    <row r="380" spans="2:26" x14ac:dyDescent="0.2">
      <c r="B380" s="233">
        <v>43375</v>
      </c>
      <c r="C380" s="230" t="s">
        <v>508</v>
      </c>
      <c r="D380" s="230" t="s">
        <v>241</v>
      </c>
      <c r="E380" s="340" t="str">
        <f>+VLOOKUP(F380,[3]bd!A:B,2,0)</f>
        <v>BANCO CUSCATLAN DE EL SALVADOR S.A.</v>
      </c>
      <c r="F380" s="340" t="s">
        <v>47</v>
      </c>
      <c r="G380" s="343"/>
      <c r="H380" s="341"/>
      <c r="I380" s="341"/>
      <c r="J380" s="341">
        <v>95.89</v>
      </c>
      <c r="K380" s="342">
        <v>12.47</v>
      </c>
      <c r="L380" s="341">
        <f t="shared" si="35"/>
        <v>108.36</v>
      </c>
      <c r="M380" s="608">
        <v>51000200001</v>
      </c>
      <c r="N380" s="593"/>
      <c r="O380" s="260" t="s">
        <v>528</v>
      </c>
      <c r="P380" s="96">
        <v>51000100002</v>
      </c>
      <c r="Q380" s="234" t="s">
        <v>269</v>
      </c>
      <c r="R380" s="592">
        <f t="shared" si="34"/>
        <v>0</v>
      </c>
      <c r="T380" s="144">
        <v>52200000001</v>
      </c>
      <c r="U380" s="144" t="s">
        <v>11</v>
      </c>
      <c r="X380" s="156">
        <v>-168.58000000000175</v>
      </c>
      <c r="Y380" s="156">
        <f>R388+R395</f>
        <v>0</v>
      </c>
      <c r="Z380" s="236">
        <v>0</v>
      </c>
    </row>
    <row r="381" spans="2:26" x14ac:dyDescent="0.2">
      <c r="B381" s="233">
        <v>43381</v>
      </c>
      <c r="C381" s="230" t="s">
        <v>509</v>
      </c>
      <c r="D381" s="230" t="s">
        <v>241</v>
      </c>
      <c r="E381" s="340" t="str">
        <f>+VLOOKUP(F381,[3]bd!A:B,2,0)</f>
        <v>BANCO CUSCATLAN DE EL SALVADOR S.A.</v>
      </c>
      <c r="F381" s="340" t="s">
        <v>47</v>
      </c>
      <c r="G381" s="340"/>
      <c r="H381" s="341"/>
      <c r="I381" s="341"/>
      <c r="J381" s="478">
        <v>119.87</v>
      </c>
      <c r="K381" s="342">
        <v>15.58</v>
      </c>
      <c r="L381" s="341">
        <f t="shared" si="35"/>
        <v>135.45000000000002</v>
      </c>
      <c r="M381" s="608">
        <v>51000200002</v>
      </c>
      <c r="N381" s="593"/>
      <c r="O381" s="260" t="s">
        <v>528</v>
      </c>
      <c r="P381" s="486">
        <v>51000200001</v>
      </c>
      <c r="Q381" s="476" t="s">
        <v>242</v>
      </c>
      <c r="R381" s="478">
        <f t="shared" si="34"/>
        <v>700.3</v>
      </c>
      <c r="X381" s="356">
        <v>0</v>
      </c>
      <c r="Y381" s="156">
        <v>0</v>
      </c>
      <c r="Z381" s="236">
        <v>0</v>
      </c>
    </row>
    <row r="382" spans="2:26" x14ac:dyDescent="0.2">
      <c r="B382" s="233">
        <v>43381</v>
      </c>
      <c r="C382" s="230" t="s">
        <v>510</v>
      </c>
      <c r="D382" s="230" t="s">
        <v>241</v>
      </c>
      <c r="E382" s="340" t="str">
        <f>+VLOOKUP(F382,[3]bd!A:B,2,0)</f>
        <v>BANCO CUSCATLAN DE EL SALVADOR S.A.</v>
      </c>
      <c r="F382" s="340" t="s">
        <v>47</v>
      </c>
      <c r="G382" s="340"/>
      <c r="H382" s="341"/>
      <c r="I382" s="341"/>
      <c r="J382" s="341">
        <v>119.87</v>
      </c>
      <c r="K382" s="342">
        <v>15.58</v>
      </c>
      <c r="L382" s="341">
        <f t="shared" si="35"/>
        <v>135.45000000000002</v>
      </c>
      <c r="M382" s="608">
        <v>51000200001</v>
      </c>
      <c r="N382" s="593"/>
      <c r="O382" s="260" t="s">
        <v>528</v>
      </c>
      <c r="P382" s="96">
        <v>51000200001</v>
      </c>
      <c r="Q382" s="234" t="s">
        <v>187</v>
      </c>
      <c r="R382" s="592">
        <f t="shared" si="34"/>
        <v>0</v>
      </c>
      <c r="X382" s="304">
        <v>0</v>
      </c>
      <c r="Y382" s="304">
        <f>R390+R397</f>
        <v>0</v>
      </c>
      <c r="Z382" s="300">
        <v>0</v>
      </c>
    </row>
    <row r="383" spans="2:26" x14ac:dyDescent="0.2">
      <c r="B383" s="233">
        <v>43384</v>
      </c>
      <c r="C383" s="230" t="s">
        <v>511</v>
      </c>
      <c r="D383" s="230" t="s">
        <v>241</v>
      </c>
      <c r="E383" s="340" t="str">
        <f>+VLOOKUP(F383,[3]bd!A:B,2,0)</f>
        <v>BANCO CUSCATLAN DE EL SALVADOR S.A.</v>
      </c>
      <c r="F383" s="340" t="s">
        <v>47</v>
      </c>
      <c r="G383" s="340"/>
      <c r="H383" s="341"/>
      <c r="I383" s="341"/>
      <c r="J383" s="478">
        <v>45.55</v>
      </c>
      <c r="K383" s="342">
        <v>5.92</v>
      </c>
      <c r="L383" s="341">
        <f t="shared" si="35"/>
        <v>51.47</v>
      </c>
      <c r="M383" s="608">
        <v>51000200002</v>
      </c>
      <c r="N383" s="593"/>
      <c r="O383" s="260" t="s">
        <v>528</v>
      </c>
      <c r="P383" s="96">
        <v>51000200001</v>
      </c>
      <c r="Q383" s="234" t="s">
        <v>22</v>
      </c>
      <c r="R383" s="592">
        <f t="shared" si="34"/>
        <v>0</v>
      </c>
      <c r="X383" s="290">
        <f>SUM(X375:X382)</f>
        <v>-3484.8900000000026</v>
      </c>
      <c r="Y383" s="290">
        <f>SUM(Y375:Y382)</f>
        <v>1418.28</v>
      </c>
      <c r="Z383" s="290">
        <f>SUM(Z375:Z382)</f>
        <v>-497.43000000000097</v>
      </c>
    </row>
    <row r="384" spans="2:26" x14ac:dyDescent="0.2">
      <c r="B384" s="233">
        <v>43384</v>
      </c>
      <c r="C384" s="230" t="s">
        <v>512</v>
      </c>
      <c r="D384" s="230" t="s">
        <v>241</v>
      </c>
      <c r="E384" s="340" t="str">
        <f>+VLOOKUP(F384,[3]bd!A:B,2,0)</f>
        <v>BANCO CUSCATLAN DE EL SALVADOR S.A.</v>
      </c>
      <c r="F384" s="340" t="s">
        <v>47</v>
      </c>
      <c r="G384" s="340"/>
      <c r="H384" s="341"/>
      <c r="I384" s="341"/>
      <c r="J384" s="341">
        <v>45.55</v>
      </c>
      <c r="K384" s="342">
        <v>5.92</v>
      </c>
      <c r="L384" s="341">
        <f t="shared" si="35"/>
        <v>51.47</v>
      </c>
      <c r="M384" s="608">
        <v>51000200001</v>
      </c>
      <c r="N384" s="593"/>
      <c r="O384" s="260" t="s">
        <v>528</v>
      </c>
      <c r="P384" s="486">
        <v>51000200002</v>
      </c>
      <c r="Q384" s="476" t="s">
        <v>242</v>
      </c>
      <c r="R384" s="478">
        <f t="shared" si="34"/>
        <v>700.3</v>
      </c>
      <c r="U384" s="156"/>
    </row>
    <row r="385" spans="2:26" x14ac:dyDescent="0.2">
      <c r="B385" s="233">
        <v>43388</v>
      </c>
      <c r="C385" s="230" t="s">
        <v>513</v>
      </c>
      <c r="D385" s="230" t="s">
        <v>241</v>
      </c>
      <c r="E385" s="340" t="str">
        <f>+VLOOKUP(F385,[3]bd!A:B,2,0)</f>
        <v>BANCO CUSCATLAN DE EL SALVADOR S.A.</v>
      </c>
      <c r="F385" s="340" t="s">
        <v>47</v>
      </c>
      <c r="G385" s="340"/>
      <c r="H385" s="341"/>
      <c r="I385" s="341"/>
      <c r="J385" s="478">
        <v>47.95</v>
      </c>
      <c r="K385" s="342">
        <v>6.23</v>
      </c>
      <c r="L385" s="341">
        <f>+J385+K385</f>
        <v>54.180000000000007</v>
      </c>
      <c r="M385" s="608">
        <v>51000200002</v>
      </c>
      <c r="N385" s="593"/>
      <c r="O385" s="260" t="s">
        <v>528</v>
      </c>
      <c r="P385" s="96">
        <v>51000200002</v>
      </c>
      <c r="Q385" s="234" t="s">
        <v>187</v>
      </c>
      <c r="R385" s="592">
        <f t="shared" si="34"/>
        <v>0</v>
      </c>
      <c r="U385" s="156"/>
    </row>
    <row r="386" spans="2:26" x14ac:dyDescent="0.2">
      <c r="B386" s="233">
        <v>43388</v>
      </c>
      <c r="C386" s="230" t="s">
        <v>514</v>
      </c>
      <c r="D386" s="230" t="s">
        <v>241</v>
      </c>
      <c r="E386" s="340" t="str">
        <f>+VLOOKUP(F386,[3]bd!A:B,2,0)</f>
        <v>BANCO CUSCATLAN DE EL SALVADOR S.A.</v>
      </c>
      <c r="F386" s="340" t="s">
        <v>47</v>
      </c>
      <c r="G386" s="340"/>
      <c r="H386" s="341"/>
      <c r="I386" s="341"/>
      <c r="J386" s="341">
        <v>47.95</v>
      </c>
      <c r="K386" s="342">
        <v>6.23</v>
      </c>
      <c r="L386" s="341">
        <f t="shared" ref="L386:L399" si="36">+J386+K386</f>
        <v>54.180000000000007</v>
      </c>
      <c r="M386" s="608">
        <v>51000200001</v>
      </c>
      <c r="N386" s="593"/>
      <c r="O386" s="260" t="s">
        <v>528</v>
      </c>
      <c r="P386" s="96">
        <v>51000200002</v>
      </c>
      <c r="Q386" s="234" t="s">
        <v>22</v>
      </c>
      <c r="R386" s="592">
        <f t="shared" si="34"/>
        <v>0</v>
      </c>
      <c r="U386" s="156"/>
      <c r="Z386" s="236"/>
    </row>
    <row r="387" spans="2:26" x14ac:dyDescent="0.2">
      <c r="B387" s="233">
        <v>43389</v>
      </c>
      <c r="C387" s="230" t="s">
        <v>515</v>
      </c>
      <c r="D387" s="230" t="s">
        <v>241</v>
      </c>
      <c r="E387" s="340" t="str">
        <f>+VLOOKUP(F387,[3]bd!A:B,2,0)</f>
        <v>BANCO CUSCATLAN DE EL SALVADOR S.A.</v>
      </c>
      <c r="F387" s="340" t="s">
        <v>47</v>
      </c>
      <c r="G387" s="340"/>
      <c r="H387" s="341"/>
      <c r="I387" s="341"/>
      <c r="J387" s="478">
        <v>83.87</v>
      </c>
      <c r="K387" s="342">
        <v>10.9</v>
      </c>
      <c r="L387" s="341">
        <f t="shared" si="36"/>
        <v>94.77000000000001</v>
      </c>
      <c r="M387" s="608">
        <v>51000200002</v>
      </c>
      <c r="N387" s="593"/>
      <c r="O387" s="260" t="s">
        <v>528</v>
      </c>
      <c r="P387" s="486">
        <v>51220200001</v>
      </c>
      <c r="Q387" s="476" t="s">
        <v>242</v>
      </c>
      <c r="R387" s="478">
        <f t="shared" si="34"/>
        <v>1072.26</v>
      </c>
      <c r="U387" s="156"/>
    </row>
    <row r="388" spans="2:26" x14ac:dyDescent="0.2">
      <c r="B388" s="233">
        <v>43389</v>
      </c>
      <c r="C388" s="230" t="s">
        <v>516</v>
      </c>
      <c r="D388" s="230" t="s">
        <v>241</v>
      </c>
      <c r="E388" s="340" t="str">
        <f>+VLOOKUP(F388,[3]bd!A:B,2,0)</f>
        <v>BANCO CUSCATLAN DE EL SALVADOR S.A.</v>
      </c>
      <c r="F388" s="340" t="s">
        <v>47</v>
      </c>
      <c r="G388" s="340"/>
      <c r="H388" s="341"/>
      <c r="I388" s="341"/>
      <c r="J388" s="341">
        <v>83.87</v>
      </c>
      <c r="K388" s="342">
        <v>10.9</v>
      </c>
      <c r="L388" s="341">
        <f t="shared" si="36"/>
        <v>94.77000000000001</v>
      </c>
      <c r="M388" s="608">
        <v>51000200001</v>
      </c>
      <c r="N388" s="593"/>
      <c r="O388" s="260" t="s">
        <v>528</v>
      </c>
      <c r="P388" s="96">
        <v>51220200001</v>
      </c>
      <c r="Q388" s="234" t="s">
        <v>187</v>
      </c>
      <c r="R388" s="592">
        <f t="shared" si="34"/>
        <v>0</v>
      </c>
    </row>
    <row r="389" spans="2:26" x14ac:dyDescent="0.2">
      <c r="B389" s="233">
        <v>43388</v>
      </c>
      <c r="C389" s="230" t="s">
        <v>517</v>
      </c>
      <c r="D389" s="230" t="s">
        <v>241</v>
      </c>
      <c r="E389" s="340" t="str">
        <f>+VLOOKUP(F389,[3]bd!A:B,2,0)</f>
        <v>BANCO CUSCATLAN DE EL SALVADOR S.A.</v>
      </c>
      <c r="F389" s="340" t="s">
        <v>47</v>
      </c>
      <c r="G389" s="340"/>
      <c r="H389" s="341"/>
      <c r="I389" s="341"/>
      <c r="J389" s="341">
        <v>1072.26</v>
      </c>
      <c r="K389" s="342">
        <v>139.38999999999999</v>
      </c>
      <c r="L389" s="341">
        <f t="shared" si="36"/>
        <v>1211.6500000000001</v>
      </c>
      <c r="M389" s="608">
        <v>51220200001</v>
      </c>
      <c r="N389" s="593"/>
      <c r="O389" s="260" t="s">
        <v>528</v>
      </c>
      <c r="P389" s="96">
        <v>51220200001</v>
      </c>
      <c r="Q389" s="234" t="s">
        <v>22</v>
      </c>
      <c r="R389" s="592">
        <f t="shared" si="34"/>
        <v>0</v>
      </c>
    </row>
    <row r="390" spans="2:26" x14ac:dyDescent="0.2">
      <c r="B390" s="233">
        <v>43388</v>
      </c>
      <c r="C390" s="230" t="s">
        <v>518</v>
      </c>
      <c r="D390" s="230" t="s">
        <v>241</v>
      </c>
      <c r="E390" s="234" t="str">
        <f>+VLOOKUP(F390,[3]bd!A:B,2,0)</f>
        <v>CITIBANK, N.A. SUCURSAL EL SALVADOR</v>
      </c>
      <c r="F390" s="234" t="s">
        <v>179</v>
      </c>
      <c r="G390" s="591"/>
      <c r="H390" s="592"/>
      <c r="I390" s="592"/>
      <c r="J390" s="592">
        <v>495.79</v>
      </c>
      <c r="K390" s="294">
        <v>64.45</v>
      </c>
      <c r="L390" s="592">
        <f t="shared" si="36"/>
        <v>560.24</v>
      </c>
      <c r="M390" s="593"/>
      <c r="N390" s="593"/>
      <c r="O390" s="260" t="s">
        <v>528</v>
      </c>
      <c r="P390" s="96">
        <v>52200000001</v>
      </c>
      <c r="Q390" s="234" t="s">
        <v>242</v>
      </c>
      <c r="R390" s="592">
        <f t="shared" si="34"/>
        <v>0</v>
      </c>
      <c r="W390" s="153" t="s">
        <v>255</v>
      </c>
      <c r="X390" s="236">
        <f>+X376+X379+X375+X381+X382+X377+X378</f>
        <v>-3316.3100000000013</v>
      </c>
    </row>
    <row r="391" spans="2:26" x14ac:dyDescent="0.2">
      <c r="B391" s="233">
        <v>43388</v>
      </c>
      <c r="C391" s="230" t="s">
        <v>519</v>
      </c>
      <c r="D391" s="230" t="s">
        <v>241</v>
      </c>
      <c r="E391" s="476" t="str">
        <f>+VLOOKUP(F391,[3]bd!A:B,2,0)</f>
        <v>INVERSIONES FINANCIERAS IMPERIA CUSCATLAN, SA</v>
      </c>
      <c r="F391" s="476" t="s">
        <v>270</v>
      </c>
      <c r="G391" s="477"/>
      <c r="H391" s="478"/>
      <c r="I391" s="478"/>
      <c r="J391" s="478">
        <v>346.02</v>
      </c>
      <c r="K391" s="609">
        <v>44.98</v>
      </c>
      <c r="L391" s="478">
        <f t="shared" si="36"/>
        <v>391</v>
      </c>
      <c r="M391" s="608">
        <v>51220200001</v>
      </c>
      <c r="N391" s="593"/>
      <c r="O391" s="260" t="s">
        <v>528</v>
      </c>
      <c r="P391" s="96">
        <v>52200000001</v>
      </c>
      <c r="Q391" s="234" t="s">
        <v>187</v>
      </c>
      <c r="R391" s="592">
        <f t="shared" si="34"/>
        <v>0</v>
      </c>
      <c r="W391" s="144" t="s">
        <v>257</v>
      </c>
      <c r="X391" s="236">
        <f>R396</f>
        <v>2818.8799999999997</v>
      </c>
    </row>
    <row r="392" spans="2:26" x14ac:dyDescent="0.2">
      <c r="B392" s="233">
        <v>43390</v>
      </c>
      <c r="C392" s="230" t="s">
        <v>520</v>
      </c>
      <c r="D392" s="230" t="s">
        <v>241</v>
      </c>
      <c r="E392" s="340" t="str">
        <f>+VLOOKUP(F392,[3]bd!A:B,2,0)</f>
        <v>BANCO CUSCATLAN DE EL SALVADOR S.A.</v>
      </c>
      <c r="F392" s="340" t="s">
        <v>47</v>
      </c>
      <c r="G392" s="343"/>
      <c r="H392" s="341"/>
      <c r="I392" s="341"/>
      <c r="J392" s="478">
        <v>82.19</v>
      </c>
      <c r="K392" s="342">
        <v>10.69</v>
      </c>
      <c r="L392" s="341">
        <f t="shared" si="36"/>
        <v>92.88</v>
      </c>
      <c r="M392" s="608">
        <v>51000200002</v>
      </c>
      <c r="N392" s="593"/>
      <c r="O392" s="260" t="s">
        <v>528</v>
      </c>
      <c r="P392" s="96">
        <v>52200000001</v>
      </c>
      <c r="Q392" s="234" t="s">
        <v>22</v>
      </c>
      <c r="R392" s="592">
        <f t="shared" si="34"/>
        <v>0</v>
      </c>
      <c r="W392" s="144" t="s">
        <v>260</v>
      </c>
      <c r="X392" s="300">
        <f>J390</f>
        <v>495.79</v>
      </c>
    </row>
    <row r="393" spans="2:26" x14ac:dyDescent="0.2">
      <c r="B393" s="233">
        <v>43390</v>
      </c>
      <c r="C393" s="230" t="s">
        <v>521</v>
      </c>
      <c r="D393" s="230" t="s">
        <v>241</v>
      </c>
      <c r="E393" s="340" t="str">
        <f>+VLOOKUP(F393,[3]bd!A:B,2,0)</f>
        <v>BANCO CUSCATLAN DE EL SALVADOR S.A.</v>
      </c>
      <c r="F393" s="340" t="s">
        <v>47</v>
      </c>
      <c r="G393" s="343"/>
      <c r="H393" s="341"/>
      <c r="I393" s="341"/>
      <c r="J393" s="341">
        <v>82.19</v>
      </c>
      <c r="K393" s="342">
        <v>10.69</v>
      </c>
      <c r="L393" s="341">
        <f t="shared" si="36"/>
        <v>92.88</v>
      </c>
      <c r="M393" s="608">
        <v>51000200001</v>
      </c>
      <c r="N393" s="593"/>
      <c r="O393" s="260" t="s">
        <v>528</v>
      </c>
      <c r="P393" s="96">
        <v>52200000001</v>
      </c>
      <c r="Q393" s="234" t="s">
        <v>242</v>
      </c>
      <c r="R393" s="592">
        <f t="shared" si="34"/>
        <v>0</v>
      </c>
      <c r="X393" s="290">
        <f>X390+X391+X392</f>
        <v>-1.6400000000016348</v>
      </c>
      <c r="Y393" s="144" t="s">
        <v>275</v>
      </c>
    </row>
    <row r="394" spans="2:26" x14ac:dyDescent="0.2">
      <c r="B394" s="233">
        <v>43391</v>
      </c>
      <c r="C394" s="230" t="s">
        <v>522</v>
      </c>
      <c r="D394" s="230" t="s">
        <v>241</v>
      </c>
      <c r="E394" s="340" t="str">
        <f>+VLOOKUP(F394,[3]bd!A:B,2,0)</f>
        <v>BANCO CUSCATLAN DE EL SALVADOR S.A.</v>
      </c>
      <c r="F394" s="340" t="s">
        <v>47</v>
      </c>
      <c r="G394" s="343"/>
      <c r="H394" s="341"/>
      <c r="I394" s="341"/>
      <c r="J394" s="478">
        <v>47.95</v>
      </c>
      <c r="K394" s="342">
        <v>6.23</v>
      </c>
      <c r="L394" s="341">
        <f t="shared" si="36"/>
        <v>54.180000000000007</v>
      </c>
      <c r="M394" s="608">
        <v>51000200002</v>
      </c>
      <c r="N394" s="593"/>
      <c r="O394" s="260" t="s">
        <v>528</v>
      </c>
      <c r="P394" s="486">
        <v>51220200001</v>
      </c>
      <c r="Q394" s="476" t="s">
        <v>269</v>
      </c>
      <c r="R394" s="478">
        <f t="shared" si="34"/>
        <v>346.02</v>
      </c>
    </row>
    <row r="395" spans="2:26" x14ac:dyDescent="0.2">
      <c r="B395" s="233">
        <v>43391</v>
      </c>
      <c r="C395" s="230" t="s">
        <v>523</v>
      </c>
      <c r="D395" s="230" t="s">
        <v>241</v>
      </c>
      <c r="E395" s="340" t="str">
        <f>+VLOOKUP(F395,[3]bd!A:B,2,0)</f>
        <v>BANCO CUSCATLAN DE EL SALVADOR S.A.</v>
      </c>
      <c r="F395" s="340" t="s">
        <v>47</v>
      </c>
      <c r="G395" s="343"/>
      <c r="H395" s="341"/>
      <c r="I395" s="341"/>
      <c r="J395" s="341">
        <v>47.95</v>
      </c>
      <c r="K395" s="342">
        <v>6.23</v>
      </c>
      <c r="L395" s="341">
        <f t="shared" si="36"/>
        <v>54.180000000000007</v>
      </c>
      <c r="M395" s="608">
        <v>51000200001</v>
      </c>
      <c r="N395" s="593"/>
      <c r="O395" s="260" t="s">
        <v>528</v>
      </c>
      <c r="P395" s="96">
        <v>53000100001</v>
      </c>
      <c r="Q395" s="234" t="s">
        <v>242</v>
      </c>
      <c r="R395" s="592">
        <f t="shared" si="34"/>
        <v>0</v>
      </c>
    </row>
    <row r="396" spans="2:26" ht="13.5" thickBot="1" x14ac:dyDescent="0.25">
      <c r="B396" s="233">
        <v>43402</v>
      </c>
      <c r="C396" s="230" t="s">
        <v>524</v>
      </c>
      <c r="D396" s="230" t="s">
        <v>241</v>
      </c>
      <c r="E396" s="340" t="str">
        <f>+VLOOKUP(F396,[3]bd!A:B,2,0)</f>
        <v>BANCO CUSCATLAN DE EL SALVADOR S.A.</v>
      </c>
      <c r="F396" s="340" t="s">
        <v>47</v>
      </c>
      <c r="G396" s="343"/>
      <c r="H396" s="341"/>
      <c r="I396" s="341"/>
      <c r="J396" s="478">
        <v>95.89</v>
      </c>
      <c r="K396" s="342">
        <v>12.47</v>
      </c>
      <c r="L396" s="341">
        <f t="shared" si="36"/>
        <v>108.36</v>
      </c>
      <c r="M396" s="608">
        <v>51000200002</v>
      </c>
      <c r="N396" s="593"/>
      <c r="O396" s="589"/>
      <c r="P396" s="589"/>
      <c r="R396" s="607">
        <f>SUM(R375:R395)</f>
        <v>2818.8799999999997</v>
      </c>
    </row>
    <row r="397" spans="2:26" ht="13.5" thickTop="1" x14ac:dyDescent="0.2">
      <c r="B397" s="233">
        <v>43402</v>
      </c>
      <c r="C397" s="230" t="s">
        <v>525</v>
      </c>
      <c r="D397" s="230" t="s">
        <v>241</v>
      </c>
      <c r="E397" s="340" t="str">
        <f>+VLOOKUP(F397,[3]bd!A:B,2,0)</f>
        <v>BANCO CUSCATLAN DE EL SALVADOR S.A.</v>
      </c>
      <c r="F397" s="340" t="s">
        <v>47</v>
      </c>
      <c r="G397" s="343"/>
      <c r="H397" s="341"/>
      <c r="I397" s="341"/>
      <c r="J397" s="341">
        <v>95.89</v>
      </c>
      <c r="K397" s="342">
        <v>12.47</v>
      </c>
      <c r="L397" s="341">
        <f t="shared" si="36"/>
        <v>108.36</v>
      </c>
      <c r="M397" s="608">
        <v>51000200001</v>
      </c>
      <c r="N397" s="593"/>
    </row>
    <row r="398" spans="2:26" x14ac:dyDescent="0.2">
      <c r="B398" s="233">
        <v>43403</v>
      </c>
      <c r="C398" s="230" t="s">
        <v>526</v>
      </c>
      <c r="D398" s="230" t="s">
        <v>241</v>
      </c>
      <c r="E398" s="340" t="str">
        <f>+VLOOKUP(F398,[3]bd!A:B,2,0)</f>
        <v>BANCO CUSCATLAN DE EL SALVADOR S.A.</v>
      </c>
      <c r="F398" s="340" t="s">
        <v>47</v>
      </c>
      <c r="G398" s="340"/>
      <c r="H398" s="341"/>
      <c r="I398" s="341"/>
      <c r="J398" s="478">
        <v>67.12</v>
      </c>
      <c r="K398" s="342">
        <v>8.73</v>
      </c>
      <c r="L398" s="341">
        <f t="shared" si="36"/>
        <v>75.850000000000009</v>
      </c>
      <c r="M398" s="608">
        <v>51000200002</v>
      </c>
      <c r="N398" s="593"/>
    </row>
    <row r="399" spans="2:26" x14ac:dyDescent="0.2">
      <c r="B399" s="233">
        <v>43403</v>
      </c>
      <c r="C399" s="230" t="s">
        <v>527</v>
      </c>
      <c r="D399" s="230" t="s">
        <v>241</v>
      </c>
      <c r="E399" s="340" t="str">
        <f>+VLOOKUP(F399,[3]bd!A:B,2,0)</f>
        <v>BANCO CUSCATLAN DE EL SALVADOR S.A.</v>
      </c>
      <c r="F399" s="340" t="s">
        <v>47</v>
      </c>
      <c r="G399" s="340"/>
      <c r="H399" s="341"/>
      <c r="I399" s="341"/>
      <c r="J399" s="341">
        <v>67.12</v>
      </c>
      <c r="K399" s="342">
        <v>8.73</v>
      </c>
      <c r="L399" s="341">
        <f t="shared" si="36"/>
        <v>75.850000000000009</v>
      </c>
      <c r="M399" s="608">
        <v>51000200001</v>
      </c>
      <c r="N399" s="593"/>
    </row>
    <row r="400" spans="2:26" x14ac:dyDescent="0.2">
      <c r="B400" s="233"/>
      <c r="C400" s="230" t="s">
        <v>409</v>
      </c>
      <c r="D400" s="230" t="s">
        <v>241</v>
      </c>
      <c r="E400" s="234"/>
      <c r="F400" s="234">
        <v>0</v>
      </c>
      <c r="G400" s="234"/>
      <c r="H400" s="592"/>
      <c r="I400" s="592"/>
      <c r="J400" s="592">
        <v>0</v>
      </c>
      <c r="K400" s="235">
        <v>0</v>
      </c>
      <c r="L400" s="592">
        <f>+J400+K400</f>
        <v>0</v>
      </c>
      <c r="M400" s="593"/>
      <c r="N400" s="593"/>
    </row>
    <row r="401" spans="2:14" x14ac:dyDescent="0.2">
      <c r="B401" s="233"/>
      <c r="C401" s="230"/>
      <c r="D401" s="230"/>
      <c r="E401" s="234" t="s">
        <v>321</v>
      </c>
      <c r="F401" s="206"/>
      <c r="G401" s="289"/>
      <c r="H401" s="289"/>
      <c r="I401" s="289"/>
      <c r="J401" s="289"/>
      <c r="K401" s="601">
        <v>-430.9</v>
      </c>
      <c r="L401" s="592">
        <f t="shared" ref="L401:L402" si="37">+J401+K401</f>
        <v>-430.9</v>
      </c>
      <c r="M401" s="593"/>
      <c r="N401" s="593"/>
    </row>
    <row r="402" spans="2:14" x14ac:dyDescent="0.2">
      <c r="B402" s="233"/>
      <c r="C402" s="230"/>
      <c r="D402" s="230"/>
      <c r="E402" s="234"/>
      <c r="F402" s="206"/>
      <c r="G402" s="289"/>
      <c r="H402" s="289"/>
      <c r="I402" s="289"/>
      <c r="J402" s="289"/>
      <c r="K402" s="235"/>
      <c r="L402" s="592">
        <f t="shared" si="37"/>
        <v>0</v>
      </c>
      <c r="M402" s="593"/>
      <c r="N402" s="593"/>
    </row>
    <row r="403" spans="2:14" x14ac:dyDescent="0.2">
      <c r="B403" s="295"/>
      <c r="C403" s="296"/>
      <c r="D403" s="296"/>
      <c r="E403" s="234"/>
      <c r="F403" s="295"/>
      <c r="G403" s="297"/>
      <c r="H403" s="297"/>
      <c r="I403" s="297"/>
      <c r="J403" s="297"/>
      <c r="K403" s="297"/>
      <c r="L403" s="297"/>
      <c r="M403" s="589"/>
      <c r="N403" s="589"/>
    </row>
    <row r="404" spans="2:14" x14ac:dyDescent="0.2">
      <c r="B404" s="206"/>
      <c r="C404" s="207"/>
      <c r="D404" s="207"/>
      <c r="E404" s="206"/>
      <c r="F404" s="206"/>
      <c r="G404" s="298">
        <f t="shared" ref="G404:L404" si="38">SUM(G376:G403)</f>
        <v>0</v>
      </c>
      <c r="H404" s="298">
        <f t="shared" si="38"/>
        <v>0</v>
      </c>
      <c r="I404" s="298">
        <f t="shared" si="38"/>
        <v>0</v>
      </c>
      <c r="J404" s="298">
        <f t="shared" si="38"/>
        <v>3314.6699999999992</v>
      </c>
      <c r="K404" s="298">
        <f t="shared" si="38"/>
        <v>0</v>
      </c>
      <c r="L404" s="298">
        <f t="shared" si="38"/>
        <v>3314.6699999999996</v>
      </c>
      <c r="M404" s="589"/>
      <c r="N404" s="589"/>
    </row>
    <row r="405" spans="2:14" x14ac:dyDescent="0.2">
      <c r="B405" s="206"/>
      <c r="C405" s="207"/>
      <c r="D405" s="207"/>
      <c r="E405" s="206"/>
      <c r="F405" s="206"/>
      <c r="G405" s="366"/>
      <c r="H405" s="366"/>
      <c r="I405" s="366"/>
      <c r="J405" s="366"/>
      <c r="K405" s="366"/>
      <c r="L405" s="366"/>
      <c r="M405" s="589"/>
      <c r="N405" s="589"/>
    </row>
    <row r="406" spans="2:14" x14ac:dyDescent="0.2">
      <c r="B406" s="206"/>
      <c r="C406" s="207"/>
      <c r="D406" s="207"/>
      <c r="E406" s="206"/>
      <c r="F406" s="206"/>
      <c r="G406" s="206"/>
      <c r="H406" s="206"/>
      <c r="I406" s="206"/>
      <c r="J406" s="206"/>
      <c r="K406" s="206"/>
      <c r="L406" s="206"/>
      <c r="M406" s="589"/>
      <c r="N406" s="589"/>
    </row>
    <row r="407" spans="2:14" x14ac:dyDescent="0.2">
      <c r="B407" s="206"/>
      <c r="C407" s="209" t="s">
        <v>445</v>
      </c>
      <c r="D407" s="207"/>
      <c r="E407" s="207"/>
      <c r="F407" s="206"/>
      <c r="G407" s="206"/>
      <c r="H407" s="206"/>
      <c r="I407" s="209" t="s">
        <v>446</v>
      </c>
      <c r="J407" s="206"/>
      <c r="K407" s="206"/>
      <c r="L407" s="206"/>
      <c r="M407" s="589"/>
      <c r="N407" s="589"/>
    </row>
    <row r="408" spans="2:14" x14ac:dyDescent="0.2">
      <c r="B408" s="206"/>
      <c r="C408" s="209"/>
      <c r="D408" s="207"/>
      <c r="E408" s="207"/>
      <c r="F408" s="206"/>
      <c r="G408" s="206"/>
      <c r="H408" s="206"/>
      <c r="I408" s="209"/>
      <c r="J408" s="206"/>
      <c r="K408" s="206"/>
      <c r="L408" s="206"/>
      <c r="M408" s="589"/>
      <c r="N408" s="589"/>
    </row>
    <row r="409" spans="2:14" x14ac:dyDescent="0.2">
      <c r="B409" s="206"/>
      <c r="C409" s="206" t="s">
        <v>79</v>
      </c>
      <c r="D409" s="207"/>
      <c r="E409" s="207"/>
      <c r="F409" s="206"/>
      <c r="G409" s="467">
        <v>0</v>
      </c>
      <c r="H409" s="206"/>
      <c r="I409" s="206" t="s">
        <v>79</v>
      </c>
      <c r="J409" s="206"/>
      <c r="K409" s="206"/>
      <c r="L409" s="467">
        <v>0</v>
      </c>
      <c r="M409" s="589"/>
      <c r="N409" s="589"/>
    </row>
    <row r="410" spans="2:14" x14ac:dyDescent="0.2">
      <c r="B410" s="206"/>
      <c r="C410" s="206"/>
      <c r="D410" s="207"/>
      <c r="E410" s="207"/>
      <c r="F410" s="206"/>
      <c r="G410" s="206"/>
      <c r="H410" s="206"/>
      <c r="I410" s="206"/>
      <c r="J410" s="206"/>
      <c r="K410" s="206"/>
      <c r="L410" s="206"/>
      <c r="M410" s="589"/>
      <c r="N410" s="589"/>
    </row>
    <row r="411" spans="2:14" x14ac:dyDescent="0.2">
      <c r="B411" s="206"/>
      <c r="C411" s="206" t="s">
        <v>447</v>
      </c>
      <c r="D411" s="207"/>
      <c r="E411" s="207"/>
      <c r="F411" s="206"/>
      <c r="G411" s="467">
        <v>0</v>
      </c>
      <c r="H411" s="206"/>
      <c r="I411" s="206" t="s">
        <v>447</v>
      </c>
      <c r="J411" s="206"/>
      <c r="K411" s="206"/>
      <c r="L411" s="467">
        <v>0</v>
      </c>
      <c r="M411" s="589"/>
      <c r="N411" s="589"/>
    </row>
    <row r="412" spans="2:14" x14ac:dyDescent="0.2">
      <c r="B412" s="206"/>
      <c r="C412" s="206"/>
      <c r="D412" s="207"/>
      <c r="E412" s="207"/>
      <c r="F412" s="206"/>
      <c r="G412" s="467"/>
      <c r="H412" s="206"/>
      <c r="I412" s="206"/>
      <c r="J412" s="206"/>
      <c r="K412" s="206"/>
      <c r="L412" s="467"/>
      <c r="M412" s="589"/>
      <c r="N412" s="589"/>
    </row>
    <row r="413" spans="2:14" x14ac:dyDescent="0.2">
      <c r="B413" s="206"/>
      <c r="C413" s="206" t="s">
        <v>448</v>
      </c>
      <c r="D413" s="207"/>
      <c r="E413" s="207"/>
      <c r="F413" s="206"/>
      <c r="G413" s="467"/>
      <c r="H413" s="206"/>
      <c r="I413" s="206" t="s">
        <v>448</v>
      </c>
      <c r="J413" s="206"/>
      <c r="K413" s="206"/>
      <c r="L413" s="467"/>
      <c r="M413" s="589"/>
      <c r="N413" s="589"/>
    </row>
    <row r="414" spans="2:14" x14ac:dyDescent="0.2">
      <c r="B414" s="206"/>
      <c r="C414" s="206" t="s">
        <v>80</v>
      </c>
      <c r="D414" s="207"/>
      <c r="E414" s="207"/>
      <c r="F414" s="206"/>
      <c r="G414" s="467">
        <f>+'[3]reportes consumidor final'!I394</f>
        <v>0</v>
      </c>
      <c r="H414" s="206"/>
      <c r="I414" s="206" t="s">
        <v>80</v>
      </c>
      <c r="J414" s="206"/>
      <c r="K414" s="206"/>
      <c r="L414" s="467">
        <f>+J404</f>
        <v>3314.6699999999992</v>
      </c>
      <c r="M414" s="589"/>
      <c r="N414" s="589"/>
    </row>
    <row r="415" spans="2:14" x14ac:dyDescent="0.2">
      <c r="B415" s="206"/>
      <c r="C415" s="206" t="s">
        <v>449</v>
      </c>
      <c r="D415" s="207"/>
      <c r="E415" s="207"/>
      <c r="F415" s="206"/>
      <c r="G415" s="468">
        <f>+G414*0.13</f>
        <v>0</v>
      </c>
      <c r="H415" s="206"/>
      <c r="I415" s="206" t="s">
        <v>449</v>
      </c>
      <c r="J415" s="206"/>
      <c r="K415" s="206"/>
      <c r="L415" s="468">
        <f>+K404</f>
        <v>0</v>
      </c>
      <c r="M415" s="589"/>
      <c r="N415" s="589"/>
    </row>
    <row r="416" spans="2:14" x14ac:dyDescent="0.2">
      <c r="B416" s="206"/>
      <c r="C416" s="206"/>
      <c r="D416" s="207"/>
      <c r="E416" s="207"/>
      <c r="F416" s="206"/>
      <c r="G416" s="467"/>
      <c r="H416" s="206"/>
      <c r="I416" s="206"/>
      <c r="J416" s="206"/>
      <c r="K416" s="206"/>
      <c r="L416" s="467"/>
      <c r="M416" s="589"/>
      <c r="N416" s="589"/>
    </row>
    <row r="417" spans="1:28" ht="13.5" thickBot="1" x14ac:dyDescent="0.25">
      <c r="B417" s="206"/>
      <c r="C417" s="206" t="s">
        <v>450</v>
      </c>
      <c r="D417" s="207"/>
      <c r="E417" s="207"/>
      <c r="F417" s="206"/>
      <c r="G417" s="469">
        <f>SUM(G409:G415)</f>
        <v>0</v>
      </c>
      <c r="H417" s="206"/>
      <c r="I417" s="206" t="s">
        <v>450</v>
      </c>
      <c r="J417" s="206"/>
      <c r="K417" s="206"/>
      <c r="L417" s="469">
        <f>SUM(L414:L416)</f>
        <v>3314.6699999999992</v>
      </c>
      <c r="M417" s="589"/>
      <c r="N417" s="589"/>
    </row>
    <row r="418" spans="1:28" ht="13.5" thickTop="1" x14ac:dyDescent="0.2"/>
    <row r="420" spans="1:28" ht="3.75" customHeight="1" x14ac:dyDescent="0.2">
      <c r="A420" s="610"/>
      <c r="B420" s="610"/>
      <c r="C420" s="611"/>
      <c r="D420" s="611"/>
      <c r="E420" s="610"/>
      <c r="F420" s="610"/>
      <c r="G420" s="610"/>
      <c r="H420" s="610"/>
      <c r="I420" s="610"/>
      <c r="J420" s="610"/>
      <c r="K420" s="610"/>
      <c r="L420" s="610"/>
      <c r="M420" s="612"/>
      <c r="N420" s="612"/>
      <c r="O420" s="612"/>
      <c r="P420" s="612"/>
      <c r="Q420" s="613"/>
      <c r="R420" s="613"/>
      <c r="S420" s="613"/>
      <c r="T420" s="613"/>
      <c r="U420" s="613"/>
      <c r="V420" s="613"/>
      <c r="W420" s="613"/>
      <c r="X420" s="613"/>
      <c r="Y420" s="613"/>
      <c r="Z420" s="613"/>
      <c r="AA420" s="613"/>
      <c r="AB420" s="613"/>
    </row>
    <row r="422" spans="1:28" x14ac:dyDescent="0.2">
      <c r="B422" s="491" t="s">
        <v>135</v>
      </c>
      <c r="C422" s="206"/>
      <c r="D422" s="206"/>
      <c r="E422" s="213"/>
      <c r="F422" s="490"/>
      <c r="G422" s="206"/>
      <c r="H422" s="206"/>
      <c r="I422" s="206"/>
      <c r="J422" s="206"/>
      <c r="K422" s="206"/>
      <c r="L422" s="206"/>
      <c r="M422" s="589"/>
      <c r="N422" s="589"/>
      <c r="Q422" s="143"/>
    </row>
    <row r="423" spans="1:28" x14ac:dyDescent="0.2">
      <c r="B423" s="491" t="s">
        <v>190</v>
      </c>
      <c r="C423" s="206"/>
      <c r="D423" s="206"/>
      <c r="E423" s="213"/>
      <c r="F423" s="214"/>
      <c r="G423" s="206"/>
      <c r="H423" s="206"/>
      <c r="I423" s="206"/>
      <c r="J423" s="206"/>
      <c r="K423" s="206"/>
      <c r="L423" s="206"/>
      <c r="M423" s="589"/>
      <c r="N423" s="589"/>
      <c r="Q423" s="143"/>
    </row>
    <row r="424" spans="1:28" x14ac:dyDescent="0.2">
      <c r="B424" s="489"/>
      <c r="C424" s="206"/>
      <c r="D424" s="206"/>
      <c r="E424" s="213"/>
      <c r="F424" s="214"/>
      <c r="G424" s="206"/>
      <c r="H424" s="206"/>
      <c r="I424" s="206"/>
      <c r="J424" s="206"/>
      <c r="K424" s="206"/>
      <c r="L424" s="206"/>
      <c r="M424" s="589"/>
      <c r="N424" s="589"/>
      <c r="Q424" s="143"/>
    </row>
    <row r="425" spans="1:28" ht="18" x14ac:dyDescent="0.25">
      <c r="B425" s="205" t="s">
        <v>240</v>
      </c>
      <c r="C425" s="206"/>
      <c r="D425" s="207"/>
      <c r="E425" s="208"/>
      <c r="F425" s="208" t="s">
        <v>595</v>
      </c>
      <c r="G425" s="210"/>
      <c r="H425" s="211" t="s">
        <v>14</v>
      </c>
      <c r="I425" s="211"/>
      <c r="J425" s="206"/>
      <c r="K425" s="206"/>
      <c r="L425" s="206"/>
      <c r="M425" s="589"/>
      <c r="N425" s="589"/>
      <c r="Q425" s="143"/>
    </row>
    <row r="426" spans="1:28" x14ac:dyDescent="0.2">
      <c r="B426" s="212" t="s">
        <v>15</v>
      </c>
      <c r="C426" s="206"/>
      <c r="D426" s="206"/>
      <c r="E426" s="213"/>
      <c r="F426" s="214"/>
      <c r="G426" s="206"/>
      <c r="H426" s="215"/>
      <c r="I426" s="215"/>
      <c r="J426" s="206"/>
      <c r="K426" s="206"/>
      <c r="L426" s="206"/>
      <c r="M426" s="589"/>
      <c r="N426" s="589"/>
      <c r="Q426" s="143"/>
    </row>
    <row r="427" spans="1:28" x14ac:dyDescent="0.2">
      <c r="B427" s="216"/>
      <c r="C427" s="216"/>
      <c r="D427" s="216"/>
      <c r="E427" s="216"/>
      <c r="F427" s="216"/>
      <c r="G427" s="216"/>
      <c r="H427" s="216"/>
      <c r="I427" s="216"/>
      <c r="J427" s="216"/>
      <c r="K427" s="216"/>
      <c r="L427" s="216"/>
      <c r="M427" s="589"/>
      <c r="N427" s="589"/>
      <c r="Q427" s="143"/>
    </row>
    <row r="428" spans="1:28" x14ac:dyDescent="0.2">
      <c r="B428" s="216"/>
      <c r="C428" s="216"/>
      <c r="D428" s="216"/>
      <c r="E428" s="216"/>
      <c r="F428" s="216"/>
      <c r="G428" s="216"/>
      <c r="H428" s="209"/>
      <c r="I428" s="209"/>
      <c r="J428" s="209"/>
      <c r="K428" s="209"/>
      <c r="L428" s="216"/>
      <c r="M428" s="589"/>
      <c r="N428" s="589"/>
      <c r="Q428" s="143"/>
    </row>
    <row r="429" spans="1:28" x14ac:dyDescent="0.2">
      <c r="B429" s="217"/>
      <c r="C429" s="218" t="s">
        <v>137</v>
      </c>
      <c r="D429" s="219" t="s">
        <v>16</v>
      </c>
      <c r="E429" s="219"/>
      <c r="F429" s="219" t="s">
        <v>74</v>
      </c>
      <c r="G429" s="219"/>
      <c r="H429" s="220" t="s">
        <v>75</v>
      </c>
      <c r="I429" s="221"/>
      <c r="J429" s="221"/>
      <c r="K429" s="221"/>
      <c r="L429" s="239"/>
      <c r="M429" s="590"/>
      <c r="N429" s="590"/>
      <c r="O429" s="303" t="s">
        <v>257</v>
      </c>
      <c r="P429" s="303"/>
      <c r="Q429" s="303"/>
      <c r="R429" s="303"/>
      <c r="U429" s="153" t="s">
        <v>247</v>
      </c>
      <c r="Y429" s="144" t="s">
        <v>256</v>
      </c>
      <c r="Z429" s="144" t="s">
        <v>184</v>
      </c>
    </row>
    <row r="430" spans="1:28" x14ac:dyDescent="0.2">
      <c r="B430" s="222" t="s">
        <v>76</v>
      </c>
      <c r="C430" s="223" t="s">
        <v>77</v>
      </c>
      <c r="D430" s="223" t="s">
        <v>141</v>
      </c>
      <c r="E430" s="223" t="s">
        <v>78</v>
      </c>
      <c r="F430" s="223" t="s">
        <v>142</v>
      </c>
      <c r="G430" s="223" t="s">
        <v>79</v>
      </c>
      <c r="H430" s="224" t="s">
        <v>48</v>
      </c>
      <c r="I430" s="221"/>
      <c r="J430" s="224" t="s">
        <v>80</v>
      </c>
      <c r="K430" s="221"/>
      <c r="L430" s="240" t="s">
        <v>175</v>
      </c>
      <c r="M430" s="590"/>
      <c r="N430" s="590"/>
      <c r="O430" s="260" t="s">
        <v>595</v>
      </c>
      <c r="P430" s="96">
        <v>51000000001</v>
      </c>
      <c r="Q430" s="234" t="s">
        <v>242</v>
      </c>
      <c r="R430" s="592">
        <f>SUMIFS($J$433:$J$448,$E$433:$E$448,Q430,$M$433:$M$448,P430)</f>
        <v>0</v>
      </c>
      <c r="T430" s="144">
        <v>51000200001</v>
      </c>
      <c r="U430" s="144" t="s">
        <v>194</v>
      </c>
      <c r="X430" s="156">
        <v>-589.59</v>
      </c>
      <c r="Y430" s="156">
        <f>R433</f>
        <v>0</v>
      </c>
      <c r="Z430" s="236">
        <v>0</v>
      </c>
    </row>
    <row r="431" spans="1:28" x14ac:dyDescent="0.2">
      <c r="B431" s="225"/>
      <c r="C431" s="226"/>
      <c r="D431" s="226"/>
      <c r="E431" s="225"/>
      <c r="F431" s="225"/>
      <c r="G431" s="225"/>
      <c r="H431" s="227" t="s">
        <v>176</v>
      </c>
      <c r="I431" s="228" t="s">
        <v>177</v>
      </c>
      <c r="J431" s="241" t="s">
        <v>178</v>
      </c>
      <c r="K431" s="241" t="s">
        <v>46</v>
      </c>
      <c r="L431" s="242" t="s">
        <v>48</v>
      </c>
      <c r="M431" s="590"/>
      <c r="N431" s="590"/>
      <c r="O431" s="260" t="s">
        <v>595</v>
      </c>
      <c r="P431" s="96">
        <v>51000000002</v>
      </c>
      <c r="Q431" s="234" t="s">
        <v>242</v>
      </c>
      <c r="R431" s="592">
        <f t="shared" ref="R431:R450" si="39">SUMIFS($J$433:$J$448,$E$433:$E$448,Q431,$M$433:$M$448,P431)</f>
        <v>0</v>
      </c>
      <c r="T431" s="144">
        <v>51000200002</v>
      </c>
      <c r="U431" s="144" t="s">
        <v>195</v>
      </c>
      <c r="X431" s="156">
        <v>-589.59</v>
      </c>
      <c r="Y431" s="156">
        <f>R435</f>
        <v>0</v>
      </c>
      <c r="Z431" s="236">
        <v>0</v>
      </c>
    </row>
    <row r="432" spans="1:28" x14ac:dyDescent="0.2">
      <c r="B432" s="229"/>
      <c r="C432" s="230"/>
      <c r="D432" s="230"/>
      <c r="E432" s="231"/>
      <c r="F432" s="232"/>
      <c r="G432" s="591"/>
      <c r="H432" s="592"/>
      <c r="I432" s="592"/>
      <c r="J432" s="592"/>
      <c r="K432" s="592"/>
      <c r="L432" s="592"/>
      <c r="M432" s="590"/>
      <c r="N432" s="590"/>
      <c r="O432" s="260" t="s">
        <v>595</v>
      </c>
      <c r="P432" s="96">
        <v>51000100001</v>
      </c>
      <c r="Q432" s="234" t="s">
        <v>242</v>
      </c>
      <c r="R432" s="592">
        <f t="shared" si="39"/>
        <v>0</v>
      </c>
      <c r="T432" s="144">
        <v>51000100001</v>
      </c>
      <c r="U432" s="156" t="s">
        <v>4</v>
      </c>
      <c r="X432" s="156">
        <v>-135.36000000000001</v>
      </c>
    </row>
    <row r="433" spans="2:26" x14ac:dyDescent="0.2">
      <c r="B433" s="233">
        <v>43405</v>
      </c>
      <c r="C433" s="230" t="s">
        <v>579</v>
      </c>
      <c r="D433" s="230" t="s">
        <v>241</v>
      </c>
      <c r="E433" s="340" t="s">
        <v>242</v>
      </c>
      <c r="F433" s="340" t="s">
        <v>47</v>
      </c>
      <c r="G433" s="343"/>
      <c r="H433" s="341"/>
      <c r="I433" s="341"/>
      <c r="J433" s="341">
        <v>183.12</v>
      </c>
      <c r="K433" s="342">
        <v>23.81</v>
      </c>
      <c r="L433" s="341">
        <f t="shared" ref="L433:L440" si="40">+J433+K433</f>
        <v>206.93</v>
      </c>
      <c r="M433" s="608">
        <v>51000200002</v>
      </c>
      <c r="N433" s="590"/>
      <c r="O433" s="260" t="s">
        <v>595</v>
      </c>
      <c r="P433" s="96">
        <v>51000100001</v>
      </c>
      <c r="Q433" s="234" t="s">
        <v>269</v>
      </c>
      <c r="R433" s="592">
        <f t="shared" si="39"/>
        <v>0</v>
      </c>
      <c r="T433" s="144">
        <v>51000100002</v>
      </c>
      <c r="U433" s="156" t="s">
        <v>193</v>
      </c>
      <c r="X433" s="156">
        <v>0</v>
      </c>
    </row>
    <row r="434" spans="2:26" x14ac:dyDescent="0.2">
      <c r="B434" s="233">
        <v>43405</v>
      </c>
      <c r="C434" s="230" t="s">
        <v>580</v>
      </c>
      <c r="D434" s="230" t="s">
        <v>241</v>
      </c>
      <c r="E434" s="340" t="s">
        <v>242</v>
      </c>
      <c r="F434" s="340" t="s">
        <v>47</v>
      </c>
      <c r="G434" s="340"/>
      <c r="H434" s="341"/>
      <c r="I434" s="341"/>
      <c r="J434" s="341">
        <v>183.12</v>
      </c>
      <c r="K434" s="342">
        <v>23.81</v>
      </c>
      <c r="L434" s="341">
        <f t="shared" si="40"/>
        <v>206.93</v>
      </c>
      <c r="M434" s="608">
        <v>51000200001</v>
      </c>
      <c r="N434" s="590"/>
      <c r="O434" s="260" t="s">
        <v>595</v>
      </c>
      <c r="P434" s="96">
        <v>51000100002</v>
      </c>
      <c r="Q434" s="234" t="s">
        <v>242</v>
      </c>
      <c r="R434" s="592">
        <f t="shared" si="39"/>
        <v>0</v>
      </c>
      <c r="T434" s="144">
        <v>51220200001</v>
      </c>
      <c r="U434" s="144" t="s">
        <v>21</v>
      </c>
      <c r="X434" s="156">
        <v>-1437.28</v>
      </c>
      <c r="Y434" s="156">
        <f>R442+R449</f>
        <v>1414.3000000000002</v>
      </c>
      <c r="Z434" s="236">
        <f>X434+Y434</f>
        <v>-22.979999999999791</v>
      </c>
    </row>
    <row r="435" spans="2:26" x14ac:dyDescent="0.2">
      <c r="B435" s="233">
        <v>43405</v>
      </c>
      <c r="C435" s="230" t="s">
        <v>581</v>
      </c>
      <c r="D435" s="230" t="s">
        <v>241</v>
      </c>
      <c r="E435" s="595" t="s">
        <v>323</v>
      </c>
      <c r="F435" s="595" t="s">
        <v>179</v>
      </c>
      <c r="G435" s="696"/>
      <c r="H435" s="596"/>
      <c r="I435" s="596"/>
      <c r="J435" s="596">
        <v>83.3</v>
      </c>
      <c r="K435" s="235">
        <v>10.83</v>
      </c>
      <c r="L435" s="596">
        <f t="shared" si="40"/>
        <v>94.13</v>
      </c>
      <c r="M435" s="697"/>
      <c r="N435" s="590"/>
      <c r="O435" s="260" t="s">
        <v>595</v>
      </c>
      <c r="P435" s="96">
        <v>51000100002</v>
      </c>
      <c r="Q435" s="234" t="s">
        <v>269</v>
      </c>
      <c r="R435" s="592">
        <f t="shared" si="39"/>
        <v>0</v>
      </c>
      <c r="T435" s="144">
        <v>52200000001</v>
      </c>
      <c r="U435" s="144" t="s">
        <v>11</v>
      </c>
      <c r="X435" s="156">
        <v>-4.6500000000000004</v>
      </c>
      <c r="Y435" s="156">
        <f>R443+R450</f>
        <v>0</v>
      </c>
      <c r="Z435" s="236">
        <v>0</v>
      </c>
    </row>
    <row r="436" spans="2:26" x14ac:dyDescent="0.2">
      <c r="B436" s="233">
        <v>43405</v>
      </c>
      <c r="C436" s="230" t="s">
        <v>582</v>
      </c>
      <c r="D436" s="230" t="s">
        <v>241</v>
      </c>
      <c r="E436" s="595" t="s">
        <v>323</v>
      </c>
      <c r="F436" s="595" t="s">
        <v>179</v>
      </c>
      <c r="G436" s="696"/>
      <c r="H436" s="596"/>
      <c r="I436" s="596"/>
      <c r="J436" s="596">
        <v>52.06</v>
      </c>
      <c r="K436" s="235">
        <v>6.77</v>
      </c>
      <c r="L436" s="596">
        <f t="shared" si="40"/>
        <v>58.83</v>
      </c>
      <c r="M436" s="697"/>
      <c r="N436" s="590"/>
      <c r="O436" s="260" t="s">
        <v>595</v>
      </c>
      <c r="P436" s="486">
        <v>51000200001</v>
      </c>
      <c r="Q436" s="476" t="s">
        <v>242</v>
      </c>
      <c r="R436" s="592">
        <f t="shared" si="39"/>
        <v>589.59</v>
      </c>
      <c r="X436" s="356">
        <v>0</v>
      </c>
      <c r="Y436" s="156">
        <v>0</v>
      </c>
      <c r="Z436" s="236">
        <v>0</v>
      </c>
    </row>
    <row r="437" spans="2:26" x14ac:dyDescent="0.2">
      <c r="B437" s="233">
        <v>43409</v>
      </c>
      <c r="C437" s="230" t="s">
        <v>583</v>
      </c>
      <c r="D437" s="230" t="s">
        <v>241</v>
      </c>
      <c r="E437" s="340" t="s">
        <v>242</v>
      </c>
      <c r="F437" s="340" t="s">
        <v>47</v>
      </c>
      <c r="G437" s="340"/>
      <c r="H437" s="341"/>
      <c r="I437" s="341"/>
      <c r="J437" s="341">
        <v>95.89</v>
      </c>
      <c r="K437" s="342">
        <v>12.47</v>
      </c>
      <c r="L437" s="341">
        <f t="shared" si="40"/>
        <v>108.36</v>
      </c>
      <c r="M437" s="608">
        <v>51000200002</v>
      </c>
      <c r="N437" s="590"/>
      <c r="O437" s="260" t="s">
        <v>595</v>
      </c>
      <c r="P437" s="96">
        <v>51000200001</v>
      </c>
      <c r="Q437" s="234" t="s">
        <v>187</v>
      </c>
      <c r="R437" s="592">
        <f t="shared" si="39"/>
        <v>0</v>
      </c>
      <c r="X437" s="304">
        <v>0</v>
      </c>
      <c r="Y437" s="304">
        <f>R445+R452</f>
        <v>0</v>
      </c>
      <c r="Z437" s="300">
        <v>0</v>
      </c>
    </row>
    <row r="438" spans="2:26" x14ac:dyDescent="0.2">
      <c r="B438" s="233">
        <v>43409</v>
      </c>
      <c r="C438" s="230" t="s">
        <v>584</v>
      </c>
      <c r="D438" s="230" t="s">
        <v>241</v>
      </c>
      <c r="E438" s="340" t="s">
        <v>242</v>
      </c>
      <c r="F438" s="340" t="s">
        <v>47</v>
      </c>
      <c r="G438" s="340"/>
      <c r="H438" s="341"/>
      <c r="I438" s="341"/>
      <c r="J438" s="341">
        <v>95.89</v>
      </c>
      <c r="K438" s="342">
        <v>12.47</v>
      </c>
      <c r="L438" s="341">
        <f t="shared" si="40"/>
        <v>108.36</v>
      </c>
      <c r="M438" s="608">
        <v>51000200001</v>
      </c>
      <c r="N438" s="590"/>
      <c r="O438" s="260" t="s">
        <v>595</v>
      </c>
      <c r="P438" s="96">
        <v>51000200001</v>
      </c>
      <c r="Q438" s="234" t="s">
        <v>22</v>
      </c>
      <c r="R438" s="592">
        <f t="shared" si="39"/>
        <v>0</v>
      </c>
      <c r="X438" s="290">
        <f>SUM(X430:X434)</f>
        <v>-2751.8199999999997</v>
      </c>
      <c r="Y438" s="290">
        <f>SUM(Y430:Y437)</f>
        <v>1414.3000000000002</v>
      </c>
      <c r="Z438" s="290">
        <f>SUM(Z430:Z437)</f>
        <v>-22.979999999999791</v>
      </c>
    </row>
    <row r="439" spans="2:26" x14ac:dyDescent="0.2">
      <c r="B439" s="233">
        <v>43412</v>
      </c>
      <c r="C439" s="230" t="s">
        <v>585</v>
      </c>
      <c r="D439" s="230" t="s">
        <v>241</v>
      </c>
      <c r="E439" s="340" t="s">
        <v>242</v>
      </c>
      <c r="F439" s="340" t="s">
        <v>47</v>
      </c>
      <c r="G439" s="340"/>
      <c r="H439" s="341"/>
      <c r="I439" s="341"/>
      <c r="J439" s="341">
        <v>95.89</v>
      </c>
      <c r="K439" s="342">
        <v>12.47</v>
      </c>
      <c r="L439" s="341">
        <f t="shared" si="40"/>
        <v>108.36</v>
      </c>
      <c r="M439" s="608">
        <v>51000200002</v>
      </c>
      <c r="N439" s="590"/>
      <c r="O439" s="260" t="s">
        <v>595</v>
      </c>
      <c r="P439" s="486">
        <v>51000200002</v>
      </c>
      <c r="Q439" s="476" t="s">
        <v>242</v>
      </c>
      <c r="R439" s="592">
        <f t="shared" si="39"/>
        <v>589.59</v>
      </c>
      <c r="U439" s="156"/>
    </row>
    <row r="440" spans="2:26" x14ac:dyDescent="0.2">
      <c r="B440" s="233">
        <v>43412</v>
      </c>
      <c r="C440" s="230" t="s">
        <v>586</v>
      </c>
      <c r="D440" s="230" t="s">
        <v>241</v>
      </c>
      <c r="E440" s="340" t="s">
        <v>242</v>
      </c>
      <c r="F440" s="340" t="s">
        <v>47</v>
      </c>
      <c r="G440" s="340"/>
      <c r="H440" s="341"/>
      <c r="I440" s="341"/>
      <c r="J440" s="341">
        <v>95.89</v>
      </c>
      <c r="K440" s="342">
        <v>12.47</v>
      </c>
      <c r="L440" s="341">
        <f t="shared" si="40"/>
        <v>108.36</v>
      </c>
      <c r="M440" s="608">
        <v>51000200001</v>
      </c>
      <c r="N440" s="590"/>
      <c r="O440" s="260" t="s">
        <v>595</v>
      </c>
      <c r="P440" s="96">
        <v>51000200002</v>
      </c>
      <c r="Q440" s="234" t="s">
        <v>187</v>
      </c>
      <c r="R440" s="592">
        <f t="shared" si="39"/>
        <v>0</v>
      </c>
      <c r="U440" s="156"/>
    </row>
    <row r="441" spans="2:26" x14ac:dyDescent="0.2">
      <c r="B441" s="233">
        <v>43419</v>
      </c>
      <c r="C441" s="230" t="s">
        <v>587</v>
      </c>
      <c r="D441" s="230" t="s">
        <v>241</v>
      </c>
      <c r="E441" s="340" t="s">
        <v>242</v>
      </c>
      <c r="F441" s="340" t="s">
        <v>47</v>
      </c>
      <c r="G441" s="340"/>
      <c r="H441" s="341"/>
      <c r="I441" s="341"/>
      <c r="J441" s="341">
        <v>95.89</v>
      </c>
      <c r="K441" s="342">
        <v>12.47</v>
      </c>
      <c r="L441" s="341">
        <f>+J441+K441</f>
        <v>108.36</v>
      </c>
      <c r="M441" s="608">
        <v>51000200002</v>
      </c>
      <c r="N441" s="590"/>
      <c r="O441" s="260" t="s">
        <v>595</v>
      </c>
      <c r="P441" s="96">
        <v>51000200002</v>
      </c>
      <c r="Q441" s="234" t="s">
        <v>22</v>
      </c>
      <c r="R441" s="592">
        <f t="shared" si="39"/>
        <v>0</v>
      </c>
      <c r="U441" s="156"/>
      <c r="Z441" s="236"/>
    </row>
    <row r="442" spans="2:26" x14ac:dyDescent="0.2">
      <c r="B442" s="233">
        <v>43419</v>
      </c>
      <c r="C442" s="230" t="s">
        <v>588</v>
      </c>
      <c r="D442" s="230" t="s">
        <v>241</v>
      </c>
      <c r="E442" s="340" t="s">
        <v>242</v>
      </c>
      <c r="F442" s="340" t="s">
        <v>47</v>
      </c>
      <c r="G442" s="340"/>
      <c r="H442" s="341"/>
      <c r="I442" s="341"/>
      <c r="J442" s="341">
        <v>95.89</v>
      </c>
      <c r="K442" s="342">
        <v>12.47</v>
      </c>
      <c r="L442" s="341">
        <f t="shared" ref="L442:L451" si="41">+J442+K442</f>
        <v>108.36</v>
      </c>
      <c r="M442" s="608">
        <v>51000200001</v>
      </c>
      <c r="N442" s="590"/>
      <c r="O442" s="260" t="s">
        <v>595</v>
      </c>
      <c r="P442" s="486">
        <v>51220200001</v>
      </c>
      <c r="Q442" s="476" t="s">
        <v>242</v>
      </c>
      <c r="R442" s="592">
        <f t="shared" si="39"/>
        <v>1047.45</v>
      </c>
      <c r="U442" s="156"/>
    </row>
    <row r="443" spans="2:26" x14ac:dyDescent="0.2">
      <c r="B443" s="233">
        <v>43419</v>
      </c>
      <c r="C443" s="230" t="s">
        <v>589</v>
      </c>
      <c r="D443" s="230" t="s">
        <v>241</v>
      </c>
      <c r="E443" s="340" t="s">
        <v>242</v>
      </c>
      <c r="F443" s="340" t="s">
        <v>47</v>
      </c>
      <c r="G443" s="340"/>
      <c r="H443" s="341"/>
      <c r="I443" s="341"/>
      <c r="J443" s="341">
        <v>1047.45</v>
      </c>
      <c r="K443" s="342">
        <v>136.16999999999999</v>
      </c>
      <c r="L443" s="341">
        <f t="shared" si="41"/>
        <v>1183.6200000000001</v>
      </c>
      <c r="M443" s="608">
        <v>51220200001</v>
      </c>
      <c r="N443" s="590"/>
      <c r="O443" s="260" t="s">
        <v>595</v>
      </c>
      <c r="P443" s="96">
        <v>51220200001</v>
      </c>
      <c r="Q443" s="234" t="s">
        <v>187</v>
      </c>
      <c r="R443" s="592">
        <f t="shared" si="39"/>
        <v>0</v>
      </c>
    </row>
    <row r="444" spans="2:26" x14ac:dyDescent="0.2">
      <c r="B444" s="233">
        <v>43419</v>
      </c>
      <c r="C444" s="230" t="s">
        <v>590</v>
      </c>
      <c r="D444" s="230" t="s">
        <v>241</v>
      </c>
      <c r="E444" s="340" t="s">
        <v>269</v>
      </c>
      <c r="F444" s="340" t="s">
        <v>270</v>
      </c>
      <c r="G444" s="340"/>
      <c r="H444" s="341"/>
      <c r="I444" s="341"/>
      <c r="J444" s="341">
        <v>366.85</v>
      </c>
      <c r="K444" s="342">
        <v>47.69</v>
      </c>
      <c r="L444" s="341">
        <f t="shared" si="41"/>
        <v>414.54</v>
      </c>
      <c r="M444" s="608">
        <v>51220200001</v>
      </c>
      <c r="N444" s="590"/>
      <c r="O444" s="260" t="s">
        <v>595</v>
      </c>
      <c r="P444" s="96">
        <v>51220200001</v>
      </c>
      <c r="Q444" s="234" t="s">
        <v>22</v>
      </c>
      <c r="R444" s="592">
        <f t="shared" si="39"/>
        <v>0</v>
      </c>
    </row>
    <row r="445" spans="2:26" x14ac:dyDescent="0.2">
      <c r="B445" s="233">
        <v>43426</v>
      </c>
      <c r="C445" s="230" t="s">
        <v>591</v>
      </c>
      <c r="D445" s="230" t="s">
        <v>241</v>
      </c>
      <c r="E445" s="340" t="s">
        <v>242</v>
      </c>
      <c r="F445" s="340" t="s">
        <v>47</v>
      </c>
      <c r="G445" s="340"/>
      <c r="H445" s="341"/>
      <c r="I445" s="341"/>
      <c r="J445" s="341">
        <v>52.22</v>
      </c>
      <c r="K445" s="342">
        <v>6.79</v>
      </c>
      <c r="L445" s="341">
        <f t="shared" si="41"/>
        <v>59.01</v>
      </c>
      <c r="M445" s="608">
        <v>51000200002</v>
      </c>
      <c r="N445" s="590"/>
      <c r="O445" s="260" t="s">
        <v>595</v>
      </c>
      <c r="P445" s="96">
        <v>52200000001</v>
      </c>
      <c r="Q445" s="234" t="s">
        <v>242</v>
      </c>
      <c r="R445" s="592">
        <f t="shared" si="39"/>
        <v>0</v>
      </c>
      <c r="W445" s="153" t="s">
        <v>255</v>
      </c>
      <c r="X445" s="236">
        <f>+X431+X434+X430+X436+X437+X432+X433</f>
        <v>-2751.82</v>
      </c>
    </row>
    <row r="446" spans="2:26" x14ac:dyDescent="0.2">
      <c r="B446" s="233">
        <v>43426</v>
      </c>
      <c r="C446" s="230" t="s">
        <v>592</v>
      </c>
      <c r="D446" s="230" t="s">
        <v>241</v>
      </c>
      <c r="E446" s="340" t="s">
        <v>242</v>
      </c>
      <c r="F446" s="340" t="s">
        <v>47</v>
      </c>
      <c r="G446" s="343"/>
      <c r="H446" s="341"/>
      <c r="I446" s="341"/>
      <c r="J446" s="341">
        <v>52.22</v>
      </c>
      <c r="K446" s="342">
        <v>6.79</v>
      </c>
      <c r="L446" s="341">
        <f t="shared" si="41"/>
        <v>59.01</v>
      </c>
      <c r="M446" s="608">
        <v>51000200001</v>
      </c>
      <c r="N446" s="590"/>
      <c r="O446" s="260" t="s">
        <v>595</v>
      </c>
      <c r="P446" s="96">
        <v>52200000001</v>
      </c>
      <c r="Q446" s="234" t="s">
        <v>187</v>
      </c>
      <c r="R446" s="592">
        <f t="shared" si="39"/>
        <v>0</v>
      </c>
      <c r="W446" s="144" t="s">
        <v>257</v>
      </c>
      <c r="X446" s="236">
        <f>R451</f>
        <v>2593.48</v>
      </c>
    </row>
    <row r="447" spans="2:26" x14ac:dyDescent="0.2">
      <c r="B447" s="233">
        <v>43433</v>
      </c>
      <c r="C447" s="230" t="s">
        <v>593</v>
      </c>
      <c r="D447" s="230" t="s">
        <v>241</v>
      </c>
      <c r="E447" s="340" t="s">
        <v>242</v>
      </c>
      <c r="F447" s="340" t="s">
        <v>47</v>
      </c>
      <c r="G447" s="343"/>
      <c r="H447" s="341"/>
      <c r="I447" s="341"/>
      <c r="J447" s="341">
        <v>66.58</v>
      </c>
      <c r="K447" s="342">
        <v>8.65</v>
      </c>
      <c r="L447" s="341">
        <f t="shared" si="41"/>
        <v>75.23</v>
      </c>
      <c r="M447" s="608">
        <v>51000200002</v>
      </c>
      <c r="N447" s="590"/>
      <c r="O447" s="260" t="s">
        <v>595</v>
      </c>
      <c r="P447" s="96">
        <v>52200000001</v>
      </c>
      <c r="Q447" s="234" t="s">
        <v>22</v>
      </c>
      <c r="R447" s="592">
        <f t="shared" si="39"/>
        <v>0</v>
      </c>
      <c r="W447" s="144" t="s">
        <v>260</v>
      </c>
      <c r="X447" s="300">
        <f>+J435+J436</f>
        <v>135.36000000000001</v>
      </c>
    </row>
    <row r="448" spans="2:26" x14ac:dyDescent="0.2">
      <c r="B448" s="233">
        <v>43433</v>
      </c>
      <c r="C448" s="230" t="s">
        <v>594</v>
      </c>
      <c r="D448" s="230" t="s">
        <v>241</v>
      </c>
      <c r="E448" s="340" t="s">
        <v>242</v>
      </c>
      <c r="F448" s="340" t="s">
        <v>47</v>
      </c>
      <c r="G448" s="343"/>
      <c r="H448" s="341"/>
      <c r="I448" s="341"/>
      <c r="J448" s="341">
        <v>66.58</v>
      </c>
      <c r="K448" s="342">
        <v>8.65</v>
      </c>
      <c r="L448" s="341">
        <f t="shared" si="41"/>
        <v>75.23</v>
      </c>
      <c r="M448" s="608">
        <v>51000200001</v>
      </c>
      <c r="N448" s="590"/>
      <c r="O448" s="260" t="s">
        <v>595</v>
      </c>
      <c r="P448" s="96">
        <v>52200000001</v>
      </c>
      <c r="Q448" s="234" t="s">
        <v>242</v>
      </c>
      <c r="R448" s="592">
        <f t="shared" si="39"/>
        <v>0</v>
      </c>
      <c r="X448" s="290">
        <f>X445+X446+X447</f>
        <v>-22.980000000000132</v>
      </c>
      <c r="Y448" s="144" t="s">
        <v>275</v>
      </c>
    </row>
    <row r="449" spans="2:18" x14ac:dyDescent="0.2">
      <c r="B449" s="233"/>
      <c r="C449" s="230" t="s">
        <v>409</v>
      </c>
      <c r="D449" s="230" t="s">
        <v>241</v>
      </c>
      <c r="E449" s="234"/>
      <c r="F449" s="206">
        <v>0</v>
      </c>
      <c r="G449" s="289"/>
      <c r="H449" s="289"/>
      <c r="I449" s="289"/>
      <c r="J449" s="592">
        <v>0</v>
      </c>
      <c r="K449" s="235">
        <v>0</v>
      </c>
      <c r="L449" s="592">
        <f t="shared" si="41"/>
        <v>0</v>
      </c>
      <c r="M449" s="590"/>
      <c r="N449" s="590"/>
      <c r="O449" s="260" t="s">
        <v>595</v>
      </c>
      <c r="P449" s="486">
        <v>51220200001</v>
      </c>
      <c r="Q449" s="476" t="s">
        <v>269</v>
      </c>
      <c r="R449" s="592">
        <f t="shared" si="39"/>
        <v>366.85</v>
      </c>
    </row>
    <row r="450" spans="2:18" x14ac:dyDescent="0.2">
      <c r="B450" s="233"/>
      <c r="C450" s="230"/>
      <c r="D450" s="230"/>
      <c r="E450" s="234" t="s">
        <v>321</v>
      </c>
      <c r="F450" s="206"/>
      <c r="G450" s="289"/>
      <c r="H450" s="289"/>
      <c r="I450" s="289"/>
      <c r="J450" s="289"/>
      <c r="K450" s="601">
        <v>-354.77</v>
      </c>
      <c r="L450" s="592">
        <f t="shared" si="41"/>
        <v>-354.77</v>
      </c>
      <c r="M450" s="590"/>
      <c r="N450" s="590"/>
      <c r="O450" s="260" t="s">
        <v>595</v>
      </c>
      <c r="P450" s="96">
        <v>53000100001</v>
      </c>
      <c r="Q450" s="234" t="s">
        <v>242</v>
      </c>
      <c r="R450" s="592">
        <f t="shared" si="39"/>
        <v>0</v>
      </c>
    </row>
    <row r="451" spans="2:18" ht="13.5" thickBot="1" x14ac:dyDescent="0.25">
      <c r="B451" s="233"/>
      <c r="C451" s="230"/>
      <c r="D451" s="230"/>
      <c r="E451" s="234"/>
      <c r="F451" s="206"/>
      <c r="G451" s="289"/>
      <c r="H451" s="289"/>
      <c r="I451" s="289"/>
      <c r="J451" s="289"/>
      <c r="K451" s="235"/>
      <c r="L451" s="592">
        <f t="shared" si="41"/>
        <v>0</v>
      </c>
      <c r="M451" s="590"/>
      <c r="N451" s="590"/>
      <c r="O451" s="589"/>
      <c r="P451" s="589"/>
      <c r="R451" s="607">
        <f>SUM(R430:R450)</f>
        <v>2593.48</v>
      </c>
    </row>
    <row r="452" spans="2:18" ht="13.5" thickTop="1" x14ac:dyDescent="0.2">
      <c r="B452" s="233"/>
      <c r="C452" s="230"/>
      <c r="D452" s="230"/>
      <c r="E452" s="234"/>
      <c r="F452" s="206"/>
      <c r="G452" s="289"/>
      <c r="H452" s="289"/>
      <c r="I452" s="289"/>
      <c r="J452" s="289"/>
      <c r="K452" s="235"/>
      <c r="L452" s="592"/>
      <c r="M452" s="590"/>
      <c r="N452" s="590"/>
      <c r="O452" s="589"/>
      <c r="P452" s="589"/>
    </row>
    <row r="453" spans="2:18" x14ac:dyDescent="0.2">
      <c r="B453" s="233"/>
      <c r="C453" s="230"/>
      <c r="D453" s="230"/>
      <c r="E453" s="234"/>
      <c r="F453" s="206"/>
      <c r="G453" s="289"/>
      <c r="H453" s="289"/>
      <c r="I453" s="289"/>
      <c r="J453" s="289"/>
      <c r="K453" s="235"/>
      <c r="L453" s="592"/>
      <c r="M453" s="590"/>
      <c r="N453" s="590"/>
      <c r="O453" s="589"/>
      <c r="P453" s="589"/>
    </row>
    <row r="454" spans="2:18" x14ac:dyDescent="0.2">
      <c r="B454" s="206"/>
      <c r="C454" s="207"/>
      <c r="D454" s="207"/>
      <c r="E454" s="234"/>
      <c r="F454" s="206"/>
      <c r="G454" s="289"/>
      <c r="H454" s="289"/>
      <c r="I454" s="289"/>
      <c r="J454" s="289"/>
      <c r="K454" s="289"/>
      <c r="L454" s="289"/>
      <c r="M454" s="590"/>
      <c r="N454" s="590"/>
      <c r="O454" s="589"/>
      <c r="P454" s="589"/>
    </row>
    <row r="455" spans="2:18" x14ac:dyDescent="0.2">
      <c r="B455" s="295"/>
      <c r="C455" s="296"/>
      <c r="D455" s="296"/>
      <c r="E455" s="234"/>
      <c r="F455" s="295"/>
      <c r="G455" s="297"/>
      <c r="H455" s="297"/>
      <c r="I455" s="297"/>
      <c r="J455" s="297"/>
      <c r="K455" s="297"/>
      <c r="L455" s="297"/>
      <c r="M455" s="589"/>
      <c r="N455" s="589"/>
      <c r="Q455" s="143"/>
    </row>
    <row r="456" spans="2:18" x14ac:dyDescent="0.2">
      <c r="B456" s="206"/>
      <c r="C456" s="207"/>
      <c r="D456" s="207"/>
      <c r="E456" s="206"/>
      <c r="F456" s="206"/>
      <c r="G456" s="298">
        <f t="shared" ref="G456:I456" si="42">SUM(G432:G455)</f>
        <v>0</v>
      </c>
      <c r="H456" s="298">
        <f t="shared" si="42"/>
        <v>0</v>
      </c>
      <c r="I456" s="298">
        <f t="shared" si="42"/>
        <v>0</v>
      </c>
      <c r="J456" s="298">
        <f>SUM(J432:J455)</f>
        <v>2728.8399999999997</v>
      </c>
      <c r="K456" s="298">
        <f>SUM(K432:K455)</f>
        <v>9.9999999999909051E-3</v>
      </c>
      <c r="L456" s="298">
        <f>SUM(L432:L455)</f>
        <v>2728.8500000000008</v>
      </c>
      <c r="M456" s="589"/>
      <c r="N456" s="589"/>
      <c r="Q456" s="143"/>
    </row>
    <row r="457" spans="2:18" x14ac:dyDescent="0.2">
      <c r="B457" s="206"/>
      <c r="C457" s="207"/>
      <c r="D457" s="207"/>
      <c r="E457" s="206"/>
      <c r="F457" s="206"/>
      <c r="G457" s="366"/>
      <c r="H457" s="366"/>
      <c r="I457" s="366"/>
      <c r="J457" s="366"/>
      <c r="K457" s="366"/>
      <c r="L457" s="366"/>
      <c r="M457" s="589"/>
      <c r="N457" s="589"/>
      <c r="Q457" s="143"/>
    </row>
    <row r="458" spans="2:18" x14ac:dyDescent="0.2">
      <c r="B458" s="206"/>
      <c r="C458" s="207"/>
      <c r="D458" s="207"/>
      <c r="E458" s="206"/>
      <c r="F458" s="206"/>
      <c r="G458" s="366"/>
      <c r="H458" s="366"/>
      <c r="I458" s="366"/>
      <c r="J458" s="366"/>
      <c r="K458" s="366"/>
      <c r="L458" s="366"/>
      <c r="M458" s="589"/>
      <c r="N458" s="589"/>
      <c r="Q458" s="143"/>
    </row>
    <row r="459" spans="2:18" x14ac:dyDescent="0.2">
      <c r="B459" s="206"/>
      <c r="C459" s="207"/>
      <c r="D459" s="207"/>
      <c r="E459" s="206"/>
      <c r="F459" s="206"/>
      <c r="G459" s="366"/>
      <c r="H459" s="366"/>
      <c r="I459" s="366"/>
      <c r="J459" s="366"/>
      <c r="K459" s="366"/>
      <c r="L459" s="366"/>
      <c r="M459" s="589"/>
      <c r="N459" s="589"/>
      <c r="Q459" s="143"/>
    </row>
    <row r="460" spans="2:18" x14ac:dyDescent="0.2">
      <c r="B460" s="206"/>
      <c r="C460" s="207"/>
      <c r="D460" s="207"/>
      <c r="E460" s="206"/>
      <c r="F460" s="206"/>
      <c r="G460" s="366"/>
      <c r="H460" s="366"/>
      <c r="I460" s="366"/>
      <c r="J460" s="366"/>
      <c r="K460" s="366"/>
      <c r="L460" s="366"/>
      <c r="M460" s="589"/>
      <c r="N460" s="589"/>
      <c r="Q460" s="143"/>
    </row>
    <row r="461" spans="2:18" x14ac:dyDescent="0.2">
      <c r="B461" s="206"/>
      <c r="C461" s="207"/>
      <c r="D461" s="207"/>
      <c r="E461" s="206"/>
      <c r="F461" s="206"/>
      <c r="G461" s="366"/>
      <c r="H461" s="366"/>
      <c r="I461" s="366"/>
      <c r="J461" s="366"/>
      <c r="K461" s="366"/>
      <c r="L461" s="366"/>
      <c r="M461" s="589"/>
      <c r="N461" s="589"/>
      <c r="Q461" s="143"/>
    </row>
    <row r="462" spans="2:18" x14ac:dyDescent="0.2">
      <c r="B462" s="206"/>
      <c r="C462" s="207"/>
      <c r="D462" s="207"/>
      <c r="E462" s="206"/>
      <c r="F462" s="206"/>
      <c r="G462" s="206"/>
      <c r="H462" s="206"/>
      <c r="I462" s="206"/>
      <c r="J462" s="206"/>
      <c r="K462" s="206"/>
      <c r="L462" s="206"/>
      <c r="M462" s="589"/>
      <c r="N462" s="589"/>
      <c r="Q462" s="143"/>
    </row>
    <row r="463" spans="2:18" x14ac:dyDescent="0.2">
      <c r="B463" s="206"/>
      <c r="C463" s="209" t="s">
        <v>445</v>
      </c>
      <c r="D463" s="207"/>
      <c r="E463" s="207"/>
      <c r="F463" s="206"/>
      <c r="G463" s="206"/>
      <c r="H463" s="206"/>
      <c r="I463" s="209" t="s">
        <v>446</v>
      </c>
      <c r="J463" s="206"/>
      <c r="K463" s="206"/>
      <c r="L463" s="206"/>
      <c r="M463" s="589"/>
      <c r="N463" s="589"/>
      <c r="Q463" s="143"/>
    </row>
    <row r="464" spans="2:18" x14ac:dyDescent="0.2">
      <c r="B464" s="206"/>
      <c r="C464" s="209"/>
      <c r="D464" s="207"/>
      <c r="E464" s="207"/>
      <c r="F464" s="206"/>
      <c r="G464" s="206"/>
      <c r="H464" s="206"/>
      <c r="I464" s="209"/>
      <c r="J464" s="206"/>
      <c r="K464" s="206"/>
      <c r="L464" s="206"/>
      <c r="M464" s="589"/>
      <c r="N464" s="589"/>
      <c r="Q464" s="143"/>
    </row>
    <row r="465" spans="1:28" x14ac:dyDescent="0.2">
      <c r="B465" s="206"/>
      <c r="C465" s="206" t="s">
        <v>79</v>
      </c>
      <c r="D465" s="207"/>
      <c r="E465" s="207"/>
      <c r="F465" s="206"/>
      <c r="G465" s="467">
        <v>0</v>
      </c>
      <c r="H465" s="206"/>
      <c r="I465" s="206" t="s">
        <v>79</v>
      </c>
      <c r="J465" s="206"/>
      <c r="K465" s="206"/>
      <c r="L465" s="467">
        <v>0</v>
      </c>
      <c r="M465" s="589"/>
      <c r="N465" s="589"/>
      <c r="Q465" s="143"/>
    </row>
    <row r="466" spans="1:28" x14ac:dyDescent="0.2">
      <c r="B466" s="206"/>
      <c r="C466" s="206"/>
      <c r="D466" s="207"/>
      <c r="E466" s="207"/>
      <c r="F466" s="206"/>
      <c r="G466" s="206"/>
      <c r="H466" s="206"/>
      <c r="I466" s="206"/>
      <c r="J466" s="206"/>
      <c r="K466" s="206"/>
      <c r="L466" s="206"/>
      <c r="M466" s="589"/>
      <c r="N466" s="589"/>
      <c r="Q466" s="143"/>
    </row>
    <row r="467" spans="1:28" x14ac:dyDescent="0.2">
      <c r="B467" s="206"/>
      <c r="C467" s="206" t="s">
        <v>447</v>
      </c>
      <c r="D467" s="207"/>
      <c r="E467" s="207"/>
      <c r="F467" s="206"/>
      <c r="G467" s="467">
        <v>0</v>
      </c>
      <c r="H467" s="206"/>
      <c r="I467" s="206" t="s">
        <v>447</v>
      </c>
      <c r="J467" s="206"/>
      <c r="K467" s="206"/>
      <c r="L467" s="467">
        <v>0</v>
      </c>
      <c r="M467" s="589"/>
      <c r="N467" s="589"/>
      <c r="Q467" s="143"/>
    </row>
    <row r="468" spans="1:28" x14ac:dyDescent="0.2">
      <c r="B468" s="206"/>
      <c r="C468" s="206"/>
      <c r="D468" s="207"/>
      <c r="E468" s="207"/>
      <c r="F468" s="206"/>
      <c r="G468" s="467"/>
      <c r="H468" s="206"/>
      <c r="I468" s="206"/>
      <c r="J468" s="206"/>
      <c r="K468" s="206"/>
      <c r="L468" s="467"/>
      <c r="M468" s="589"/>
      <c r="N468" s="589"/>
      <c r="Q468" s="143"/>
    </row>
    <row r="469" spans="1:28" x14ac:dyDescent="0.2">
      <c r="B469" s="206"/>
      <c r="C469" s="206"/>
      <c r="D469" s="207"/>
      <c r="E469" s="207"/>
      <c r="F469" s="206"/>
      <c r="G469" s="467"/>
      <c r="H469" s="206"/>
      <c r="I469" s="206"/>
      <c r="J469" s="206"/>
      <c r="K469" s="206"/>
      <c r="L469" s="467"/>
      <c r="M469" s="589"/>
      <c r="N469" s="589"/>
      <c r="Q469" s="143"/>
    </row>
    <row r="470" spans="1:28" x14ac:dyDescent="0.2">
      <c r="B470" s="206"/>
      <c r="C470" s="206" t="s">
        <v>448</v>
      </c>
      <c r="D470" s="207"/>
      <c r="E470" s="207"/>
      <c r="F470" s="206"/>
      <c r="G470" s="467"/>
      <c r="H470" s="206"/>
      <c r="I470" s="206" t="s">
        <v>448</v>
      </c>
      <c r="J470" s="206"/>
      <c r="K470" s="206"/>
      <c r="L470" s="467"/>
      <c r="M470" s="589"/>
      <c r="N470" s="589"/>
      <c r="Q470" s="143"/>
    </row>
    <row r="471" spans="1:28" x14ac:dyDescent="0.2">
      <c r="B471" s="206"/>
      <c r="C471" s="206" t="s">
        <v>80</v>
      </c>
      <c r="D471" s="207"/>
      <c r="E471" s="207"/>
      <c r="F471" s="206"/>
      <c r="G471" s="467">
        <f>+'[4]reportes consumidor final'!H457</f>
        <v>0</v>
      </c>
      <c r="H471" s="206"/>
      <c r="I471" s="206" t="s">
        <v>80</v>
      </c>
      <c r="J471" s="206"/>
      <c r="K471" s="206"/>
      <c r="L471" s="467">
        <f>+J456</f>
        <v>2728.8399999999997</v>
      </c>
      <c r="M471" s="589"/>
      <c r="N471" s="589"/>
      <c r="Q471" s="143"/>
    </row>
    <row r="472" spans="1:28" x14ac:dyDescent="0.2">
      <c r="B472" s="206"/>
      <c r="C472" s="206" t="s">
        <v>449</v>
      </c>
      <c r="D472" s="207"/>
      <c r="E472" s="207"/>
      <c r="F472" s="206"/>
      <c r="G472" s="468">
        <f>+G471*0.13</f>
        <v>0</v>
      </c>
      <c r="H472" s="206"/>
      <c r="I472" s="206" t="s">
        <v>449</v>
      </c>
      <c r="J472" s="206"/>
      <c r="K472" s="206"/>
      <c r="L472" s="468">
        <f>+K456</f>
        <v>9.9999999999909051E-3</v>
      </c>
      <c r="M472" s="589"/>
      <c r="N472" s="589"/>
      <c r="Q472" s="143"/>
    </row>
    <row r="473" spans="1:28" x14ac:dyDescent="0.2">
      <c r="B473" s="206"/>
      <c r="C473" s="206"/>
      <c r="D473" s="207"/>
      <c r="E473" s="207"/>
      <c r="F473" s="206"/>
      <c r="G473" s="467"/>
      <c r="H473" s="206"/>
      <c r="I473" s="206"/>
      <c r="J473" s="206"/>
      <c r="K473" s="206"/>
      <c r="L473" s="467"/>
      <c r="M473" s="589"/>
      <c r="N473" s="589"/>
      <c r="Q473" s="143"/>
    </row>
    <row r="474" spans="1:28" ht="13.5" thickBot="1" x14ac:dyDescent="0.25">
      <c r="B474" s="206"/>
      <c r="C474" s="206" t="s">
        <v>450</v>
      </c>
      <c r="D474" s="207"/>
      <c r="E474" s="207"/>
      <c r="F474" s="206"/>
      <c r="G474" s="469">
        <f>SUM(G465:G472)</f>
        <v>0</v>
      </c>
      <c r="H474" s="206"/>
      <c r="I474" s="206" t="s">
        <v>450</v>
      </c>
      <c r="J474" s="206"/>
      <c r="K474" s="206"/>
      <c r="L474" s="469">
        <f>SUM(L471:L473)</f>
        <v>2728.8499999999995</v>
      </c>
      <c r="M474" s="589"/>
      <c r="N474" s="589"/>
      <c r="Q474" s="143"/>
    </row>
    <row r="475" spans="1:28" ht="13.5" thickTop="1" x14ac:dyDescent="0.2">
      <c r="C475" s="142"/>
      <c r="E475" s="152"/>
      <c r="M475" s="142"/>
      <c r="Q475" s="143"/>
    </row>
    <row r="476" spans="1:28" x14ac:dyDescent="0.2">
      <c r="C476" s="142"/>
      <c r="E476" s="152"/>
      <c r="M476" s="142"/>
      <c r="Q476" s="143"/>
    </row>
    <row r="477" spans="1:28" ht="3.75" customHeight="1" x14ac:dyDescent="0.2">
      <c r="A477" s="610"/>
      <c r="B477" s="610"/>
      <c r="C477" s="611"/>
      <c r="D477" s="611"/>
      <c r="E477" s="610"/>
      <c r="F477" s="610"/>
      <c r="G477" s="610"/>
      <c r="H477" s="610"/>
      <c r="I477" s="610"/>
      <c r="J477" s="610"/>
      <c r="K477" s="610"/>
      <c r="L477" s="610"/>
      <c r="M477" s="612"/>
      <c r="N477" s="612"/>
      <c r="O477" s="612"/>
      <c r="P477" s="612"/>
      <c r="Q477" s="613"/>
      <c r="R477" s="613"/>
      <c r="S477" s="613"/>
      <c r="T477" s="613"/>
      <c r="U477" s="613"/>
      <c r="V477" s="613"/>
      <c r="W477" s="613"/>
      <c r="X477" s="613"/>
      <c r="Y477" s="613"/>
      <c r="Z477" s="613"/>
      <c r="AA477" s="613"/>
      <c r="AB477" s="613"/>
    </row>
    <row r="481" spans="2:26" x14ac:dyDescent="0.2">
      <c r="B481" s="484" t="s">
        <v>189</v>
      </c>
      <c r="C481" s="206"/>
      <c r="D481" s="206"/>
      <c r="E481" s="213"/>
      <c r="F481" s="214"/>
      <c r="G481" s="206"/>
      <c r="H481" s="206"/>
      <c r="I481" s="206"/>
      <c r="J481" s="206"/>
      <c r="K481" s="206"/>
      <c r="L481" s="206"/>
      <c r="M481" s="589"/>
      <c r="N481" s="589"/>
    </row>
    <row r="482" spans="2:26" x14ac:dyDescent="0.2">
      <c r="B482" s="485" t="s">
        <v>134</v>
      </c>
      <c r="C482" s="206"/>
      <c r="D482" s="206"/>
      <c r="E482" s="485"/>
      <c r="F482" s="214"/>
      <c r="G482" s="206"/>
      <c r="H482" s="206"/>
      <c r="I482" s="206"/>
      <c r="J482" s="206"/>
      <c r="K482" s="206"/>
      <c r="L482" s="206"/>
      <c r="M482" s="589"/>
      <c r="N482" s="589"/>
    </row>
    <row r="483" spans="2:26" x14ac:dyDescent="0.2">
      <c r="B483" s="491" t="s">
        <v>135</v>
      </c>
      <c r="C483" s="206"/>
      <c r="D483" s="206"/>
      <c r="E483" s="213"/>
      <c r="F483" s="490"/>
      <c r="G483" s="206"/>
      <c r="H483" s="206"/>
      <c r="I483" s="206"/>
      <c r="J483" s="206"/>
      <c r="K483" s="206"/>
      <c r="L483" s="206"/>
      <c r="M483" s="589"/>
      <c r="N483" s="589"/>
    </row>
    <row r="484" spans="2:26" x14ac:dyDescent="0.2">
      <c r="B484" s="491" t="s">
        <v>190</v>
      </c>
      <c r="C484" s="206"/>
      <c r="D484" s="206"/>
      <c r="E484" s="213"/>
      <c r="F484" s="214"/>
      <c r="G484" s="206"/>
      <c r="H484" s="206"/>
      <c r="I484" s="206"/>
      <c r="J484" s="206"/>
      <c r="K484" s="206"/>
      <c r="L484" s="206"/>
      <c r="M484" s="589"/>
      <c r="N484" s="589"/>
    </row>
    <row r="485" spans="2:26" x14ac:dyDescent="0.2">
      <c r="B485" s="489"/>
      <c r="C485" s="206"/>
      <c r="D485" s="206"/>
      <c r="E485" s="213"/>
      <c r="F485" s="214"/>
      <c r="G485" s="206"/>
      <c r="H485" s="206"/>
      <c r="I485" s="206"/>
      <c r="J485" s="206"/>
      <c r="K485" s="206"/>
      <c r="L485" s="206"/>
      <c r="M485" s="589"/>
      <c r="N485" s="589"/>
    </row>
    <row r="486" spans="2:26" ht="18" x14ac:dyDescent="0.25">
      <c r="B486" s="205" t="s">
        <v>240</v>
      </c>
      <c r="C486" s="206"/>
      <c r="D486" s="207"/>
      <c r="E486" s="208" t="s">
        <v>608</v>
      </c>
      <c r="F486" s="209" t="s">
        <v>97</v>
      </c>
      <c r="G486" s="210">
        <v>2017</v>
      </c>
      <c r="H486" s="211" t="s">
        <v>14</v>
      </c>
      <c r="I486" s="211"/>
      <c r="J486" s="206"/>
      <c r="K486" s="206"/>
      <c r="L486" s="206"/>
      <c r="M486" s="589"/>
      <c r="N486" s="589"/>
    </row>
    <row r="487" spans="2:26" x14ac:dyDescent="0.2">
      <c r="B487" s="212" t="s">
        <v>15</v>
      </c>
      <c r="C487" s="206"/>
      <c r="D487" s="206"/>
      <c r="E487" s="213"/>
      <c r="F487" s="214"/>
      <c r="G487" s="206"/>
      <c r="H487" s="215"/>
      <c r="I487" s="215"/>
      <c r="J487" s="206"/>
      <c r="K487" s="206"/>
      <c r="L487" s="206"/>
      <c r="M487" s="589"/>
      <c r="N487" s="589"/>
    </row>
    <row r="488" spans="2:26" x14ac:dyDescent="0.2">
      <c r="B488" s="216"/>
      <c r="C488" s="216"/>
      <c r="D488" s="216"/>
      <c r="E488" s="216"/>
      <c r="F488" s="216"/>
      <c r="G488" s="216"/>
      <c r="H488" s="216"/>
      <c r="I488" s="216"/>
      <c r="J488" s="216"/>
      <c r="K488" s="216"/>
      <c r="L488" s="216"/>
      <c r="M488" s="589"/>
      <c r="N488" s="589"/>
    </row>
    <row r="489" spans="2:26" x14ac:dyDescent="0.2">
      <c r="B489" s="216"/>
      <c r="C489" s="216"/>
      <c r="D489" s="216"/>
      <c r="E489" s="216"/>
      <c r="F489" s="216"/>
      <c r="G489" s="216"/>
      <c r="H489" s="209"/>
      <c r="I489" s="209"/>
      <c r="J489" s="209"/>
      <c r="K489" s="209"/>
      <c r="L489" s="216"/>
      <c r="M489" s="589"/>
      <c r="N489" s="589"/>
    </row>
    <row r="490" spans="2:26" x14ac:dyDescent="0.2">
      <c r="B490" s="217"/>
      <c r="C490" s="218" t="s">
        <v>137</v>
      </c>
      <c r="D490" s="219" t="s">
        <v>16</v>
      </c>
      <c r="E490" s="219"/>
      <c r="F490" s="219" t="s">
        <v>74</v>
      </c>
      <c r="G490" s="219"/>
      <c r="H490" s="220" t="s">
        <v>75</v>
      </c>
      <c r="I490" s="221"/>
      <c r="J490" s="221"/>
      <c r="K490" s="221"/>
      <c r="L490" s="239"/>
      <c r="M490" s="590"/>
      <c r="N490" s="590"/>
      <c r="O490" s="303" t="s">
        <v>257</v>
      </c>
      <c r="P490" s="303"/>
      <c r="Q490" s="303"/>
      <c r="R490" s="303"/>
      <c r="U490" s="153" t="s">
        <v>247</v>
      </c>
      <c r="Y490" s="144" t="s">
        <v>256</v>
      </c>
      <c r="Z490" s="144" t="s">
        <v>184</v>
      </c>
    </row>
    <row r="491" spans="2:26" x14ac:dyDescent="0.2">
      <c r="B491" s="222" t="s">
        <v>76</v>
      </c>
      <c r="C491" s="223" t="s">
        <v>77</v>
      </c>
      <c r="D491" s="223" t="s">
        <v>141</v>
      </c>
      <c r="E491" s="223" t="s">
        <v>78</v>
      </c>
      <c r="F491" s="223" t="s">
        <v>142</v>
      </c>
      <c r="G491" s="223" t="s">
        <v>79</v>
      </c>
      <c r="H491" s="224" t="s">
        <v>48</v>
      </c>
      <c r="I491" s="221"/>
      <c r="J491" s="224" t="s">
        <v>80</v>
      </c>
      <c r="K491" s="221"/>
      <c r="L491" s="240" t="s">
        <v>175</v>
      </c>
      <c r="M491" s="590"/>
      <c r="N491" s="590"/>
      <c r="O491" s="260" t="s">
        <v>608</v>
      </c>
      <c r="P491" s="96">
        <v>51000000001</v>
      </c>
      <c r="Q491" s="234" t="s">
        <v>242</v>
      </c>
      <c r="R491" s="592">
        <f>SUMIFS($J$494:$J$508,$E$494:$E$508,Q491,$M$494:$M$508,P491)</f>
        <v>0</v>
      </c>
      <c r="T491" s="144">
        <v>51000200001</v>
      </c>
      <c r="U491" s="144" t="s">
        <v>194</v>
      </c>
      <c r="X491" s="156">
        <v>-431.15999999999985</v>
      </c>
      <c r="Y491" s="156">
        <f>R494</f>
        <v>0</v>
      </c>
      <c r="Z491" s="236">
        <v>0</v>
      </c>
    </row>
    <row r="492" spans="2:26" x14ac:dyDescent="0.2">
      <c r="B492" s="225"/>
      <c r="C492" s="226"/>
      <c r="D492" s="226"/>
      <c r="E492" s="225"/>
      <c r="F492" s="225"/>
      <c r="G492" s="225"/>
      <c r="H492" s="227" t="s">
        <v>176</v>
      </c>
      <c r="I492" s="228" t="s">
        <v>177</v>
      </c>
      <c r="J492" s="241" t="s">
        <v>178</v>
      </c>
      <c r="K492" s="241" t="s">
        <v>46</v>
      </c>
      <c r="L492" s="242" t="s">
        <v>48</v>
      </c>
      <c r="M492" s="590"/>
      <c r="N492" s="590"/>
      <c r="O492" s="260" t="s">
        <v>608</v>
      </c>
      <c r="P492" s="96">
        <v>51000000002</v>
      </c>
      <c r="Q492" s="234" t="s">
        <v>242</v>
      </c>
      <c r="R492" s="592">
        <f t="shared" ref="R492:R511" si="43">SUMIFS($J$494:$J$508,$E$494:$E$508,Q492,$M$494:$M$508,P492)</f>
        <v>0</v>
      </c>
      <c r="T492" s="144">
        <v>51000200002</v>
      </c>
      <c r="U492" s="144" t="s">
        <v>195</v>
      </c>
      <c r="X492" s="156">
        <v>-431.15999999999985</v>
      </c>
      <c r="Y492" s="156">
        <f>R496</f>
        <v>0</v>
      </c>
      <c r="Z492" s="236">
        <v>0</v>
      </c>
    </row>
    <row r="493" spans="2:26" x14ac:dyDescent="0.2">
      <c r="B493" s="229"/>
      <c r="C493" s="230"/>
      <c r="D493" s="230"/>
      <c r="E493" s="231"/>
      <c r="F493" s="232"/>
      <c r="G493" s="591"/>
      <c r="H493" s="592"/>
      <c r="I493" s="592"/>
      <c r="J493" s="592"/>
      <c r="K493" s="592"/>
      <c r="L493" s="592"/>
      <c r="M493" s="593"/>
      <c r="N493" s="593"/>
      <c r="O493" s="260" t="s">
        <v>608</v>
      </c>
      <c r="P493" s="96">
        <v>51000100001</v>
      </c>
      <c r="Q493" s="234" t="s">
        <v>242</v>
      </c>
      <c r="R493" s="592">
        <f t="shared" si="43"/>
        <v>0</v>
      </c>
      <c r="T493" s="144">
        <v>51000100001</v>
      </c>
      <c r="U493" s="156" t="s">
        <v>4</v>
      </c>
      <c r="X493" s="156">
        <v>-1753.7200000000012</v>
      </c>
    </row>
    <row r="494" spans="2:26" x14ac:dyDescent="0.2">
      <c r="B494" s="701" t="s">
        <v>629</v>
      </c>
      <c r="C494" s="230" t="s">
        <v>630</v>
      </c>
      <c r="D494" s="230" t="s">
        <v>241</v>
      </c>
      <c r="E494" s="234" t="str">
        <f>+VLOOKUP(F494,[5]bd!A:B,2,0)</f>
        <v>CITIBANK, N.A. SUCURSAL EL SALVADOR</v>
      </c>
      <c r="F494" s="234" t="s">
        <v>179</v>
      </c>
      <c r="G494" s="591"/>
      <c r="H494" s="592"/>
      <c r="I494" s="592"/>
      <c r="J494" s="478">
        <v>1753.72</v>
      </c>
      <c r="K494" s="235">
        <v>227.98</v>
      </c>
      <c r="L494" s="592">
        <f t="shared" ref="L494:L501" si="44">+J494+K494</f>
        <v>1981.7</v>
      </c>
      <c r="M494" s="593"/>
      <c r="N494" s="593"/>
      <c r="O494" s="260" t="s">
        <v>608</v>
      </c>
      <c r="P494" s="96">
        <v>51000100001</v>
      </c>
      <c r="Q494" s="234" t="s">
        <v>269</v>
      </c>
      <c r="R494" s="592">
        <f t="shared" si="43"/>
        <v>0</v>
      </c>
      <c r="T494" s="144">
        <v>51000100002</v>
      </c>
      <c r="U494" s="156" t="s">
        <v>193</v>
      </c>
      <c r="X494" s="156">
        <v>-1096.0699999999997</v>
      </c>
    </row>
    <row r="495" spans="2:26" x14ac:dyDescent="0.2">
      <c r="B495" s="233">
        <v>43441</v>
      </c>
      <c r="C495" s="230" t="s">
        <v>631</v>
      </c>
      <c r="D495" s="230" t="s">
        <v>241</v>
      </c>
      <c r="E495" s="234" t="str">
        <f>+VLOOKUP(F495,[5]bd!A:B,2,0)</f>
        <v>CITIBANK, N.A. SUCURSAL EL SALVADOR</v>
      </c>
      <c r="F495" s="234" t="s">
        <v>179</v>
      </c>
      <c r="G495" s="234"/>
      <c r="H495" s="592"/>
      <c r="I495" s="592"/>
      <c r="J495" s="478">
        <v>1096.07</v>
      </c>
      <c r="K495" s="235">
        <v>142.49</v>
      </c>
      <c r="L495" s="592">
        <f t="shared" si="44"/>
        <v>1238.56</v>
      </c>
      <c r="M495" s="593"/>
      <c r="N495" s="593"/>
      <c r="O495" s="260" t="s">
        <v>608</v>
      </c>
      <c r="P495" s="96">
        <v>51000100002</v>
      </c>
      <c r="Q495" s="234" t="s">
        <v>242</v>
      </c>
      <c r="R495" s="592">
        <f t="shared" si="43"/>
        <v>0</v>
      </c>
      <c r="T495" s="144">
        <v>51220200001</v>
      </c>
      <c r="U495" s="144" t="s">
        <v>21</v>
      </c>
      <c r="X495" s="156">
        <v>-1553.75</v>
      </c>
      <c r="Y495" s="156">
        <f>R503+R510</f>
        <v>1487.28</v>
      </c>
      <c r="Z495" s="236">
        <f>X495+Y495</f>
        <v>-66.470000000000027</v>
      </c>
    </row>
    <row r="496" spans="2:26" x14ac:dyDescent="0.2">
      <c r="B496" s="233">
        <v>43444</v>
      </c>
      <c r="C496" s="230" t="s">
        <v>632</v>
      </c>
      <c r="D496" s="230" t="s">
        <v>241</v>
      </c>
      <c r="E496" s="340" t="str">
        <f>+VLOOKUP(F496,[5]bd!A:B,2,0)</f>
        <v>BANCO CUSCATLAN DE EL SALVADOR S.A.</v>
      </c>
      <c r="F496" s="340" t="s">
        <v>47</v>
      </c>
      <c r="G496" s="343"/>
      <c r="H496" s="341"/>
      <c r="I496" s="341"/>
      <c r="J496" s="341">
        <v>109.59</v>
      </c>
      <c r="K496" s="342">
        <v>14.25</v>
      </c>
      <c r="L496" s="341">
        <f t="shared" si="44"/>
        <v>123.84</v>
      </c>
      <c r="M496" s="608">
        <v>51000200002</v>
      </c>
      <c r="N496" s="593"/>
      <c r="O496" s="260" t="s">
        <v>608</v>
      </c>
      <c r="P496" s="96">
        <v>51000100002</v>
      </c>
      <c r="Q496" s="234" t="s">
        <v>269</v>
      </c>
      <c r="R496" s="592">
        <f t="shared" si="43"/>
        <v>0</v>
      </c>
      <c r="T496" s="702">
        <v>52200000001</v>
      </c>
      <c r="U496" s="702" t="s">
        <v>11</v>
      </c>
      <c r="V496" s="702"/>
      <c r="W496" s="702"/>
      <c r="X496" s="703">
        <v>-1334.5699999999997</v>
      </c>
      <c r="Y496" s="156">
        <f>R504+R511</f>
        <v>0</v>
      </c>
      <c r="Z496" s="236">
        <v>0</v>
      </c>
    </row>
    <row r="497" spans="2:26" x14ac:dyDescent="0.2">
      <c r="B497" s="233">
        <v>43444</v>
      </c>
      <c r="C497" s="230" t="s">
        <v>633</v>
      </c>
      <c r="D497" s="230" t="s">
        <v>241</v>
      </c>
      <c r="E497" s="340" t="str">
        <f>+VLOOKUP(F497,[5]bd!A:B,2,0)</f>
        <v>BANCO CUSCATLAN DE EL SALVADOR S.A.</v>
      </c>
      <c r="F497" s="340" t="s">
        <v>47</v>
      </c>
      <c r="G497" s="343"/>
      <c r="H497" s="341"/>
      <c r="I497" s="341"/>
      <c r="J497" s="341">
        <v>109.59</v>
      </c>
      <c r="K497" s="342">
        <v>14.25</v>
      </c>
      <c r="L497" s="341">
        <f t="shared" si="44"/>
        <v>123.84</v>
      </c>
      <c r="M497" s="608">
        <v>51000200001</v>
      </c>
      <c r="N497" s="593"/>
      <c r="O497" s="260" t="s">
        <v>608</v>
      </c>
      <c r="P497" s="486">
        <v>51000200001</v>
      </c>
      <c r="Q497" s="476" t="s">
        <v>242</v>
      </c>
      <c r="R497" s="592">
        <f t="shared" si="43"/>
        <v>397.26</v>
      </c>
      <c r="X497" s="356">
        <v>0</v>
      </c>
      <c r="Y497" s="156">
        <v>0</v>
      </c>
      <c r="Z497" s="236">
        <v>0</v>
      </c>
    </row>
    <row r="498" spans="2:26" x14ac:dyDescent="0.2">
      <c r="B498" s="233">
        <v>43445</v>
      </c>
      <c r="C498" s="230" t="s">
        <v>634</v>
      </c>
      <c r="D498" s="230" t="s">
        <v>241</v>
      </c>
      <c r="E498" s="340" t="str">
        <f>+VLOOKUP(F498,[5]bd!A:B,2,0)</f>
        <v>BANCO CUSCATLAN DE EL SALVADOR S.A.</v>
      </c>
      <c r="F498" s="340" t="s">
        <v>47</v>
      </c>
      <c r="G498" s="340"/>
      <c r="H498" s="341"/>
      <c r="I498" s="341"/>
      <c r="J498" s="341">
        <v>95.89</v>
      </c>
      <c r="K498" s="342">
        <v>12.47</v>
      </c>
      <c r="L498" s="341">
        <f t="shared" si="44"/>
        <v>108.36</v>
      </c>
      <c r="M498" s="608">
        <v>51000200002</v>
      </c>
      <c r="N498" s="593"/>
      <c r="O498" s="260" t="s">
        <v>608</v>
      </c>
      <c r="P498" s="96">
        <v>51000200001</v>
      </c>
      <c r="Q498" s="234" t="s">
        <v>187</v>
      </c>
      <c r="R498" s="592">
        <f t="shared" si="43"/>
        <v>0</v>
      </c>
      <c r="X498" s="304">
        <v>0</v>
      </c>
      <c r="Y498" s="304">
        <f>R506+R513</f>
        <v>0</v>
      </c>
      <c r="Z498" s="300">
        <v>0</v>
      </c>
    </row>
    <row r="499" spans="2:26" x14ac:dyDescent="0.2">
      <c r="B499" s="233">
        <v>43445</v>
      </c>
      <c r="C499" s="230" t="s">
        <v>635</v>
      </c>
      <c r="D499" s="230" t="s">
        <v>241</v>
      </c>
      <c r="E499" s="340" t="str">
        <f>+VLOOKUP(F499,[5]bd!A:B,2,0)</f>
        <v>BANCO CUSCATLAN DE EL SALVADOR S.A.</v>
      </c>
      <c r="F499" s="340" t="s">
        <v>47</v>
      </c>
      <c r="G499" s="340"/>
      <c r="H499" s="341"/>
      <c r="I499" s="341"/>
      <c r="J499" s="341">
        <v>95.89</v>
      </c>
      <c r="K499" s="342">
        <v>12.47</v>
      </c>
      <c r="L499" s="341">
        <f t="shared" si="44"/>
        <v>108.36</v>
      </c>
      <c r="M499" s="608">
        <v>51000200001</v>
      </c>
      <c r="N499" s="593"/>
      <c r="O499" s="260" t="s">
        <v>608</v>
      </c>
      <c r="P499" s="96">
        <v>51000200001</v>
      </c>
      <c r="Q499" s="234" t="s">
        <v>22</v>
      </c>
      <c r="R499" s="592">
        <f t="shared" si="43"/>
        <v>0</v>
      </c>
      <c r="X499" s="290">
        <f>SUM(X491:X495)</f>
        <v>-5265.8600000000006</v>
      </c>
      <c r="Y499" s="290">
        <f>SUM(Y491:Y498)</f>
        <v>1487.28</v>
      </c>
      <c r="Z499" s="290">
        <f>SUM(Z491:Z498)</f>
        <v>-66.470000000000027</v>
      </c>
    </row>
    <row r="500" spans="2:26" x14ac:dyDescent="0.2">
      <c r="B500" s="233">
        <v>43447</v>
      </c>
      <c r="C500" s="230" t="s">
        <v>636</v>
      </c>
      <c r="D500" s="230" t="s">
        <v>241</v>
      </c>
      <c r="E500" s="340" t="str">
        <f>+VLOOKUP(F500,[5]bd!A:B,2,0)</f>
        <v>BANCO CUSCATLAN DE EL SALVADOR S.A.</v>
      </c>
      <c r="F500" s="340" t="s">
        <v>47</v>
      </c>
      <c r="G500" s="340"/>
      <c r="H500" s="341"/>
      <c r="I500" s="341"/>
      <c r="J500" s="341">
        <v>95.89</v>
      </c>
      <c r="K500" s="342">
        <v>12.47</v>
      </c>
      <c r="L500" s="341">
        <f t="shared" si="44"/>
        <v>108.36</v>
      </c>
      <c r="M500" s="608">
        <v>51000200002</v>
      </c>
      <c r="N500" s="593"/>
      <c r="O500" s="260" t="s">
        <v>608</v>
      </c>
      <c r="P500" s="486">
        <v>51000200002</v>
      </c>
      <c r="Q500" s="476" t="s">
        <v>242</v>
      </c>
      <c r="R500" s="592">
        <f t="shared" si="43"/>
        <v>397.26</v>
      </c>
      <c r="U500" s="156"/>
    </row>
    <row r="501" spans="2:26" x14ac:dyDescent="0.2">
      <c r="B501" s="233">
        <v>43447</v>
      </c>
      <c r="C501" s="230" t="s">
        <v>637</v>
      </c>
      <c r="D501" s="230" t="s">
        <v>241</v>
      </c>
      <c r="E501" s="340" t="str">
        <f>+VLOOKUP(F501,[5]bd!A:B,2,0)</f>
        <v>BANCO CUSCATLAN DE EL SALVADOR S.A.</v>
      </c>
      <c r="F501" s="340" t="s">
        <v>47</v>
      </c>
      <c r="G501" s="340"/>
      <c r="H501" s="341"/>
      <c r="I501" s="341"/>
      <c r="J501" s="341">
        <v>95.89</v>
      </c>
      <c r="K501" s="342">
        <v>12.47</v>
      </c>
      <c r="L501" s="341">
        <f t="shared" si="44"/>
        <v>108.36</v>
      </c>
      <c r="M501" s="608">
        <v>51000200001</v>
      </c>
      <c r="N501" s="593"/>
      <c r="O501" s="260" t="s">
        <v>608</v>
      </c>
      <c r="P501" s="96">
        <v>51000200002</v>
      </c>
      <c r="Q501" s="234" t="s">
        <v>187</v>
      </c>
      <c r="R501" s="592">
        <f t="shared" si="43"/>
        <v>0</v>
      </c>
      <c r="U501" s="156"/>
    </row>
    <row r="502" spans="2:26" x14ac:dyDescent="0.2">
      <c r="B502" s="233">
        <v>43448</v>
      </c>
      <c r="C502" s="230" t="s">
        <v>638</v>
      </c>
      <c r="D502" s="230" t="s">
        <v>241</v>
      </c>
      <c r="E502" s="340" t="str">
        <f>+VLOOKUP(F502,[5]bd!A:B,2,0)</f>
        <v>BANCO CUSCATLAN DE EL SALVADOR S.A.</v>
      </c>
      <c r="F502" s="340" t="s">
        <v>47</v>
      </c>
      <c r="G502" s="340"/>
      <c r="H502" s="341"/>
      <c r="I502" s="341"/>
      <c r="J502" s="341">
        <v>95.89</v>
      </c>
      <c r="K502" s="342">
        <v>12.47</v>
      </c>
      <c r="L502" s="341">
        <f>+J502+K502</f>
        <v>108.36</v>
      </c>
      <c r="M502" s="608">
        <v>51000200002</v>
      </c>
      <c r="N502" s="593"/>
      <c r="O502" s="260" t="s">
        <v>608</v>
      </c>
      <c r="P502" s="96">
        <v>51000200002</v>
      </c>
      <c r="Q502" s="234" t="s">
        <v>22</v>
      </c>
      <c r="R502" s="592">
        <f t="shared" si="43"/>
        <v>0</v>
      </c>
      <c r="U502" s="156"/>
      <c r="Z502" s="236"/>
    </row>
    <row r="503" spans="2:26" x14ac:dyDescent="0.2">
      <c r="B503" s="233">
        <v>43448</v>
      </c>
      <c r="C503" s="230" t="s">
        <v>639</v>
      </c>
      <c r="D503" s="230" t="s">
        <v>241</v>
      </c>
      <c r="E503" s="340" t="str">
        <f>+VLOOKUP(F503,[5]bd!A:B,2,0)</f>
        <v>BANCO CUSCATLAN DE EL SALVADOR S.A.</v>
      </c>
      <c r="F503" s="340" t="s">
        <v>47</v>
      </c>
      <c r="G503" s="340"/>
      <c r="H503" s="341"/>
      <c r="I503" s="341"/>
      <c r="J503" s="341">
        <v>95.89</v>
      </c>
      <c r="K503" s="342">
        <v>12.47</v>
      </c>
      <c r="L503" s="341">
        <f t="shared" ref="L503:L519" si="45">+J503+K503</f>
        <v>108.36</v>
      </c>
      <c r="M503" s="608">
        <v>51000200001</v>
      </c>
      <c r="N503" s="593"/>
      <c r="O503" s="260" t="s">
        <v>608</v>
      </c>
      <c r="P503" s="486">
        <v>51220200001</v>
      </c>
      <c r="Q503" s="476" t="s">
        <v>242</v>
      </c>
      <c r="R503" s="592">
        <f t="shared" si="43"/>
        <v>1141.26</v>
      </c>
      <c r="U503" s="156"/>
    </row>
    <row r="504" spans="2:26" x14ac:dyDescent="0.2">
      <c r="B504" s="233">
        <v>43451</v>
      </c>
      <c r="C504" s="230" t="s">
        <v>640</v>
      </c>
      <c r="D504" s="230" t="s">
        <v>241</v>
      </c>
      <c r="E504" s="234" t="str">
        <f>+VLOOKUP(F504,[5]bd!A:B,2,0)</f>
        <v>CITIBANK, N.A. SUCURSAL EL SALVADOR</v>
      </c>
      <c r="F504" s="234" t="s">
        <v>179</v>
      </c>
      <c r="G504" s="234"/>
      <c r="H504" s="592"/>
      <c r="I504" s="592"/>
      <c r="J504" s="478">
        <v>64.88</v>
      </c>
      <c r="K504" s="294">
        <v>8.43</v>
      </c>
      <c r="L504" s="592">
        <f t="shared" si="45"/>
        <v>73.31</v>
      </c>
      <c r="M504" s="593"/>
      <c r="N504" s="593"/>
      <c r="O504" s="260" t="s">
        <v>608</v>
      </c>
      <c r="P504" s="96">
        <v>51220200001</v>
      </c>
      <c r="Q504" s="234" t="s">
        <v>187</v>
      </c>
      <c r="R504" s="592">
        <f t="shared" si="43"/>
        <v>0</v>
      </c>
    </row>
    <row r="505" spans="2:26" x14ac:dyDescent="0.2">
      <c r="B505" s="233">
        <v>43451</v>
      </c>
      <c r="C505" s="230" t="s">
        <v>641</v>
      </c>
      <c r="D505" s="230" t="s">
        <v>241</v>
      </c>
      <c r="E505" s="340" t="str">
        <f>+VLOOKUP(F505,[5]bd!A:B,2,0)</f>
        <v>BANCO CUSCATLAN DE EL SALVADOR S.A.</v>
      </c>
      <c r="F505" s="340" t="s">
        <v>47</v>
      </c>
      <c r="G505" s="340"/>
      <c r="H505" s="341"/>
      <c r="I505" s="341"/>
      <c r="J505" s="341">
        <v>1141.26</v>
      </c>
      <c r="K505" s="342">
        <v>148.36000000000001</v>
      </c>
      <c r="L505" s="341">
        <f t="shared" si="45"/>
        <v>1289.6199999999999</v>
      </c>
      <c r="M505" s="608">
        <v>51220200001</v>
      </c>
      <c r="N505" s="593"/>
      <c r="O505" s="260" t="s">
        <v>608</v>
      </c>
      <c r="P505" s="96">
        <v>51220200001</v>
      </c>
      <c r="Q505" s="234" t="s">
        <v>22</v>
      </c>
      <c r="R505" s="592">
        <f t="shared" si="43"/>
        <v>0</v>
      </c>
    </row>
    <row r="506" spans="2:26" x14ac:dyDescent="0.2">
      <c r="B506" s="233">
        <v>43451</v>
      </c>
      <c r="C506" s="230" t="s">
        <v>642</v>
      </c>
      <c r="D506" s="230" t="s">
        <v>241</v>
      </c>
      <c r="E506" s="340" t="str">
        <f>+VLOOKUP(F506,[5]bd!A:B,2,0)</f>
        <v>INVERSIONES FINANCIERAS IMPERIA CUSCATLAN, SA</v>
      </c>
      <c r="F506" s="340" t="s">
        <v>270</v>
      </c>
      <c r="G506" s="340"/>
      <c r="H506" s="341"/>
      <c r="I506" s="341"/>
      <c r="J506" s="341">
        <v>346.02</v>
      </c>
      <c r="K506" s="342">
        <v>44.98</v>
      </c>
      <c r="L506" s="341">
        <f t="shared" si="45"/>
        <v>391</v>
      </c>
      <c r="M506" s="608">
        <v>51220200001</v>
      </c>
      <c r="N506" s="593"/>
      <c r="O506" s="260" t="s">
        <v>608</v>
      </c>
      <c r="P506" s="96">
        <v>52200000001</v>
      </c>
      <c r="Q506" s="234" t="s">
        <v>242</v>
      </c>
      <c r="R506" s="592">
        <f t="shared" si="43"/>
        <v>0</v>
      </c>
      <c r="W506" s="153" t="s">
        <v>255</v>
      </c>
      <c r="X506" s="236">
        <f>+X492+X495+X491+X497+X498+X493+X494</f>
        <v>-5265.8600000000006</v>
      </c>
    </row>
    <row r="507" spans="2:26" x14ac:dyDescent="0.2">
      <c r="B507" s="233">
        <v>43455</v>
      </c>
      <c r="C507" s="230" t="s">
        <v>643</v>
      </c>
      <c r="D507" s="230" t="s">
        <v>241</v>
      </c>
      <c r="E507" s="234" t="str">
        <f>+VLOOKUP(F507,[5]bd!A:B,2,0)</f>
        <v>CITIBANK, N.A. SUCURSAL EL SALVADOR</v>
      </c>
      <c r="F507" s="196" t="s">
        <v>179</v>
      </c>
      <c r="G507" s="591"/>
      <c r="H507" s="592"/>
      <c r="I507" s="592"/>
      <c r="J507" s="478">
        <v>33.9</v>
      </c>
      <c r="K507" s="294">
        <v>4.41</v>
      </c>
      <c r="L507" s="592">
        <f>+J507+K507</f>
        <v>38.31</v>
      </c>
      <c r="M507" s="593"/>
      <c r="N507" s="593"/>
      <c r="O507" s="260" t="s">
        <v>608</v>
      </c>
      <c r="P507" s="96">
        <v>52200000001</v>
      </c>
      <c r="Q507" s="234" t="s">
        <v>187</v>
      </c>
      <c r="R507" s="592">
        <f t="shared" si="43"/>
        <v>0</v>
      </c>
      <c r="W507" s="144" t="s">
        <v>257</v>
      </c>
      <c r="X507" s="236">
        <f>R512</f>
        <v>2281.8000000000002</v>
      </c>
    </row>
    <row r="508" spans="2:26" x14ac:dyDescent="0.2">
      <c r="B508" s="233">
        <v>43455</v>
      </c>
      <c r="C508" s="230" t="s">
        <v>644</v>
      </c>
      <c r="D508" s="230" t="s">
        <v>241</v>
      </c>
      <c r="E508" s="234" t="str">
        <f>+VLOOKUP(F508,[5]bd!A:B,2,0)</f>
        <v>CITIBANK, N.A. SUCURSAL EL SALVADOR</v>
      </c>
      <c r="F508" s="196" t="s">
        <v>179</v>
      </c>
      <c r="G508" s="591"/>
      <c r="H508" s="592"/>
      <c r="I508" s="592"/>
      <c r="J508" s="478">
        <v>33.9</v>
      </c>
      <c r="K508" s="294">
        <v>4.41</v>
      </c>
      <c r="L508" s="592">
        <f>+J508+K508</f>
        <v>38.31</v>
      </c>
      <c r="M508" s="593"/>
      <c r="N508" s="593"/>
      <c r="O508" s="260" t="s">
        <v>608</v>
      </c>
      <c r="P508" s="96">
        <v>52200000001</v>
      </c>
      <c r="Q508" s="234" t="s">
        <v>22</v>
      </c>
      <c r="R508" s="592">
        <f t="shared" si="43"/>
        <v>0</v>
      </c>
      <c r="W508" s="144" t="s">
        <v>260</v>
      </c>
      <c r="X508" s="300">
        <f>+J494+J495+J504+J507+J508</f>
        <v>2982.4700000000003</v>
      </c>
    </row>
    <row r="509" spans="2:26" x14ac:dyDescent="0.2">
      <c r="B509" s="233"/>
      <c r="C509" s="230"/>
      <c r="D509" s="230"/>
      <c r="E509" s="234"/>
      <c r="F509" s="234"/>
      <c r="G509" s="591"/>
      <c r="H509" s="592"/>
      <c r="I509" s="592"/>
      <c r="J509" s="592"/>
      <c r="K509" s="235"/>
      <c r="L509" s="592">
        <f t="shared" ref="L509:L513" si="46">+J509+K509</f>
        <v>0</v>
      </c>
      <c r="M509" s="593"/>
      <c r="N509" s="593"/>
      <c r="O509" s="260" t="s">
        <v>608</v>
      </c>
      <c r="P509" s="96">
        <v>52200000001</v>
      </c>
      <c r="Q509" s="234" t="s">
        <v>242</v>
      </c>
      <c r="R509" s="592">
        <f t="shared" si="43"/>
        <v>0</v>
      </c>
      <c r="X509" s="704">
        <f>X506+X507+X508</f>
        <v>-1.5900000000001455</v>
      </c>
      <c r="Y509" s="144" t="s">
        <v>275</v>
      </c>
    </row>
    <row r="510" spans="2:26" x14ac:dyDescent="0.2">
      <c r="B510" s="233"/>
      <c r="C510" s="230"/>
      <c r="D510" s="230"/>
      <c r="E510" s="234"/>
      <c r="F510" s="234"/>
      <c r="G510" s="591"/>
      <c r="H510" s="592"/>
      <c r="I510" s="592"/>
      <c r="J510" s="592"/>
      <c r="K510" s="235"/>
      <c r="L510" s="592">
        <f t="shared" si="46"/>
        <v>0</v>
      </c>
      <c r="M510" s="593"/>
      <c r="N510" s="593"/>
      <c r="O510" s="260" t="s">
        <v>608</v>
      </c>
      <c r="P510" s="486">
        <v>51220200001</v>
      </c>
      <c r="Q510" s="476" t="s">
        <v>269</v>
      </c>
      <c r="R510" s="592">
        <f t="shared" si="43"/>
        <v>346.02</v>
      </c>
      <c r="X510" s="144">
        <v>1.59</v>
      </c>
    </row>
    <row r="511" spans="2:26" x14ac:dyDescent="0.2">
      <c r="B511" s="233"/>
      <c r="C511" s="230"/>
      <c r="D511" s="230"/>
      <c r="E511" s="234"/>
      <c r="F511" s="234"/>
      <c r="G511" s="591"/>
      <c r="H511" s="592"/>
      <c r="I511" s="592"/>
      <c r="J511" s="592"/>
      <c r="K511" s="235"/>
      <c r="L511" s="592">
        <f t="shared" si="46"/>
        <v>0</v>
      </c>
      <c r="M511" s="593"/>
      <c r="N511" s="593"/>
      <c r="O511" s="260" t="s">
        <v>608</v>
      </c>
      <c r="P511" s="96">
        <v>53000100001</v>
      </c>
      <c r="Q511" s="234" t="s">
        <v>242</v>
      </c>
      <c r="R511" s="592">
        <f t="shared" si="43"/>
        <v>0</v>
      </c>
    </row>
    <row r="512" spans="2:26" ht="13.5" thickBot="1" x14ac:dyDescent="0.25">
      <c r="B512" s="233"/>
      <c r="C512" s="230"/>
      <c r="D512" s="230"/>
      <c r="E512" s="234"/>
      <c r="F512" s="234"/>
      <c r="G512" s="591"/>
      <c r="H512" s="592"/>
      <c r="I512" s="592"/>
      <c r="J512" s="592"/>
      <c r="K512" s="235"/>
      <c r="L512" s="592">
        <f t="shared" si="46"/>
        <v>0</v>
      </c>
      <c r="M512" s="593"/>
      <c r="N512" s="593"/>
      <c r="O512" s="589"/>
      <c r="P512" s="589"/>
      <c r="R512" s="607">
        <f>SUM(R491:R511)</f>
        <v>2281.8000000000002</v>
      </c>
    </row>
    <row r="513" spans="2:14" ht="13.5" thickTop="1" x14ac:dyDescent="0.2">
      <c r="B513" s="233"/>
      <c r="C513" s="230"/>
      <c r="D513" s="230"/>
      <c r="E513" s="234"/>
      <c r="F513" s="234"/>
      <c r="G513" s="591"/>
      <c r="H513" s="592"/>
      <c r="I513" s="592"/>
      <c r="J513" s="592"/>
      <c r="K513" s="235"/>
      <c r="L513" s="592">
        <f t="shared" si="46"/>
        <v>0</v>
      </c>
      <c r="M513" s="593"/>
      <c r="N513" s="593"/>
    </row>
    <row r="514" spans="2:14" x14ac:dyDescent="0.2">
      <c r="B514" s="233"/>
      <c r="C514" s="230"/>
      <c r="D514" s="230"/>
      <c r="E514" s="234"/>
      <c r="F514" s="234"/>
      <c r="G514" s="591"/>
      <c r="H514" s="592"/>
      <c r="I514" s="592"/>
      <c r="J514" s="592"/>
      <c r="K514" s="235"/>
      <c r="L514" s="592">
        <f t="shared" si="45"/>
        <v>0</v>
      </c>
      <c r="M514" s="593"/>
      <c r="N514" s="593"/>
    </row>
    <row r="515" spans="2:14" x14ac:dyDescent="0.2">
      <c r="B515" s="233"/>
      <c r="C515" s="230"/>
      <c r="D515" s="230"/>
      <c r="E515" s="234"/>
      <c r="F515" s="234"/>
      <c r="G515" s="234"/>
      <c r="H515" s="592"/>
      <c r="I515" s="592"/>
      <c r="J515" s="592"/>
      <c r="K515" s="235"/>
      <c r="L515" s="592">
        <f t="shared" si="45"/>
        <v>0</v>
      </c>
      <c r="M515" s="593"/>
      <c r="N515" s="593"/>
    </row>
    <row r="516" spans="2:14" x14ac:dyDescent="0.2">
      <c r="B516" s="233"/>
      <c r="C516" s="230"/>
      <c r="D516" s="230"/>
      <c r="E516" s="234"/>
      <c r="F516" s="234"/>
      <c r="G516" s="234"/>
      <c r="H516" s="592"/>
      <c r="I516" s="592"/>
      <c r="J516" s="592"/>
      <c r="K516" s="235"/>
      <c r="L516" s="592">
        <f t="shared" si="45"/>
        <v>0</v>
      </c>
      <c r="M516" s="593"/>
      <c r="N516" s="593"/>
    </row>
    <row r="517" spans="2:14" x14ac:dyDescent="0.2">
      <c r="B517" s="233"/>
      <c r="C517" s="230" t="s">
        <v>409</v>
      </c>
      <c r="D517" s="230"/>
      <c r="E517" s="234"/>
      <c r="F517" s="206">
        <v>0</v>
      </c>
      <c r="G517" s="289"/>
      <c r="H517" s="289"/>
      <c r="I517" s="289"/>
      <c r="J517" s="592">
        <v>0</v>
      </c>
      <c r="K517" s="235">
        <v>0</v>
      </c>
      <c r="L517" s="592">
        <f t="shared" si="45"/>
        <v>0</v>
      </c>
      <c r="M517" s="593"/>
      <c r="N517" s="593"/>
    </row>
    <row r="518" spans="2:14" x14ac:dyDescent="0.2">
      <c r="B518" s="233"/>
      <c r="C518" s="230"/>
      <c r="D518" s="230"/>
      <c r="E518" s="234" t="s">
        <v>321</v>
      </c>
      <c r="F518" s="206"/>
      <c r="G518" s="289"/>
      <c r="H518" s="289"/>
      <c r="I518" s="289"/>
      <c r="J518" s="289"/>
      <c r="K518" s="705">
        <v>-684.38</v>
      </c>
      <c r="L518" s="592">
        <f t="shared" si="45"/>
        <v>-684.38</v>
      </c>
      <c r="M518" s="593"/>
      <c r="N518" s="593"/>
    </row>
    <row r="519" spans="2:14" x14ac:dyDescent="0.2">
      <c r="B519" s="233"/>
      <c r="C519" s="230"/>
      <c r="D519" s="230"/>
      <c r="E519" s="234"/>
      <c r="F519" s="206"/>
      <c r="G519" s="289"/>
      <c r="H519" s="289"/>
      <c r="I519" s="289"/>
      <c r="J519" s="289"/>
      <c r="K519" s="235"/>
      <c r="L519" s="592">
        <f t="shared" si="45"/>
        <v>0</v>
      </c>
      <c r="M519" s="593"/>
      <c r="N519" s="593"/>
    </row>
    <row r="520" spans="2:14" x14ac:dyDescent="0.2">
      <c r="B520" s="233"/>
      <c r="C520" s="230"/>
      <c r="D520" s="230"/>
      <c r="E520" s="234"/>
      <c r="F520" s="206"/>
      <c r="G520" s="289"/>
      <c r="H520" s="289"/>
      <c r="I520" s="289"/>
      <c r="J520" s="289"/>
      <c r="K520" s="235"/>
      <c r="L520" s="592"/>
      <c r="M520" s="593"/>
      <c r="N520" s="593"/>
    </row>
    <row r="521" spans="2:14" x14ac:dyDescent="0.2">
      <c r="B521" s="233"/>
      <c r="C521" s="230"/>
      <c r="D521" s="230"/>
      <c r="E521" s="234"/>
      <c r="F521" s="206"/>
      <c r="G521" s="289"/>
      <c r="H521" s="289"/>
      <c r="I521" s="289"/>
      <c r="J521" s="289"/>
      <c r="K521" s="235"/>
      <c r="L521" s="592"/>
      <c r="M521" s="593"/>
      <c r="N521" s="593"/>
    </row>
    <row r="522" spans="2:14" x14ac:dyDescent="0.2">
      <c r="B522" s="206"/>
      <c r="C522" s="207"/>
      <c r="D522" s="207"/>
      <c r="E522" s="234"/>
      <c r="F522" s="206"/>
      <c r="G522" s="289"/>
      <c r="H522" s="289"/>
      <c r="I522" s="289"/>
      <c r="J522" s="289"/>
      <c r="K522" s="289"/>
      <c r="L522" s="289"/>
      <c r="M522" s="594"/>
      <c r="N522" s="594"/>
    </row>
    <row r="523" spans="2:14" x14ac:dyDescent="0.2">
      <c r="B523" s="295"/>
      <c r="C523" s="296"/>
      <c r="D523" s="296"/>
      <c r="E523" s="234"/>
      <c r="F523" s="295"/>
      <c r="G523" s="297"/>
      <c r="H523" s="297"/>
      <c r="I523" s="297"/>
      <c r="J523" s="297"/>
      <c r="K523" s="297"/>
      <c r="L523" s="297"/>
      <c r="M523" s="589"/>
      <c r="N523" s="589"/>
    </row>
    <row r="524" spans="2:14" x14ac:dyDescent="0.2">
      <c r="B524" s="206"/>
      <c r="C524" s="207"/>
      <c r="D524" s="207"/>
      <c r="E524" s="206"/>
      <c r="F524" s="206"/>
      <c r="G524" s="298">
        <f t="shared" ref="G524:I524" si="47">SUM(G493:G523)</f>
        <v>0</v>
      </c>
      <c r="H524" s="298">
        <f t="shared" si="47"/>
        <v>0</v>
      </c>
      <c r="I524" s="298">
        <f t="shared" si="47"/>
        <v>0</v>
      </c>
      <c r="J524" s="298">
        <f>SUM(J493:J523)</f>
        <v>5264.2699999999986</v>
      </c>
      <c r="K524" s="298">
        <f>SUM(K493:K523)</f>
        <v>0</v>
      </c>
      <c r="L524" s="298">
        <f>SUM(L493:L523)</f>
        <v>5264.2700000000023</v>
      </c>
      <c r="M524" s="589"/>
      <c r="N524" s="589"/>
    </row>
    <row r="525" spans="2:14" x14ac:dyDescent="0.2">
      <c r="B525" s="206"/>
      <c r="C525" s="207"/>
      <c r="D525" s="207"/>
      <c r="E525" s="206"/>
      <c r="F525" s="206"/>
      <c r="G525" s="366"/>
      <c r="H525" s="366"/>
      <c r="I525" s="366"/>
      <c r="J525" s="366"/>
      <c r="K525" s="366"/>
      <c r="L525" s="366"/>
      <c r="M525" s="589"/>
      <c r="N525" s="589"/>
    </row>
    <row r="526" spans="2:14" x14ac:dyDescent="0.2">
      <c r="B526" s="206"/>
      <c r="C526" s="207"/>
      <c r="D526" s="207"/>
      <c r="E526" s="206"/>
      <c r="F526" s="206"/>
      <c r="G526" s="366"/>
      <c r="H526" s="366"/>
      <c r="I526" s="366"/>
      <c r="J526" s="366"/>
      <c r="K526" s="366"/>
      <c r="L526" s="366"/>
      <c r="M526" s="589"/>
      <c r="N526" s="589"/>
    </row>
    <row r="527" spans="2:14" x14ac:dyDescent="0.2">
      <c r="B527" s="206"/>
      <c r="C527" s="207"/>
      <c r="D527" s="207"/>
      <c r="E527" s="206"/>
      <c r="F527" s="206"/>
      <c r="G527" s="366"/>
      <c r="H527" s="366"/>
      <c r="I527" s="366"/>
      <c r="J527" s="366"/>
      <c r="K527" s="366"/>
      <c r="L527" s="366"/>
      <c r="M527" s="589"/>
      <c r="N527" s="589"/>
    </row>
    <row r="528" spans="2:14" x14ac:dyDescent="0.2">
      <c r="B528" s="206"/>
      <c r="C528" s="207"/>
      <c r="D528" s="207"/>
      <c r="E528" s="206"/>
      <c r="F528" s="206"/>
      <c r="G528" s="366"/>
      <c r="H528" s="366"/>
      <c r="I528" s="366"/>
      <c r="J528" s="366"/>
      <c r="K528" s="366"/>
      <c r="L528" s="366"/>
      <c r="M528" s="589"/>
      <c r="N528" s="589"/>
    </row>
    <row r="529" spans="2:14" x14ac:dyDescent="0.2">
      <c r="B529" s="206"/>
      <c r="C529" s="207"/>
      <c r="D529" s="207"/>
      <c r="E529" s="206"/>
      <c r="F529" s="206"/>
      <c r="G529" s="366"/>
      <c r="H529" s="366"/>
      <c r="I529" s="366"/>
      <c r="J529" s="366"/>
      <c r="K529" s="366"/>
      <c r="L529" s="366"/>
      <c r="M529" s="589"/>
      <c r="N529" s="589"/>
    </row>
    <row r="530" spans="2:14" x14ac:dyDescent="0.2">
      <c r="B530" s="206"/>
      <c r="C530" s="207"/>
      <c r="D530" s="207"/>
      <c r="E530" s="206"/>
      <c r="F530" s="206"/>
      <c r="G530" s="206"/>
      <c r="H530" s="206"/>
      <c r="I530" s="206"/>
      <c r="J530" s="206"/>
      <c r="K530" s="206"/>
      <c r="L530" s="206"/>
      <c r="M530" s="589"/>
      <c r="N530" s="589"/>
    </row>
    <row r="531" spans="2:14" x14ac:dyDescent="0.2">
      <c r="B531" s="206"/>
      <c r="C531" s="209" t="s">
        <v>445</v>
      </c>
      <c r="D531" s="207"/>
      <c r="E531" s="207"/>
      <c r="F531" s="206"/>
      <c r="G531" s="206"/>
      <c r="H531" s="206"/>
      <c r="I531" s="209" t="s">
        <v>446</v>
      </c>
      <c r="J531" s="206"/>
      <c r="K531" s="206"/>
      <c r="L531" s="206"/>
      <c r="M531" s="589"/>
      <c r="N531" s="589"/>
    </row>
    <row r="532" spans="2:14" x14ac:dyDescent="0.2">
      <c r="B532" s="206"/>
      <c r="C532" s="209"/>
      <c r="D532" s="207"/>
      <c r="E532" s="207"/>
      <c r="F532" s="206"/>
      <c r="G532" s="206"/>
      <c r="H532" s="206"/>
      <c r="I532" s="209"/>
      <c r="J532" s="206"/>
      <c r="K532" s="206"/>
      <c r="L532" s="206"/>
      <c r="M532" s="589"/>
      <c r="N532" s="589"/>
    </row>
    <row r="533" spans="2:14" x14ac:dyDescent="0.2">
      <c r="B533" s="206"/>
      <c r="C533" s="206" t="s">
        <v>79</v>
      </c>
      <c r="D533" s="207"/>
      <c r="E533" s="207"/>
      <c r="F533" s="206"/>
      <c r="G533" s="467">
        <v>0</v>
      </c>
      <c r="H533" s="206"/>
      <c r="I533" s="206" t="s">
        <v>79</v>
      </c>
      <c r="J533" s="206"/>
      <c r="K533" s="206"/>
      <c r="L533" s="467">
        <v>0</v>
      </c>
      <c r="M533" s="589"/>
      <c r="N533" s="589"/>
    </row>
    <row r="534" spans="2:14" x14ac:dyDescent="0.2">
      <c r="B534" s="206"/>
      <c r="C534" s="206"/>
      <c r="D534" s="207"/>
      <c r="E534" s="207"/>
      <c r="F534" s="206"/>
      <c r="G534" s="206"/>
      <c r="H534" s="206"/>
      <c r="I534" s="206"/>
      <c r="J534" s="206"/>
      <c r="K534" s="206"/>
      <c r="L534" s="206"/>
      <c r="M534" s="589"/>
      <c r="N534" s="589"/>
    </row>
    <row r="535" spans="2:14" x14ac:dyDescent="0.2">
      <c r="B535" s="206"/>
      <c r="C535" s="206" t="s">
        <v>447</v>
      </c>
      <c r="D535" s="207"/>
      <c r="E535" s="207"/>
      <c r="F535" s="206"/>
      <c r="G535" s="467">
        <v>0</v>
      </c>
      <c r="H535" s="206"/>
      <c r="I535" s="206" t="s">
        <v>447</v>
      </c>
      <c r="J535" s="206"/>
      <c r="K535" s="206"/>
      <c r="L535" s="467">
        <v>0</v>
      </c>
      <c r="M535" s="589"/>
      <c r="N535" s="589"/>
    </row>
    <row r="536" spans="2:14" x14ac:dyDescent="0.2">
      <c r="B536" s="206"/>
      <c r="C536" s="206"/>
      <c r="D536" s="207"/>
      <c r="E536" s="207"/>
      <c r="F536" s="206"/>
      <c r="G536" s="467"/>
      <c r="H536" s="206"/>
      <c r="I536" s="206"/>
      <c r="J536" s="206"/>
      <c r="K536" s="206"/>
      <c r="L536" s="467"/>
      <c r="M536" s="589"/>
      <c r="N536" s="589"/>
    </row>
    <row r="537" spans="2:14" x14ac:dyDescent="0.2">
      <c r="B537" s="206"/>
      <c r="C537" s="206"/>
      <c r="D537" s="207"/>
      <c r="E537" s="207"/>
      <c r="F537" s="206"/>
      <c r="G537" s="467"/>
      <c r="H537" s="206"/>
      <c r="I537" s="206"/>
      <c r="J537" s="206"/>
      <c r="K537" s="206"/>
      <c r="L537" s="467"/>
      <c r="M537" s="589"/>
      <c r="N537" s="589"/>
    </row>
    <row r="538" spans="2:14" x14ac:dyDescent="0.2">
      <c r="B538" s="206"/>
      <c r="C538" s="206" t="s">
        <v>448</v>
      </c>
      <c r="D538" s="207"/>
      <c r="E538" s="207"/>
      <c r="F538" s="206"/>
      <c r="G538" s="467"/>
      <c r="H538" s="206"/>
      <c r="I538" s="206" t="s">
        <v>448</v>
      </c>
      <c r="J538" s="206"/>
      <c r="K538" s="206"/>
      <c r="L538" s="467"/>
      <c r="M538" s="589"/>
      <c r="N538" s="589"/>
    </row>
    <row r="539" spans="2:14" x14ac:dyDescent="0.2">
      <c r="B539" s="206"/>
      <c r="C539" s="206" t="s">
        <v>80</v>
      </c>
      <c r="D539" s="207"/>
      <c r="E539" s="207"/>
      <c r="F539" s="206"/>
      <c r="G539" s="467">
        <f>+'[5]reportes consumidor final'!I518</f>
        <v>0</v>
      </c>
      <c r="H539" s="206"/>
      <c r="I539" s="206" t="s">
        <v>80</v>
      </c>
      <c r="J539" s="206"/>
      <c r="K539" s="206"/>
      <c r="L539" s="467">
        <f>+J524</f>
        <v>5264.2699999999986</v>
      </c>
      <c r="M539" s="589"/>
      <c r="N539" s="589"/>
    </row>
    <row r="540" spans="2:14" x14ac:dyDescent="0.2">
      <c r="B540" s="206"/>
      <c r="C540" s="206" t="s">
        <v>449</v>
      </c>
      <c r="D540" s="207"/>
      <c r="E540" s="207"/>
      <c r="F540" s="206"/>
      <c r="G540" s="468">
        <f>+G539*0.13</f>
        <v>0</v>
      </c>
      <c r="H540" s="206"/>
      <c r="I540" s="206" t="s">
        <v>449</v>
      </c>
      <c r="J540" s="206"/>
      <c r="K540" s="206"/>
      <c r="L540" s="468">
        <f>+K524</f>
        <v>0</v>
      </c>
      <c r="M540" s="589"/>
      <c r="N540" s="589"/>
    </row>
    <row r="541" spans="2:14" x14ac:dyDescent="0.2">
      <c r="B541" s="206"/>
      <c r="C541" s="206"/>
      <c r="D541" s="207"/>
      <c r="E541" s="207"/>
      <c r="F541" s="206"/>
      <c r="G541" s="467"/>
      <c r="H541" s="206"/>
      <c r="I541" s="206"/>
      <c r="J541" s="206"/>
      <c r="K541" s="206"/>
      <c r="L541" s="467"/>
      <c r="M541" s="589"/>
      <c r="N541" s="589"/>
    </row>
    <row r="542" spans="2:14" ht="13.5" thickBot="1" x14ac:dyDescent="0.25">
      <c r="B542" s="206"/>
      <c r="C542" s="206" t="s">
        <v>450</v>
      </c>
      <c r="D542" s="207"/>
      <c r="E542" s="207"/>
      <c r="F542" s="206"/>
      <c r="G542" s="469">
        <f>SUM(G533:G540)</f>
        <v>0</v>
      </c>
      <c r="H542" s="206"/>
      <c r="I542" s="206" t="s">
        <v>450</v>
      </c>
      <c r="J542" s="206"/>
      <c r="K542" s="206"/>
      <c r="L542" s="469">
        <f>SUM(L539:L541)</f>
        <v>5264.2699999999986</v>
      </c>
      <c r="M542" s="589"/>
      <c r="N542" s="589"/>
    </row>
    <row r="543" spans="2:14" ht="13.5" thickTop="1" x14ac:dyDescent="0.2">
      <c r="B543" s="206"/>
      <c r="C543" s="206"/>
      <c r="D543" s="207"/>
      <c r="E543" s="207"/>
      <c r="F543" s="206"/>
      <c r="G543" s="206"/>
      <c r="H543" s="206"/>
      <c r="I543" s="206"/>
      <c r="J543" s="206"/>
      <c r="K543" s="206"/>
      <c r="L543" s="206"/>
      <c r="M543" s="589"/>
      <c r="N543" s="589"/>
    </row>
    <row r="545" spans="1:28" ht="13.5" customHeight="1" x14ac:dyDescent="0.2"/>
    <row r="546" spans="1:28" ht="3.75" customHeight="1" x14ac:dyDescent="0.2">
      <c r="A546" s="610"/>
      <c r="B546" s="610"/>
      <c r="C546" s="611"/>
      <c r="D546" s="611"/>
      <c r="E546" s="610"/>
      <c r="F546" s="610"/>
      <c r="G546" s="610"/>
      <c r="H546" s="610"/>
      <c r="I546" s="610"/>
      <c r="J546" s="610"/>
      <c r="K546" s="610"/>
      <c r="L546" s="610"/>
      <c r="M546" s="612"/>
      <c r="N546" s="612"/>
      <c r="O546" s="612"/>
      <c r="P546" s="612"/>
      <c r="Q546" s="613"/>
      <c r="R546" s="613"/>
      <c r="S546" s="613"/>
      <c r="T546" s="613"/>
      <c r="U546" s="613"/>
      <c r="V546" s="613"/>
      <c r="W546" s="613"/>
      <c r="X546" s="613"/>
      <c r="Y546" s="613"/>
      <c r="Z546" s="613"/>
      <c r="AA546" s="613"/>
      <c r="AB546" s="613"/>
    </row>
    <row r="551" spans="1:28" x14ac:dyDescent="0.2">
      <c r="B551" s="484" t="s">
        <v>189</v>
      </c>
      <c r="C551" s="206"/>
      <c r="D551" s="206"/>
      <c r="E551" s="213"/>
      <c r="F551" s="214"/>
      <c r="G551" s="206"/>
      <c r="H551" s="206"/>
      <c r="I551" s="206"/>
      <c r="J551" s="206"/>
      <c r="K551" s="206"/>
      <c r="L551" s="206"/>
      <c r="M551" s="589"/>
      <c r="N551" s="589"/>
    </row>
    <row r="552" spans="1:28" x14ac:dyDescent="0.2">
      <c r="B552" s="485" t="s">
        <v>134</v>
      </c>
      <c r="C552" s="206"/>
      <c r="D552" s="206"/>
      <c r="E552" s="485"/>
      <c r="F552" s="214"/>
      <c r="G552" s="206"/>
      <c r="H552" s="206"/>
      <c r="I552" s="206"/>
      <c r="J552" s="206"/>
      <c r="K552" s="206"/>
      <c r="L552" s="206"/>
      <c r="M552" s="589"/>
      <c r="N552" s="589"/>
    </row>
    <row r="553" spans="1:28" x14ac:dyDescent="0.2">
      <c r="B553" s="491" t="s">
        <v>135</v>
      </c>
      <c r="C553" s="206"/>
      <c r="D553" s="206"/>
      <c r="E553" s="213"/>
      <c r="F553" s="490"/>
      <c r="G553" s="206"/>
      <c r="H553" s="206"/>
      <c r="I553" s="206"/>
      <c r="J553" s="206"/>
      <c r="K553" s="206"/>
      <c r="L553" s="206"/>
      <c r="M553" s="589"/>
      <c r="N553" s="589"/>
    </row>
    <row r="554" spans="1:28" x14ac:dyDescent="0.2">
      <c r="B554" s="491" t="s">
        <v>190</v>
      </c>
      <c r="C554" s="206"/>
      <c r="D554" s="206"/>
      <c r="E554" s="213"/>
      <c r="F554" s="214"/>
      <c r="G554" s="206"/>
      <c r="H554" s="206"/>
      <c r="I554" s="206"/>
      <c r="J554" s="206"/>
      <c r="K554" s="206"/>
      <c r="L554" s="206"/>
      <c r="M554" s="589"/>
      <c r="N554" s="589"/>
    </row>
    <row r="555" spans="1:28" x14ac:dyDescent="0.2">
      <c r="B555" s="489"/>
      <c r="C555" s="206"/>
      <c r="D555" s="206"/>
      <c r="E555" s="213"/>
      <c r="F555" s="214"/>
      <c r="G555" s="206"/>
      <c r="H555" s="206"/>
      <c r="I555" s="206"/>
      <c r="J555" s="206"/>
      <c r="K555" s="206"/>
      <c r="L555" s="206"/>
      <c r="M555" s="589"/>
      <c r="N555" s="589"/>
    </row>
    <row r="556" spans="1:28" ht="18" x14ac:dyDescent="0.25">
      <c r="B556" s="205" t="s">
        <v>240</v>
      </c>
      <c r="C556" s="206"/>
      <c r="D556" s="207"/>
      <c r="E556" s="208" t="s">
        <v>690</v>
      </c>
      <c r="F556" s="209" t="s">
        <v>97</v>
      </c>
      <c r="G556" s="210">
        <v>2017</v>
      </c>
      <c r="H556" s="211" t="s">
        <v>14</v>
      </c>
      <c r="I556" s="211"/>
      <c r="J556" s="206"/>
      <c r="K556" s="206"/>
      <c r="L556" s="206"/>
      <c r="M556" s="589"/>
      <c r="N556" s="589"/>
    </row>
    <row r="557" spans="1:28" x14ac:dyDescent="0.2">
      <c r="B557" s="212" t="s">
        <v>15</v>
      </c>
      <c r="C557" s="206"/>
      <c r="D557" s="206"/>
      <c r="E557" s="213"/>
      <c r="F557" s="214"/>
      <c r="G557" s="206"/>
      <c r="H557" s="215"/>
      <c r="I557" s="215"/>
      <c r="J557" s="206"/>
      <c r="K557" s="206"/>
      <c r="L557" s="206"/>
      <c r="M557" s="589"/>
      <c r="N557" s="589"/>
    </row>
    <row r="558" spans="1:28" x14ac:dyDescent="0.2">
      <c r="B558" s="216"/>
      <c r="C558" s="216"/>
      <c r="D558" s="216"/>
      <c r="E558" s="216"/>
      <c r="F558" s="216"/>
      <c r="G558" s="216"/>
      <c r="H558" s="216"/>
      <c r="I558" s="216"/>
      <c r="J558" s="216"/>
      <c r="K558" s="216"/>
      <c r="L558" s="216"/>
      <c r="M558" s="589"/>
      <c r="N558" s="589"/>
    </row>
    <row r="559" spans="1:28" x14ac:dyDescent="0.2">
      <c r="B559" s="216"/>
      <c r="C559" s="216"/>
      <c r="D559" s="216"/>
      <c r="E559" s="216"/>
      <c r="F559" s="216"/>
      <c r="G559" s="216"/>
      <c r="H559" s="209"/>
      <c r="I559" s="209"/>
      <c r="J559" s="209"/>
      <c r="K559" s="209"/>
      <c r="L559" s="216"/>
      <c r="M559" s="589"/>
      <c r="N559" s="589"/>
    </row>
    <row r="560" spans="1:28" x14ac:dyDescent="0.2">
      <c r="B560" s="217"/>
      <c r="C560" s="218" t="s">
        <v>137</v>
      </c>
      <c r="D560" s="219" t="s">
        <v>16</v>
      </c>
      <c r="E560" s="219"/>
      <c r="F560" s="219" t="s">
        <v>74</v>
      </c>
      <c r="G560" s="219"/>
      <c r="H560" s="220" t="s">
        <v>75</v>
      </c>
      <c r="I560" s="221"/>
      <c r="J560" s="221"/>
      <c r="K560" s="221"/>
      <c r="L560" s="239"/>
      <c r="M560" s="590"/>
      <c r="N560" s="590"/>
    </row>
    <row r="561" spans="2:26" x14ac:dyDescent="0.2">
      <c r="B561" s="222" t="s">
        <v>76</v>
      </c>
      <c r="C561" s="223" t="s">
        <v>77</v>
      </c>
      <c r="D561" s="223" t="s">
        <v>141</v>
      </c>
      <c r="E561" s="223" t="s">
        <v>78</v>
      </c>
      <c r="F561" s="223" t="s">
        <v>142</v>
      </c>
      <c r="G561" s="223" t="s">
        <v>79</v>
      </c>
      <c r="H561" s="224" t="s">
        <v>48</v>
      </c>
      <c r="I561" s="221"/>
      <c r="J561" s="224" t="s">
        <v>80</v>
      </c>
      <c r="K561" s="221"/>
      <c r="L561" s="240" t="s">
        <v>175</v>
      </c>
      <c r="M561" s="590"/>
      <c r="N561" s="590"/>
      <c r="O561" s="303" t="s">
        <v>257</v>
      </c>
      <c r="P561" s="303"/>
      <c r="Q561" s="303"/>
      <c r="R561" s="303"/>
      <c r="U561" s="153" t="s">
        <v>247</v>
      </c>
      <c r="Y561" s="144" t="s">
        <v>256</v>
      </c>
      <c r="Z561" s="144" t="s">
        <v>184</v>
      </c>
    </row>
    <row r="562" spans="2:26" x14ac:dyDescent="0.2">
      <c r="B562" s="225"/>
      <c r="C562" s="226"/>
      <c r="D562" s="226"/>
      <c r="E562" s="225"/>
      <c r="F562" s="225"/>
      <c r="G562" s="225"/>
      <c r="H562" s="227" t="s">
        <v>176</v>
      </c>
      <c r="I562" s="228" t="s">
        <v>177</v>
      </c>
      <c r="J562" s="241" t="s">
        <v>178</v>
      </c>
      <c r="K562" s="241" t="s">
        <v>46</v>
      </c>
      <c r="L562" s="242" t="s">
        <v>48</v>
      </c>
      <c r="M562" s="590"/>
      <c r="N562" s="590"/>
      <c r="O562" s="260" t="s">
        <v>81</v>
      </c>
      <c r="P562" s="96">
        <v>51000000001</v>
      </c>
      <c r="Q562" s="234" t="s">
        <v>242</v>
      </c>
      <c r="R562" s="592">
        <f>SUMIFS($J$564:$J$590,$E$564:$E$590,Q562,$M$564:$M$590,P562)</f>
        <v>0</v>
      </c>
      <c r="T562" s="144">
        <v>51000200001</v>
      </c>
      <c r="U562" s="144" t="s">
        <v>194</v>
      </c>
      <c r="X562" s="156">
        <v>-1593.49</v>
      </c>
      <c r="Y562" s="156">
        <f>R565</f>
        <v>0</v>
      </c>
      <c r="Z562" s="236">
        <v>0</v>
      </c>
    </row>
    <row r="563" spans="2:26" x14ac:dyDescent="0.2">
      <c r="B563" s="229"/>
      <c r="C563" s="230"/>
      <c r="D563" s="230"/>
      <c r="E563" s="231"/>
      <c r="F563" s="232"/>
      <c r="G563" s="591"/>
      <c r="H563" s="592"/>
      <c r="I563" s="592"/>
      <c r="J563" s="592"/>
      <c r="K563" s="592"/>
      <c r="L563" s="592"/>
      <c r="M563" s="593"/>
      <c r="N563" s="593"/>
      <c r="O563" s="260" t="s">
        <v>81</v>
      </c>
      <c r="P563" s="96">
        <v>51000000002</v>
      </c>
      <c r="Q563" s="234" t="s">
        <v>242</v>
      </c>
      <c r="R563" s="592">
        <f t="shared" ref="R563:R581" si="48">SUMIFS($J$564:$J$590,$E$564:$E$590,Q563,$M$564:$M$590,P563)</f>
        <v>0</v>
      </c>
      <c r="T563" s="144">
        <v>51000200002</v>
      </c>
      <c r="U563" s="144" t="s">
        <v>195</v>
      </c>
      <c r="X563" s="156">
        <v>-1593.49</v>
      </c>
      <c r="Y563" s="156">
        <f>R567</f>
        <v>0</v>
      </c>
      <c r="Z563" s="236">
        <v>0</v>
      </c>
    </row>
    <row r="564" spans="2:26" x14ac:dyDescent="0.2">
      <c r="B564" s="714">
        <v>43474</v>
      </c>
      <c r="C564" s="230" t="s">
        <v>661</v>
      </c>
      <c r="D564" s="230" t="s">
        <v>241</v>
      </c>
      <c r="E564" s="340" t="s">
        <v>242</v>
      </c>
      <c r="F564" s="340" t="s">
        <v>47</v>
      </c>
      <c r="G564" s="343"/>
      <c r="H564" s="341"/>
      <c r="I564" s="341"/>
      <c r="J564" s="341">
        <v>239.73</v>
      </c>
      <c r="K564" s="235">
        <v>31.16</v>
      </c>
      <c r="L564" s="592">
        <f t="shared" ref="L564:L571" si="49">+J564+K564</f>
        <v>270.89</v>
      </c>
      <c r="M564" s="608">
        <v>51000200002</v>
      </c>
      <c r="N564" s="593"/>
      <c r="O564" s="260" t="s">
        <v>81</v>
      </c>
      <c r="P564" s="96">
        <v>51000100001</v>
      </c>
      <c r="Q564" s="234" t="s">
        <v>242</v>
      </c>
      <c r="R564" s="592">
        <f t="shared" si="48"/>
        <v>0</v>
      </c>
      <c r="T564" s="144">
        <v>51000100001</v>
      </c>
      <c r="U564" s="156" t="s">
        <v>4</v>
      </c>
      <c r="X564" s="156"/>
    </row>
    <row r="565" spans="2:26" x14ac:dyDescent="0.2">
      <c r="B565" s="714">
        <v>43474</v>
      </c>
      <c r="C565" s="230" t="s">
        <v>662</v>
      </c>
      <c r="D565" s="230" t="s">
        <v>241</v>
      </c>
      <c r="E565" s="340" t="s">
        <v>242</v>
      </c>
      <c r="F565" s="340" t="s">
        <v>47</v>
      </c>
      <c r="G565" s="340"/>
      <c r="H565" s="341"/>
      <c r="I565" s="341"/>
      <c r="J565" s="341">
        <v>239.73</v>
      </c>
      <c r="K565" s="235">
        <v>31.16</v>
      </c>
      <c r="L565" s="592">
        <f t="shared" si="49"/>
        <v>270.89</v>
      </c>
      <c r="M565" s="608">
        <v>51000200001</v>
      </c>
      <c r="N565" s="593"/>
      <c r="O565" s="260" t="s">
        <v>81</v>
      </c>
      <c r="P565" s="96">
        <v>51000100001</v>
      </c>
      <c r="Q565" s="234" t="s">
        <v>269</v>
      </c>
      <c r="R565" s="592">
        <f t="shared" si="48"/>
        <v>0</v>
      </c>
      <c r="T565" s="144">
        <v>51000100002</v>
      </c>
      <c r="U565" s="156" t="s">
        <v>193</v>
      </c>
      <c r="X565" s="156"/>
    </row>
    <row r="566" spans="2:26" x14ac:dyDescent="0.2">
      <c r="B566" s="233">
        <v>43476</v>
      </c>
      <c r="C566" s="230" t="s">
        <v>663</v>
      </c>
      <c r="D566" s="230" t="s">
        <v>241</v>
      </c>
      <c r="E566" s="340" t="s">
        <v>242</v>
      </c>
      <c r="F566" s="340" t="s">
        <v>47</v>
      </c>
      <c r="G566" s="343"/>
      <c r="H566" s="341"/>
      <c r="I566" s="341"/>
      <c r="J566" s="341">
        <v>95.89</v>
      </c>
      <c r="K566" s="235">
        <v>12.47</v>
      </c>
      <c r="L566" s="592">
        <f t="shared" si="49"/>
        <v>108.36</v>
      </c>
      <c r="M566" s="608">
        <v>51000200002</v>
      </c>
      <c r="N566" s="593"/>
      <c r="O566" s="260" t="s">
        <v>81</v>
      </c>
      <c r="P566" s="96">
        <v>51000100002</v>
      </c>
      <c r="Q566" s="234" t="s">
        <v>242</v>
      </c>
      <c r="R566" s="592">
        <f t="shared" si="48"/>
        <v>0</v>
      </c>
      <c r="T566" s="144">
        <v>51220200001</v>
      </c>
      <c r="U566" s="144" t="s">
        <v>21</v>
      </c>
      <c r="X566" s="156">
        <v>-1585.92</v>
      </c>
      <c r="Y566" s="156">
        <f>R574+R581</f>
        <v>1368.47</v>
      </c>
      <c r="Z566" s="236">
        <f>X566+Y566</f>
        <v>-217.45000000000005</v>
      </c>
    </row>
    <row r="567" spans="2:26" x14ac:dyDescent="0.2">
      <c r="B567" s="233">
        <v>43476</v>
      </c>
      <c r="C567" s="230" t="s">
        <v>664</v>
      </c>
      <c r="D567" s="230" t="s">
        <v>241</v>
      </c>
      <c r="E567" s="340" t="s">
        <v>242</v>
      </c>
      <c r="F567" s="340" t="s">
        <v>47</v>
      </c>
      <c r="G567" s="343"/>
      <c r="H567" s="341"/>
      <c r="I567" s="341"/>
      <c r="J567" s="341">
        <v>95.89</v>
      </c>
      <c r="K567" s="235">
        <v>12.47</v>
      </c>
      <c r="L567" s="592">
        <f t="shared" si="49"/>
        <v>108.36</v>
      </c>
      <c r="M567" s="608">
        <v>51000200001</v>
      </c>
      <c r="N567" s="593"/>
      <c r="O567" s="260" t="s">
        <v>81</v>
      </c>
      <c r="P567" s="96">
        <v>51000100002</v>
      </c>
      <c r="Q567" s="234" t="s">
        <v>269</v>
      </c>
      <c r="R567" s="592">
        <f t="shared" si="48"/>
        <v>0</v>
      </c>
      <c r="T567" s="702">
        <v>52200000001</v>
      </c>
      <c r="U567" s="702" t="s">
        <v>11</v>
      </c>
      <c r="V567" s="702"/>
      <c r="W567" s="702"/>
      <c r="X567" s="703"/>
      <c r="Y567" s="156">
        <v>0</v>
      </c>
      <c r="Z567" s="236">
        <v>0</v>
      </c>
    </row>
    <row r="568" spans="2:26" x14ac:dyDescent="0.2">
      <c r="B568" s="233">
        <v>43480</v>
      </c>
      <c r="C568" s="230" t="s">
        <v>665</v>
      </c>
      <c r="D568" s="230" t="s">
        <v>241</v>
      </c>
      <c r="E568" s="340" t="s">
        <v>242</v>
      </c>
      <c r="F568" s="340" t="s">
        <v>47</v>
      </c>
      <c r="G568" s="340"/>
      <c r="H568" s="341"/>
      <c r="I568" s="341"/>
      <c r="J568" s="341">
        <v>91.35</v>
      </c>
      <c r="K568" s="235">
        <v>11.88</v>
      </c>
      <c r="L568" s="592">
        <f t="shared" si="49"/>
        <v>103.22999999999999</v>
      </c>
      <c r="M568" s="608">
        <v>51000200002</v>
      </c>
      <c r="N568" s="593"/>
      <c r="O568" s="260" t="s">
        <v>81</v>
      </c>
      <c r="P568" s="486">
        <v>51000200001</v>
      </c>
      <c r="Q568" s="476" t="s">
        <v>242</v>
      </c>
      <c r="R568" s="592">
        <f t="shared" si="48"/>
        <v>1593.4899999999998</v>
      </c>
      <c r="X568" s="356">
        <v>0</v>
      </c>
      <c r="Y568" s="156">
        <v>0</v>
      </c>
      <c r="Z568" s="236">
        <v>0</v>
      </c>
    </row>
    <row r="569" spans="2:26" x14ac:dyDescent="0.2">
      <c r="B569" s="233">
        <v>43480</v>
      </c>
      <c r="C569" s="230" t="s">
        <v>666</v>
      </c>
      <c r="D569" s="230" t="s">
        <v>241</v>
      </c>
      <c r="E569" s="340" t="s">
        <v>242</v>
      </c>
      <c r="F569" s="340" t="s">
        <v>47</v>
      </c>
      <c r="G569" s="340"/>
      <c r="H569" s="341"/>
      <c r="I569" s="341"/>
      <c r="J569" s="341">
        <v>91.35</v>
      </c>
      <c r="K569" s="235">
        <v>11.88</v>
      </c>
      <c r="L569" s="592">
        <f t="shared" si="49"/>
        <v>103.22999999999999</v>
      </c>
      <c r="M569" s="608">
        <v>51000200001</v>
      </c>
      <c r="N569" s="593"/>
      <c r="O569" s="260" t="s">
        <v>81</v>
      </c>
      <c r="P569" s="96">
        <v>51000200001</v>
      </c>
      <c r="Q569" s="234" t="s">
        <v>187</v>
      </c>
      <c r="R569" s="592">
        <f t="shared" si="48"/>
        <v>0</v>
      </c>
      <c r="X569" s="304">
        <v>0</v>
      </c>
      <c r="Y569" s="304">
        <f>R577+R584</f>
        <v>0</v>
      </c>
      <c r="Z569" s="300">
        <v>0</v>
      </c>
    </row>
    <row r="570" spans="2:26" x14ac:dyDescent="0.2">
      <c r="B570" s="233">
        <v>43481</v>
      </c>
      <c r="C570" s="230" t="s">
        <v>667</v>
      </c>
      <c r="D570" s="230" t="s">
        <v>241</v>
      </c>
      <c r="E570" s="340" t="s">
        <v>242</v>
      </c>
      <c r="F570" s="340" t="s">
        <v>47</v>
      </c>
      <c r="G570" s="340"/>
      <c r="H570" s="341"/>
      <c r="I570" s="341"/>
      <c r="J570" s="341">
        <v>95.89</v>
      </c>
      <c r="K570" s="235">
        <v>12.47</v>
      </c>
      <c r="L570" s="592">
        <f t="shared" si="49"/>
        <v>108.36</v>
      </c>
      <c r="M570" s="608">
        <v>51000200002</v>
      </c>
      <c r="N570" s="593"/>
      <c r="O570" s="260" t="s">
        <v>81</v>
      </c>
      <c r="P570" s="96">
        <v>51000200001</v>
      </c>
      <c r="Q570" s="234" t="s">
        <v>22</v>
      </c>
      <c r="R570" s="592">
        <f t="shared" si="48"/>
        <v>0</v>
      </c>
      <c r="X570" s="290">
        <f>SUM(X562:X566)</f>
        <v>-4772.8999999999996</v>
      </c>
      <c r="Y570" s="290">
        <f>SUM(Y562:Y569)</f>
        <v>1368.47</v>
      </c>
      <c r="Z570" s="290">
        <f>SUM(Z562:Z569)</f>
        <v>-217.45000000000005</v>
      </c>
    </row>
    <row r="571" spans="2:26" x14ac:dyDescent="0.2">
      <c r="B571" s="233">
        <v>43481</v>
      </c>
      <c r="C571" s="230" t="s">
        <v>668</v>
      </c>
      <c r="D571" s="230" t="s">
        <v>241</v>
      </c>
      <c r="E571" s="340" t="s">
        <v>242</v>
      </c>
      <c r="F571" s="340" t="s">
        <v>47</v>
      </c>
      <c r="G571" s="340"/>
      <c r="H571" s="341"/>
      <c r="I571" s="341"/>
      <c r="J571" s="341">
        <v>95.89</v>
      </c>
      <c r="K571" s="235">
        <v>12.47</v>
      </c>
      <c r="L571" s="592">
        <f t="shared" si="49"/>
        <v>108.36</v>
      </c>
      <c r="M571" s="608">
        <v>51000200001</v>
      </c>
      <c r="N571" s="593"/>
      <c r="O571" s="260" t="s">
        <v>81</v>
      </c>
      <c r="P571" s="486">
        <v>51000200002</v>
      </c>
      <c r="Q571" s="476" t="s">
        <v>242</v>
      </c>
      <c r="R571" s="592">
        <f t="shared" si="48"/>
        <v>1593.4899999999998</v>
      </c>
      <c r="U571" s="156"/>
    </row>
    <row r="572" spans="2:26" x14ac:dyDescent="0.2">
      <c r="B572" s="233">
        <v>43481</v>
      </c>
      <c r="C572" s="230" t="s">
        <v>669</v>
      </c>
      <c r="D572" s="230" t="s">
        <v>241</v>
      </c>
      <c r="E572" s="234" t="s">
        <v>269</v>
      </c>
      <c r="F572" s="234" t="s">
        <v>270</v>
      </c>
      <c r="G572" s="234"/>
      <c r="H572" s="592"/>
      <c r="I572" s="592"/>
      <c r="J572" s="592">
        <v>346.02</v>
      </c>
      <c r="K572" s="235">
        <v>44.98</v>
      </c>
      <c r="L572" s="592">
        <f>+J572+K572</f>
        <v>391</v>
      </c>
      <c r="M572" s="608">
        <v>51220200001</v>
      </c>
      <c r="N572" s="593"/>
      <c r="O572" s="260" t="s">
        <v>81</v>
      </c>
      <c r="P572" s="96">
        <v>51000200002</v>
      </c>
      <c r="Q572" s="234" t="s">
        <v>187</v>
      </c>
      <c r="R572" s="592">
        <f t="shared" si="48"/>
        <v>0</v>
      </c>
      <c r="U572" s="156"/>
    </row>
    <row r="573" spans="2:26" x14ac:dyDescent="0.2">
      <c r="B573" s="233">
        <v>43481</v>
      </c>
      <c r="C573" s="230" t="s">
        <v>670</v>
      </c>
      <c r="D573" s="230" t="s">
        <v>241</v>
      </c>
      <c r="E573" s="340" t="s">
        <v>242</v>
      </c>
      <c r="F573" s="340" t="s">
        <v>47</v>
      </c>
      <c r="G573" s="340"/>
      <c r="H573" s="341"/>
      <c r="I573" s="341"/>
      <c r="J573" s="341">
        <v>1022.45</v>
      </c>
      <c r="K573" s="235">
        <v>132.91999999999999</v>
      </c>
      <c r="L573" s="592">
        <f t="shared" ref="L573:L590" si="50">+J573+K573</f>
        <v>1155.3700000000001</v>
      </c>
      <c r="M573" s="608">
        <v>51220200001</v>
      </c>
      <c r="N573" s="593"/>
      <c r="O573" s="260" t="s">
        <v>81</v>
      </c>
      <c r="P573" s="96">
        <v>51000200002</v>
      </c>
      <c r="Q573" s="234" t="s">
        <v>22</v>
      </c>
      <c r="R573" s="592">
        <f t="shared" si="48"/>
        <v>0</v>
      </c>
      <c r="U573" s="156"/>
      <c r="Z573" s="236"/>
    </row>
    <row r="574" spans="2:26" x14ac:dyDescent="0.2">
      <c r="B574" s="233">
        <v>43481</v>
      </c>
      <c r="C574" s="230" t="s">
        <v>671</v>
      </c>
      <c r="D574" s="230" t="s">
        <v>241</v>
      </c>
      <c r="E574" s="476" t="s">
        <v>323</v>
      </c>
      <c r="F574" s="476" t="s">
        <v>179</v>
      </c>
      <c r="G574" s="476"/>
      <c r="H574" s="478"/>
      <c r="I574" s="478"/>
      <c r="J574" s="478">
        <v>195.46</v>
      </c>
      <c r="K574" s="294">
        <v>25.41</v>
      </c>
      <c r="L574" s="592">
        <f t="shared" si="50"/>
        <v>220.87</v>
      </c>
      <c r="M574" s="593"/>
      <c r="N574" s="593"/>
      <c r="O574" s="260" t="s">
        <v>81</v>
      </c>
      <c r="P574" s="486">
        <v>51220200001</v>
      </c>
      <c r="Q574" s="476" t="s">
        <v>242</v>
      </c>
      <c r="R574" s="592">
        <f t="shared" si="48"/>
        <v>1022.45</v>
      </c>
      <c r="U574" s="156"/>
    </row>
    <row r="575" spans="2:26" x14ac:dyDescent="0.2">
      <c r="B575" s="233">
        <v>43482</v>
      </c>
      <c r="C575" s="230" t="s">
        <v>672</v>
      </c>
      <c r="D575" s="230" t="s">
        <v>241</v>
      </c>
      <c r="E575" s="340" t="s">
        <v>242</v>
      </c>
      <c r="F575" s="340" t="s">
        <v>47</v>
      </c>
      <c r="G575" s="340"/>
      <c r="H575" s="341"/>
      <c r="I575" s="341"/>
      <c r="J575" s="341">
        <v>95.89</v>
      </c>
      <c r="K575" s="294">
        <v>12.47</v>
      </c>
      <c r="L575" s="592">
        <f t="shared" si="50"/>
        <v>108.36</v>
      </c>
      <c r="M575" s="608">
        <v>51000200002</v>
      </c>
      <c r="N575" s="593"/>
      <c r="O575" s="260" t="s">
        <v>81</v>
      </c>
      <c r="P575" s="96">
        <v>51220200001</v>
      </c>
      <c r="Q575" s="234" t="s">
        <v>187</v>
      </c>
      <c r="R575" s="592">
        <f t="shared" si="48"/>
        <v>0</v>
      </c>
    </row>
    <row r="576" spans="2:26" x14ac:dyDescent="0.2">
      <c r="B576" s="233">
        <v>43482</v>
      </c>
      <c r="C576" s="230" t="s">
        <v>673</v>
      </c>
      <c r="D576" s="230" t="s">
        <v>241</v>
      </c>
      <c r="E576" s="340" t="s">
        <v>242</v>
      </c>
      <c r="F576" s="340" t="s">
        <v>47</v>
      </c>
      <c r="G576" s="340"/>
      <c r="H576" s="341"/>
      <c r="I576" s="341"/>
      <c r="J576" s="341">
        <v>95.89</v>
      </c>
      <c r="K576" s="294">
        <v>12.47</v>
      </c>
      <c r="L576" s="592">
        <f t="shared" si="50"/>
        <v>108.36</v>
      </c>
      <c r="M576" s="608">
        <v>51000200001</v>
      </c>
      <c r="N576" s="593"/>
      <c r="O576" s="260" t="s">
        <v>81</v>
      </c>
      <c r="P576" s="96">
        <v>51220200001</v>
      </c>
      <c r="Q576" s="234" t="s">
        <v>22</v>
      </c>
      <c r="R576" s="592">
        <f t="shared" si="48"/>
        <v>0</v>
      </c>
    </row>
    <row r="577" spans="2:25" x14ac:dyDescent="0.2">
      <c r="B577" s="233">
        <v>43483</v>
      </c>
      <c r="C577" s="230" t="s">
        <v>674</v>
      </c>
      <c r="D577" s="230" t="s">
        <v>241</v>
      </c>
      <c r="E577" s="340" t="s">
        <v>242</v>
      </c>
      <c r="F577" s="201" t="s">
        <v>47</v>
      </c>
      <c r="G577" s="343"/>
      <c r="H577" s="341"/>
      <c r="I577" s="341"/>
      <c r="J577" s="341">
        <v>96.37</v>
      </c>
      <c r="K577" s="294">
        <v>12.53</v>
      </c>
      <c r="L577" s="592">
        <f>+J577+K577</f>
        <v>108.9</v>
      </c>
      <c r="M577" s="608">
        <v>51000200002</v>
      </c>
      <c r="N577" s="593"/>
      <c r="O577" s="260" t="s">
        <v>81</v>
      </c>
      <c r="P577" s="96">
        <v>52200000001</v>
      </c>
      <c r="Q577" s="234" t="s">
        <v>242</v>
      </c>
      <c r="R577" s="592">
        <f t="shared" si="48"/>
        <v>0</v>
      </c>
      <c r="W577" s="153" t="s">
        <v>255</v>
      </c>
      <c r="X577" s="236">
        <f>+X563+X566+X562+X568+X569+X564+X565</f>
        <v>-4772.8999999999996</v>
      </c>
    </row>
    <row r="578" spans="2:25" x14ac:dyDescent="0.2">
      <c r="B578" s="233">
        <v>43483</v>
      </c>
      <c r="C578" s="230" t="s">
        <v>675</v>
      </c>
      <c r="D578" s="230" t="s">
        <v>241</v>
      </c>
      <c r="E578" s="340" t="s">
        <v>242</v>
      </c>
      <c r="F578" s="201" t="s">
        <v>47</v>
      </c>
      <c r="G578" s="343"/>
      <c r="H578" s="341"/>
      <c r="I578" s="341"/>
      <c r="J578" s="341">
        <v>96.37</v>
      </c>
      <c r="K578" s="294">
        <v>12.53</v>
      </c>
      <c r="L578" s="592">
        <f>+J578+K578</f>
        <v>108.9</v>
      </c>
      <c r="M578" s="608">
        <v>51000200001</v>
      </c>
      <c r="N578" s="593"/>
      <c r="O578" s="260" t="s">
        <v>81</v>
      </c>
      <c r="P578" s="96">
        <v>52200000001</v>
      </c>
      <c r="Q578" s="234" t="s">
        <v>187</v>
      </c>
      <c r="R578" s="592">
        <f t="shared" si="48"/>
        <v>0</v>
      </c>
      <c r="W578" s="144" t="s">
        <v>257</v>
      </c>
      <c r="X578" s="236">
        <f>+R582</f>
        <v>4555.4499999999989</v>
      </c>
    </row>
    <row r="579" spans="2:25" x14ac:dyDescent="0.2">
      <c r="B579" s="233">
        <v>43487</v>
      </c>
      <c r="C579" s="230" t="s">
        <v>676</v>
      </c>
      <c r="D579" s="230" t="s">
        <v>241</v>
      </c>
      <c r="E579" s="340" t="s">
        <v>242</v>
      </c>
      <c r="F579" s="340" t="s">
        <v>47</v>
      </c>
      <c r="G579" s="343"/>
      <c r="H579" s="341"/>
      <c r="I579" s="341"/>
      <c r="J579" s="341">
        <v>143.84</v>
      </c>
      <c r="K579" s="235">
        <v>18.7</v>
      </c>
      <c r="L579" s="592">
        <f t="shared" ref="L579:L583" si="51">+J579+K579</f>
        <v>162.54</v>
      </c>
      <c r="M579" s="608">
        <v>51000200002</v>
      </c>
      <c r="N579" s="593"/>
      <c r="O579" s="260" t="s">
        <v>81</v>
      </c>
      <c r="P579" s="96">
        <v>52200000001</v>
      </c>
      <c r="Q579" s="234" t="s">
        <v>22</v>
      </c>
      <c r="R579" s="592">
        <f t="shared" si="48"/>
        <v>0</v>
      </c>
      <c r="W579" s="144" t="s">
        <v>260</v>
      </c>
      <c r="X579" s="300">
        <f>J574</f>
        <v>195.46</v>
      </c>
    </row>
    <row r="580" spans="2:25" x14ac:dyDescent="0.2">
      <c r="B580" s="233">
        <v>43487</v>
      </c>
      <c r="C580" s="230" t="s">
        <v>677</v>
      </c>
      <c r="D580" s="230" t="s">
        <v>241</v>
      </c>
      <c r="E580" s="340" t="s">
        <v>242</v>
      </c>
      <c r="F580" s="340" t="s">
        <v>47</v>
      </c>
      <c r="G580" s="343"/>
      <c r="H580" s="341"/>
      <c r="I580" s="341"/>
      <c r="J580" s="341">
        <v>143.84</v>
      </c>
      <c r="K580" s="235">
        <v>18.7</v>
      </c>
      <c r="L580" s="592">
        <f t="shared" si="51"/>
        <v>162.54</v>
      </c>
      <c r="M580" s="608">
        <v>51000200001</v>
      </c>
      <c r="N580" s="593"/>
      <c r="O580" s="260" t="s">
        <v>81</v>
      </c>
      <c r="P580" s="96">
        <v>52200000001</v>
      </c>
      <c r="Q580" s="234" t="s">
        <v>242</v>
      </c>
      <c r="R580" s="592">
        <f t="shared" si="48"/>
        <v>0</v>
      </c>
      <c r="X580" s="704">
        <f>X577+X578+X579</f>
        <v>-21.99000000000072</v>
      </c>
      <c r="Y580" s="144" t="s">
        <v>275</v>
      </c>
    </row>
    <row r="581" spans="2:25" x14ac:dyDescent="0.2">
      <c r="B581" s="233" t="s">
        <v>678</v>
      </c>
      <c r="C581" s="230" t="s">
        <v>679</v>
      </c>
      <c r="D581" s="230" t="s">
        <v>241</v>
      </c>
      <c r="E581" s="340" t="s">
        <v>242</v>
      </c>
      <c r="F581" s="340" t="s">
        <v>47</v>
      </c>
      <c r="G581" s="343"/>
      <c r="H581" s="341"/>
      <c r="I581" s="341"/>
      <c r="J581" s="341">
        <v>231.1</v>
      </c>
      <c r="K581" s="235">
        <v>30.04</v>
      </c>
      <c r="L581" s="592">
        <f t="shared" si="51"/>
        <v>261.14</v>
      </c>
      <c r="M581" s="608">
        <v>51000200002</v>
      </c>
      <c r="N581" s="593"/>
      <c r="O581" s="260" t="s">
        <v>81</v>
      </c>
      <c r="P581" s="486">
        <v>51220200001</v>
      </c>
      <c r="Q581" s="476" t="s">
        <v>269</v>
      </c>
      <c r="R581" s="592">
        <f t="shared" si="48"/>
        <v>346.02</v>
      </c>
    </row>
    <row r="582" spans="2:25" ht="13.5" thickBot="1" x14ac:dyDescent="0.25">
      <c r="B582" s="233" t="s">
        <v>678</v>
      </c>
      <c r="C582" s="230" t="s">
        <v>680</v>
      </c>
      <c r="D582" s="230" t="s">
        <v>241</v>
      </c>
      <c r="E582" s="340" t="s">
        <v>242</v>
      </c>
      <c r="F582" s="340" t="s">
        <v>47</v>
      </c>
      <c r="G582" s="343"/>
      <c r="H582" s="341"/>
      <c r="I582" s="341"/>
      <c r="J582" s="341">
        <v>231.1</v>
      </c>
      <c r="K582" s="235">
        <v>30.04</v>
      </c>
      <c r="L582" s="592">
        <f t="shared" si="51"/>
        <v>261.14</v>
      </c>
      <c r="M582" s="608">
        <v>51000200001</v>
      </c>
      <c r="N582" s="593"/>
      <c r="R582" s="607">
        <f>SUM(R562:R581)</f>
        <v>4555.4499999999989</v>
      </c>
    </row>
    <row r="583" spans="2:25" ht="13.5" thickTop="1" x14ac:dyDescent="0.2">
      <c r="B583" s="233">
        <v>43489</v>
      </c>
      <c r="C583" s="230" t="s">
        <v>681</v>
      </c>
      <c r="D583" s="230" t="s">
        <v>241</v>
      </c>
      <c r="E583" s="340" t="s">
        <v>242</v>
      </c>
      <c r="F583" s="340" t="s">
        <v>47</v>
      </c>
      <c r="G583" s="343"/>
      <c r="H583" s="341"/>
      <c r="I583" s="341"/>
      <c r="J583" s="341">
        <v>191.78</v>
      </c>
      <c r="K583" s="235">
        <v>24.93</v>
      </c>
      <c r="L583" s="592">
        <f t="shared" si="51"/>
        <v>216.71</v>
      </c>
      <c r="M583" s="608">
        <v>51000200002</v>
      </c>
      <c r="N583" s="593"/>
    </row>
    <row r="584" spans="2:25" x14ac:dyDescent="0.2">
      <c r="B584" s="233">
        <v>43489</v>
      </c>
      <c r="C584" s="230" t="s">
        <v>682</v>
      </c>
      <c r="D584" s="230" t="s">
        <v>241</v>
      </c>
      <c r="E584" s="340" t="s">
        <v>242</v>
      </c>
      <c r="F584" s="340" t="s">
        <v>47</v>
      </c>
      <c r="G584" s="343"/>
      <c r="H584" s="341"/>
      <c r="I584" s="341"/>
      <c r="J584" s="341">
        <v>191.78</v>
      </c>
      <c r="K584" s="235">
        <v>24.93</v>
      </c>
      <c r="L584" s="592">
        <f t="shared" si="50"/>
        <v>216.71</v>
      </c>
      <c r="M584" s="608">
        <v>51000200001</v>
      </c>
      <c r="N584" s="593"/>
    </row>
    <row r="585" spans="2:25" x14ac:dyDescent="0.2">
      <c r="B585" s="233">
        <v>43494</v>
      </c>
      <c r="C585" s="230" t="s">
        <v>683</v>
      </c>
      <c r="D585" s="230" t="s">
        <v>241</v>
      </c>
      <c r="E585" s="340" t="s">
        <v>242</v>
      </c>
      <c r="F585" s="340" t="s">
        <v>47</v>
      </c>
      <c r="G585" s="340"/>
      <c r="H585" s="341"/>
      <c r="I585" s="341"/>
      <c r="J585" s="341">
        <v>143.84</v>
      </c>
      <c r="K585" s="235">
        <v>18.7</v>
      </c>
      <c r="L585" s="592">
        <f t="shared" si="50"/>
        <v>162.54</v>
      </c>
      <c r="M585" s="608">
        <v>51000200002</v>
      </c>
      <c r="N585" s="593"/>
    </row>
    <row r="586" spans="2:25" x14ac:dyDescent="0.2">
      <c r="B586" s="233">
        <v>43494</v>
      </c>
      <c r="C586" s="230" t="s">
        <v>684</v>
      </c>
      <c r="D586" s="230" t="s">
        <v>241</v>
      </c>
      <c r="E586" s="340" t="s">
        <v>242</v>
      </c>
      <c r="F586" s="340" t="s">
        <v>47</v>
      </c>
      <c r="G586" s="340"/>
      <c r="H586" s="341"/>
      <c r="I586" s="341"/>
      <c r="J586" s="341">
        <v>143.84</v>
      </c>
      <c r="K586" s="235">
        <v>18.7</v>
      </c>
      <c r="L586" s="592">
        <f t="shared" si="50"/>
        <v>162.54</v>
      </c>
      <c r="M586" s="608">
        <v>51000200001</v>
      </c>
      <c r="N586" s="593"/>
      <c r="R586" s="721"/>
    </row>
    <row r="587" spans="2:25" x14ac:dyDescent="0.2">
      <c r="B587" s="233" t="s">
        <v>685</v>
      </c>
      <c r="C587" s="230" t="s">
        <v>686</v>
      </c>
      <c r="D587" s="230" t="s">
        <v>241</v>
      </c>
      <c r="E587" s="340" t="s">
        <v>242</v>
      </c>
      <c r="F587" s="340" t="s">
        <v>47</v>
      </c>
      <c r="G587" s="340"/>
      <c r="H587" s="341"/>
      <c r="I587" s="341"/>
      <c r="J587" s="341">
        <v>143.84</v>
      </c>
      <c r="K587" s="235">
        <v>18.7</v>
      </c>
      <c r="L587" s="592">
        <f t="shared" si="50"/>
        <v>162.54</v>
      </c>
      <c r="M587" s="608">
        <v>51000200002</v>
      </c>
      <c r="N587" s="593"/>
    </row>
    <row r="588" spans="2:25" x14ac:dyDescent="0.2">
      <c r="B588" s="233">
        <v>43495</v>
      </c>
      <c r="C588" s="230" t="s">
        <v>687</v>
      </c>
      <c r="D588" s="230" t="s">
        <v>241</v>
      </c>
      <c r="E588" s="340" t="s">
        <v>242</v>
      </c>
      <c r="F588" s="340" t="s">
        <v>47</v>
      </c>
      <c r="G588" s="340"/>
      <c r="H588" s="341"/>
      <c r="I588" s="341"/>
      <c r="J588" s="341">
        <v>143.84</v>
      </c>
      <c r="K588" s="235">
        <v>18.7</v>
      </c>
      <c r="L588" s="592">
        <f t="shared" si="50"/>
        <v>162.54</v>
      </c>
      <c r="M588" s="608">
        <v>51000200001</v>
      </c>
      <c r="N588" s="593"/>
    </row>
    <row r="589" spans="2:25" x14ac:dyDescent="0.2">
      <c r="B589" s="233">
        <v>43490</v>
      </c>
      <c r="C589" s="230" t="s">
        <v>688</v>
      </c>
      <c r="D589" s="230" t="s">
        <v>241</v>
      </c>
      <c r="E589" s="340" t="s">
        <v>242</v>
      </c>
      <c r="F589" s="340" t="s">
        <v>47</v>
      </c>
      <c r="G589" s="340"/>
      <c r="H589" s="341"/>
      <c r="I589" s="341"/>
      <c r="J589" s="341">
        <v>23.97</v>
      </c>
      <c r="K589" s="235">
        <v>3.12</v>
      </c>
      <c r="L589" s="592">
        <f t="shared" si="50"/>
        <v>27.09</v>
      </c>
      <c r="M589" s="608">
        <v>51000200002</v>
      </c>
      <c r="N589" s="593"/>
    </row>
    <row r="590" spans="2:25" x14ac:dyDescent="0.2">
      <c r="B590" s="233">
        <v>43490</v>
      </c>
      <c r="C590" s="230" t="s">
        <v>689</v>
      </c>
      <c r="D590" s="230" t="s">
        <v>241</v>
      </c>
      <c r="E590" s="340" t="s">
        <v>242</v>
      </c>
      <c r="F590" s="340" t="s">
        <v>47</v>
      </c>
      <c r="G590" s="340"/>
      <c r="H590" s="341"/>
      <c r="I590" s="341"/>
      <c r="J590" s="341">
        <v>23.97</v>
      </c>
      <c r="K590" s="235">
        <v>3.12</v>
      </c>
      <c r="L590" s="592">
        <f t="shared" si="50"/>
        <v>27.09</v>
      </c>
      <c r="M590" s="608">
        <v>51000200001</v>
      </c>
      <c r="N590" s="593"/>
    </row>
    <row r="591" spans="2:25" x14ac:dyDescent="0.2">
      <c r="B591" s="233"/>
      <c r="C591" s="230"/>
      <c r="D591" s="230"/>
      <c r="E591" s="234"/>
      <c r="F591" s="234"/>
      <c r="G591" s="234"/>
      <c r="H591" s="592"/>
      <c r="I591" s="592"/>
      <c r="J591" s="592"/>
      <c r="K591" s="235"/>
      <c r="L591" s="592"/>
      <c r="M591" s="593"/>
      <c r="N591" s="593"/>
    </row>
    <row r="592" spans="2:25" x14ac:dyDescent="0.2">
      <c r="B592" s="233"/>
      <c r="C592" s="230"/>
      <c r="D592" s="230"/>
      <c r="E592" s="234"/>
      <c r="F592" s="234"/>
      <c r="G592" s="234"/>
      <c r="H592" s="592"/>
      <c r="I592" s="592"/>
      <c r="J592" s="592"/>
      <c r="K592" s="235"/>
      <c r="L592" s="592"/>
      <c r="M592" s="593"/>
      <c r="N592" s="593"/>
      <c r="R592" s="721"/>
    </row>
    <row r="593" spans="2:14" x14ac:dyDescent="0.2">
      <c r="B593" s="233"/>
      <c r="C593" s="230"/>
      <c r="D593" s="230"/>
      <c r="E593" s="234"/>
      <c r="F593" s="234"/>
      <c r="G593" s="234"/>
      <c r="H593" s="592"/>
      <c r="I593" s="592"/>
      <c r="J593" s="592"/>
      <c r="K593" s="235"/>
      <c r="L593" s="592"/>
      <c r="M593" s="593"/>
      <c r="N593" s="593"/>
    </row>
    <row r="594" spans="2:14" x14ac:dyDescent="0.2">
      <c r="B594" s="233"/>
      <c r="C594" s="230"/>
      <c r="D594" s="230"/>
      <c r="E594" s="234" t="s">
        <v>321</v>
      </c>
      <c r="F594" s="206"/>
      <c r="G594" s="289"/>
      <c r="H594" s="289"/>
      <c r="I594" s="289"/>
      <c r="J594" s="289"/>
      <c r="K594" s="705">
        <v>-617.65</v>
      </c>
      <c r="L594" s="592">
        <f t="shared" ref="L594:L595" si="52">+J594+K594</f>
        <v>-617.65</v>
      </c>
      <c r="M594" s="593"/>
      <c r="N594" s="593"/>
    </row>
    <row r="595" spans="2:14" x14ac:dyDescent="0.2">
      <c r="B595" s="233"/>
      <c r="C595" s="230"/>
      <c r="D595" s="230"/>
      <c r="E595" s="234"/>
      <c r="F595" s="206"/>
      <c r="G595" s="289"/>
      <c r="H595" s="289"/>
      <c r="I595" s="289"/>
      <c r="J595" s="289"/>
      <c r="K595" s="235"/>
      <c r="L595" s="592">
        <f t="shared" si="52"/>
        <v>0</v>
      </c>
      <c r="M595" s="593"/>
      <c r="N595" s="593"/>
    </row>
    <row r="596" spans="2:14" x14ac:dyDescent="0.2">
      <c r="B596" s="233"/>
      <c r="C596" s="230"/>
      <c r="D596" s="230"/>
      <c r="E596" s="234"/>
      <c r="F596" s="206"/>
      <c r="G596" s="289"/>
      <c r="H596" s="289"/>
      <c r="I596" s="289"/>
      <c r="J596" s="289"/>
      <c r="K596" s="235"/>
      <c r="L596" s="592"/>
      <c r="M596" s="593"/>
      <c r="N596" s="593"/>
    </row>
    <row r="597" spans="2:14" x14ac:dyDescent="0.2">
      <c r="B597" s="233"/>
      <c r="C597" s="230"/>
      <c r="D597" s="230"/>
      <c r="E597" s="234"/>
      <c r="F597" s="206"/>
      <c r="G597" s="289"/>
      <c r="H597" s="289"/>
      <c r="I597" s="289"/>
      <c r="J597" s="289"/>
      <c r="K597" s="235"/>
      <c r="L597" s="592"/>
      <c r="M597" s="593"/>
      <c r="N597" s="593"/>
    </row>
    <row r="598" spans="2:14" x14ac:dyDescent="0.2">
      <c r="B598" s="206"/>
      <c r="C598" s="207"/>
      <c r="D598" s="207"/>
      <c r="E598" s="234"/>
      <c r="F598" s="206"/>
      <c r="G598" s="289"/>
      <c r="H598" s="289"/>
      <c r="I598" s="289"/>
      <c r="J598" s="289"/>
      <c r="K598" s="289"/>
      <c r="L598" s="289"/>
      <c r="M598" s="594"/>
      <c r="N598" s="594"/>
    </row>
    <row r="599" spans="2:14" x14ac:dyDescent="0.2">
      <c r="B599" s="295"/>
      <c r="C599" s="296"/>
      <c r="D599" s="296"/>
      <c r="E599" s="234"/>
      <c r="F599" s="295"/>
      <c r="G599" s="297"/>
      <c r="H599" s="297"/>
      <c r="I599" s="297"/>
      <c r="J599" s="297"/>
      <c r="K599" s="297"/>
      <c r="L599" s="297"/>
      <c r="M599" s="589"/>
      <c r="N599" s="589"/>
    </row>
    <row r="600" spans="2:14" x14ac:dyDescent="0.2">
      <c r="B600" s="206"/>
      <c r="C600" s="207"/>
      <c r="D600" s="207"/>
      <c r="E600" s="206"/>
      <c r="F600" s="206"/>
      <c r="G600" s="298">
        <f t="shared" ref="G600:I600" si="53">SUM(G563:G599)</f>
        <v>0</v>
      </c>
      <c r="H600" s="298">
        <f t="shared" si="53"/>
        <v>0</v>
      </c>
      <c r="I600" s="298">
        <f t="shared" si="53"/>
        <v>0</v>
      </c>
      <c r="J600" s="298">
        <f>SUM(J563:J599)</f>
        <v>4750.9100000000008</v>
      </c>
      <c r="K600" s="298">
        <f>SUM(K563:K599)</f>
        <v>0</v>
      </c>
      <c r="L600" s="298">
        <f>SUM(L563:L599)</f>
        <v>4750.9100000000008</v>
      </c>
      <c r="M600" s="589"/>
      <c r="N600" s="589"/>
    </row>
    <row r="601" spans="2:14" x14ac:dyDescent="0.2">
      <c r="B601" s="206"/>
      <c r="C601" s="207"/>
      <c r="D601" s="207"/>
      <c r="E601" s="206"/>
      <c r="F601" s="206"/>
      <c r="G601" s="366"/>
      <c r="H601" s="366"/>
      <c r="I601" s="366"/>
      <c r="J601" s="366"/>
      <c r="K601" s="366"/>
      <c r="L601" s="366"/>
      <c r="M601" s="589"/>
      <c r="N601" s="589"/>
    </row>
    <row r="602" spans="2:14" x14ac:dyDescent="0.2">
      <c r="B602" s="206"/>
      <c r="C602" s="207"/>
      <c r="D602" s="207"/>
      <c r="E602" s="206"/>
      <c r="F602" s="206"/>
      <c r="G602" s="366"/>
      <c r="H602" s="366"/>
      <c r="I602" s="366"/>
      <c r="J602" s="366"/>
      <c r="K602" s="366"/>
      <c r="L602" s="366"/>
      <c r="M602" s="589"/>
      <c r="N602" s="589"/>
    </row>
    <row r="603" spans="2:14" x14ac:dyDescent="0.2">
      <c r="B603" s="206"/>
      <c r="C603" s="207"/>
      <c r="D603" s="207"/>
      <c r="E603" s="206"/>
      <c r="F603" s="206"/>
      <c r="G603" s="366"/>
      <c r="H603" s="366"/>
      <c r="I603" s="366"/>
      <c r="J603" s="366"/>
      <c r="K603" s="366"/>
      <c r="L603" s="366"/>
      <c r="M603" s="589"/>
      <c r="N603" s="589"/>
    </row>
    <row r="604" spans="2:14" x14ac:dyDescent="0.2">
      <c r="B604" s="206"/>
      <c r="C604" s="207"/>
      <c r="D604" s="207"/>
      <c r="E604" s="206"/>
      <c r="F604" s="206"/>
      <c r="G604" s="366"/>
      <c r="H604" s="366"/>
      <c r="I604" s="366"/>
      <c r="J604" s="366"/>
      <c r="K604" s="366"/>
      <c r="L604" s="366"/>
      <c r="M604" s="589"/>
      <c r="N604" s="589"/>
    </row>
    <row r="605" spans="2:14" x14ac:dyDescent="0.2">
      <c r="B605" s="206"/>
      <c r="C605" s="207"/>
      <c r="D605" s="207"/>
      <c r="E605" s="206"/>
      <c r="F605" s="206"/>
      <c r="G605" s="366"/>
      <c r="H605" s="366"/>
      <c r="I605" s="366"/>
      <c r="J605" s="366"/>
      <c r="K605" s="366"/>
      <c r="L605" s="366"/>
      <c r="M605" s="589"/>
      <c r="N605" s="589"/>
    </row>
    <row r="606" spans="2:14" x14ac:dyDescent="0.2">
      <c r="B606" s="206"/>
      <c r="C606" s="207"/>
      <c r="D606" s="207"/>
      <c r="E606" s="206"/>
      <c r="F606" s="206"/>
      <c r="G606" s="206"/>
      <c r="H606" s="206"/>
      <c r="I606" s="206"/>
      <c r="J606" s="206"/>
      <c r="K606" s="206"/>
      <c r="L606" s="206"/>
      <c r="M606" s="589"/>
      <c r="N606" s="589"/>
    </row>
    <row r="607" spans="2:14" x14ac:dyDescent="0.2">
      <c r="B607" s="206"/>
      <c r="C607" s="209" t="s">
        <v>445</v>
      </c>
      <c r="D607" s="207"/>
      <c r="E607" s="207"/>
      <c r="F607" s="206"/>
      <c r="G607" s="206"/>
      <c r="H607" s="206"/>
      <c r="I607" s="209" t="s">
        <v>446</v>
      </c>
      <c r="J607" s="206"/>
      <c r="K607" s="206"/>
      <c r="L607" s="206"/>
      <c r="M607" s="589"/>
      <c r="N607" s="589"/>
    </row>
    <row r="608" spans="2:14" x14ac:dyDescent="0.2">
      <c r="B608" s="206"/>
      <c r="C608" s="209"/>
      <c r="D608" s="207"/>
      <c r="E608" s="207"/>
      <c r="F608" s="206"/>
      <c r="G608" s="206"/>
      <c r="H608" s="206"/>
      <c r="I608" s="209"/>
      <c r="J608" s="206"/>
      <c r="K608" s="206"/>
      <c r="L608" s="206"/>
      <c r="M608" s="589"/>
      <c r="N608" s="589"/>
    </row>
    <row r="609" spans="1:28" x14ac:dyDescent="0.2">
      <c r="B609" s="206"/>
      <c r="C609" s="206" t="s">
        <v>79</v>
      </c>
      <c r="D609" s="207"/>
      <c r="E609" s="207"/>
      <c r="F609" s="206"/>
      <c r="G609" s="467">
        <v>0</v>
      </c>
      <c r="H609" s="206"/>
      <c r="I609" s="206" t="s">
        <v>79</v>
      </c>
      <c r="J609" s="206"/>
      <c r="K609" s="206"/>
      <c r="L609" s="467">
        <v>0</v>
      </c>
      <c r="M609" s="589"/>
      <c r="N609" s="589"/>
    </row>
    <row r="610" spans="1:28" x14ac:dyDescent="0.2">
      <c r="B610" s="206"/>
      <c r="C610" s="206"/>
      <c r="D610" s="207"/>
      <c r="E610" s="207"/>
      <c r="F610" s="206"/>
      <c r="G610" s="206"/>
      <c r="H610" s="206"/>
      <c r="I610" s="206"/>
      <c r="J610" s="206"/>
      <c r="K610" s="206"/>
      <c r="L610" s="206"/>
      <c r="M610" s="589"/>
      <c r="N610" s="589"/>
    </row>
    <row r="611" spans="1:28" x14ac:dyDescent="0.2">
      <c r="B611" s="206"/>
      <c r="C611" s="206" t="s">
        <v>447</v>
      </c>
      <c r="D611" s="207"/>
      <c r="E611" s="207"/>
      <c r="F611" s="206"/>
      <c r="G611" s="467">
        <v>0</v>
      </c>
      <c r="H611" s="206"/>
      <c r="I611" s="206" t="s">
        <v>447</v>
      </c>
      <c r="J611" s="206"/>
      <c r="K611" s="206"/>
      <c r="L611" s="467">
        <v>0</v>
      </c>
      <c r="M611" s="589"/>
      <c r="N611" s="589"/>
    </row>
    <row r="612" spans="1:28" x14ac:dyDescent="0.2">
      <c r="B612" s="206"/>
      <c r="C612" s="206"/>
      <c r="D612" s="207"/>
      <c r="E612" s="207"/>
      <c r="F612" s="206"/>
      <c r="G612" s="467"/>
      <c r="H612" s="206"/>
      <c r="I612" s="206"/>
      <c r="J612" s="206"/>
      <c r="K612" s="206"/>
      <c r="L612" s="467"/>
      <c r="M612" s="589"/>
      <c r="N612" s="589"/>
    </row>
    <row r="613" spans="1:28" x14ac:dyDescent="0.2">
      <c r="B613" s="206"/>
      <c r="C613" s="206"/>
      <c r="D613" s="207"/>
      <c r="E613" s="207"/>
      <c r="F613" s="206"/>
      <c r="G613" s="467"/>
      <c r="H613" s="206"/>
      <c r="I613" s="206"/>
      <c r="J613" s="206"/>
      <c r="K613" s="206"/>
      <c r="L613" s="467"/>
      <c r="M613" s="589"/>
      <c r="N613" s="589"/>
    </row>
    <row r="614" spans="1:28" x14ac:dyDescent="0.2">
      <c r="B614" s="206"/>
      <c r="C614" s="206" t="s">
        <v>448</v>
      </c>
      <c r="D614" s="207"/>
      <c r="E614" s="207"/>
      <c r="F614" s="206"/>
      <c r="G614" s="467"/>
      <c r="H614" s="206"/>
      <c r="I614" s="206" t="s">
        <v>448</v>
      </c>
      <c r="J614" s="206"/>
      <c r="K614" s="206"/>
      <c r="L614" s="467"/>
      <c r="M614" s="589"/>
      <c r="N614" s="589"/>
    </row>
    <row r="615" spans="1:28" x14ac:dyDescent="0.2">
      <c r="B615" s="206"/>
      <c r="C615" s="206" t="s">
        <v>80</v>
      </c>
      <c r="D615" s="207"/>
      <c r="E615" s="207"/>
      <c r="F615" s="206"/>
      <c r="G615" s="467">
        <f>+'[6]reportes consumidor final'!J588</f>
        <v>0</v>
      </c>
      <c r="H615" s="206"/>
      <c r="I615" s="206" t="s">
        <v>80</v>
      </c>
      <c r="J615" s="206"/>
      <c r="K615" s="206"/>
      <c r="L615" s="467">
        <f>+J600</f>
        <v>4750.9100000000008</v>
      </c>
      <c r="M615" s="589"/>
      <c r="N615" s="589"/>
    </row>
    <row r="616" spans="1:28" x14ac:dyDescent="0.2">
      <c r="B616" s="206"/>
      <c r="C616" s="206" t="s">
        <v>449</v>
      </c>
      <c r="D616" s="207"/>
      <c r="E616" s="207"/>
      <c r="F616" s="206"/>
      <c r="G616" s="468">
        <f>+G615*0.13</f>
        <v>0</v>
      </c>
      <c r="H616" s="206"/>
      <c r="I616" s="206" t="s">
        <v>449</v>
      </c>
      <c r="J616" s="206"/>
      <c r="K616" s="206"/>
      <c r="L616" s="468">
        <f>+K600</f>
        <v>0</v>
      </c>
      <c r="M616" s="589"/>
      <c r="N616" s="589"/>
    </row>
    <row r="617" spans="1:28" x14ac:dyDescent="0.2">
      <c r="B617" s="206"/>
      <c r="C617" s="206"/>
      <c r="D617" s="207"/>
      <c r="E617" s="207"/>
      <c r="F617" s="206"/>
      <c r="G617" s="467"/>
      <c r="H617" s="206"/>
      <c r="I617" s="206"/>
      <c r="J617" s="206"/>
      <c r="K617" s="206"/>
      <c r="L617" s="467"/>
      <c r="M617" s="589"/>
      <c r="N617" s="589"/>
    </row>
    <row r="618" spans="1:28" ht="13.5" thickBot="1" x14ac:dyDescent="0.25">
      <c r="B618" s="206"/>
      <c r="C618" s="206" t="s">
        <v>450</v>
      </c>
      <c r="D618" s="207"/>
      <c r="E618" s="207"/>
      <c r="F618" s="206"/>
      <c r="G618" s="469">
        <f>SUM(G609:G616)</f>
        <v>0</v>
      </c>
      <c r="H618" s="206"/>
      <c r="I618" s="206" t="s">
        <v>450</v>
      </c>
      <c r="J618" s="206"/>
      <c r="K618" s="206"/>
      <c r="L618" s="469">
        <f>SUM(L615:L617)</f>
        <v>4750.9100000000008</v>
      </c>
      <c r="M618" s="589"/>
      <c r="N618" s="589"/>
    </row>
    <row r="619" spans="1:28" ht="13.5" thickTop="1" x14ac:dyDescent="0.2"/>
    <row r="621" spans="1:28" ht="3.75" customHeight="1" x14ac:dyDescent="0.2">
      <c r="A621" s="610"/>
      <c r="B621" s="610"/>
      <c r="C621" s="611"/>
      <c r="D621" s="611"/>
      <c r="E621" s="610"/>
      <c r="F621" s="610"/>
      <c r="G621" s="610"/>
      <c r="H621" s="610"/>
      <c r="I621" s="610"/>
      <c r="J621" s="610"/>
      <c r="K621" s="610"/>
      <c r="L621" s="610"/>
      <c r="M621" s="612"/>
      <c r="N621" s="612"/>
      <c r="O621" s="612"/>
      <c r="P621" s="612"/>
      <c r="Q621" s="613"/>
      <c r="R621" s="613"/>
      <c r="S621" s="613"/>
      <c r="T621" s="613"/>
      <c r="U621" s="613"/>
      <c r="V621" s="613"/>
      <c r="W621" s="613"/>
      <c r="X621" s="613"/>
      <c r="Y621" s="613"/>
      <c r="Z621" s="613"/>
      <c r="AA621" s="613"/>
      <c r="AB621" s="613"/>
    </row>
    <row r="623" spans="1:28" s="365" customFormat="1" x14ac:dyDescent="0.2">
      <c r="A623" s="206"/>
      <c r="B623" s="484" t="s">
        <v>189</v>
      </c>
      <c r="C623" s="206"/>
      <c r="D623" s="206"/>
      <c r="E623" s="213"/>
      <c r="F623" s="214"/>
      <c r="G623" s="206"/>
      <c r="H623" s="206"/>
      <c r="I623" s="206"/>
      <c r="J623" s="206"/>
      <c r="K623" s="206"/>
      <c r="L623" s="206"/>
      <c r="M623" s="589"/>
      <c r="N623" s="589"/>
    </row>
    <row r="624" spans="1:28" s="365" customFormat="1" x14ac:dyDescent="0.2">
      <c r="A624" s="206"/>
      <c r="B624" s="485" t="s">
        <v>134</v>
      </c>
      <c r="C624" s="206"/>
      <c r="D624" s="206"/>
      <c r="E624" s="485"/>
      <c r="F624" s="214"/>
      <c r="G624" s="206"/>
      <c r="H624" s="206"/>
      <c r="I624" s="206"/>
      <c r="J624" s="206"/>
      <c r="K624" s="206"/>
      <c r="L624" s="206"/>
      <c r="M624" s="589"/>
      <c r="N624" s="589"/>
    </row>
    <row r="625" spans="1:26" s="365" customFormat="1" x14ac:dyDescent="0.2">
      <c r="A625" s="206"/>
      <c r="B625" s="491" t="s">
        <v>135</v>
      </c>
      <c r="C625" s="206"/>
      <c r="D625" s="206"/>
      <c r="E625" s="213"/>
      <c r="F625" s="490"/>
      <c r="G625" s="206"/>
      <c r="H625" s="206"/>
      <c r="I625" s="206"/>
      <c r="J625" s="206"/>
      <c r="K625" s="206"/>
      <c r="L625" s="206"/>
      <c r="M625" s="589"/>
      <c r="N625" s="589"/>
    </row>
    <row r="626" spans="1:26" s="365" customFormat="1" x14ac:dyDescent="0.2">
      <c r="A626" s="206"/>
      <c r="B626" s="491" t="s">
        <v>190</v>
      </c>
      <c r="C626" s="206"/>
      <c r="D626" s="206"/>
      <c r="E626" s="213"/>
      <c r="F626" s="214"/>
      <c r="G626" s="206"/>
      <c r="H626" s="206"/>
      <c r="I626" s="206"/>
      <c r="J626" s="206"/>
      <c r="K626" s="206"/>
      <c r="L626" s="206"/>
      <c r="M626" s="589"/>
      <c r="N626" s="589"/>
    </row>
    <row r="627" spans="1:26" s="365" customFormat="1" x14ac:dyDescent="0.2">
      <c r="A627" s="206"/>
      <c r="B627" s="489"/>
      <c r="C627" s="206"/>
      <c r="D627" s="206"/>
      <c r="E627" s="213"/>
      <c r="F627" s="214"/>
      <c r="G627" s="206"/>
      <c r="H627" s="206"/>
      <c r="I627" s="206"/>
      <c r="J627" s="206"/>
      <c r="K627" s="206"/>
      <c r="L627" s="206"/>
      <c r="M627" s="589"/>
      <c r="N627" s="589"/>
    </row>
    <row r="628" spans="1:26" s="365" customFormat="1" ht="18" x14ac:dyDescent="0.25">
      <c r="A628" s="206"/>
      <c r="B628" s="205" t="s">
        <v>240</v>
      </c>
      <c r="C628" s="206"/>
      <c r="D628" s="207"/>
      <c r="E628" s="208" t="s">
        <v>716</v>
      </c>
      <c r="F628" s="209" t="s">
        <v>97</v>
      </c>
      <c r="G628" s="210">
        <v>2017</v>
      </c>
      <c r="H628" s="211" t="s">
        <v>14</v>
      </c>
      <c r="I628" s="211"/>
      <c r="J628" s="206"/>
      <c r="K628" s="206"/>
      <c r="L628" s="206"/>
      <c r="M628" s="589"/>
      <c r="N628" s="589"/>
    </row>
    <row r="629" spans="1:26" s="365" customFormat="1" x14ac:dyDescent="0.2">
      <c r="A629" s="206"/>
      <c r="B629" s="212" t="s">
        <v>15</v>
      </c>
      <c r="C629" s="206"/>
      <c r="D629" s="206"/>
      <c r="E629" s="213"/>
      <c r="F629" s="214"/>
      <c r="G629" s="206"/>
      <c r="H629" s="215"/>
      <c r="I629" s="215"/>
      <c r="J629" s="206"/>
      <c r="K629" s="206"/>
      <c r="L629" s="206"/>
      <c r="M629" s="589"/>
      <c r="N629" s="589"/>
    </row>
    <row r="631" spans="1:26" x14ac:dyDescent="0.2">
      <c r="B631" s="217"/>
      <c r="C631" s="218" t="s">
        <v>137</v>
      </c>
      <c r="D631" s="219" t="s">
        <v>16</v>
      </c>
      <c r="E631" s="219"/>
      <c r="F631" s="219" t="s">
        <v>74</v>
      </c>
      <c r="G631" s="219"/>
      <c r="H631" s="220" t="s">
        <v>75</v>
      </c>
      <c r="I631" s="221"/>
      <c r="J631" s="221"/>
      <c r="K631" s="221"/>
      <c r="L631" s="239"/>
      <c r="M631" s="590"/>
      <c r="N631" s="590"/>
      <c r="O631" s="303" t="s">
        <v>257</v>
      </c>
      <c r="P631" s="303"/>
      <c r="Q631" s="303"/>
      <c r="R631" s="303"/>
      <c r="U631" s="153" t="s">
        <v>247</v>
      </c>
      <c r="Y631" s="144" t="s">
        <v>256</v>
      </c>
      <c r="Z631" s="144" t="s">
        <v>184</v>
      </c>
    </row>
    <row r="632" spans="1:26" x14ac:dyDescent="0.2">
      <c r="B632" s="222" t="s">
        <v>76</v>
      </c>
      <c r="C632" s="223" t="s">
        <v>77</v>
      </c>
      <c r="D632" s="223" t="s">
        <v>141</v>
      </c>
      <c r="E632" s="223" t="s">
        <v>78</v>
      </c>
      <c r="F632" s="223" t="s">
        <v>142</v>
      </c>
      <c r="G632" s="223" t="s">
        <v>79</v>
      </c>
      <c r="H632" s="224" t="s">
        <v>48</v>
      </c>
      <c r="I632" s="221"/>
      <c r="J632" s="224" t="s">
        <v>80</v>
      </c>
      <c r="K632" s="221"/>
      <c r="L632" s="240" t="s">
        <v>175</v>
      </c>
      <c r="M632" s="590"/>
      <c r="N632" s="590"/>
      <c r="O632" s="260" t="s">
        <v>82</v>
      </c>
      <c r="P632" s="96">
        <v>51000000001</v>
      </c>
      <c r="Q632" s="234" t="s">
        <v>242</v>
      </c>
      <c r="R632" s="592">
        <f>SUMIFS($J$635:$J$659,$E$635:$E$659,Q632,$M$635:$M$659,P632)</f>
        <v>0</v>
      </c>
      <c r="T632" s="144">
        <v>51000200001</v>
      </c>
      <c r="U632" s="144" t="s">
        <v>194</v>
      </c>
      <c r="X632" s="156">
        <v>-1326.64</v>
      </c>
      <c r="Y632" s="156">
        <f>R635</f>
        <v>0</v>
      </c>
      <c r="Z632" s="236">
        <v>0</v>
      </c>
    </row>
    <row r="633" spans="1:26" x14ac:dyDescent="0.2">
      <c r="B633" s="225"/>
      <c r="C633" s="226"/>
      <c r="D633" s="226"/>
      <c r="E633" s="225"/>
      <c r="F633" s="225"/>
      <c r="G633" s="225"/>
      <c r="H633" s="227" t="s">
        <v>176</v>
      </c>
      <c r="I633" s="228" t="s">
        <v>177</v>
      </c>
      <c r="J633" s="241" t="s">
        <v>178</v>
      </c>
      <c r="K633" s="241" t="s">
        <v>46</v>
      </c>
      <c r="L633" s="242" t="s">
        <v>48</v>
      </c>
      <c r="M633" s="590"/>
      <c r="N633" s="590"/>
      <c r="O633" s="260" t="s">
        <v>82</v>
      </c>
      <c r="P633" s="96">
        <v>51000000002</v>
      </c>
      <c r="Q633" s="234" t="s">
        <v>242</v>
      </c>
      <c r="R633" s="592">
        <f t="shared" ref="R633:R650" si="54">SUMIFS($J$635:$J$659,$E$635:$E$659,Q633,$M$635:$M$659,P633)</f>
        <v>0</v>
      </c>
      <c r="T633" s="144">
        <v>51000200002</v>
      </c>
      <c r="U633" s="144" t="s">
        <v>195</v>
      </c>
      <c r="X633" s="156">
        <v>-1326.64</v>
      </c>
      <c r="Y633" s="156">
        <f>R637</f>
        <v>0</v>
      </c>
      <c r="Z633" s="236">
        <v>0</v>
      </c>
    </row>
    <row r="634" spans="1:26" x14ac:dyDescent="0.2">
      <c r="B634" s="229"/>
      <c r="C634" s="230"/>
      <c r="D634" s="230"/>
      <c r="E634" s="231"/>
      <c r="F634" s="232"/>
      <c r="G634" s="591"/>
      <c r="H634" s="592"/>
      <c r="I634" s="592"/>
      <c r="J634" s="592"/>
      <c r="K634" s="592"/>
      <c r="L634" s="592"/>
      <c r="M634" s="593"/>
      <c r="N634" s="593"/>
      <c r="O634" s="260" t="s">
        <v>82</v>
      </c>
      <c r="P634" s="96">
        <v>51000100001</v>
      </c>
      <c r="Q634" s="234" t="s">
        <v>242</v>
      </c>
      <c r="R634" s="592">
        <f t="shared" si="54"/>
        <v>0</v>
      </c>
      <c r="T634" s="144">
        <v>51000100001</v>
      </c>
      <c r="U634" s="156" t="s">
        <v>4</v>
      </c>
      <c r="X634" s="156"/>
    </row>
    <row r="635" spans="1:26" x14ac:dyDescent="0.2">
      <c r="B635" s="714">
        <v>43504</v>
      </c>
      <c r="C635" s="230" t="s">
        <v>691</v>
      </c>
      <c r="D635" s="230" t="s">
        <v>241</v>
      </c>
      <c r="E635" s="234" t="str">
        <f>+VLOOKUP(F635,[7]bd!A:B,2,0)</f>
        <v>BANCO CUSCATLAN DE EL SALVADOR S.A.</v>
      </c>
      <c r="F635" s="234" t="s">
        <v>47</v>
      </c>
      <c r="G635" s="591"/>
      <c r="H635" s="592"/>
      <c r="I635" s="592"/>
      <c r="J635" s="592">
        <v>95.89</v>
      </c>
      <c r="K635" s="235">
        <v>12.47</v>
      </c>
      <c r="L635" s="592">
        <f t="shared" ref="L635:L642" si="55">+J635+K635</f>
        <v>108.36</v>
      </c>
      <c r="M635" s="608">
        <v>51000200002</v>
      </c>
      <c r="N635" s="593"/>
      <c r="O635" s="260" t="s">
        <v>82</v>
      </c>
      <c r="P635" s="96">
        <v>51000100001</v>
      </c>
      <c r="Q635" s="234" t="s">
        <v>269</v>
      </c>
      <c r="R635" s="592">
        <f t="shared" si="54"/>
        <v>0</v>
      </c>
      <c r="T635" s="144">
        <v>51000100002</v>
      </c>
      <c r="U635" s="156" t="s">
        <v>193</v>
      </c>
      <c r="X635" s="156"/>
    </row>
    <row r="636" spans="1:26" x14ac:dyDescent="0.2">
      <c r="B636" s="714">
        <v>43504</v>
      </c>
      <c r="C636" s="230" t="s">
        <v>692</v>
      </c>
      <c r="D636" s="230" t="s">
        <v>241</v>
      </c>
      <c r="E636" s="234" t="str">
        <f>+VLOOKUP(F636,[7]bd!A:B,2,0)</f>
        <v>BANCO CUSCATLAN DE EL SALVADOR S.A.</v>
      </c>
      <c r="F636" s="234" t="s">
        <v>47</v>
      </c>
      <c r="G636" s="234"/>
      <c r="H636" s="592"/>
      <c r="I636" s="592"/>
      <c r="J636" s="592">
        <v>95.89</v>
      </c>
      <c r="K636" s="235">
        <v>12.47</v>
      </c>
      <c r="L636" s="592">
        <f t="shared" si="55"/>
        <v>108.36</v>
      </c>
      <c r="M636" s="608">
        <v>51000200001</v>
      </c>
      <c r="N636" s="593"/>
      <c r="O636" s="260" t="s">
        <v>82</v>
      </c>
      <c r="P636" s="96">
        <v>51000100002</v>
      </c>
      <c r="Q636" s="234" t="s">
        <v>242</v>
      </c>
      <c r="R636" s="592">
        <f t="shared" si="54"/>
        <v>0</v>
      </c>
      <c r="T636" s="144">
        <v>51220200001</v>
      </c>
      <c r="U636" s="144" t="s">
        <v>21</v>
      </c>
      <c r="X636" s="156">
        <v>-2331.5700000000002</v>
      </c>
      <c r="Y636" s="156">
        <f>R644+R651</f>
        <v>2090.7399999999998</v>
      </c>
      <c r="Z636" s="236">
        <f>X636+Y636</f>
        <v>-240.83000000000038</v>
      </c>
    </row>
    <row r="637" spans="1:26" x14ac:dyDescent="0.2">
      <c r="B637" s="233">
        <v>43508</v>
      </c>
      <c r="C637" s="230" t="s">
        <v>693</v>
      </c>
      <c r="D637" s="230" t="s">
        <v>241</v>
      </c>
      <c r="E637" s="234" t="str">
        <f>+VLOOKUP(F637,[7]bd!A:B,2,0)</f>
        <v>BANCO CUSCATLAN DE EL SALVADOR S.A.</v>
      </c>
      <c r="F637" s="234" t="s">
        <v>47</v>
      </c>
      <c r="G637" s="591"/>
      <c r="H637" s="592"/>
      <c r="I637" s="592"/>
      <c r="J637" s="592">
        <v>100.44</v>
      </c>
      <c r="K637" s="235">
        <v>13.06</v>
      </c>
      <c r="L637" s="592">
        <f t="shared" si="55"/>
        <v>113.5</v>
      </c>
      <c r="M637" s="608">
        <v>51000200002</v>
      </c>
      <c r="N637" s="593"/>
      <c r="O637" s="260" t="s">
        <v>82</v>
      </c>
      <c r="P637" s="96">
        <v>51000100002</v>
      </c>
      <c r="Q637" s="234" t="s">
        <v>269</v>
      </c>
      <c r="R637" s="592">
        <f t="shared" si="54"/>
        <v>0</v>
      </c>
      <c r="T637" s="702">
        <v>52200000001</v>
      </c>
      <c r="U637" s="702" t="s">
        <v>11</v>
      </c>
      <c r="V637" s="702"/>
      <c r="W637" s="702"/>
      <c r="X637" s="703"/>
      <c r="Y637" s="156">
        <v>0</v>
      </c>
      <c r="Z637" s="236">
        <v>0</v>
      </c>
    </row>
    <row r="638" spans="1:26" x14ac:dyDescent="0.2">
      <c r="B638" s="233">
        <v>43508</v>
      </c>
      <c r="C638" s="230" t="s">
        <v>694</v>
      </c>
      <c r="D638" s="230" t="s">
        <v>241</v>
      </c>
      <c r="E638" s="234" t="str">
        <f>+VLOOKUP(F638,[7]bd!A:B,2,0)</f>
        <v>BANCO CUSCATLAN DE EL SALVADOR S.A.</v>
      </c>
      <c r="F638" s="234" t="s">
        <v>47</v>
      </c>
      <c r="G638" s="591"/>
      <c r="H638" s="592"/>
      <c r="I638" s="592"/>
      <c r="J638" s="592">
        <v>100.44</v>
      </c>
      <c r="K638" s="235">
        <v>13.06</v>
      </c>
      <c r="L638" s="592">
        <f t="shared" si="55"/>
        <v>113.5</v>
      </c>
      <c r="M638" s="608">
        <v>51000200001</v>
      </c>
      <c r="N638" s="593"/>
      <c r="O638" s="260" t="s">
        <v>82</v>
      </c>
      <c r="P638" s="486">
        <v>51000200001</v>
      </c>
      <c r="Q638" s="476" t="s">
        <v>242</v>
      </c>
      <c r="R638" s="592">
        <f t="shared" si="54"/>
        <v>1285.5400000000002</v>
      </c>
      <c r="T638" s="144">
        <v>51000000001</v>
      </c>
      <c r="U638" s="144" t="s">
        <v>71</v>
      </c>
      <c r="X638" s="156"/>
    </row>
    <row r="639" spans="1:26" x14ac:dyDescent="0.2">
      <c r="B639" s="233">
        <v>43509</v>
      </c>
      <c r="C639" s="230" t="s">
        <v>695</v>
      </c>
      <c r="D639" s="230" t="s">
        <v>241</v>
      </c>
      <c r="E639" s="234" t="str">
        <f>+VLOOKUP(F639,[7]bd!A:B,2,0)</f>
        <v>BANCO CUSCATLAN DE EL SALVADOR S.A.</v>
      </c>
      <c r="F639" s="234" t="s">
        <v>47</v>
      </c>
      <c r="G639" s="234"/>
      <c r="H639" s="592"/>
      <c r="I639" s="592"/>
      <c r="J639" s="592">
        <v>332.55</v>
      </c>
      <c r="K639" s="235">
        <v>43.23</v>
      </c>
      <c r="L639" s="592">
        <f t="shared" si="55"/>
        <v>375.78000000000003</v>
      </c>
      <c r="M639" s="608">
        <v>51000200002</v>
      </c>
      <c r="N639" s="593"/>
      <c r="O639" s="260" t="s">
        <v>82</v>
      </c>
      <c r="P639" s="96">
        <v>51000200001</v>
      </c>
      <c r="Q639" s="234" t="s">
        <v>187</v>
      </c>
      <c r="R639" s="592">
        <f t="shared" si="54"/>
        <v>0</v>
      </c>
      <c r="T639" s="144">
        <v>51000000002</v>
      </c>
      <c r="U639" s="144" t="s">
        <v>3</v>
      </c>
      <c r="X639" s="156"/>
    </row>
    <row r="640" spans="1:26" x14ac:dyDescent="0.2">
      <c r="B640" s="233">
        <v>43509</v>
      </c>
      <c r="C640" s="230" t="s">
        <v>696</v>
      </c>
      <c r="D640" s="230" t="s">
        <v>241</v>
      </c>
      <c r="E640" s="234" t="str">
        <f>+VLOOKUP(F640,[7]bd!A:B,2,0)</f>
        <v>BANCO CUSCATLAN DE EL SALVADOR S.A.</v>
      </c>
      <c r="F640" s="234" t="s">
        <v>47</v>
      </c>
      <c r="G640" s="234"/>
      <c r="H640" s="592"/>
      <c r="I640" s="592"/>
      <c r="J640" s="592">
        <v>332.55</v>
      </c>
      <c r="K640" s="235">
        <v>43.23</v>
      </c>
      <c r="L640" s="592">
        <f t="shared" si="55"/>
        <v>375.78000000000003</v>
      </c>
      <c r="M640" s="608">
        <v>51000200001</v>
      </c>
      <c r="N640" s="593"/>
      <c r="O640" s="260" t="s">
        <v>82</v>
      </c>
      <c r="P640" s="96">
        <v>51000200001</v>
      </c>
      <c r="Q640" s="234" t="s">
        <v>22</v>
      </c>
      <c r="R640" s="592">
        <f t="shared" si="54"/>
        <v>0</v>
      </c>
      <c r="X640" s="356">
        <v>0</v>
      </c>
      <c r="Y640" s="156">
        <v>0</v>
      </c>
      <c r="Z640" s="236">
        <v>0</v>
      </c>
    </row>
    <row r="641" spans="2:26" x14ac:dyDescent="0.2">
      <c r="B641" s="233">
        <v>43511</v>
      </c>
      <c r="C641" s="230" t="s">
        <v>697</v>
      </c>
      <c r="D641" s="230" t="s">
        <v>241</v>
      </c>
      <c r="E641" s="234" t="str">
        <f>+VLOOKUP(F641,[7]bd!A:B,2,0)</f>
        <v>BANCO CUSCATLAN DE EL SALVADOR S.A.</v>
      </c>
      <c r="F641" s="234" t="s">
        <v>47</v>
      </c>
      <c r="G641" s="234"/>
      <c r="H641" s="592"/>
      <c r="I641" s="592"/>
      <c r="J641" s="592">
        <v>61.39</v>
      </c>
      <c r="K641" s="235">
        <v>7.98</v>
      </c>
      <c r="L641" s="592">
        <f t="shared" si="55"/>
        <v>69.37</v>
      </c>
      <c r="M641" s="608">
        <v>51000200002</v>
      </c>
      <c r="N641" s="593"/>
      <c r="O641" s="260" t="s">
        <v>82</v>
      </c>
      <c r="P641" s="486">
        <v>51000200002</v>
      </c>
      <c r="Q641" s="476" t="s">
        <v>242</v>
      </c>
      <c r="R641" s="592">
        <f t="shared" si="54"/>
        <v>1285.5400000000002</v>
      </c>
      <c r="X641" s="304">
        <v>0</v>
      </c>
      <c r="Y641" s="304">
        <f>R647+R654</f>
        <v>0</v>
      </c>
      <c r="Z641" s="300">
        <v>0</v>
      </c>
    </row>
    <row r="642" spans="2:26" x14ac:dyDescent="0.2">
      <c r="B642" s="233">
        <v>43511</v>
      </c>
      <c r="C642" s="230" t="s">
        <v>698</v>
      </c>
      <c r="D642" s="230" t="s">
        <v>241</v>
      </c>
      <c r="E642" s="234" t="str">
        <f>+VLOOKUP(F642,[7]bd!A:B,2,0)</f>
        <v>BANCO CUSCATLAN DE EL SALVADOR S.A.</v>
      </c>
      <c r="F642" s="234" t="s">
        <v>47</v>
      </c>
      <c r="G642" s="234"/>
      <c r="H642" s="592"/>
      <c r="I642" s="592"/>
      <c r="J642" s="592">
        <v>61.39</v>
      </c>
      <c r="K642" s="235">
        <v>7.98</v>
      </c>
      <c r="L642" s="592">
        <f t="shared" si="55"/>
        <v>69.37</v>
      </c>
      <c r="M642" s="608">
        <v>51000200001</v>
      </c>
      <c r="N642" s="593"/>
      <c r="O642" s="260" t="s">
        <v>82</v>
      </c>
      <c r="P642" s="96">
        <v>51000200002</v>
      </c>
      <c r="Q642" s="234" t="s">
        <v>187</v>
      </c>
      <c r="R642" s="592">
        <f t="shared" si="54"/>
        <v>0</v>
      </c>
      <c r="X642" s="290">
        <f>SUM(X632:X639)</f>
        <v>-4984.8500000000004</v>
      </c>
      <c r="Y642" s="290">
        <f>SUM(Y632:Y641)</f>
        <v>2090.7399999999998</v>
      </c>
      <c r="Z642" s="290">
        <f>SUM(Z632:Z641)</f>
        <v>-240.83000000000038</v>
      </c>
    </row>
    <row r="643" spans="2:26" x14ac:dyDescent="0.2">
      <c r="B643" s="233">
        <v>43511</v>
      </c>
      <c r="C643" s="230" t="s">
        <v>699</v>
      </c>
      <c r="D643" s="230" t="s">
        <v>241</v>
      </c>
      <c r="E643" s="234" t="str">
        <f>+VLOOKUP(F643,[7]bd!A:B,2,0)</f>
        <v>INVERSIONES FINANCIERAS IMPERIA CUSCATLAN, SA</v>
      </c>
      <c r="F643" s="234" t="s">
        <v>270</v>
      </c>
      <c r="G643" s="234"/>
      <c r="H643" s="592"/>
      <c r="I643" s="592"/>
      <c r="J643" s="592">
        <v>446.02</v>
      </c>
      <c r="K643" s="235">
        <v>57.98</v>
      </c>
      <c r="L643" s="592">
        <f>+J643+K643</f>
        <v>504</v>
      </c>
      <c r="M643" s="720">
        <v>51220200001</v>
      </c>
      <c r="N643" s="593"/>
      <c r="O643" s="260" t="s">
        <v>82</v>
      </c>
      <c r="P643" s="96">
        <v>51000200002</v>
      </c>
      <c r="Q643" s="234" t="s">
        <v>22</v>
      </c>
      <c r="R643" s="592">
        <f t="shared" si="54"/>
        <v>0</v>
      </c>
      <c r="U643" s="156"/>
      <c r="Z643" s="236"/>
    </row>
    <row r="644" spans="2:26" x14ac:dyDescent="0.2">
      <c r="B644" s="233">
        <v>43511</v>
      </c>
      <c r="C644" s="230" t="s">
        <v>700</v>
      </c>
      <c r="D644" s="230" t="s">
        <v>241</v>
      </c>
      <c r="E644" s="234" t="str">
        <f>+VLOOKUP(F644,[7]bd!A:B,2,0)</f>
        <v>BANCO CUSCATLAN DE EL SALVADOR S.A.</v>
      </c>
      <c r="F644" s="234" t="s">
        <v>47</v>
      </c>
      <c r="G644" s="234"/>
      <c r="H644" s="592"/>
      <c r="I644" s="592"/>
      <c r="J644" s="592">
        <v>1644.72</v>
      </c>
      <c r="K644" s="235">
        <v>213.81</v>
      </c>
      <c r="L644" s="592">
        <f t="shared" ref="L644:L659" si="56">+J644+K644</f>
        <v>1858.53</v>
      </c>
      <c r="M644" s="720">
        <v>51220200001</v>
      </c>
      <c r="N644" s="593"/>
      <c r="O644" s="260" t="s">
        <v>82</v>
      </c>
      <c r="P644" s="486">
        <v>51220200001</v>
      </c>
      <c r="Q644" s="476" t="s">
        <v>242</v>
      </c>
      <c r="R644" s="592">
        <f t="shared" si="54"/>
        <v>1644.72</v>
      </c>
      <c r="U644" s="156"/>
    </row>
    <row r="645" spans="2:26" x14ac:dyDescent="0.2">
      <c r="B645" s="233">
        <v>43511</v>
      </c>
      <c r="C645" s="230" t="s">
        <v>701</v>
      </c>
      <c r="D645" s="230" t="s">
        <v>241</v>
      </c>
      <c r="E645" s="476" t="str">
        <f>+VLOOKUP(F645,[7]bd!A:B,2,0)</f>
        <v>CITIBANK, N.A. SUCURSAL EL SALVADOR</v>
      </c>
      <c r="F645" s="476" t="s">
        <v>179</v>
      </c>
      <c r="G645" s="476"/>
      <c r="H645" s="478"/>
      <c r="I645" s="478"/>
      <c r="J645" s="478">
        <v>239.17</v>
      </c>
      <c r="K645" s="609">
        <v>31.09</v>
      </c>
      <c r="L645" s="478">
        <f t="shared" si="56"/>
        <v>270.26</v>
      </c>
      <c r="M645" s="719"/>
      <c r="N645" s="593"/>
      <c r="O645" s="260" t="s">
        <v>82</v>
      </c>
      <c r="P645" s="96">
        <v>51220200001</v>
      </c>
      <c r="Q645" s="234" t="s">
        <v>187</v>
      </c>
      <c r="R645" s="592">
        <f t="shared" si="54"/>
        <v>0</v>
      </c>
    </row>
    <row r="646" spans="2:26" x14ac:dyDescent="0.2">
      <c r="B646" s="233">
        <v>43514</v>
      </c>
      <c r="C646" s="230" t="s">
        <v>702</v>
      </c>
      <c r="D646" s="230" t="s">
        <v>241</v>
      </c>
      <c r="E646" s="234" t="str">
        <f>+VLOOKUP(F646,[7]bd!A:B,2,0)</f>
        <v>BANCO CUSCATLAN DE EL SALVADOR S.A.</v>
      </c>
      <c r="F646" s="234" t="s">
        <v>47</v>
      </c>
      <c r="G646" s="234"/>
      <c r="H646" s="592"/>
      <c r="I646" s="592"/>
      <c r="J646" s="592">
        <v>41.1</v>
      </c>
      <c r="K646" s="294">
        <v>5.34</v>
      </c>
      <c r="L646" s="592">
        <f t="shared" si="56"/>
        <v>46.44</v>
      </c>
      <c r="M646" s="608">
        <v>51000200002</v>
      </c>
      <c r="N646" s="593"/>
      <c r="O646" s="260" t="s">
        <v>82</v>
      </c>
      <c r="P646" s="96">
        <v>51220200001</v>
      </c>
      <c r="Q646" s="234" t="s">
        <v>22</v>
      </c>
      <c r="R646" s="592">
        <f t="shared" si="54"/>
        <v>0</v>
      </c>
    </row>
    <row r="647" spans="2:26" x14ac:dyDescent="0.2">
      <c r="B647" s="233">
        <v>43514</v>
      </c>
      <c r="C647" s="230" t="s">
        <v>703</v>
      </c>
      <c r="D647" s="230" t="s">
        <v>241</v>
      </c>
      <c r="E647" s="234" t="str">
        <f>+VLOOKUP(F647,[7]bd!A:B,2,0)</f>
        <v>BANCO CUSCATLAN DE EL SALVADOR S.A.</v>
      </c>
      <c r="F647" s="234" t="s">
        <v>47</v>
      </c>
      <c r="G647" s="234"/>
      <c r="H647" s="592"/>
      <c r="I647" s="592"/>
      <c r="J647" s="592">
        <v>41.1</v>
      </c>
      <c r="K647" s="294">
        <v>5.34</v>
      </c>
      <c r="L647" s="592">
        <f t="shared" si="56"/>
        <v>46.44</v>
      </c>
      <c r="M647" s="608">
        <v>51000200001</v>
      </c>
      <c r="N647" s="593"/>
      <c r="O647" s="260" t="s">
        <v>82</v>
      </c>
      <c r="P647" s="96">
        <v>52200000001</v>
      </c>
      <c r="Q647" s="234" t="s">
        <v>242</v>
      </c>
      <c r="R647" s="592">
        <f t="shared" si="54"/>
        <v>0</v>
      </c>
      <c r="W647" s="153" t="s">
        <v>255</v>
      </c>
      <c r="X647" s="236">
        <f>+X633+X636+X632+X640+X641+X634+X635+X638+X639</f>
        <v>-4984.8500000000004</v>
      </c>
    </row>
    <row r="648" spans="2:26" x14ac:dyDescent="0.2">
      <c r="B648" s="233">
        <v>43514</v>
      </c>
      <c r="C648" s="230" t="s">
        <v>704</v>
      </c>
      <c r="D648" s="230" t="s">
        <v>241</v>
      </c>
      <c r="E648" s="476" t="str">
        <f>+VLOOKUP(F648,[7]bd!A:B,2,0)</f>
        <v>CITIBANK, N.A. SUCURSAL EL SALVADOR</v>
      </c>
      <c r="F648" s="476" t="s">
        <v>179</v>
      </c>
      <c r="G648" s="476"/>
      <c r="H648" s="478"/>
      <c r="I648" s="478"/>
      <c r="J648" s="478">
        <v>41.1</v>
      </c>
      <c r="K648" s="609">
        <v>5.34</v>
      </c>
      <c r="L648" s="478">
        <f t="shared" si="56"/>
        <v>46.44</v>
      </c>
      <c r="M648" s="483">
        <v>51000200002</v>
      </c>
      <c r="N648" s="593"/>
      <c r="O648" s="260" t="s">
        <v>82</v>
      </c>
      <c r="P648" s="96">
        <v>52200000001</v>
      </c>
      <c r="Q648" s="234" t="s">
        <v>187</v>
      </c>
      <c r="R648" s="592">
        <f t="shared" si="54"/>
        <v>0</v>
      </c>
      <c r="W648" s="144" t="s">
        <v>257</v>
      </c>
      <c r="X648" s="236">
        <f>+R652</f>
        <v>4661.82</v>
      </c>
    </row>
    <row r="649" spans="2:26" x14ac:dyDescent="0.2">
      <c r="B649" s="233">
        <v>43514</v>
      </c>
      <c r="C649" s="230" t="s">
        <v>705</v>
      </c>
      <c r="D649" s="230" t="s">
        <v>241</v>
      </c>
      <c r="E649" s="476" t="str">
        <f>+VLOOKUP(F649,[7]bd!A:B,2,0)</f>
        <v>CITIBANK, N.A. SUCURSAL EL SALVADOR</v>
      </c>
      <c r="F649" s="476" t="s">
        <v>179</v>
      </c>
      <c r="G649" s="476"/>
      <c r="H649" s="478"/>
      <c r="I649" s="478"/>
      <c r="J649" s="478">
        <v>41.1</v>
      </c>
      <c r="K649" s="609">
        <v>5.34</v>
      </c>
      <c r="L649" s="478">
        <f t="shared" si="56"/>
        <v>46.44</v>
      </c>
      <c r="M649" s="483">
        <v>51000200001</v>
      </c>
      <c r="N649" s="593"/>
      <c r="O649" s="260" t="s">
        <v>82</v>
      </c>
      <c r="P649" s="96">
        <v>52200000001</v>
      </c>
      <c r="Q649" s="234" t="s">
        <v>22</v>
      </c>
      <c r="R649" s="592">
        <f t="shared" si="54"/>
        <v>0</v>
      </c>
      <c r="W649" s="144" t="s">
        <v>260</v>
      </c>
      <c r="X649" s="300">
        <f>+J645+J648+J649</f>
        <v>321.37</v>
      </c>
    </row>
    <row r="650" spans="2:26" x14ac:dyDescent="0.2">
      <c r="B650" s="233">
        <v>43515</v>
      </c>
      <c r="C650" s="230" t="s">
        <v>706</v>
      </c>
      <c r="D650" s="230" t="s">
        <v>241</v>
      </c>
      <c r="E650" s="234" t="str">
        <f>+VLOOKUP(F650,[7]bd!A:B,2,0)</f>
        <v>BANCO CUSCATLAN DE EL SALVADOR S.A.</v>
      </c>
      <c r="F650" s="196" t="s">
        <v>47</v>
      </c>
      <c r="G650" s="591"/>
      <c r="H650" s="592"/>
      <c r="I650" s="592"/>
      <c r="J650" s="592">
        <v>261.64</v>
      </c>
      <c r="K650" s="294">
        <v>34.01</v>
      </c>
      <c r="L650" s="592">
        <f>+J650+K650</f>
        <v>295.64999999999998</v>
      </c>
      <c r="M650" s="608">
        <v>51000200002</v>
      </c>
      <c r="N650" s="593"/>
      <c r="O650" s="260" t="s">
        <v>82</v>
      </c>
      <c r="P650" s="96">
        <v>52200000001</v>
      </c>
      <c r="Q650" s="234" t="s">
        <v>242</v>
      </c>
      <c r="R650" s="592">
        <f t="shared" si="54"/>
        <v>0</v>
      </c>
      <c r="X650" s="704">
        <f>X647+X648+X649</f>
        <v>-1.6600000000006503</v>
      </c>
      <c r="Y650" s="144" t="s">
        <v>275</v>
      </c>
    </row>
    <row r="651" spans="2:26" x14ac:dyDescent="0.2">
      <c r="B651" s="233">
        <v>43515</v>
      </c>
      <c r="C651" s="230" t="s">
        <v>707</v>
      </c>
      <c r="D651" s="230" t="s">
        <v>241</v>
      </c>
      <c r="E651" s="234" t="str">
        <f>+VLOOKUP(F651,[7]bd!A:B,2,0)</f>
        <v>BANCO CUSCATLAN DE EL SALVADOR S.A.</v>
      </c>
      <c r="F651" s="196" t="s">
        <v>47</v>
      </c>
      <c r="G651" s="591"/>
      <c r="H651" s="592"/>
      <c r="I651" s="592"/>
      <c r="J651" s="592">
        <v>261.64</v>
      </c>
      <c r="K651" s="294">
        <v>34.01</v>
      </c>
      <c r="L651" s="592">
        <f>+J651+K651</f>
        <v>295.64999999999998</v>
      </c>
      <c r="M651" s="608">
        <v>51000200001</v>
      </c>
      <c r="N651" s="593"/>
      <c r="O651" s="260" t="s">
        <v>82</v>
      </c>
      <c r="P651" s="486">
        <v>51220200001</v>
      </c>
      <c r="Q651" s="476" t="s">
        <v>269</v>
      </c>
      <c r="R651" s="592">
        <f>SUMIFS($J$635:$J$659,$E$635:$E$659,Q651,$M$635:$M$659,P651)</f>
        <v>446.02</v>
      </c>
    </row>
    <row r="652" spans="2:26" ht="13.5" thickBot="1" x14ac:dyDescent="0.25">
      <c r="B652" s="233">
        <v>43516</v>
      </c>
      <c r="C652" s="230" t="s">
        <v>708</v>
      </c>
      <c r="D652" s="230" t="s">
        <v>241</v>
      </c>
      <c r="E652" s="234" t="str">
        <f>+VLOOKUP(F652,[7]bd!A:B,2,0)</f>
        <v>BANCO CUSCATLAN DE EL SALVADOR S.A.</v>
      </c>
      <c r="F652" s="234" t="s">
        <v>47</v>
      </c>
      <c r="G652" s="591"/>
      <c r="H652" s="592"/>
      <c r="I652" s="592"/>
      <c r="J652" s="592">
        <v>139.04</v>
      </c>
      <c r="K652" s="235">
        <v>18.079999999999998</v>
      </c>
      <c r="L652" s="592">
        <f t="shared" ref="L652:L656" si="57">+J652+K652</f>
        <v>157.12</v>
      </c>
      <c r="M652" s="608">
        <v>51000200002</v>
      </c>
      <c r="N652" s="593"/>
      <c r="O652" s="589"/>
      <c r="P652" s="589"/>
      <c r="R652" s="607">
        <f>SUM(R632:R651)</f>
        <v>4661.82</v>
      </c>
    </row>
    <row r="653" spans="2:26" ht="13.5" thickTop="1" x14ac:dyDescent="0.2">
      <c r="B653" s="233">
        <v>43516</v>
      </c>
      <c r="C653" s="230" t="s">
        <v>709</v>
      </c>
      <c r="D653" s="230" t="s">
        <v>241</v>
      </c>
      <c r="E653" s="234" t="str">
        <f>+VLOOKUP(F653,[7]bd!A:B,2,0)</f>
        <v>BANCO CUSCATLAN DE EL SALVADOR S.A.</v>
      </c>
      <c r="F653" s="234" t="s">
        <v>47</v>
      </c>
      <c r="G653" s="591"/>
      <c r="H653" s="592"/>
      <c r="I653" s="592"/>
      <c r="J653" s="592">
        <v>139.04</v>
      </c>
      <c r="K653" s="235">
        <v>18.079999999999998</v>
      </c>
      <c r="L653" s="592">
        <f t="shared" si="57"/>
        <v>157.12</v>
      </c>
      <c r="M653" s="608">
        <v>51000200001</v>
      </c>
      <c r="N653" s="593"/>
    </row>
    <row r="654" spans="2:26" x14ac:dyDescent="0.2">
      <c r="B654" s="233">
        <v>43517</v>
      </c>
      <c r="C654" s="230" t="s">
        <v>710</v>
      </c>
      <c r="D654" s="230" t="s">
        <v>241</v>
      </c>
      <c r="E654" s="234" t="str">
        <f>+VLOOKUP(F654,[7]bd!A:B,2,0)</f>
        <v>BANCO CUSCATLAN DE EL SALVADOR S.A.</v>
      </c>
      <c r="F654" s="234" t="s">
        <v>47</v>
      </c>
      <c r="G654" s="591"/>
      <c r="H654" s="592"/>
      <c r="I654" s="592"/>
      <c r="J654" s="592">
        <v>95.89</v>
      </c>
      <c r="K654" s="235">
        <v>12.47</v>
      </c>
      <c r="L654" s="592">
        <f t="shared" si="57"/>
        <v>108.36</v>
      </c>
      <c r="M654" s="608">
        <v>51000200002</v>
      </c>
      <c r="N654" s="593"/>
    </row>
    <row r="655" spans="2:26" x14ac:dyDescent="0.2">
      <c r="B655" s="233">
        <v>43517</v>
      </c>
      <c r="C655" s="230" t="s">
        <v>711</v>
      </c>
      <c r="D655" s="230" t="s">
        <v>241</v>
      </c>
      <c r="E655" s="234" t="str">
        <f>+VLOOKUP(F655,[7]bd!A:B,2,0)</f>
        <v>BANCO CUSCATLAN DE EL SALVADOR S.A.</v>
      </c>
      <c r="F655" s="234" t="s">
        <v>47</v>
      </c>
      <c r="G655" s="591"/>
      <c r="H655" s="592"/>
      <c r="I655" s="592"/>
      <c r="J655" s="592">
        <v>95.89</v>
      </c>
      <c r="K655" s="235">
        <v>12.47</v>
      </c>
      <c r="L655" s="592">
        <f t="shared" si="57"/>
        <v>108.36</v>
      </c>
      <c r="M655" s="608">
        <v>51000200001</v>
      </c>
      <c r="N655" s="593"/>
    </row>
    <row r="656" spans="2:26" x14ac:dyDescent="0.2">
      <c r="B656" s="233">
        <v>43518</v>
      </c>
      <c r="C656" s="230" t="s">
        <v>712</v>
      </c>
      <c r="D656" s="230" t="s">
        <v>241</v>
      </c>
      <c r="E656" s="234" t="str">
        <f>+VLOOKUP(F656,[7]bd!A:B,2,0)</f>
        <v>BANCO CUSCATLAN DE EL SALVADOR S.A.</v>
      </c>
      <c r="F656" s="234" t="s">
        <v>47</v>
      </c>
      <c r="G656" s="591"/>
      <c r="H656" s="592"/>
      <c r="I656" s="592"/>
      <c r="J656" s="592">
        <v>40.130000000000003</v>
      </c>
      <c r="K656" s="235">
        <v>5.22</v>
      </c>
      <c r="L656" s="592">
        <f t="shared" si="57"/>
        <v>45.35</v>
      </c>
      <c r="M656" s="608">
        <v>51000200002</v>
      </c>
      <c r="N656" s="593"/>
      <c r="R656" s="236"/>
    </row>
    <row r="657" spans="2:18" x14ac:dyDescent="0.2">
      <c r="B657" s="233">
        <v>43518</v>
      </c>
      <c r="C657" s="230" t="s">
        <v>713</v>
      </c>
      <c r="D657" s="230" t="s">
        <v>241</v>
      </c>
      <c r="E657" s="234" t="str">
        <f>+VLOOKUP(F657,[7]bd!A:B,2,0)</f>
        <v>BANCO CUSCATLAN DE EL SALVADOR S.A.</v>
      </c>
      <c r="F657" s="234" t="s">
        <v>47</v>
      </c>
      <c r="G657" s="591"/>
      <c r="H657" s="592"/>
      <c r="I657" s="592"/>
      <c r="J657" s="592">
        <v>40.130000000000003</v>
      </c>
      <c r="K657" s="235">
        <v>5.22</v>
      </c>
      <c r="L657" s="592">
        <f t="shared" si="56"/>
        <v>45.35</v>
      </c>
      <c r="M657" s="608">
        <v>51000200001</v>
      </c>
      <c r="N657" s="593"/>
    </row>
    <row r="658" spans="2:18" x14ac:dyDescent="0.2">
      <c r="B658" s="233">
        <v>43524</v>
      </c>
      <c r="C658" s="230" t="s">
        <v>714</v>
      </c>
      <c r="D658" s="230" t="s">
        <v>241</v>
      </c>
      <c r="E658" s="234" t="str">
        <f>+VLOOKUP(F658,[7]bd!A:B,2,0)</f>
        <v>BANCO CUSCATLAN DE EL SALVADOR S.A.</v>
      </c>
      <c r="F658" s="234" t="s">
        <v>47</v>
      </c>
      <c r="G658" s="234"/>
      <c r="H658" s="592"/>
      <c r="I658" s="592"/>
      <c r="J658" s="592">
        <v>117.47</v>
      </c>
      <c r="K658" s="235">
        <v>15.27</v>
      </c>
      <c r="L658" s="592">
        <f t="shared" si="56"/>
        <v>132.74</v>
      </c>
      <c r="M658" s="608">
        <v>51000200002</v>
      </c>
      <c r="N658" s="593"/>
      <c r="R658" s="721"/>
    </row>
    <row r="659" spans="2:18" x14ac:dyDescent="0.2">
      <c r="B659" s="233">
        <v>43524</v>
      </c>
      <c r="C659" s="230" t="s">
        <v>715</v>
      </c>
      <c r="D659" s="230" t="s">
        <v>241</v>
      </c>
      <c r="E659" s="234" t="str">
        <f>+VLOOKUP(F659,[7]bd!A:B,2,0)</f>
        <v>BANCO CUSCATLAN DE EL SALVADOR S.A.</v>
      </c>
      <c r="F659" s="234" t="s">
        <v>47</v>
      </c>
      <c r="G659" s="234"/>
      <c r="H659" s="592"/>
      <c r="I659" s="592"/>
      <c r="J659" s="592">
        <v>117.47</v>
      </c>
      <c r="K659" s="235">
        <v>15.27</v>
      </c>
      <c r="L659" s="592">
        <f t="shared" si="56"/>
        <v>132.74</v>
      </c>
      <c r="M659" s="608">
        <v>51000200001</v>
      </c>
      <c r="N659" s="593"/>
    </row>
    <row r="661" spans="2:18" x14ac:dyDescent="0.2">
      <c r="B661" s="233"/>
      <c r="C661" s="230"/>
      <c r="D661" s="230"/>
      <c r="E661" s="234"/>
      <c r="F661" s="234"/>
      <c r="G661" s="234"/>
      <c r="H661" s="592"/>
      <c r="I661" s="592"/>
      <c r="J661" s="592"/>
      <c r="K661" s="235"/>
      <c r="L661" s="592"/>
      <c r="M661" s="593"/>
      <c r="N661" s="593"/>
    </row>
    <row r="662" spans="2:18" x14ac:dyDescent="0.2">
      <c r="B662" s="233"/>
      <c r="C662" s="230"/>
      <c r="D662" s="230"/>
      <c r="E662" s="234"/>
      <c r="F662" s="234"/>
      <c r="G662" s="234"/>
      <c r="H662" s="592"/>
      <c r="I662" s="592"/>
      <c r="J662" s="592"/>
      <c r="K662" s="235"/>
      <c r="L662" s="592"/>
      <c r="M662" s="593"/>
      <c r="N662" s="593"/>
    </row>
    <row r="663" spans="2:18" x14ac:dyDescent="0.2">
      <c r="B663" s="233"/>
      <c r="C663" s="230"/>
      <c r="D663" s="230"/>
      <c r="E663" s="234" t="s">
        <v>321</v>
      </c>
      <c r="F663" s="206"/>
      <c r="G663" s="289"/>
      <c r="H663" s="289"/>
      <c r="I663" s="289"/>
      <c r="J663" s="601"/>
      <c r="K663" s="592">
        <v>-590.65</v>
      </c>
      <c r="L663" s="593">
        <v>-590.65</v>
      </c>
      <c r="M663" s="593">
        <v>0</v>
      </c>
      <c r="N663" s="143">
        <v>-590.65</v>
      </c>
    </row>
    <row r="664" spans="2:18" x14ac:dyDescent="0.2">
      <c r="B664" s="233"/>
      <c r="C664" s="230"/>
      <c r="D664" s="230"/>
      <c r="E664" s="234"/>
      <c r="F664" s="206"/>
      <c r="G664" s="289"/>
      <c r="H664" s="289"/>
      <c r="I664" s="289"/>
      <c r="J664" s="235"/>
      <c r="K664" s="592"/>
      <c r="L664" s="593">
        <v>0</v>
      </c>
      <c r="M664" s="593">
        <v>0</v>
      </c>
      <c r="N664" s="143">
        <v>0</v>
      </c>
    </row>
    <row r="665" spans="2:18" x14ac:dyDescent="0.2">
      <c r="B665" s="233"/>
      <c r="C665" s="230"/>
      <c r="D665" s="230"/>
      <c r="E665" s="234"/>
      <c r="F665" s="206"/>
      <c r="G665" s="289"/>
      <c r="H665" s="289"/>
      <c r="I665" s="289"/>
      <c r="J665" s="289"/>
      <c r="K665" s="235"/>
      <c r="L665" s="592"/>
      <c r="M665" s="593"/>
      <c r="N665" s="593"/>
    </row>
    <row r="666" spans="2:18" x14ac:dyDescent="0.2">
      <c r="B666" s="233"/>
      <c r="C666" s="230"/>
      <c r="D666" s="230"/>
      <c r="E666" s="234"/>
      <c r="F666" s="206"/>
      <c r="G666" s="289"/>
      <c r="H666" s="289"/>
      <c r="I666" s="289"/>
      <c r="J666" s="289"/>
      <c r="K666" s="235"/>
      <c r="L666" s="592"/>
      <c r="M666" s="593"/>
      <c r="N666" s="593"/>
    </row>
    <row r="667" spans="2:18" x14ac:dyDescent="0.2">
      <c r="B667" s="206"/>
      <c r="C667" s="207"/>
      <c r="D667" s="207"/>
      <c r="E667" s="234"/>
      <c r="F667" s="206"/>
      <c r="G667" s="289"/>
      <c r="H667" s="289"/>
      <c r="I667" s="289"/>
      <c r="J667" s="289"/>
      <c r="K667" s="289"/>
      <c r="L667" s="289"/>
      <c r="M667" s="594"/>
      <c r="N667" s="594"/>
    </row>
    <row r="668" spans="2:18" x14ac:dyDescent="0.2">
      <c r="B668" s="295"/>
      <c r="C668" s="296"/>
      <c r="D668" s="296"/>
      <c r="E668" s="234"/>
      <c r="F668" s="295"/>
      <c r="G668" s="297"/>
      <c r="H668" s="297"/>
      <c r="I668" s="297"/>
      <c r="J668" s="297"/>
      <c r="K668" s="297"/>
      <c r="L668" s="297"/>
      <c r="M668" s="589"/>
      <c r="N668" s="589"/>
    </row>
    <row r="669" spans="2:18" x14ac:dyDescent="0.2">
      <c r="B669" s="206"/>
      <c r="C669" s="207"/>
      <c r="D669" s="207"/>
      <c r="E669" s="206"/>
      <c r="F669" s="206"/>
      <c r="G669" s="298">
        <f t="shared" ref="G669:I669" si="58">SUM(G630:G668)</f>
        <v>0</v>
      </c>
      <c r="H669" s="298">
        <f t="shared" si="58"/>
        <v>0</v>
      </c>
      <c r="I669" s="298">
        <f t="shared" si="58"/>
        <v>0</v>
      </c>
      <c r="J669" s="298">
        <f>SUM(J635:J668)</f>
        <v>4983.1900000000014</v>
      </c>
      <c r="K669" s="298">
        <f>SUM(K635:K668)</f>
        <v>57.170000000000073</v>
      </c>
      <c r="L669" s="298">
        <f>SUM(L635:L668)</f>
        <v>5040.3599999999988</v>
      </c>
      <c r="M669" s="589"/>
      <c r="N669" s="589"/>
    </row>
    <row r="670" spans="2:18" x14ac:dyDescent="0.2">
      <c r="B670" s="206"/>
      <c r="C670" s="207"/>
      <c r="D670" s="207"/>
      <c r="E670" s="206"/>
      <c r="F670" s="206"/>
      <c r="G670" s="366"/>
      <c r="H670" s="366"/>
      <c r="I670" s="366"/>
      <c r="J670" s="366"/>
      <c r="K670" s="366"/>
      <c r="L670" s="366"/>
      <c r="M670" s="589"/>
      <c r="N670" s="589"/>
    </row>
    <row r="671" spans="2:18" x14ac:dyDescent="0.2">
      <c r="B671" s="206"/>
      <c r="C671" s="207"/>
      <c r="D671" s="207"/>
      <c r="E671" s="206"/>
      <c r="F671" s="206"/>
      <c r="G671" s="366"/>
      <c r="H671" s="366"/>
      <c r="I671" s="366"/>
      <c r="J671" s="366"/>
      <c r="K671" s="366"/>
      <c r="L671" s="366"/>
      <c r="M671" s="589"/>
      <c r="N671" s="589"/>
    </row>
    <row r="672" spans="2:18" x14ac:dyDescent="0.2">
      <c r="B672" s="206"/>
      <c r="C672" s="207"/>
      <c r="D672" s="207"/>
      <c r="E672" s="206"/>
      <c r="F672" s="206"/>
      <c r="G672" s="366"/>
      <c r="H672" s="366"/>
      <c r="I672" s="366"/>
      <c r="J672" s="366"/>
      <c r="K672" s="366"/>
      <c r="L672" s="366"/>
      <c r="M672" s="589"/>
      <c r="N672" s="589"/>
    </row>
    <row r="673" spans="1:28" x14ac:dyDescent="0.2">
      <c r="B673" s="206"/>
      <c r="C673" s="207"/>
      <c r="D673" s="207"/>
      <c r="E673" s="206"/>
      <c r="F673" s="206"/>
      <c r="G673" s="366"/>
      <c r="H673" s="366"/>
      <c r="I673" s="366"/>
      <c r="J673" s="366"/>
      <c r="K673" s="366"/>
      <c r="L673" s="366"/>
      <c r="M673" s="589"/>
      <c r="N673" s="589"/>
    </row>
    <row r="674" spans="1:28" ht="3.75" customHeight="1" x14ac:dyDescent="0.2">
      <c r="A674" s="610"/>
      <c r="B674" s="610"/>
      <c r="C674" s="611"/>
      <c r="D674" s="611"/>
      <c r="E674" s="610"/>
      <c r="F674" s="610"/>
      <c r="G674" s="610"/>
      <c r="H674" s="610"/>
      <c r="I674" s="610"/>
      <c r="J674" s="610"/>
      <c r="K674" s="610"/>
      <c r="L674" s="610"/>
      <c r="M674" s="612"/>
      <c r="N674" s="612"/>
      <c r="O674" s="612"/>
      <c r="P674" s="612"/>
      <c r="Q674" s="613"/>
      <c r="R674" s="613"/>
      <c r="S674" s="613"/>
      <c r="T674" s="613"/>
      <c r="U674" s="613"/>
      <c r="V674" s="613"/>
      <c r="W674" s="613"/>
      <c r="X674" s="613"/>
      <c r="Y674" s="613"/>
      <c r="Z674" s="613"/>
      <c r="AA674" s="613"/>
      <c r="AB674" s="613"/>
    </row>
    <row r="675" spans="1:28" x14ac:dyDescent="0.2">
      <c r="B675" s="206"/>
      <c r="C675" s="207"/>
      <c r="D675" s="207"/>
      <c r="E675" s="206"/>
      <c r="F675" s="206"/>
      <c r="G675" s="206"/>
      <c r="H675" s="206"/>
      <c r="I675" s="206"/>
      <c r="J675" s="206"/>
      <c r="K675" s="206"/>
      <c r="L675" s="206"/>
      <c r="M675" s="589"/>
      <c r="N675" s="589"/>
    </row>
    <row r="676" spans="1:28" x14ac:dyDescent="0.2">
      <c r="B676" s="206"/>
      <c r="C676" s="209"/>
      <c r="D676" s="207"/>
      <c r="E676" s="207"/>
      <c r="F676" s="206"/>
      <c r="G676" s="206"/>
      <c r="H676" s="206"/>
      <c r="I676" s="209"/>
      <c r="J676" s="206"/>
      <c r="K676" s="206"/>
      <c r="L676" s="206"/>
      <c r="M676" s="589"/>
      <c r="N676" s="589"/>
    </row>
    <row r="677" spans="1:28" ht="16.5" x14ac:dyDescent="0.25">
      <c r="B677" s="206"/>
      <c r="C677" s="209"/>
      <c r="D677" s="207"/>
      <c r="E677" s="208" t="s">
        <v>792</v>
      </c>
      <c r="F677" s="206"/>
      <c r="G677" s="206"/>
      <c r="H677" s="206"/>
      <c r="I677" s="209"/>
      <c r="J677" s="206"/>
      <c r="K677" s="206"/>
      <c r="L677" s="206"/>
      <c r="M677" s="589"/>
      <c r="N677" s="589"/>
    </row>
    <row r="678" spans="1:28" x14ac:dyDescent="0.2">
      <c r="B678" s="206"/>
      <c r="C678" s="206"/>
      <c r="D678" s="207"/>
      <c r="E678" s="207"/>
      <c r="F678" s="206"/>
      <c r="G678" s="467"/>
      <c r="H678" s="206"/>
      <c r="I678" s="206"/>
      <c r="J678" s="206"/>
      <c r="K678" s="206"/>
      <c r="L678" s="467"/>
      <c r="M678" s="589"/>
      <c r="N678" s="589"/>
    </row>
    <row r="679" spans="1:28" x14ac:dyDescent="0.2">
      <c r="B679" s="217"/>
      <c r="C679" s="218" t="s">
        <v>137</v>
      </c>
      <c r="D679" s="219" t="s">
        <v>16</v>
      </c>
      <c r="E679" s="219"/>
      <c r="F679" s="219" t="s">
        <v>74</v>
      </c>
      <c r="G679" s="219"/>
      <c r="H679" s="220" t="s">
        <v>75</v>
      </c>
      <c r="I679" s="221"/>
      <c r="J679" s="221"/>
      <c r="K679" s="221"/>
      <c r="L679" s="239"/>
      <c r="M679" s="589"/>
      <c r="N679" s="589"/>
      <c r="O679" s="303" t="s">
        <v>257</v>
      </c>
      <c r="P679" s="303"/>
      <c r="Q679" s="303"/>
      <c r="R679" s="303"/>
      <c r="U679" s="153" t="s">
        <v>247</v>
      </c>
      <c r="Y679" s="144" t="s">
        <v>256</v>
      </c>
      <c r="Z679" s="144" t="s">
        <v>184</v>
      </c>
    </row>
    <row r="680" spans="1:28" x14ac:dyDescent="0.2">
      <c r="B680" s="222" t="s">
        <v>76</v>
      </c>
      <c r="C680" s="223" t="s">
        <v>77</v>
      </c>
      <c r="D680" s="223" t="s">
        <v>141</v>
      </c>
      <c r="E680" s="223" t="s">
        <v>78</v>
      </c>
      <c r="F680" s="223" t="s">
        <v>142</v>
      </c>
      <c r="G680" s="223" t="s">
        <v>79</v>
      </c>
      <c r="H680" s="224" t="s">
        <v>48</v>
      </c>
      <c r="I680" s="221"/>
      <c r="J680" s="224" t="s">
        <v>80</v>
      </c>
      <c r="K680" s="221"/>
      <c r="L680" s="240" t="s">
        <v>175</v>
      </c>
      <c r="M680" s="589"/>
      <c r="N680" s="589"/>
      <c r="O680" s="260" t="s">
        <v>83</v>
      </c>
      <c r="P680" s="96">
        <v>51000000001</v>
      </c>
      <c r="Q680" s="234" t="s">
        <v>242</v>
      </c>
      <c r="R680" s="592">
        <f>SUMIFS($J$683:$J$717,$E$683:$E$717,Q680,$M$683:$M$717,P680)</f>
        <v>0</v>
      </c>
      <c r="T680" s="144">
        <v>51000200001</v>
      </c>
      <c r="U680" s="144" t="s">
        <v>194</v>
      </c>
      <c r="X680" s="156">
        <v>-2004.4700000000003</v>
      </c>
      <c r="Y680" s="156">
        <f>R683</f>
        <v>0</v>
      </c>
      <c r="Z680" s="236">
        <v>0</v>
      </c>
    </row>
    <row r="681" spans="1:28" x14ac:dyDescent="0.2">
      <c r="B681" s="225"/>
      <c r="C681" s="226"/>
      <c r="D681" s="226"/>
      <c r="E681" s="225"/>
      <c r="F681" s="225"/>
      <c r="G681" s="225"/>
      <c r="H681" s="227" t="s">
        <v>176</v>
      </c>
      <c r="I681" s="228" t="s">
        <v>177</v>
      </c>
      <c r="J681" s="241" t="s">
        <v>178</v>
      </c>
      <c r="K681" s="241" t="s">
        <v>46</v>
      </c>
      <c r="L681" s="242" t="s">
        <v>48</v>
      </c>
      <c r="M681" s="589"/>
      <c r="N681" s="589"/>
      <c r="O681" s="260" t="s">
        <v>83</v>
      </c>
      <c r="P681" s="96">
        <v>51000000002</v>
      </c>
      <c r="Q681" s="234" t="s">
        <v>242</v>
      </c>
      <c r="R681" s="592">
        <f t="shared" ref="R681:R699" si="59">SUMIFS($J$683:$J$717,$E$683:$E$717,Q681,$M$683:$M$717,P681)</f>
        <v>0</v>
      </c>
      <c r="T681" s="144">
        <v>51000200002</v>
      </c>
      <c r="U681" s="144" t="s">
        <v>195</v>
      </c>
      <c r="X681" s="156">
        <v>-2004.4700000000003</v>
      </c>
      <c r="Y681" s="156">
        <f>R685</f>
        <v>0</v>
      </c>
      <c r="Z681" s="236">
        <v>0</v>
      </c>
    </row>
    <row r="682" spans="1:28" x14ac:dyDescent="0.2">
      <c r="B682" s="229"/>
      <c r="C682" s="230"/>
      <c r="D682" s="230"/>
      <c r="E682" s="231"/>
      <c r="F682" s="232"/>
      <c r="G682" s="591"/>
      <c r="H682" s="592"/>
      <c r="I682" s="592"/>
      <c r="J682" s="592"/>
      <c r="K682" s="592"/>
      <c r="L682" s="592"/>
      <c r="M682" s="589"/>
      <c r="N682" s="589"/>
      <c r="O682" s="260" t="s">
        <v>83</v>
      </c>
      <c r="P682" s="96">
        <v>51000100001</v>
      </c>
      <c r="Q682" s="234" t="s">
        <v>242</v>
      </c>
      <c r="R682" s="592">
        <f t="shared" si="59"/>
        <v>0</v>
      </c>
      <c r="T682" s="144">
        <v>51000100001</v>
      </c>
      <c r="U682" s="156" t="s">
        <v>4</v>
      </c>
      <c r="X682" s="156">
        <v>-1315.42</v>
      </c>
    </row>
    <row r="683" spans="1:28" x14ac:dyDescent="0.2">
      <c r="B683" s="725" t="s">
        <v>732</v>
      </c>
      <c r="C683" s="230" t="s">
        <v>19</v>
      </c>
      <c r="D683" s="230" t="s">
        <v>241</v>
      </c>
      <c r="E683" s="234" t="str">
        <f>+VLOOKUP(F683,[8]bd!A:B,2,0)</f>
        <v>BANCO CUSCATLAN DE EL SALVADOR S.A.</v>
      </c>
      <c r="F683" s="234" t="s">
        <v>47</v>
      </c>
      <c r="G683" s="591"/>
      <c r="H683" s="592"/>
      <c r="I683" s="592"/>
      <c r="J683" s="592">
        <v>106.33</v>
      </c>
      <c r="K683" s="235">
        <v>13.82</v>
      </c>
      <c r="L683" s="592">
        <f t="shared" ref="L683:L717" si="60">+J683+K683</f>
        <v>120.15</v>
      </c>
      <c r="M683" s="608">
        <v>51000200002</v>
      </c>
      <c r="N683" s="589"/>
      <c r="O683" s="260" t="s">
        <v>83</v>
      </c>
      <c r="P683" s="96">
        <v>51000100001</v>
      </c>
      <c r="Q683" s="234" t="s">
        <v>269</v>
      </c>
      <c r="R683" s="592">
        <f t="shared" si="59"/>
        <v>0</v>
      </c>
      <c r="T683" s="144">
        <v>51000100002</v>
      </c>
      <c r="U683" s="156" t="s">
        <v>193</v>
      </c>
      <c r="X683" s="156">
        <v>-822.13</v>
      </c>
    </row>
    <row r="684" spans="1:28" x14ac:dyDescent="0.2">
      <c r="B684" s="725" t="s">
        <v>732</v>
      </c>
      <c r="C684" s="230" t="s">
        <v>755</v>
      </c>
      <c r="D684" s="230" t="s">
        <v>241</v>
      </c>
      <c r="E684" s="234" t="str">
        <f>+VLOOKUP(F684,[8]bd!A:B,2,0)</f>
        <v>BANCO CUSCATLAN DE EL SALVADOR S.A.</v>
      </c>
      <c r="F684" s="234" t="s">
        <v>47</v>
      </c>
      <c r="G684" s="234"/>
      <c r="H684" s="592"/>
      <c r="I684" s="592"/>
      <c r="J684" s="592">
        <v>106.33</v>
      </c>
      <c r="K684" s="235">
        <v>13.82</v>
      </c>
      <c r="L684" s="592">
        <f t="shared" si="60"/>
        <v>120.15</v>
      </c>
      <c r="M684" s="608">
        <v>51000200001</v>
      </c>
      <c r="N684" s="589"/>
      <c r="O684" s="260" t="s">
        <v>83</v>
      </c>
      <c r="P684" s="96">
        <v>51000100002</v>
      </c>
      <c r="Q684" s="234" t="s">
        <v>242</v>
      </c>
      <c r="R684" s="592">
        <f t="shared" si="59"/>
        <v>0</v>
      </c>
      <c r="T684" s="144">
        <v>51220200001</v>
      </c>
      <c r="U684" s="144" t="s">
        <v>21</v>
      </c>
      <c r="X684" s="156">
        <v>-2550.8100000000004</v>
      </c>
      <c r="Y684" s="156">
        <f>R692+R699</f>
        <v>2461.02</v>
      </c>
      <c r="Z684" s="236">
        <f>X684+Y684</f>
        <v>-89.790000000000418</v>
      </c>
    </row>
    <row r="685" spans="1:28" x14ac:dyDescent="0.2">
      <c r="B685" s="725" t="s">
        <v>756</v>
      </c>
      <c r="C685" s="230" t="s">
        <v>757</v>
      </c>
      <c r="D685" s="230" t="s">
        <v>241</v>
      </c>
      <c r="E685" s="234" t="str">
        <f>+VLOOKUP(F685,[8]bd!A:B,2,0)</f>
        <v>BANCO CUSCATLAN DE EL SALVADOR S.A.</v>
      </c>
      <c r="F685" s="234" t="s">
        <v>47</v>
      </c>
      <c r="G685" s="591"/>
      <c r="H685" s="592"/>
      <c r="I685" s="592"/>
      <c r="J685" s="592">
        <v>186.34</v>
      </c>
      <c r="K685" s="235">
        <v>24.22</v>
      </c>
      <c r="L685" s="592">
        <f t="shared" si="60"/>
        <v>210.56</v>
      </c>
      <c r="M685" s="608">
        <v>51000200002</v>
      </c>
      <c r="N685" s="589"/>
      <c r="O685" s="260" t="s">
        <v>83</v>
      </c>
      <c r="P685" s="96">
        <v>51000100002</v>
      </c>
      <c r="Q685" s="234" t="s">
        <v>269</v>
      </c>
      <c r="R685" s="592">
        <f t="shared" si="59"/>
        <v>0</v>
      </c>
      <c r="T685" s="702">
        <v>52200000001</v>
      </c>
      <c r="U685" s="702" t="s">
        <v>11</v>
      </c>
      <c r="V685" s="702"/>
      <c r="W685" s="702"/>
      <c r="X685" s="703"/>
      <c r="Y685" s="156">
        <v>0</v>
      </c>
      <c r="Z685" s="236">
        <v>0</v>
      </c>
    </row>
    <row r="686" spans="1:28" x14ac:dyDescent="0.2">
      <c r="B686" s="725" t="s">
        <v>756</v>
      </c>
      <c r="C686" s="230" t="s">
        <v>758</v>
      </c>
      <c r="D686" s="230" t="s">
        <v>241</v>
      </c>
      <c r="E686" s="234" t="str">
        <f>+VLOOKUP(F686,[8]bd!A:B,2,0)</f>
        <v>BANCO CUSCATLAN DE EL SALVADOR S.A.</v>
      </c>
      <c r="F686" s="234" t="s">
        <v>47</v>
      </c>
      <c r="G686" s="591"/>
      <c r="H686" s="592"/>
      <c r="I686" s="592"/>
      <c r="J686" s="592">
        <v>186.34</v>
      </c>
      <c r="K686" s="235">
        <v>24.22</v>
      </c>
      <c r="L686" s="592">
        <f t="shared" si="60"/>
        <v>210.56</v>
      </c>
      <c r="M686" s="608">
        <v>51000200001</v>
      </c>
      <c r="N686" s="589"/>
      <c r="O686" s="260" t="s">
        <v>83</v>
      </c>
      <c r="P686" s="486">
        <v>51000200001</v>
      </c>
      <c r="Q686" s="476" t="s">
        <v>242</v>
      </c>
      <c r="R686" s="592">
        <f t="shared" si="59"/>
        <v>20754.470000000005</v>
      </c>
      <c r="T686" s="144">
        <v>51000000001</v>
      </c>
      <c r="U686" s="144" t="s">
        <v>71</v>
      </c>
      <c r="X686" s="156">
        <v>-18750</v>
      </c>
    </row>
    <row r="687" spans="1:28" x14ac:dyDescent="0.2">
      <c r="B687" s="725" t="s">
        <v>735</v>
      </c>
      <c r="C687" s="230" t="s">
        <v>759</v>
      </c>
      <c r="D687" s="230" t="s">
        <v>241</v>
      </c>
      <c r="E687" s="234" t="str">
        <f>+VLOOKUP(F687,[8]bd!A:B,2,0)</f>
        <v>BANCO CUSCATLAN DE EL SALVADOR S.A.</v>
      </c>
      <c r="F687" s="234" t="s">
        <v>47</v>
      </c>
      <c r="G687" s="234"/>
      <c r="H687" s="592"/>
      <c r="I687" s="592"/>
      <c r="J687" s="592">
        <v>148.38999999999999</v>
      </c>
      <c r="K687" s="235">
        <v>19.29</v>
      </c>
      <c r="L687" s="592">
        <f t="shared" si="60"/>
        <v>167.67999999999998</v>
      </c>
      <c r="M687" s="608">
        <v>51000200002</v>
      </c>
      <c r="N687" s="589"/>
      <c r="O687" s="260" t="s">
        <v>83</v>
      </c>
      <c r="P687" s="96">
        <v>51000200001</v>
      </c>
      <c r="Q687" s="234" t="s">
        <v>187</v>
      </c>
      <c r="R687" s="592">
        <f t="shared" si="59"/>
        <v>0</v>
      </c>
      <c r="T687" s="144">
        <v>51000000002</v>
      </c>
      <c r="U687" s="144" t="s">
        <v>3</v>
      </c>
      <c r="X687" s="156">
        <v>-18750</v>
      </c>
    </row>
    <row r="688" spans="1:28" x14ac:dyDescent="0.2">
      <c r="B688" s="725" t="s">
        <v>735</v>
      </c>
      <c r="C688" s="230" t="s">
        <v>760</v>
      </c>
      <c r="D688" s="230" t="s">
        <v>241</v>
      </c>
      <c r="E688" s="234" t="str">
        <f>+VLOOKUP(F688,[8]bd!A:B,2,0)</f>
        <v>BANCO CUSCATLAN DE EL SALVADOR S.A.</v>
      </c>
      <c r="F688" s="234" t="s">
        <v>47</v>
      </c>
      <c r="G688" s="234"/>
      <c r="H688" s="592"/>
      <c r="I688" s="592"/>
      <c r="J688" s="592">
        <v>148.38999999999999</v>
      </c>
      <c r="K688" s="235">
        <v>19.29</v>
      </c>
      <c r="L688" s="592">
        <f t="shared" si="60"/>
        <v>167.67999999999998</v>
      </c>
      <c r="M688" s="608">
        <v>51000200001</v>
      </c>
      <c r="N688" s="589"/>
      <c r="O688" s="260" t="s">
        <v>83</v>
      </c>
      <c r="P688" s="96">
        <v>51000200001</v>
      </c>
      <c r="Q688" s="234" t="s">
        <v>22</v>
      </c>
      <c r="R688" s="592">
        <f t="shared" si="59"/>
        <v>0</v>
      </c>
      <c r="X688" s="356">
        <v>0</v>
      </c>
      <c r="Y688" s="156">
        <v>0</v>
      </c>
      <c r="Z688" s="236">
        <v>0</v>
      </c>
    </row>
    <row r="689" spans="2:26" x14ac:dyDescent="0.2">
      <c r="B689" s="725" t="s">
        <v>761</v>
      </c>
      <c r="C689" s="230" t="s">
        <v>762</v>
      </c>
      <c r="D689" s="230" t="s">
        <v>241</v>
      </c>
      <c r="E689" s="234" t="str">
        <f>+VLOOKUP(F689,[8]bd!A:B,2,0)</f>
        <v>BANCO CUSCATLAN DE EL SALVADOR S.A.</v>
      </c>
      <c r="F689" s="234" t="s">
        <v>47</v>
      </c>
      <c r="G689" s="234"/>
      <c r="H689" s="592"/>
      <c r="I689" s="592"/>
      <c r="J689" s="592">
        <v>166.27</v>
      </c>
      <c r="K689" s="235">
        <v>21.62</v>
      </c>
      <c r="L689" s="592">
        <f t="shared" si="60"/>
        <v>187.89000000000001</v>
      </c>
      <c r="M689" s="608">
        <v>51000200002</v>
      </c>
      <c r="O689" s="260" t="s">
        <v>83</v>
      </c>
      <c r="P689" s="486">
        <v>51000200002</v>
      </c>
      <c r="Q689" s="476" t="s">
        <v>242</v>
      </c>
      <c r="R689" s="592">
        <f t="shared" si="59"/>
        <v>20754.470000000005</v>
      </c>
      <c r="X689" s="304">
        <v>0</v>
      </c>
      <c r="Y689" s="304">
        <f>R695+R702</f>
        <v>0</v>
      </c>
      <c r="Z689" s="300">
        <v>0</v>
      </c>
    </row>
    <row r="690" spans="2:26" x14ac:dyDescent="0.2">
      <c r="B690" s="725" t="s">
        <v>761</v>
      </c>
      <c r="C690" s="230" t="s">
        <v>763</v>
      </c>
      <c r="D690" s="230" t="s">
        <v>241</v>
      </c>
      <c r="E690" s="234" t="str">
        <f>+VLOOKUP(F690,[8]bd!A:B,2,0)</f>
        <v>BANCO CUSCATLAN DE EL SALVADOR S.A.</v>
      </c>
      <c r="F690" s="234" t="s">
        <v>47</v>
      </c>
      <c r="G690" s="234"/>
      <c r="H690" s="592"/>
      <c r="I690" s="592"/>
      <c r="J690" s="592">
        <v>166.27</v>
      </c>
      <c r="K690" s="235">
        <v>21.62</v>
      </c>
      <c r="L690" s="592">
        <f t="shared" si="60"/>
        <v>187.89000000000001</v>
      </c>
      <c r="M690" s="608">
        <v>51000200001</v>
      </c>
      <c r="O690" s="260" t="s">
        <v>83</v>
      </c>
      <c r="P690" s="96">
        <v>51000200002</v>
      </c>
      <c r="Q690" s="234" t="s">
        <v>187</v>
      </c>
      <c r="R690" s="592">
        <f t="shared" si="59"/>
        <v>0</v>
      </c>
      <c r="X690" s="290">
        <f>SUM(X680:X687)</f>
        <v>-46197.3</v>
      </c>
      <c r="Y690" s="290">
        <f>SUM(Y680:Y689)</f>
        <v>2461.02</v>
      </c>
      <c r="Z690" s="290">
        <f>SUM(Z680:Z689)</f>
        <v>-89.790000000000418</v>
      </c>
    </row>
    <row r="691" spans="2:26" x14ac:dyDescent="0.2">
      <c r="B691" s="233">
        <v>43531</v>
      </c>
      <c r="C691" s="230" t="s">
        <v>764</v>
      </c>
      <c r="D691" s="230" t="s">
        <v>241</v>
      </c>
      <c r="E691" s="234" t="str">
        <f>+VLOOKUP(F691,[8]bd!A:B,2,0)</f>
        <v>BANCO CUSCATLAN DE EL SALVADOR S.A.</v>
      </c>
      <c r="F691" s="234" t="s">
        <v>47</v>
      </c>
      <c r="G691" s="234"/>
      <c r="H691" s="592"/>
      <c r="I691" s="592"/>
      <c r="J691" s="592">
        <v>190.88</v>
      </c>
      <c r="K691" s="235">
        <v>24.81</v>
      </c>
      <c r="L691" s="592">
        <f t="shared" si="60"/>
        <v>215.69</v>
      </c>
      <c r="M691" s="608">
        <v>51000200002</v>
      </c>
      <c r="O691" s="260" t="s">
        <v>83</v>
      </c>
      <c r="P691" s="96">
        <v>51000200002</v>
      </c>
      <c r="Q691" s="234" t="s">
        <v>22</v>
      </c>
      <c r="R691" s="592">
        <f t="shared" si="59"/>
        <v>0</v>
      </c>
      <c r="U691" s="156"/>
      <c r="Z691" s="236"/>
    </row>
    <row r="692" spans="2:26" x14ac:dyDescent="0.2">
      <c r="B692" s="233">
        <v>43531</v>
      </c>
      <c r="C692" s="230" t="s">
        <v>765</v>
      </c>
      <c r="D692" s="230" t="s">
        <v>241</v>
      </c>
      <c r="E692" s="234" t="str">
        <f>+VLOOKUP(F692,[8]bd!A:B,2,0)</f>
        <v>BANCO CUSCATLAN DE EL SALVADOR S.A.</v>
      </c>
      <c r="F692" s="234" t="s">
        <v>47</v>
      </c>
      <c r="G692" s="234"/>
      <c r="H692" s="592"/>
      <c r="I692" s="592"/>
      <c r="J692" s="592">
        <v>190.88</v>
      </c>
      <c r="K692" s="235">
        <v>24.81</v>
      </c>
      <c r="L692" s="592">
        <f t="shared" si="60"/>
        <v>215.69</v>
      </c>
      <c r="M692" s="608">
        <v>51000200001</v>
      </c>
      <c r="O692" s="260" t="s">
        <v>83</v>
      </c>
      <c r="P692" s="486">
        <v>51220200001</v>
      </c>
      <c r="Q692" s="476" t="s">
        <v>242</v>
      </c>
      <c r="R692" s="592">
        <f t="shared" si="59"/>
        <v>2115</v>
      </c>
      <c r="U692" s="156"/>
    </row>
    <row r="693" spans="2:26" x14ac:dyDescent="0.2">
      <c r="B693" s="233">
        <v>43536</v>
      </c>
      <c r="C693" s="230" t="s">
        <v>766</v>
      </c>
      <c r="D693" s="230" t="s">
        <v>241</v>
      </c>
      <c r="E693" s="476" t="str">
        <f>+VLOOKUP(F693,[8]bd!A:B,2,0)</f>
        <v>CITIBANK, N.A. SUCURSAL EL SALVADOR</v>
      </c>
      <c r="F693" s="476" t="s">
        <v>179</v>
      </c>
      <c r="G693" s="476"/>
      <c r="H693" s="478"/>
      <c r="I693" s="478"/>
      <c r="J693" s="478">
        <v>1315.42</v>
      </c>
      <c r="K693" s="609">
        <v>171</v>
      </c>
      <c r="L693" s="478">
        <f t="shared" si="60"/>
        <v>1486.42</v>
      </c>
      <c r="M693" s="719"/>
      <c r="O693" s="260" t="s">
        <v>83</v>
      </c>
      <c r="P693" s="96">
        <v>51220200001</v>
      </c>
      <c r="Q693" s="234" t="s">
        <v>187</v>
      </c>
      <c r="R693" s="592">
        <f t="shared" si="59"/>
        <v>0</v>
      </c>
    </row>
    <row r="694" spans="2:26" x14ac:dyDescent="0.2">
      <c r="B694" s="233">
        <v>43536</v>
      </c>
      <c r="C694" s="230" t="s">
        <v>767</v>
      </c>
      <c r="D694" s="230" t="s">
        <v>241</v>
      </c>
      <c r="E694" s="476" t="str">
        <f>+VLOOKUP(F694,[8]bd!A:B,2,0)</f>
        <v>CITIBANK, N.A. SUCURSAL EL SALVADOR</v>
      </c>
      <c r="F694" s="476" t="s">
        <v>179</v>
      </c>
      <c r="G694" s="476"/>
      <c r="H694" s="478"/>
      <c r="I694" s="478"/>
      <c r="J694" s="478">
        <v>822.13</v>
      </c>
      <c r="K694" s="609">
        <v>106.88</v>
      </c>
      <c r="L694" s="478">
        <f t="shared" si="60"/>
        <v>929.01</v>
      </c>
      <c r="M694" s="719"/>
      <c r="O694" s="260" t="s">
        <v>83</v>
      </c>
      <c r="P694" s="96">
        <v>51220200001</v>
      </c>
      <c r="Q694" s="234" t="s">
        <v>22</v>
      </c>
      <c r="R694" s="592">
        <f t="shared" si="59"/>
        <v>0</v>
      </c>
    </row>
    <row r="695" spans="2:26" x14ac:dyDescent="0.2">
      <c r="B695" s="233">
        <v>43537</v>
      </c>
      <c r="C695" s="230" t="s">
        <v>768</v>
      </c>
      <c r="D695" s="230" t="s">
        <v>241</v>
      </c>
      <c r="E695" s="234" t="str">
        <f>+VLOOKUP(F695,[8]bd!A:B,2,0)</f>
        <v>BANCO CUSCATLAN DE EL SALVADOR S.A.</v>
      </c>
      <c r="F695" s="234" t="s">
        <v>47</v>
      </c>
      <c r="G695" s="234"/>
      <c r="H695" s="592"/>
      <c r="I695" s="592"/>
      <c r="J695" s="592">
        <v>118.33</v>
      </c>
      <c r="K695" s="294">
        <v>15.38</v>
      </c>
      <c r="L695" s="592">
        <f t="shared" si="60"/>
        <v>133.71</v>
      </c>
      <c r="M695" s="608">
        <v>51000200002</v>
      </c>
      <c r="O695" s="260" t="s">
        <v>83</v>
      </c>
      <c r="P695" s="96">
        <v>52200000001</v>
      </c>
      <c r="Q695" s="234" t="s">
        <v>242</v>
      </c>
      <c r="R695" s="592">
        <f t="shared" si="59"/>
        <v>0</v>
      </c>
      <c r="W695" s="153" t="s">
        <v>255</v>
      </c>
      <c r="X695" s="236">
        <f>+X681+X684+X680+X688+X689+X682+X683+X686+X687</f>
        <v>-46197.3</v>
      </c>
    </row>
    <row r="696" spans="2:26" x14ac:dyDescent="0.2">
      <c r="B696" s="233">
        <v>43537</v>
      </c>
      <c r="C696" s="230" t="s">
        <v>769</v>
      </c>
      <c r="D696" s="230" t="s">
        <v>241</v>
      </c>
      <c r="E696" s="234" t="str">
        <f>+VLOOKUP(F696,[8]bd!A:B,2,0)</f>
        <v>BANCO CUSCATLAN DE EL SALVADOR S.A.</v>
      </c>
      <c r="F696" s="234" t="s">
        <v>47</v>
      </c>
      <c r="G696" s="234"/>
      <c r="H696" s="592"/>
      <c r="I696" s="592"/>
      <c r="J696" s="592">
        <v>118.33</v>
      </c>
      <c r="K696" s="294">
        <v>15.38</v>
      </c>
      <c r="L696" s="592">
        <f t="shared" si="60"/>
        <v>133.71</v>
      </c>
      <c r="M696" s="608">
        <v>51000200001</v>
      </c>
      <c r="O696" s="260" t="s">
        <v>83</v>
      </c>
      <c r="P696" s="96">
        <v>52200000001</v>
      </c>
      <c r="Q696" s="234" t="s">
        <v>187</v>
      </c>
      <c r="R696" s="592">
        <f t="shared" si="59"/>
        <v>0</v>
      </c>
      <c r="W696" s="144" t="s">
        <v>257</v>
      </c>
      <c r="X696" s="236">
        <f>+R700</f>
        <v>43969.960000000006</v>
      </c>
    </row>
    <row r="697" spans="2:26" x14ac:dyDescent="0.2">
      <c r="B697" s="233">
        <v>43538</v>
      </c>
      <c r="C697" s="230" t="s">
        <v>770</v>
      </c>
      <c r="D697" s="230" t="s">
        <v>241</v>
      </c>
      <c r="E697" s="234" t="str">
        <f>+VLOOKUP(F697,[8]bd!A:B,2,0)</f>
        <v>BANCO CUSCATLAN DE EL SALVADOR S.A.</v>
      </c>
      <c r="F697" s="234" t="s">
        <v>47</v>
      </c>
      <c r="G697" s="234"/>
      <c r="H697" s="592"/>
      <c r="I697" s="592"/>
      <c r="J697" s="592">
        <v>117.47</v>
      </c>
      <c r="K697" s="294">
        <v>15.27</v>
      </c>
      <c r="L697" s="592">
        <f t="shared" si="60"/>
        <v>132.74</v>
      </c>
      <c r="M697" s="608">
        <v>51000200002</v>
      </c>
      <c r="O697" s="260" t="s">
        <v>83</v>
      </c>
      <c r="P697" s="96">
        <v>52200000001</v>
      </c>
      <c r="Q697" s="234" t="s">
        <v>22</v>
      </c>
      <c r="R697" s="592">
        <f t="shared" si="59"/>
        <v>0</v>
      </c>
      <c r="W697" s="144" t="s">
        <v>260</v>
      </c>
      <c r="X697" s="300">
        <f>+J693+J694+J707</f>
        <v>2225.6400000000003</v>
      </c>
    </row>
    <row r="698" spans="2:26" x14ac:dyDescent="0.2">
      <c r="B698" s="233">
        <v>43538</v>
      </c>
      <c r="C698" s="230" t="s">
        <v>771</v>
      </c>
      <c r="D698" s="230" t="s">
        <v>241</v>
      </c>
      <c r="E698" s="234" t="str">
        <f>+VLOOKUP(F698,[8]bd!A:B,2,0)</f>
        <v>BANCO CUSCATLAN DE EL SALVADOR S.A.</v>
      </c>
      <c r="F698" s="196" t="s">
        <v>47</v>
      </c>
      <c r="G698" s="591"/>
      <c r="H698" s="592"/>
      <c r="I698" s="592"/>
      <c r="J698" s="592">
        <v>117.47</v>
      </c>
      <c r="K698" s="294">
        <v>15.27</v>
      </c>
      <c r="L698" s="592">
        <f t="shared" si="60"/>
        <v>132.74</v>
      </c>
      <c r="M698" s="608">
        <v>51000200001</v>
      </c>
      <c r="O698" s="260" t="s">
        <v>83</v>
      </c>
      <c r="P698" s="96">
        <v>52200000001</v>
      </c>
      <c r="Q698" s="234" t="s">
        <v>242</v>
      </c>
      <c r="R698" s="592">
        <f t="shared" si="59"/>
        <v>0</v>
      </c>
      <c r="X698" s="704">
        <f>X695+X696+X697</f>
        <v>-1.6999999999961801</v>
      </c>
      <c r="Y698" s="144" t="s">
        <v>275</v>
      </c>
    </row>
    <row r="699" spans="2:26" x14ac:dyDescent="0.2">
      <c r="B699" s="233">
        <v>43542</v>
      </c>
      <c r="C699" s="230" t="s">
        <v>772</v>
      </c>
      <c r="D699" s="230" t="s">
        <v>241</v>
      </c>
      <c r="E699" s="234" t="str">
        <f>+VLOOKUP(F699,[8]bd!A:B,2,0)</f>
        <v>BANCO CUSCATLAN DE EL SALVADOR S.A.</v>
      </c>
      <c r="F699" s="196" t="s">
        <v>47</v>
      </c>
      <c r="G699" s="591"/>
      <c r="H699" s="592"/>
      <c r="I699" s="592"/>
      <c r="J699" s="592">
        <v>102.73</v>
      </c>
      <c r="K699" s="294">
        <v>13.35</v>
      </c>
      <c r="L699" s="592">
        <f t="shared" si="60"/>
        <v>116.08</v>
      </c>
      <c r="M699" s="608">
        <v>51000200002</v>
      </c>
      <c r="O699" s="260" t="s">
        <v>83</v>
      </c>
      <c r="P699" s="486">
        <v>51220200001</v>
      </c>
      <c r="Q699" s="476" t="s">
        <v>269</v>
      </c>
      <c r="R699" s="592">
        <f t="shared" si="59"/>
        <v>346.02</v>
      </c>
    </row>
    <row r="700" spans="2:26" ht="13.5" thickBot="1" x14ac:dyDescent="0.25">
      <c r="B700" s="233">
        <v>43542</v>
      </c>
      <c r="C700" s="230" t="s">
        <v>773</v>
      </c>
      <c r="D700" s="230" t="s">
        <v>241</v>
      </c>
      <c r="E700" s="234" t="str">
        <f>+VLOOKUP(F700,[8]bd!A:B,2,0)</f>
        <v>BANCO CUSCATLAN DE EL SALVADOR S.A.</v>
      </c>
      <c r="F700" s="234" t="s">
        <v>47</v>
      </c>
      <c r="G700" s="591"/>
      <c r="H700" s="592"/>
      <c r="I700" s="592"/>
      <c r="J700" s="592">
        <v>102.73</v>
      </c>
      <c r="K700" s="235">
        <v>13.35</v>
      </c>
      <c r="L700" s="592">
        <f t="shared" si="60"/>
        <v>116.08</v>
      </c>
      <c r="M700" s="608">
        <v>51000200001</v>
      </c>
      <c r="O700" s="589"/>
      <c r="P700" s="589"/>
      <c r="R700" s="607">
        <f>SUM(R680:R699)</f>
        <v>43969.960000000006</v>
      </c>
    </row>
    <row r="701" spans="2:26" ht="13.5" thickTop="1" x14ac:dyDescent="0.2">
      <c r="B701" s="233">
        <v>43544</v>
      </c>
      <c r="C701" s="230" t="s">
        <v>774</v>
      </c>
      <c r="D701" s="230" t="s">
        <v>241</v>
      </c>
      <c r="E701" s="234" t="str">
        <f>+VLOOKUP(F701,[8]bd!A:B,2,0)</f>
        <v>BANCO CUSCATLAN DE EL SALVADOR S.A.</v>
      </c>
      <c r="F701" s="234" t="s">
        <v>47</v>
      </c>
      <c r="G701" s="591"/>
      <c r="H701" s="592"/>
      <c r="I701" s="592"/>
      <c r="J701" s="592">
        <v>47.95</v>
      </c>
      <c r="K701" s="235">
        <v>6.23</v>
      </c>
      <c r="L701" s="592">
        <f t="shared" si="60"/>
        <v>54.180000000000007</v>
      </c>
      <c r="M701" s="608">
        <v>51000200002</v>
      </c>
    </row>
    <row r="702" spans="2:26" x14ac:dyDescent="0.2">
      <c r="B702" s="233">
        <v>43544</v>
      </c>
      <c r="C702" s="230" t="s">
        <v>775</v>
      </c>
      <c r="D702" s="230" t="s">
        <v>241</v>
      </c>
      <c r="E702" s="234" t="str">
        <f>+VLOOKUP(F702,[8]bd!A:B,2,0)</f>
        <v>BANCO CUSCATLAN DE EL SALVADOR S.A.</v>
      </c>
      <c r="F702" s="234" t="s">
        <v>47</v>
      </c>
      <c r="G702" s="591"/>
      <c r="H702" s="592"/>
      <c r="I702" s="592"/>
      <c r="J702" s="592">
        <v>47.95</v>
      </c>
      <c r="K702" s="235">
        <v>6.23</v>
      </c>
      <c r="L702" s="592">
        <f t="shared" si="60"/>
        <v>54.180000000000007</v>
      </c>
      <c r="M702" s="608">
        <v>51000200001</v>
      </c>
    </row>
    <row r="703" spans="2:26" x14ac:dyDescent="0.2">
      <c r="B703" s="233">
        <v>43545</v>
      </c>
      <c r="C703" s="230" t="s">
        <v>776</v>
      </c>
      <c r="D703" s="230" t="s">
        <v>241</v>
      </c>
      <c r="E703" s="234" t="str">
        <f>+VLOOKUP(F703,[8]bd!A:B,2,0)</f>
        <v>BANCO CUSCATLAN DE EL SALVADOR S.A.</v>
      </c>
      <c r="F703" s="234" t="s">
        <v>47</v>
      </c>
      <c r="G703" s="591"/>
      <c r="H703" s="592"/>
      <c r="I703" s="592"/>
      <c r="J703" s="592">
        <v>196.22</v>
      </c>
      <c r="K703" s="235">
        <v>25.51</v>
      </c>
      <c r="L703" s="592">
        <f t="shared" si="60"/>
        <v>221.73</v>
      </c>
      <c r="M703" s="608">
        <v>51000200002</v>
      </c>
    </row>
    <row r="704" spans="2:26" x14ac:dyDescent="0.2">
      <c r="B704" s="233">
        <v>43545</v>
      </c>
      <c r="C704" s="230" t="s">
        <v>777</v>
      </c>
      <c r="D704" s="230" t="s">
        <v>241</v>
      </c>
      <c r="E704" s="234" t="str">
        <f>+VLOOKUP(F704,[8]bd!A:B,2,0)</f>
        <v>BANCO CUSCATLAN DE EL SALVADOR S.A.</v>
      </c>
      <c r="F704" s="234" t="s">
        <v>47</v>
      </c>
      <c r="G704" s="591"/>
      <c r="H704" s="592"/>
      <c r="I704" s="592"/>
      <c r="J704" s="592">
        <v>196.22</v>
      </c>
      <c r="K704" s="235">
        <v>25.51</v>
      </c>
      <c r="L704" s="592">
        <f t="shared" si="60"/>
        <v>221.73</v>
      </c>
      <c r="M704" s="608">
        <v>51000200001</v>
      </c>
    </row>
    <row r="705" spans="2:13" x14ac:dyDescent="0.2">
      <c r="B705" s="233">
        <v>43545</v>
      </c>
      <c r="C705" s="230" t="s">
        <v>778</v>
      </c>
      <c r="D705" s="230" t="s">
        <v>241</v>
      </c>
      <c r="E705" s="234" t="str">
        <f>+VLOOKUP(F705,[8]bd!A:B,2,0)</f>
        <v>BANCO CUSCATLAN DE EL SALVADOR S.A.</v>
      </c>
      <c r="F705" s="234" t="s">
        <v>47</v>
      </c>
      <c r="G705" s="591"/>
      <c r="H705" s="592"/>
      <c r="I705" s="592"/>
      <c r="J705" s="592">
        <v>2115</v>
      </c>
      <c r="K705" s="235">
        <v>274.95</v>
      </c>
      <c r="L705" s="592">
        <f t="shared" si="60"/>
        <v>2389.9499999999998</v>
      </c>
      <c r="M705" s="726">
        <v>51220200001</v>
      </c>
    </row>
    <row r="706" spans="2:13" x14ac:dyDescent="0.2">
      <c r="B706" s="233">
        <v>43545</v>
      </c>
      <c r="C706" s="230" t="s">
        <v>779</v>
      </c>
      <c r="D706" s="230" t="s">
        <v>241</v>
      </c>
      <c r="E706" s="234" t="str">
        <f>+VLOOKUP(F706,[8]bd!A:B,2,0)</f>
        <v>INVERSIONES FINANCIERAS IMPERIA CUSCATLAN, SA</v>
      </c>
      <c r="F706" s="234" t="s">
        <v>270</v>
      </c>
      <c r="G706" s="234"/>
      <c r="H706" s="592"/>
      <c r="I706" s="592"/>
      <c r="J706" s="592">
        <v>346.02</v>
      </c>
      <c r="K706" s="235">
        <v>44.98</v>
      </c>
      <c r="L706" s="592">
        <f t="shared" si="60"/>
        <v>391</v>
      </c>
      <c r="M706" s="726">
        <v>51220200001</v>
      </c>
    </row>
    <row r="707" spans="2:13" x14ac:dyDescent="0.2">
      <c r="B707" s="233">
        <v>43536</v>
      </c>
      <c r="C707" s="230" t="s">
        <v>780</v>
      </c>
      <c r="D707" s="230" t="s">
        <v>241</v>
      </c>
      <c r="E707" s="476" t="str">
        <f>+VLOOKUP(F707,[8]bd!A:B,2,0)</f>
        <v>CITIBANK, N.A. SUCURSAL EL SALVADOR</v>
      </c>
      <c r="F707" s="476" t="s">
        <v>179</v>
      </c>
      <c r="G707" s="476"/>
      <c r="H707" s="478"/>
      <c r="I707" s="478"/>
      <c r="J707" s="478">
        <v>88.09</v>
      </c>
      <c r="K707" s="609">
        <v>11.45</v>
      </c>
      <c r="L707" s="478">
        <f t="shared" si="60"/>
        <v>99.54</v>
      </c>
    </row>
    <row r="708" spans="2:13" x14ac:dyDescent="0.2">
      <c r="B708" s="233" t="s">
        <v>752</v>
      </c>
      <c r="C708" s="230" t="s">
        <v>781</v>
      </c>
      <c r="D708" s="230" t="s">
        <v>241</v>
      </c>
      <c r="E708" s="234" t="str">
        <f>+VLOOKUP(F708,[8]bd!A:B,2,0)</f>
        <v>BANCO CUSCATLAN DE EL SALVADOR S.A.</v>
      </c>
      <c r="F708" s="234" t="s">
        <v>47</v>
      </c>
      <c r="G708" s="234"/>
      <c r="H708" s="592"/>
      <c r="I708" s="592"/>
      <c r="J708" s="592">
        <v>78.08</v>
      </c>
      <c r="K708" s="235">
        <v>10.15</v>
      </c>
      <c r="L708" s="592">
        <f t="shared" si="60"/>
        <v>88.23</v>
      </c>
      <c r="M708" s="608">
        <v>51000200002</v>
      </c>
    </row>
    <row r="709" spans="2:13" x14ac:dyDescent="0.2">
      <c r="B709" s="233" t="s">
        <v>752</v>
      </c>
      <c r="C709" s="230" t="s">
        <v>782</v>
      </c>
      <c r="D709" s="230" t="s">
        <v>241</v>
      </c>
      <c r="E709" s="234" t="str">
        <f>+VLOOKUP(F709,[8]bd!A:B,2,0)</f>
        <v>BANCO CUSCATLAN DE EL SALVADOR S.A.</v>
      </c>
      <c r="F709" s="234" t="s">
        <v>47</v>
      </c>
      <c r="G709" s="234"/>
      <c r="H709" s="592"/>
      <c r="I709" s="592"/>
      <c r="J709" s="592">
        <v>78.08</v>
      </c>
      <c r="K709" s="235">
        <v>10.15</v>
      </c>
      <c r="L709" s="592">
        <f t="shared" si="60"/>
        <v>88.23</v>
      </c>
      <c r="M709" s="608">
        <v>51000200001</v>
      </c>
    </row>
    <row r="710" spans="2:13" x14ac:dyDescent="0.2">
      <c r="B710" s="233" t="s">
        <v>752</v>
      </c>
      <c r="C710" s="230" t="s">
        <v>783</v>
      </c>
      <c r="D710" s="230" t="s">
        <v>241</v>
      </c>
      <c r="E710" s="234" t="str">
        <f>+VLOOKUP(F710,[8]bd!A:B,2,0)</f>
        <v>BANCO CUSCATLAN DE EL SALVADOR S.A.</v>
      </c>
      <c r="F710" s="234" t="s">
        <v>47</v>
      </c>
      <c r="G710" s="234"/>
      <c r="H710" s="592"/>
      <c r="I710" s="592"/>
      <c r="J710" s="592">
        <v>18750</v>
      </c>
      <c r="K710" s="235">
        <v>2437.5</v>
      </c>
      <c r="L710" s="592">
        <f t="shared" si="60"/>
        <v>21187.5</v>
      </c>
      <c r="M710" s="608">
        <v>51000200002</v>
      </c>
    </row>
    <row r="711" spans="2:13" x14ac:dyDescent="0.2">
      <c r="B711" s="233" t="s">
        <v>752</v>
      </c>
      <c r="C711" s="230" t="s">
        <v>784</v>
      </c>
      <c r="D711" s="230" t="s">
        <v>241</v>
      </c>
      <c r="E711" s="234" t="str">
        <f>+VLOOKUP(F711,[8]bd!A:B,2,0)</f>
        <v>BANCO CUSCATLAN DE EL SALVADOR S.A.</v>
      </c>
      <c r="F711" s="234" t="s">
        <v>47</v>
      </c>
      <c r="G711" s="234"/>
      <c r="H711" s="592"/>
      <c r="I711" s="592"/>
      <c r="J711" s="592">
        <v>18750</v>
      </c>
      <c r="K711" s="235">
        <v>2437.5</v>
      </c>
      <c r="L711" s="592">
        <f t="shared" si="60"/>
        <v>21187.5</v>
      </c>
      <c r="M711" s="608">
        <v>51000200001</v>
      </c>
    </row>
    <row r="712" spans="2:13" x14ac:dyDescent="0.2">
      <c r="B712" s="233">
        <v>43550</v>
      </c>
      <c r="C712" s="230" t="s">
        <v>785</v>
      </c>
      <c r="D712" s="230" t="s">
        <v>241</v>
      </c>
      <c r="E712" s="234" t="str">
        <f>+VLOOKUP(F712,[8]bd!A:B,2,0)</f>
        <v>BANCO CUSCATLAN DE EL SALVADOR S.A.</v>
      </c>
      <c r="F712" s="234" t="s">
        <v>47</v>
      </c>
      <c r="G712" s="234"/>
      <c r="H712" s="592"/>
      <c r="I712" s="592"/>
      <c r="J712" s="592">
        <v>138.88</v>
      </c>
      <c r="K712" s="235">
        <v>18.05</v>
      </c>
      <c r="L712" s="592">
        <f t="shared" si="60"/>
        <v>156.93</v>
      </c>
      <c r="M712" s="608">
        <v>51000200002</v>
      </c>
    </row>
    <row r="713" spans="2:13" x14ac:dyDescent="0.2">
      <c r="B713" s="233">
        <v>43550</v>
      </c>
      <c r="C713" s="230" t="s">
        <v>786</v>
      </c>
      <c r="D713" s="230" t="s">
        <v>241</v>
      </c>
      <c r="E713" s="234" t="str">
        <f>+VLOOKUP(F713,[8]bd!A:B,2,0)</f>
        <v>BANCO CUSCATLAN DE EL SALVADOR S.A.</v>
      </c>
      <c r="F713" s="234" t="s">
        <v>47</v>
      </c>
      <c r="G713" s="234"/>
      <c r="H713" s="592"/>
      <c r="I713" s="592"/>
      <c r="J713" s="592">
        <v>138.88</v>
      </c>
      <c r="K713" s="235">
        <v>18.05</v>
      </c>
      <c r="L713" s="592">
        <f t="shared" si="60"/>
        <v>156.93</v>
      </c>
      <c r="M713" s="608">
        <v>51000200001</v>
      </c>
    </row>
    <row r="714" spans="2:13" x14ac:dyDescent="0.2">
      <c r="B714" s="233">
        <v>43551</v>
      </c>
      <c r="C714" s="230" t="s">
        <v>787</v>
      </c>
      <c r="D714" s="230" t="s">
        <v>241</v>
      </c>
      <c r="E714" s="234" t="str">
        <f>+VLOOKUP(F714,[8]bd!A:B,2,0)</f>
        <v>BANCO CUSCATLAN DE EL SALVADOR S.A.</v>
      </c>
      <c r="F714" s="234" t="s">
        <v>47</v>
      </c>
      <c r="G714" s="234"/>
      <c r="H714" s="592"/>
      <c r="I714" s="592"/>
      <c r="J714" s="592">
        <v>232.54</v>
      </c>
      <c r="K714" s="235">
        <v>30.23</v>
      </c>
      <c r="L714" s="592">
        <f t="shared" si="60"/>
        <v>262.77</v>
      </c>
      <c r="M714" s="608">
        <v>51000200002</v>
      </c>
    </row>
    <row r="715" spans="2:13" x14ac:dyDescent="0.2">
      <c r="B715" s="233">
        <v>43551</v>
      </c>
      <c r="C715" s="230" t="s">
        <v>788</v>
      </c>
      <c r="D715" s="230" t="s">
        <v>241</v>
      </c>
      <c r="E715" s="234" t="str">
        <f>+VLOOKUP(F715,[8]bd!A:B,2,0)</f>
        <v>BANCO CUSCATLAN DE EL SALVADOR S.A.</v>
      </c>
      <c r="F715" s="234" t="s">
        <v>47</v>
      </c>
      <c r="G715" s="234"/>
      <c r="H715" s="592"/>
      <c r="I715" s="592"/>
      <c r="J715" s="592">
        <v>232.54</v>
      </c>
      <c r="K715" s="235">
        <v>30.23</v>
      </c>
      <c r="L715" s="592">
        <f t="shared" si="60"/>
        <v>262.77</v>
      </c>
      <c r="M715" s="608">
        <v>51000200001</v>
      </c>
    </row>
    <row r="716" spans="2:13" x14ac:dyDescent="0.2">
      <c r="B716" s="233">
        <v>43552</v>
      </c>
      <c r="C716" s="230" t="s">
        <v>789</v>
      </c>
      <c r="D716" s="230" t="s">
        <v>241</v>
      </c>
      <c r="E716" s="234" t="str">
        <f>+VLOOKUP(F716,[8]bd!A:B,2,0)</f>
        <v>BANCO CUSCATLAN DE EL SALVADOR S.A.</v>
      </c>
      <c r="F716" s="234" t="s">
        <v>47</v>
      </c>
      <c r="G716" s="234"/>
      <c r="H716" s="592"/>
      <c r="I716" s="592"/>
      <c r="J716" s="592">
        <v>174.06</v>
      </c>
      <c r="K716" s="235">
        <v>22.63</v>
      </c>
      <c r="L716" s="592">
        <f t="shared" si="60"/>
        <v>196.69</v>
      </c>
      <c r="M716" s="608">
        <v>51000200002</v>
      </c>
    </row>
    <row r="717" spans="2:13" x14ac:dyDescent="0.2">
      <c r="B717" s="233">
        <v>43552</v>
      </c>
      <c r="C717" s="230" t="s">
        <v>790</v>
      </c>
      <c r="D717" s="230" t="s">
        <v>241</v>
      </c>
      <c r="E717" s="234" t="str">
        <f>+VLOOKUP(F717,[8]bd!A:B,2,0)</f>
        <v>BANCO CUSCATLAN DE EL SALVADOR S.A.</v>
      </c>
      <c r="F717" s="234" t="s">
        <v>47</v>
      </c>
      <c r="G717" s="234"/>
      <c r="H717" s="592"/>
      <c r="I717" s="592"/>
      <c r="J717" s="592">
        <v>174.06</v>
      </c>
      <c r="K717" s="235">
        <v>22.63</v>
      </c>
      <c r="L717" s="592">
        <f t="shared" si="60"/>
        <v>196.69</v>
      </c>
      <c r="M717" s="608">
        <v>51000200001</v>
      </c>
    </row>
    <row r="718" spans="2:13" x14ac:dyDescent="0.2">
      <c r="B718" s="233"/>
      <c r="C718" s="230"/>
      <c r="D718" s="230"/>
      <c r="E718" s="234"/>
      <c r="F718" s="234"/>
      <c r="G718" s="234"/>
      <c r="H718" s="592"/>
      <c r="I718" s="592"/>
      <c r="J718" s="592"/>
      <c r="K718" s="235"/>
      <c r="L718" s="592"/>
    </row>
    <row r="719" spans="2:13" x14ac:dyDescent="0.2">
      <c r="B719" s="233"/>
      <c r="C719" s="230" t="s">
        <v>18</v>
      </c>
      <c r="D719" s="230"/>
      <c r="E719" s="234" t="s">
        <v>321</v>
      </c>
      <c r="F719" s="206"/>
      <c r="G719" s="289"/>
      <c r="H719" s="289"/>
      <c r="I719" s="289"/>
      <c r="J719" s="289"/>
      <c r="K719" s="601">
        <v>-2853.85</v>
      </c>
      <c r="L719" s="592">
        <f>+J719+K719</f>
        <v>-2853.85</v>
      </c>
    </row>
    <row r="720" spans="2:13" x14ac:dyDescent="0.2">
      <c r="B720" s="233"/>
      <c r="C720" s="230"/>
      <c r="D720" s="230"/>
      <c r="E720" s="234"/>
      <c r="F720" s="206"/>
      <c r="G720" s="289"/>
      <c r="H720" s="289"/>
      <c r="I720" s="289"/>
      <c r="J720" s="289"/>
      <c r="K720" s="235"/>
      <c r="L720" s="592">
        <f>+J720+K720</f>
        <v>0</v>
      </c>
    </row>
    <row r="721" spans="2:12" x14ac:dyDescent="0.2">
      <c r="B721" s="233"/>
      <c r="C721" s="230"/>
      <c r="D721" s="230"/>
      <c r="E721" s="234"/>
      <c r="F721" s="206"/>
      <c r="G721" s="289"/>
      <c r="H721" s="289"/>
      <c r="I721" s="289"/>
      <c r="J721" s="289"/>
      <c r="K721" s="235"/>
      <c r="L721" s="592"/>
    </row>
    <row r="722" spans="2:12" x14ac:dyDescent="0.2">
      <c r="B722" s="233"/>
      <c r="C722" s="230"/>
      <c r="D722" s="230"/>
      <c r="E722" s="234"/>
      <c r="F722" s="206"/>
      <c r="G722" s="289"/>
      <c r="H722" s="289"/>
      <c r="I722" s="289"/>
      <c r="J722" s="289"/>
      <c r="K722" s="235"/>
      <c r="L722" s="592"/>
    </row>
    <row r="723" spans="2:12" x14ac:dyDescent="0.2">
      <c r="B723" s="206"/>
      <c r="C723" s="207"/>
      <c r="D723" s="207"/>
      <c r="E723" s="234"/>
      <c r="F723" s="206"/>
      <c r="G723" s="289"/>
      <c r="H723" s="289"/>
      <c r="I723" s="289"/>
      <c r="J723" s="289"/>
      <c r="K723" s="289"/>
      <c r="L723" s="289"/>
    </row>
    <row r="724" spans="2:12" x14ac:dyDescent="0.2">
      <c r="B724" s="295"/>
      <c r="C724" s="296"/>
      <c r="D724" s="296"/>
      <c r="E724" s="234"/>
      <c r="F724" s="295"/>
      <c r="G724" s="297"/>
      <c r="H724" s="297"/>
      <c r="I724" s="297"/>
      <c r="J724" s="297"/>
      <c r="K724" s="297"/>
      <c r="L724" s="297"/>
    </row>
    <row r="725" spans="2:12" x14ac:dyDescent="0.2">
      <c r="B725" s="206"/>
      <c r="C725" s="207"/>
      <c r="D725" s="207"/>
      <c r="E725" s="206"/>
      <c r="F725" s="206"/>
      <c r="G725" s="298">
        <f t="shared" ref="G725:L725" si="61">SUM(G682:G724)</f>
        <v>0</v>
      </c>
      <c r="H725" s="298">
        <f t="shared" si="61"/>
        <v>0</v>
      </c>
      <c r="I725" s="298">
        <f t="shared" si="61"/>
        <v>0</v>
      </c>
      <c r="J725" s="298">
        <f t="shared" si="61"/>
        <v>46195.599999999991</v>
      </c>
      <c r="K725" s="298">
        <f t="shared" si="61"/>
        <v>3151.5299999999993</v>
      </c>
      <c r="L725" s="298">
        <f t="shared" si="61"/>
        <v>49347.13</v>
      </c>
    </row>
    <row r="726" spans="2:12" x14ac:dyDescent="0.2">
      <c r="B726" s="206"/>
      <c r="C726" s="207"/>
      <c r="D726" s="207"/>
      <c r="E726" s="206"/>
      <c r="F726" s="206"/>
      <c r="G726" s="366"/>
      <c r="H726" s="366"/>
      <c r="I726" s="366"/>
      <c r="J726" s="366"/>
      <c r="K726" s="366"/>
      <c r="L726" s="366"/>
    </row>
    <row r="727" spans="2:12" x14ac:dyDescent="0.2">
      <c r="B727" s="206"/>
      <c r="C727" s="207"/>
      <c r="D727" s="207"/>
      <c r="E727" s="206"/>
      <c r="F727" s="206"/>
      <c r="G727" s="366"/>
      <c r="H727" s="366"/>
      <c r="I727" s="366"/>
      <c r="J727" s="366"/>
      <c r="K727" s="366"/>
      <c r="L727" s="366"/>
    </row>
    <row r="728" spans="2:12" x14ac:dyDescent="0.2">
      <c r="B728" s="206"/>
      <c r="C728" s="207"/>
      <c r="D728" s="207"/>
      <c r="E728" s="206"/>
      <c r="F728" s="206"/>
      <c r="G728" s="366"/>
      <c r="H728" s="366"/>
      <c r="I728" s="366"/>
      <c r="J728" s="366"/>
      <c r="K728" s="366"/>
      <c r="L728" s="366"/>
    </row>
    <row r="729" spans="2:12" x14ac:dyDescent="0.2">
      <c r="B729" s="206"/>
      <c r="C729" s="207"/>
      <c r="D729" s="207"/>
      <c r="E729" s="206"/>
      <c r="F729" s="206"/>
      <c r="G729" s="366"/>
      <c r="H729" s="366"/>
      <c r="I729" s="366"/>
      <c r="J729" s="366"/>
      <c r="K729" s="366"/>
      <c r="L729" s="366"/>
    </row>
    <row r="730" spans="2:12" x14ac:dyDescent="0.2">
      <c r="B730" s="206"/>
      <c r="C730" s="207"/>
      <c r="D730" s="207"/>
      <c r="E730" s="206"/>
      <c r="F730" s="206"/>
      <c r="G730" s="366"/>
      <c r="H730" s="366"/>
      <c r="I730" s="366"/>
      <c r="J730" s="366"/>
      <c r="K730" s="366"/>
      <c r="L730" s="366"/>
    </row>
    <row r="731" spans="2:12" x14ac:dyDescent="0.2">
      <c r="B731" s="206"/>
      <c r="C731" s="207"/>
      <c r="D731" s="207"/>
      <c r="E731" s="206"/>
      <c r="F731" s="206"/>
      <c r="G731" s="206"/>
      <c r="H731" s="206"/>
      <c r="I731" s="206"/>
      <c r="J731" s="206"/>
      <c r="K731" s="206"/>
      <c r="L731" s="206"/>
    </row>
    <row r="732" spans="2:12" x14ac:dyDescent="0.2">
      <c r="B732" s="206"/>
      <c r="C732" s="209" t="s">
        <v>445</v>
      </c>
      <c r="D732" s="207"/>
      <c r="E732" s="207"/>
      <c r="F732" s="206"/>
      <c r="G732" s="206"/>
      <c r="H732" s="206"/>
      <c r="I732" s="209" t="s">
        <v>446</v>
      </c>
      <c r="J732" s="206"/>
      <c r="K732" s="206"/>
      <c r="L732" s="206"/>
    </row>
    <row r="733" spans="2:12" x14ac:dyDescent="0.2">
      <c r="B733" s="206"/>
      <c r="C733" s="209"/>
      <c r="D733" s="207"/>
      <c r="E733" s="207"/>
      <c r="F733" s="206"/>
      <c r="G733" s="206"/>
      <c r="H733" s="206"/>
      <c r="I733" s="209"/>
      <c r="J733" s="206"/>
      <c r="K733" s="206"/>
      <c r="L733" s="206"/>
    </row>
    <row r="734" spans="2:12" x14ac:dyDescent="0.2">
      <c r="B734" s="206"/>
      <c r="C734" s="206" t="s">
        <v>79</v>
      </c>
      <c r="D734" s="207"/>
      <c r="E734" s="207"/>
      <c r="F734" s="206"/>
      <c r="G734" s="467">
        <v>0</v>
      </c>
      <c r="H734" s="206"/>
      <c r="I734" s="206" t="s">
        <v>79</v>
      </c>
      <c r="J734" s="206"/>
      <c r="K734" s="206"/>
      <c r="L734" s="467">
        <v>0</v>
      </c>
    </row>
    <row r="735" spans="2:12" x14ac:dyDescent="0.2">
      <c r="B735" s="206"/>
      <c r="C735" s="206"/>
      <c r="D735" s="207"/>
      <c r="E735" s="207"/>
      <c r="F735" s="206"/>
      <c r="G735" s="206"/>
      <c r="H735" s="206"/>
      <c r="I735" s="206"/>
      <c r="J735" s="206"/>
      <c r="K735" s="206"/>
      <c r="L735" s="206"/>
    </row>
    <row r="736" spans="2:12" x14ac:dyDescent="0.2">
      <c r="B736" s="206"/>
      <c r="C736" s="206" t="s">
        <v>447</v>
      </c>
      <c r="D736" s="207"/>
      <c r="E736" s="207"/>
      <c r="F736" s="206"/>
      <c r="G736" s="467">
        <v>0</v>
      </c>
      <c r="H736" s="206"/>
      <c r="I736" s="206" t="s">
        <v>447</v>
      </c>
      <c r="J736" s="206"/>
      <c r="K736" s="206"/>
      <c r="L736" s="467">
        <v>0</v>
      </c>
    </row>
    <row r="737" spans="1:28" x14ac:dyDescent="0.2">
      <c r="B737" s="206"/>
      <c r="C737" s="206"/>
      <c r="D737" s="207"/>
      <c r="E737" s="207"/>
      <c r="F737" s="206"/>
      <c r="G737" s="467"/>
      <c r="H737" s="206"/>
      <c r="I737" s="206"/>
      <c r="J737" s="206"/>
      <c r="K737" s="206"/>
      <c r="L737" s="467"/>
    </row>
    <row r="738" spans="1:28" x14ac:dyDescent="0.2">
      <c r="B738" s="206"/>
      <c r="C738" s="206"/>
      <c r="D738" s="207"/>
      <c r="E738" s="207"/>
      <c r="F738" s="206"/>
      <c r="G738" s="467"/>
      <c r="H738" s="206"/>
      <c r="I738" s="206"/>
      <c r="J738" s="206"/>
      <c r="K738" s="206"/>
      <c r="L738" s="467"/>
    </row>
    <row r="739" spans="1:28" x14ac:dyDescent="0.2">
      <c r="B739" s="206"/>
      <c r="C739" s="206" t="s">
        <v>448</v>
      </c>
      <c r="D739" s="207"/>
      <c r="E739" s="207"/>
      <c r="F739" s="206"/>
      <c r="G739" s="467"/>
      <c r="H739" s="206"/>
      <c r="I739" s="206" t="s">
        <v>448</v>
      </c>
      <c r="J739" s="206"/>
      <c r="K739" s="206"/>
      <c r="L739" s="467"/>
    </row>
    <row r="740" spans="1:28" x14ac:dyDescent="0.2">
      <c r="B740" s="206"/>
      <c r="C740" s="206" t="s">
        <v>80</v>
      </c>
      <c r="D740" s="207"/>
      <c r="E740" s="207"/>
      <c r="F740" s="206"/>
      <c r="G740" s="467">
        <f>+'[8]reportes consumidor final'!I707</f>
        <v>0</v>
      </c>
      <c r="H740" s="206"/>
      <c r="I740" s="206" t="s">
        <v>80</v>
      </c>
      <c r="J740" s="206"/>
      <c r="K740" s="206"/>
      <c r="L740" s="467">
        <f>+J725</f>
        <v>46195.599999999991</v>
      </c>
    </row>
    <row r="741" spans="1:28" x14ac:dyDescent="0.2">
      <c r="B741" s="206"/>
      <c r="C741" s="206" t="s">
        <v>449</v>
      </c>
      <c r="D741" s="207"/>
      <c r="E741" s="207"/>
      <c r="F741" s="206"/>
      <c r="G741" s="468">
        <f>+G740*0.13</f>
        <v>0</v>
      </c>
      <c r="H741" s="206"/>
      <c r="I741" s="206" t="s">
        <v>449</v>
      </c>
      <c r="J741" s="206"/>
      <c r="K741" s="206"/>
      <c r="L741" s="468">
        <f>+K725</f>
        <v>3151.5299999999993</v>
      </c>
    </row>
    <row r="742" spans="1:28" x14ac:dyDescent="0.2">
      <c r="B742" s="206"/>
      <c r="C742" s="206"/>
      <c r="D742" s="207"/>
      <c r="E742" s="207"/>
      <c r="F742" s="206"/>
      <c r="G742" s="467"/>
      <c r="H742" s="206"/>
      <c r="I742" s="206"/>
      <c r="J742" s="206"/>
      <c r="K742" s="206"/>
      <c r="L742" s="467"/>
    </row>
    <row r="743" spans="1:28" ht="13.5" thickBot="1" x14ac:dyDescent="0.25">
      <c r="B743" s="206"/>
      <c r="C743" s="206" t="s">
        <v>450</v>
      </c>
      <c r="D743" s="207"/>
      <c r="E743" s="207"/>
      <c r="F743" s="206"/>
      <c r="G743" s="469">
        <f>SUM(G734:G741)</f>
        <v>0</v>
      </c>
      <c r="H743" s="206"/>
      <c r="I743" s="206" t="s">
        <v>450</v>
      </c>
      <c r="J743" s="206"/>
      <c r="K743" s="206"/>
      <c r="L743" s="469">
        <f>SUM(L740:L742)</f>
        <v>49347.12999999999</v>
      </c>
    </row>
    <row r="744" spans="1:28" ht="13.5" thickTop="1" x14ac:dyDescent="0.2"/>
    <row r="746" spans="1:28" ht="3.75" customHeight="1" x14ac:dyDescent="0.2">
      <c r="A746" s="610"/>
      <c r="B746" s="610"/>
      <c r="C746" s="611"/>
      <c r="D746" s="611"/>
      <c r="E746" s="610"/>
      <c r="F746" s="610"/>
      <c r="G746" s="610"/>
      <c r="H746" s="610"/>
      <c r="I746" s="610"/>
      <c r="J746" s="610"/>
      <c r="K746" s="610"/>
      <c r="L746" s="610"/>
      <c r="M746" s="612"/>
      <c r="N746" s="612"/>
      <c r="O746" s="612"/>
      <c r="P746" s="612"/>
      <c r="Q746" s="613"/>
      <c r="R746" s="613"/>
      <c r="S746" s="613"/>
      <c r="T746" s="613"/>
      <c r="U746" s="613"/>
      <c r="V746" s="613"/>
      <c r="W746" s="613"/>
      <c r="X746" s="613"/>
      <c r="Y746" s="613"/>
      <c r="Z746" s="613"/>
      <c r="AA746" s="613"/>
      <c r="AB746" s="613"/>
    </row>
    <row r="749" spans="1:28" ht="16.5" x14ac:dyDescent="0.25">
      <c r="C749" s="205" t="s">
        <v>240</v>
      </c>
      <c r="D749" s="206"/>
      <c r="E749" s="207"/>
      <c r="F749" s="208" t="s">
        <v>793</v>
      </c>
      <c r="M749" s="589"/>
      <c r="N749" s="589"/>
      <c r="O749" s="589"/>
      <c r="P749" s="589"/>
    </row>
    <row r="750" spans="1:28" x14ac:dyDescent="0.2">
      <c r="C750" s="212" t="s">
        <v>15</v>
      </c>
      <c r="D750" s="206"/>
      <c r="E750" s="206"/>
      <c r="F750" s="213"/>
      <c r="M750" s="589"/>
      <c r="N750" s="589"/>
      <c r="O750" s="589"/>
      <c r="P750" s="589"/>
    </row>
    <row r="751" spans="1:28" x14ac:dyDescent="0.2">
      <c r="M751" s="589"/>
      <c r="N751" s="589"/>
      <c r="O751" s="589"/>
      <c r="P751" s="589"/>
    </row>
    <row r="752" spans="1:28" x14ac:dyDescent="0.2">
      <c r="M752" s="589"/>
      <c r="N752" s="589"/>
      <c r="O752" s="589"/>
      <c r="P752" s="589"/>
    </row>
    <row r="753" spans="2:26" x14ac:dyDescent="0.2">
      <c r="B753" s="216"/>
      <c r="C753" s="216"/>
      <c r="D753" s="216"/>
      <c r="E753" s="216"/>
      <c r="F753" s="216"/>
      <c r="G753" s="216"/>
      <c r="H753" s="209"/>
      <c r="I753" s="209"/>
      <c r="J753" s="209"/>
      <c r="K753" s="209"/>
      <c r="L753" s="216"/>
      <c r="M753" s="589"/>
      <c r="N753" s="589"/>
      <c r="O753" s="589"/>
      <c r="P753" s="589"/>
    </row>
    <row r="754" spans="2:26" x14ac:dyDescent="0.2">
      <c r="B754" s="217"/>
      <c r="C754" s="218" t="s">
        <v>137</v>
      </c>
      <c r="D754" s="219" t="s">
        <v>16</v>
      </c>
      <c r="E754" s="219"/>
      <c r="F754" s="219" t="s">
        <v>74</v>
      </c>
      <c r="G754" s="219"/>
      <c r="H754" s="220" t="s">
        <v>75</v>
      </c>
      <c r="I754" s="221"/>
      <c r="J754" s="221"/>
      <c r="K754" s="221"/>
      <c r="L754" s="239"/>
      <c r="M754" s="590"/>
      <c r="N754" s="590"/>
      <c r="O754" s="303" t="s">
        <v>257</v>
      </c>
      <c r="P754" s="303"/>
      <c r="Q754" s="303"/>
      <c r="R754" s="303"/>
      <c r="U754" s="153" t="s">
        <v>247</v>
      </c>
      <c r="Y754" s="144" t="s">
        <v>256</v>
      </c>
      <c r="Z754" s="144" t="s">
        <v>184</v>
      </c>
    </row>
    <row r="755" spans="2:26" x14ac:dyDescent="0.2">
      <c r="B755" s="222" t="s">
        <v>76</v>
      </c>
      <c r="C755" s="223" t="s">
        <v>77</v>
      </c>
      <c r="D755" s="223" t="s">
        <v>141</v>
      </c>
      <c r="E755" s="223" t="s">
        <v>78</v>
      </c>
      <c r="F755" s="223" t="s">
        <v>142</v>
      </c>
      <c r="G755" s="223" t="s">
        <v>79</v>
      </c>
      <c r="H755" s="224" t="s">
        <v>48</v>
      </c>
      <c r="I755" s="221"/>
      <c r="J755" s="224" t="s">
        <v>80</v>
      </c>
      <c r="K755" s="221"/>
      <c r="L755" s="240" t="s">
        <v>175</v>
      </c>
      <c r="M755" s="590"/>
      <c r="N755" s="590"/>
      <c r="O755" s="260" t="s">
        <v>84</v>
      </c>
      <c r="P755" s="96">
        <v>51000000001</v>
      </c>
      <c r="Q755" s="234" t="s">
        <v>242</v>
      </c>
      <c r="R755" s="592">
        <f>SUMIFS($J$759:$J$793,$E$759:$E$793,Q755,$M$759:$M$793,P755)</f>
        <v>0</v>
      </c>
      <c r="T755" s="144">
        <v>51000200001</v>
      </c>
      <c r="U755" s="144" t="s">
        <v>194</v>
      </c>
      <c r="X755" s="156">
        <v>-699.26</v>
      </c>
      <c r="Y755" s="156">
        <f>R758</f>
        <v>0</v>
      </c>
      <c r="Z755" s="236">
        <v>0</v>
      </c>
    </row>
    <row r="756" spans="2:26" x14ac:dyDescent="0.2">
      <c r="B756" s="225"/>
      <c r="C756" s="226"/>
      <c r="D756" s="226"/>
      <c r="E756" s="225"/>
      <c r="F756" s="225"/>
      <c r="G756" s="225"/>
      <c r="H756" s="227" t="s">
        <v>176</v>
      </c>
      <c r="I756" s="228" t="s">
        <v>177</v>
      </c>
      <c r="J756" s="241" t="s">
        <v>178</v>
      </c>
      <c r="K756" s="241" t="s">
        <v>46</v>
      </c>
      <c r="L756" s="242" t="s">
        <v>48</v>
      </c>
      <c r="M756" s="590"/>
      <c r="N756" s="590"/>
      <c r="O756" s="260" t="s">
        <v>84</v>
      </c>
      <c r="P756" s="96">
        <v>51000000002</v>
      </c>
      <c r="Q756" s="234" t="s">
        <v>242</v>
      </c>
      <c r="R756" s="592">
        <f t="shared" ref="R756:R774" si="62">SUMIFS($J$759:$J$793,$E$759:$E$793,Q756,$M$759:$M$793,P756)</f>
        <v>0</v>
      </c>
      <c r="T756" s="144">
        <v>51000200002</v>
      </c>
      <c r="U756" s="144" t="s">
        <v>195</v>
      </c>
      <c r="X756" s="156">
        <v>-699.26</v>
      </c>
      <c r="Y756" s="156">
        <f>R760</f>
        <v>0</v>
      </c>
      <c r="Z756" s="236">
        <v>0</v>
      </c>
    </row>
    <row r="757" spans="2:26" x14ac:dyDescent="0.2">
      <c r="B757" s="229"/>
      <c r="C757" s="230"/>
      <c r="D757" s="230"/>
      <c r="E757" s="231"/>
      <c r="F757" s="232"/>
      <c r="G757" s="591"/>
      <c r="H757" s="592"/>
      <c r="I757" s="592"/>
      <c r="J757" s="592"/>
      <c r="K757" s="592"/>
      <c r="L757" s="592"/>
      <c r="M757" s="593"/>
      <c r="N757" s="593"/>
      <c r="O757" s="260" t="s">
        <v>84</v>
      </c>
      <c r="P757" s="96">
        <v>51000100001</v>
      </c>
      <c r="Q757" s="234" t="s">
        <v>242</v>
      </c>
      <c r="R757" s="592">
        <f t="shared" si="62"/>
        <v>0</v>
      </c>
      <c r="T757" s="144">
        <v>51000100001</v>
      </c>
      <c r="U757" s="156" t="s">
        <v>4</v>
      </c>
      <c r="X757" s="156">
        <v>-44.26</v>
      </c>
    </row>
    <row r="758" spans="2:26" x14ac:dyDescent="0.2">
      <c r="B758" s="731">
        <v>43557</v>
      </c>
      <c r="C758" s="230" t="s">
        <v>794</v>
      </c>
      <c r="D758" s="230" t="s">
        <v>241</v>
      </c>
      <c r="E758" s="234" t="s">
        <v>259</v>
      </c>
      <c r="F758" s="234"/>
      <c r="G758" s="591"/>
      <c r="H758" s="592"/>
      <c r="I758" s="592"/>
      <c r="J758" s="592">
        <v>0</v>
      </c>
      <c r="K758" s="235">
        <v>0</v>
      </c>
      <c r="L758" s="592">
        <f t="shared" ref="L758:L783" si="63">+J758+K758</f>
        <v>0</v>
      </c>
      <c r="M758" s="593"/>
      <c r="N758" s="593"/>
      <c r="O758" s="260" t="s">
        <v>84</v>
      </c>
      <c r="P758" s="96">
        <v>51000100001</v>
      </c>
      <c r="Q758" s="234" t="s">
        <v>269</v>
      </c>
      <c r="R758" s="592">
        <f t="shared" si="62"/>
        <v>0</v>
      </c>
      <c r="T758" s="144">
        <v>51000100002</v>
      </c>
      <c r="U758" s="156" t="s">
        <v>193</v>
      </c>
      <c r="X758" s="156">
        <v>-27.65</v>
      </c>
    </row>
    <row r="759" spans="2:26" x14ac:dyDescent="0.2">
      <c r="B759" s="731">
        <v>43557</v>
      </c>
      <c r="C759" s="230" t="s">
        <v>795</v>
      </c>
      <c r="D759" s="230" t="s">
        <v>241</v>
      </c>
      <c r="E759" s="234" t="s">
        <v>259</v>
      </c>
      <c r="F759" s="234"/>
      <c r="G759" s="234"/>
      <c r="H759" s="592"/>
      <c r="I759" s="592"/>
      <c r="J759" s="592">
        <v>0</v>
      </c>
      <c r="K759" s="235">
        <v>0</v>
      </c>
      <c r="L759" s="592">
        <f t="shared" si="63"/>
        <v>0</v>
      </c>
      <c r="M759" s="593"/>
      <c r="N759" s="593"/>
      <c r="O759" s="260" t="s">
        <v>84</v>
      </c>
      <c r="P759" s="96">
        <v>51000100002</v>
      </c>
      <c r="Q759" s="234" t="s">
        <v>242</v>
      </c>
      <c r="R759" s="592">
        <f t="shared" si="62"/>
        <v>0</v>
      </c>
      <c r="T759" s="144">
        <v>51220200001</v>
      </c>
      <c r="U759" s="144" t="s">
        <v>21</v>
      </c>
      <c r="X759" s="156">
        <v>-3229.53</v>
      </c>
      <c r="Y759" s="156">
        <f>R767+R774</f>
        <v>3001.16</v>
      </c>
      <c r="Z759" s="236">
        <f>X759+Y759</f>
        <v>-228.37000000000035</v>
      </c>
    </row>
    <row r="760" spans="2:26" x14ac:dyDescent="0.2">
      <c r="B760" s="731">
        <v>43556</v>
      </c>
      <c r="C760" s="230" t="s">
        <v>796</v>
      </c>
      <c r="D760" s="230" t="s">
        <v>241</v>
      </c>
      <c r="E760" s="234" t="str">
        <f>+VLOOKUP(F760,[9]bd!A:B,2,0)</f>
        <v>BANCO CUSCATLAN DE EL SALVADOR S.A.</v>
      </c>
      <c r="F760" s="234" t="s">
        <v>47</v>
      </c>
      <c r="G760" s="591"/>
      <c r="H760" s="592"/>
      <c r="I760" s="592"/>
      <c r="J760" s="592">
        <v>112.27</v>
      </c>
      <c r="K760" s="235">
        <v>14.59</v>
      </c>
      <c r="L760" s="592">
        <f t="shared" si="63"/>
        <v>126.86</v>
      </c>
      <c r="M760" s="608">
        <v>51000200002</v>
      </c>
      <c r="N760" s="593"/>
      <c r="O760" s="260" t="s">
        <v>84</v>
      </c>
      <c r="P760" s="96">
        <v>51000100002</v>
      </c>
      <c r="Q760" s="234" t="s">
        <v>269</v>
      </c>
      <c r="R760" s="592">
        <f t="shared" si="62"/>
        <v>0</v>
      </c>
      <c r="T760" s="702">
        <v>52200000001</v>
      </c>
      <c r="U760" s="702" t="s">
        <v>11</v>
      </c>
      <c r="V760" s="702"/>
      <c r="W760" s="702"/>
      <c r="X760" s="703"/>
      <c r="Y760" s="156">
        <v>0</v>
      </c>
      <c r="Z760" s="236">
        <v>0</v>
      </c>
    </row>
    <row r="761" spans="2:26" x14ac:dyDescent="0.2">
      <c r="B761" s="731">
        <v>43556</v>
      </c>
      <c r="C761" s="230" t="s">
        <v>797</v>
      </c>
      <c r="D761" s="230" t="s">
        <v>241</v>
      </c>
      <c r="E761" s="234" t="str">
        <f>+VLOOKUP(F761,[9]bd!A:B,2,0)</f>
        <v>BANCO CUSCATLAN DE EL SALVADOR S.A.</v>
      </c>
      <c r="F761" s="234" t="s">
        <v>47</v>
      </c>
      <c r="G761" s="591"/>
      <c r="H761" s="592"/>
      <c r="I761" s="592"/>
      <c r="J761" s="592">
        <v>112.27</v>
      </c>
      <c r="K761" s="235">
        <v>14.59</v>
      </c>
      <c r="L761" s="592">
        <f t="shared" si="63"/>
        <v>126.86</v>
      </c>
      <c r="M761" s="608">
        <v>51000200001</v>
      </c>
      <c r="N761" s="593"/>
      <c r="O761" s="260" t="s">
        <v>84</v>
      </c>
      <c r="P761" s="486">
        <v>51000200001</v>
      </c>
      <c r="Q761" s="476" t="s">
        <v>242</v>
      </c>
      <c r="R761" s="592">
        <f t="shared" si="62"/>
        <v>699.26</v>
      </c>
      <c r="T761" s="144">
        <v>51000000001</v>
      </c>
      <c r="U761" s="144" t="s">
        <v>71</v>
      </c>
      <c r="X761" s="156"/>
    </row>
    <row r="762" spans="2:26" x14ac:dyDescent="0.2">
      <c r="B762" s="731">
        <v>43557</v>
      </c>
      <c r="C762" s="230" t="s">
        <v>798</v>
      </c>
      <c r="D762" s="230" t="s">
        <v>241</v>
      </c>
      <c r="E762" s="234" t="str">
        <f>+VLOOKUP(F762,[9]bd!A:B,2,0)</f>
        <v>BANCO CUSCATLAN DE EL SALVADOR S.A.</v>
      </c>
      <c r="F762" s="234" t="s">
        <v>47</v>
      </c>
      <c r="G762" s="234"/>
      <c r="H762" s="592"/>
      <c r="I762" s="592"/>
      <c r="J762" s="592">
        <v>47.95</v>
      </c>
      <c r="K762" s="235">
        <v>6.23</v>
      </c>
      <c r="L762" s="592">
        <f t="shared" si="63"/>
        <v>54.180000000000007</v>
      </c>
      <c r="M762" s="608">
        <v>51000200002</v>
      </c>
      <c r="N762" s="593"/>
      <c r="O762" s="260" t="s">
        <v>84</v>
      </c>
      <c r="P762" s="96">
        <v>51000200001</v>
      </c>
      <c r="Q762" s="234" t="s">
        <v>187</v>
      </c>
      <c r="R762" s="592">
        <f t="shared" si="62"/>
        <v>0</v>
      </c>
      <c r="T762" s="144">
        <v>51000000002</v>
      </c>
      <c r="U762" s="144" t="s">
        <v>3</v>
      </c>
      <c r="X762" s="156"/>
    </row>
    <row r="763" spans="2:26" x14ac:dyDescent="0.2">
      <c r="B763" s="731">
        <v>43557</v>
      </c>
      <c r="C763" s="230" t="s">
        <v>799</v>
      </c>
      <c r="D763" s="230" t="s">
        <v>241</v>
      </c>
      <c r="E763" s="234" t="str">
        <f>+VLOOKUP(F763,[9]bd!A:B,2,0)</f>
        <v>BANCO CUSCATLAN DE EL SALVADOR S.A.</v>
      </c>
      <c r="F763" s="234" t="s">
        <v>47</v>
      </c>
      <c r="G763" s="234"/>
      <c r="H763" s="592"/>
      <c r="I763" s="592"/>
      <c r="J763" s="592">
        <v>47.95</v>
      </c>
      <c r="K763" s="235">
        <v>6.23</v>
      </c>
      <c r="L763" s="592">
        <f t="shared" si="63"/>
        <v>54.180000000000007</v>
      </c>
      <c r="M763" s="608">
        <v>51000200001</v>
      </c>
      <c r="N763" s="593"/>
      <c r="O763" s="260" t="s">
        <v>84</v>
      </c>
      <c r="P763" s="96">
        <v>51000200001</v>
      </c>
      <c r="Q763" s="234" t="s">
        <v>22</v>
      </c>
      <c r="R763" s="592">
        <f t="shared" si="62"/>
        <v>0</v>
      </c>
      <c r="X763" s="356">
        <v>0</v>
      </c>
      <c r="Y763" s="156">
        <v>0</v>
      </c>
      <c r="Z763" s="236">
        <v>0</v>
      </c>
    </row>
    <row r="764" spans="2:26" x14ac:dyDescent="0.2">
      <c r="B764" s="731">
        <v>43558</v>
      </c>
      <c r="C764" s="230" t="s">
        <v>800</v>
      </c>
      <c r="D764" s="230" t="s">
        <v>241</v>
      </c>
      <c r="E764" s="234" t="str">
        <f>+VLOOKUP(F764,[9]bd!A:B,2,0)</f>
        <v>BANCO CUSCATLAN DE EL SALVADOR S.A.</v>
      </c>
      <c r="F764" s="234" t="s">
        <v>47</v>
      </c>
      <c r="G764" s="234"/>
      <c r="H764" s="592"/>
      <c r="I764" s="592"/>
      <c r="J764" s="592">
        <v>164.39</v>
      </c>
      <c r="K764" s="235">
        <v>21.37</v>
      </c>
      <c r="L764" s="592">
        <f t="shared" si="63"/>
        <v>185.76</v>
      </c>
      <c r="M764" s="608">
        <v>51000200002</v>
      </c>
      <c r="N764" s="593"/>
      <c r="O764" s="260" t="s">
        <v>84</v>
      </c>
      <c r="P764" s="486">
        <v>51000200002</v>
      </c>
      <c r="Q764" s="476" t="s">
        <v>242</v>
      </c>
      <c r="R764" s="592">
        <f t="shared" si="62"/>
        <v>699.26</v>
      </c>
      <c r="X764" s="304">
        <v>0</v>
      </c>
      <c r="Y764" s="304">
        <f>R770+R777</f>
        <v>0</v>
      </c>
      <c r="Z764" s="300">
        <v>0</v>
      </c>
    </row>
    <row r="765" spans="2:26" x14ac:dyDescent="0.2">
      <c r="B765" s="731">
        <v>43558</v>
      </c>
      <c r="C765" s="230" t="s">
        <v>801</v>
      </c>
      <c r="D765" s="230" t="s">
        <v>241</v>
      </c>
      <c r="E765" s="234" t="str">
        <f>+VLOOKUP(F765,[9]bd!A:B,2,0)</f>
        <v>BANCO CUSCATLAN DE EL SALVADOR S.A.</v>
      </c>
      <c r="F765" s="234" t="s">
        <v>47</v>
      </c>
      <c r="G765" s="234"/>
      <c r="H765" s="592"/>
      <c r="I765" s="592"/>
      <c r="J765" s="592">
        <v>164.39</v>
      </c>
      <c r="K765" s="235">
        <v>21.37</v>
      </c>
      <c r="L765" s="592">
        <f t="shared" si="63"/>
        <v>185.76</v>
      </c>
      <c r="M765" s="608">
        <v>51000200001</v>
      </c>
      <c r="N765" s="593"/>
      <c r="O765" s="260" t="s">
        <v>84</v>
      </c>
      <c r="P765" s="96">
        <v>51000200002</v>
      </c>
      <c r="Q765" s="234" t="s">
        <v>187</v>
      </c>
      <c r="R765" s="592">
        <f t="shared" si="62"/>
        <v>0</v>
      </c>
      <c r="X765" s="290">
        <f>SUM(X755:X762)</f>
        <v>-4699.96</v>
      </c>
      <c r="Y765" s="290">
        <f>SUM(Y755:Y764)</f>
        <v>3001.16</v>
      </c>
      <c r="Z765" s="290">
        <f>SUM(Z755:Z764)</f>
        <v>-228.37000000000035</v>
      </c>
    </row>
    <row r="766" spans="2:26" x14ac:dyDescent="0.2">
      <c r="B766" s="731">
        <v>43559</v>
      </c>
      <c r="C766" s="230" t="s">
        <v>802</v>
      </c>
      <c r="D766" s="230" t="s">
        <v>241</v>
      </c>
      <c r="E766" s="476" t="str">
        <f>+VLOOKUP(F766,[9]bd!A:B,2,0)</f>
        <v>CITIBANK, N.A. SUCURSAL EL SALVADOR</v>
      </c>
      <c r="F766" s="476" t="s">
        <v>179</v>
      </c>
      <c r="G766" s="476"/>
      <c r="H766" s="478"/>
      <c r="I766" s="478"/>
      <c r="J766" s="478">
        <v>44.26</v>
      </c>
      <c r="K766" s="609">
        <v>5.75</v>
      </c>
      <c r="L766" s="478">
        <f t="shared" si="63"/>
        <v>50.01</v>
      </c>
      <c r="M766" s="719"/>
      <c r="N766" s="593"/>
      <c r="O766" s="260" t="s">
        <v>84</v>
      </c>
      <c r="P766" s="96">
        <v>51000200002</v>
      </c>
      <c r="Q766" s="234" t="s">
        <v>22</v>
      </c>
      <c r="R766" s="592">
        <f t="shared" si="62"/>
        <v>0</v>
      </c>
      <c r="U766" s="156"/>
      <c r="Z766" s="236"/>
    </row>
    <row r="767" spans="2:26" x14ac:dyDescent="0.2">
      <c r="B767" s="731">
        <v>43559</v>
      </c>
      <c r="C767" s="230" t="s">
        <v>803</v>
      </c>
      <c r="D767" s="230" t="s">
        <v>241</v>
      </c>
      <c r="E767" s="476" t="str">
        <f>+VLOOKUP(F767,[9]bd!A:B,2,0)</f>
        <v>CITIBANK, N.A. SUCURSAL EL SALVADOR</v>
      </c>
      <c r="F767" s="476" t="s">
        <v>179</v>
      </c>
      <c r="G767" s="476"/>
      <c r="H767" s="478"/>
      <c r="I767" s="478"/>
      <c r="J767" s="478">
        <v>27.65</v>
      </c>
      <c r="K767" s="609">
        <v>3.6</v>
      </c>
      <c r="L767" s="478">
        <f t="shared" si="63"/>
        <v>31.25</v>
      </c>
      <c r="M767" s="719"/>
      <c r="N767" s="593"/>
      <c r="O767" s="260" t="s">
        <v>84</v>
      </c>
      <c r="P767" s="486">
        <v>51220200001</v>
      </c>
      <c r="Q767" s="476" t="s">
        <v>242</v>
      </c>
      <c r="R767" s="592">
        <f t="shared" si="62"/>
        <v>2655.14</v>
      </c>
      <c r="U767" s="156"/>
    </row>
    <row r="768" spans="2:26" x14ac:dyDescent="0.2">
      <c r="B768" s="731">
        <v>43556</v>
      </c>
      <c r="C768" s="230" t="s">
        <v>804</v>
      </c>
      <c r="D768" s="230" t="s">
        <v>241</v>
      </c>
      <c r="E768" s="234" t="s">
        <v>259</v>
      </c>
      <c r="F768" s="234"/>
      <c r="G768" s="234"/>
      <c r="H768" s="592"/>
      <c r="I768" s="592"/>
      <c r="J768" s="592">
        <v>0</v>
      </c>
      <c r="K768" s="235">
        <v>0</v>
      </c>
      <c r="L768" s="592">
        <f t="shared" si="63"/>
        <v>0</v>
      </c>
      <c r="M768" s="593"/>
      <c r="N768" s="593"/>
      <c r="O768" s="260" t="s">
        <v>84</v>
      </c>
      <c r="P768" s="96">
        <v>51220200001</v>
      </c>
      <c r="Q768" s="234" t="s">
        <v>187</v>
      </c>
      <c r="R768" s="592">
        <f t="shared" si="62"/>
        <v>0</v>
      </c>
    </row>
    <row r="769" spans="2:25" x14ac:dyDescent="0.2">
      <c r="B769" s="731">
        <v>43556</v>
      </c>
      <c r="C769" s="230" t="s">
        <v>805</v>
      </c>
      <c r="D769" s="230" t="s">
        <v>241</v>
      </c>
      <c r="E769" s="234" t="s">
        <v>259</v>
      </c>
      <c r="F769" s="234"/>
      <c r="G769" s="234"/>
      <c r="H769" s="592"/>
      <c r="I769" s="592"/>
      <c r="J769" s="592">
        <v>0</v>
      </c>
      <c r="K769" s="235">
        <v>0</v>
      </c>
      <c r="L769" s="592">
        <f t="shared" si="63"/>
        <v>0</v>
      </c>
      <c r="M769" s="593"/>
      <c r="N769" s="593"/>
      <c r="O769" s="260" t="s">
        <v>84</v>
      </c>
      <c r="P769" s="96">
        <v>51220200001</v>
      </c>
      <c r="Q769" s="234" t="s">
        <v>22</v>
      </c>
      <c r="R769" s="592">
        <f t="shared" si="62"/>
        <v>0</v>
      </c>
    </row>
    <row r="770" spans="2:25" x14ac:dyDescent="0.2">
      <c r="B770" s="233">
        <v>43565</v>
      </c>
      <c r="C770" s="230" t="s">
        <v>806</v>
      </c>
      <c r="D770" s="230" t="s">
        <v>241</v>
      </c>
      <c r="E770" s="234" t="str">
        <f>+VLOOKUP(F770,[9]bd!A:B,2,0)</f>
        <v>BANCO CUSCATLAN DE EL SALVADOR S.A.</v>
      </c>
      <c r="F770" s="234" t="s">
        <v>47</v>
      </c>
      <c r="G770" s="234"/>
      <c r="H770" s="592"/>
      <c r="I770" s="592"/>
      <c r="J770" s="592">
        <v>95.89</v>
      </c>
      <c r="K770" s="294">
        <v>12.47</v>
      </c>
      <c r="L770" s="592">
        <f t="shared" si="63"/>
        <v>108.36</v>
      </c>
      <c r="M770" s="608">
        <v>51000200002</v>
      </c>
      <c r="N770" s="593"/>
      <c r="O770" s="260" t="s">
        <v>84</v>
      </c>
      <c r="P770" s="96">
        <v>52200000001</v>
      </c>
      <c r="Q770" s="234" t="s">
        <v>242</v>
      </c>
      <c r="R770" s="592">
        <f t="shared" si="62"/>
        <v>0</v>
      </c>
      <c r="W770" s="153" t="s">
        <v>255</v>
      </c>
      <c r="X770" s="236">
        <f>+X756+X759+X755+X763+X764+X757+X758+X761+X762</f>
        <v>-4699.96</v>
      </c>
    </row>
    <row r="771" spans="2:25" x14ac:dyDescent="0.2">
      <c r="B771" s="233">
        <v>43565</v>
      </c>
      <c r="C771" s="230" t="s">
        <v>807</v>
      </c>
      <c r="D771" s="230" t="s">
        <v>241</v>
      </c>
      <c r="E771" s="234" t="str">
        <f>+VLOOKUP(F771,[9]bd!A:B,2,0)</f>
        <v>BANCO CUSCATLAN DE EL SALVADOR S.A.</v>
      </c>
      <c r="F771" s="234" t="s">
        <v>47</v>
      </c>
      <c r="G771" s="234"/>
      <c r="H771" s="592"/>
      <c r="I771" s="592"/>
      <c r="J771" s="592">
        <v>95.89</v>
      </c>
      <c r="K771" s="294">
        <v>12.47</v>
      </c>
      <c r="L771" s="592">
        <f t="shared" si="63"/>
        <v>108.36</v>
      </c>
      <c r="M771" s="608">
        <v>51000200001</v>
      </c>
      <c r="N771" s="593"/>
      <c r="O771" s="260" t="s">
        <v>84</v>
      </c>
      <c r="P771" s="96">
        <v>52200000001</v>
      </c>
      <c r="Q771" s="234" t="s">
        <v>187</v>
      </c>
      <c r="R771" s="592">
        <f t="shared" si="62"/>
        <v>0</v>
      </c>
      <c r="W771" s="144" t="s">
        <v>257</v>
      </c>
      <c r="X771" s="236">
        <f>+R775</f>
        <v>4399.68</v>
      </c>
    </row>
    <row r="772" spans="2:25" x14ac:dyDescent="0.2">
      <c r="B772" s="233">
        <v>43566</v>
      </c>
      <c r="C772" s="230" t="s">
        <v>808</v>
      </c>
      <c r="D772" s="230" t="s">
        <v>241</v>
      </c>
      <c r="E772" s="234" t="str">
        <f>+VLOOKUP(F772,[9]bd!A:B,2,0)</f>
        <v>BANCO CUSCATLAN DE EL SALVADOR S.A.</v>
      </c>
      <c r="F772" s="234" t="s">
        <v>47</v>
      </c>
      <c r="G772" s="234"/>
      <c r="H772" s="592"/>
      <c r="I772" s="592"/>
      <c r="J772" s="592">
        <v>159.65</v>
      </c>
      <c r="K772" s="294">
        <v>20.75</v>
      </c>
      <c r="L772" s="592">
        <f t="shared" si="63"/>
        <v>180.4</v>
      </c>
      <c r="M772" s="608">
        <v>51000200002</v>
      </c>
      <c r="N772" s="593"/>
      <c r="O772" s="260" t="s">
        <v>84</v>
      </c>
      <c r="P772" s="96">
        <v>52200000001</v>
      </c>
      <c r="Q772" s="234" t="s">
        <v>22</v>
      </c>
      <c r="R772" s="592">
        <f t="shared" si="62"/>
        <v>0</v>
      </c>
      <c r="W772" s="144" t="s">
        <v>260</v>
      </c>
      <c r="X772" s="300">
        <f>+J766+J767+J777</f>
        <v>298.54999999999995</v>
      </c>
    </row>
    <row r="773" spans="2:25" x14ac:dyDescent="0.2">
      <c r="B773" s="233">
        <v>43566</v>
      </c>
      <c r="C773" s="230" t="s">
        <v>809</v>
      </c>
      <c r="D773" s="230" t="s">
        <v>241</v>
      </c>
      <c r="E773" s="234" t="str">
        <f>+VLOOKUP(F773,[9]bd!A:B,2,0)</f>
        <v>BANCO CUSCATLAN DE EL SALVADOR S.A.</v>
      </c>
      <c r="F773" s="234" t="s">
        <v>47</v>
      </c>
      <c r="G773" s="234"/>
      <c r="H773" s="592"/>
      <c r="I773" s="592"/>
      <c r="J773" s="592">
        <v>159.65</v>
      </c>
      <c r="K773" s="294">
        <v>20.75</v>
      </c>
      <c r="L773" s="592">
        <f t="shared" si="63"/>
        <v>180.4</v>
      </c>
      <c r="M773" s="608">
        <v>51000200001</v>
      </c>
      <c r="N773" s="593"/>
      <c r="O773" s="260" t="s">
        <v>84</v>
      </c>
      <c r="P773" s="96">
        <v>52200000001</v>
      </c>
      <c r="Q773" s="234" t="s">
        <v>242</v>
      </c>
      <c r="R773" s="592">
        <f t="shared" si="62"/>
        <v>0</v>
      </c>
      <c r="X773" s="704">
        <f>X770+X771+X772</f>
        <v>-1.7299999999997908</v>
      </c>
      <c r="Y773" s="144" t="s">
        <v>275</v>
      </c>
    </row>
    <row r="774" spans="2:25" x14ac:dyDescent="0.2">
      <c r="B774" s="233">
        <v>43570</v>
      </c>
      <c r="C774" s="230" t="s">
        <v>810</v>
      </c>
      <c r="D774" s="230" t="s">
        <v>241</v>
      </c>
      <c r="E774" s="234" t="s">
        <v>259</v>
      </c>
      <c r="F774" s="196"/>
      <c r="G774" s="591"/>
      <c r="H774" s="592"/>
      <c r="I774" s="592"/>
      <c r="J774" s="592">
        <v>0</v>
      </c>
      <c r="K774" s="294">
        <v>0</v>
      </c>
      <c r="L774" s="592">
        <f t="shared" si="63"/>
        <v>0</v>
      </c>
      <c r="M774" s="593"/>
      <c r="N774" s="593"/>
      <c r="O774" s="260" t="s">
        <v>84</v>
      </c>
      <c r="P774" s="486">
        <v>51220200001</v>
      </c>
      <c r="Q774" s="476" t="s">
        <v>269</v>
      </c>
      <c r="R774" s="592">
        <f t="shared" si="62"/>
        <v>346.02</v>
      </c>
    </row>
    <row r="775" spans="2:25" ht="13.5" thickBot="1" x14ac:dyDescent="0.25">
      <c r="B775" s="233">
        <v>43570</v>
      </c>
      <c r="C775" s="230" t="s">
        <v>811</v>
      </c>
      <c r="D775" s="230" t="s">
        <v>241</v>
      </c>
      <c r="E775" s="234" t="str">
        <f>+VLOOKUP(F775,[9]bd!A:B,2,0)</f>
        <v>INVERSIONES FINANCIERAS IMPERIA CUSCATLAN, SA</v>
      </c>
      <c r="F775" s="196" t="s">
        <v>270</v>
      </c>
      <c r="G775" s="591"/>
      <c r="H775" s="592"/>
      <c r="I775" s="592"/>
      <c r="J775" s="592">
        <v>346.02</v>
      </c>
      <c r="K775" s="294">
        <v>44.98</v>
      </c>
      <c r="L775" s="592">
        <f t="shared" si="63"/>
        <v>391</v>
      </c>
      <c r="M775" s="726">
        <v>51220200001</v>
      </c>
      <c r="N775" s="593"/>
      <c r="O775" s="589"/>
      <c r="P775" s="589"/>
      <c r="R775" s="607">
        <f>SUM(R755:R774)</f>
        <v>4399.68</v>
      </c>
    </row>
    <row r="776" spans="2:25" ht="13.5" thickTop="1" x14ac:dyDescent="0.2">
      <c r="B776" s="233">
        <v>43570</v>
      </c>
      <c r="C776" s="230" t="s">
        <v>812</v>
      </c>
      <c r="D776" s="230" t="s">
        <v>241</v>
      </c>
      <c r="E776" s="234" t="str">
        <f>+VLOOKUP(F776,[9]bd!A:B,2,0)</f>
        <v>BANCO CUSCATLAN DE EL SALVADOR S.A.</v>
      </c>
      <c r="F776" s="234" t="s">
        <v>47</v>
      </c>
      <c r="G776" s="591"/>
      <c r="H776" s="592"/>
      <c r="I776" s="592"/>
      <c r="J776" s="592">
        <v>2655.14</v>
      </c>
      <c r="K776" s="235">
        <v>345.17</v>
      </c>
      <c r="L776" s="592">
        <f t="shared" si="63"/>
        <v>3000.31</v>
      </c>
      <c r="M776" s="726">
        <v>51220200001</v>
      </c>
      <c r="N776" s="593"/>
      <c r="O776" s="589"/>
      <c r="P776" s="589"/>
    </row>
    <row r="777" spans="2:25" x14ac:dyDescent="0.2">
      <c r="B777" s="233">
        <v>43570</v>
      </c>
      <c r="C777" s="230" t="s">
        <v>813</v>
      </c>
      <c r="D777" s="230" t="s">
        <v>241</v>
      </c>
      <c r="E777" s="476" t="str">
        <f>+VLOOKUP(F777,[9]bd!A:B,2,0)</f>
        <v>CITIBANK, N.A. SUCURSAL EL SALVADOR</v>
      </c>
      <c r="F777" s="476" t="s">
        <v>179</v>
      </c>
      <c r="G777" s="477"/>
      <c r="H777" s="478"/>
      <c r="I777" s="478"/>
      <c r="J777" s="478">
        <v>226.64</v>
      </c>
      <c r="K777" s="609">
        <v>29.46</v>
      </c>
      <c r="L777" s="478">
        <f t="shared" si="63"/>
        <v>256.09999999999997</v>
      </c>
      <c r="M777" s="719"/>
      <c r="N777" s="593"/>
      <c r="O777" s="589"/>
      <c r="P777" s="589"/>
    </row>
    <row r="778" spans="2:25" x14ac:dyDescent="0.2">
      <c r="B778" s="233">
        <v>43580</v>
      </c>
      <c r="C778" s="230" t="s">
        <v>814</v>
      </c>
      <c r="D778" s="230" t="s">
        <v>241</v>
      </c>
      <c r="E778" s="234" t="str">
        <f>+VLOOKUP(F778,[9]bd!A:B,2,0)</f>
        <v>BANCO CUSCATLAN DE EL SALVADOR S.A.</v>
      </c>
      <c r="F778" s="234" t="s">
        <v>47</v>
      </c>
      <c r="G778" s="591"/>
      <c r="H778" s="592"/>
      <c r="I778" s="592"/>
      <c r="J778" s="592">
        <v>71.53</v>
      </c>
      <c r="K778" s="235">
        <v>9.3000000000000007</v>
      </c>
      <c r="L778" s="592">
        <f t="shared" si="63"/>
        <v>80.83</v>
      </c>
      <c r="M778" s="608">
        <v>51000200002</v>
      </c>
      <c r="N778" s="593"/>
      <c r="O778" s="589"/>
      <c r="P778" s="589"/>
    </row>
    <row r="779" spans="2:25" x14ac:dyDescent="0.2">
      <c r="B779" s="233">
        <v>43580</v>
      </c>
      <c r="C779" s="230" t="s">
        <v>815</v>
      </c>
      <c r="D779" s="230" t="s">
        <v>241</v>
      </c>
      <c r="E779" s="234" t="str">
        <f>+VLOOKUP(F779,[9]bd!A:B,2,0)</f>
        <v>BANCO CUSCATLAN DE EL SALVADOR S.A.</v>
      </c>
      <c r="F779" s="234" t="s">
        <v>47</v>
      </c>
      <c r="G779" s="591"/>
      <c r="H779" s="592"/>
      <c r="I779" s="592"/>
      <c r="J779" s="592">
        <v>71.53</v>
      </c>
      <c r="K779" s="235">
        <v>9.3000000000000007</v>
      </c>
      <c r="L779" s="592">
        <f t="shared" si="63"/>
        <v>80.83</v>
      </c>
      <c r="M779" s="608">
        <v>51000200001</v>
      </c>
      <c r="N779" s="593"/>
      <c r="O779" s="589"/>
      <c r="P779" s="589"/>
    </row>
    <row r="780" spans="2:25" x14ac:dyDescent="0.2">
      <c r="B780" s="233">
        <v>43580</v>
      </c>
      <c r="C780" s="230" t="s">
        <v>816</v>
      </c>
      <c r="D780" s="230" t="s">
        <v>241</v>
      </c>
      <c r="E780" s="234" t="s">
        <v>259</v>
      </c>
      <c r="F780" s="234"/>
      <c r="G780" s="591"/>
      <c r="H780" s="592"/>
      <c r="I780" s="592"/>
      <c r="J780" s="592">
        <v>0</v>
      </c>
      <c r="K780" s="235">
        <v>0</v>
      </c>
      <c r="L780" s="592">
        <f t="shared" si="63"/>
        <v>0</v>
      </c>
      <c r="M780" s="593"/>
      <c r="N780" s="593"/>
      <c r="O780" s="589"/>
      <c r="P780" s="589"/>
    </row>
    <row r="781" spans="2:25" x14ac:dyDescent="0.2">
      <c r="B781" s="233">
        <v>43580</v>
      </c>
      <c r="C781" s="230" t="s">
        <v>817</v>
      </c>
      <c r="D781" s="230" t="s">
        <v>241</v>
      </c>
      <c r="E781" s="234" t="s">
        <v>259</v>
      </c>
      <c r="F781" s="234"/>
      <c r="G781" s="591"/>
      <c r="H781" s="592"/>
      <c r="I781" s="592"/>
      <c r="J781" s="592">
        <v>0</v>
      </c>
      <c r="K781" s="235">
        <v>0</v>
      </c>
      <c r="L781" s="592">
        <f t="shared" si="63"/>
        <v>0</v>
      </c>
      <c r="M781" s="593"/>
      <c r="N781" s="593"/>
      <c r="O781" s="589"/>
      <c r="P781" s="589"/>
    </row>
    <row r="782" spans="2:25" x14ac:dyDescent="0.2">
      <c r="B782" s="233">
        <v>43584</v>
      </c>
      <c r="C782" s="230" t="s">
        <v>818</v>
      </c>
      <c r="D782" s="230" t="s">
        <v>241</v>
      </c>
      <c r="E782" s="234" t="str">
        <f>+VLOOKUP(F782,[9]bd!A:B,2,0)</f>
        <v>BANCO CUSCATLAN DE EL SALVADOR S.A.</v>
      </c>
      <c r="F782" s="234" t="s">
        <v>47</v>
      </c>
      <c r="G782" s="234"/>
      <c r="H782" s="592"/>
      <c r="I782" s="592"/>
      <c r="J782" s="592">
        <v>47.58</v>
      </c>
      <c r="K782" s="235">
        <v>6.19</v>
      </c>
      <c r="L782" s="592">
        <f t="shared" si="63"/>
        <v>53.769999999999996</v>
      </c>
      <c r="M782" s="608">
        <v>51000200002</v>
      </c>
      <c r="N782" s="593"/>
      <c r="O782" s="589"/>
      <c r="P782" s="589"/>
    </row>
    <row r="783" spans="2:25" x14ac:dyDescent="0.2">
      <c r="B783" s="233">
        <v>43584</v>
      </c>
      <c r="C783" s="230" t="s">
        <v>819</v>
      </c>
      <c r="D783" s="230" t="s">
        <v>241</v>
      </c>
      <c r="E783" s="234" t="str">
        <f>+VLOOKUP(F783,[9]bd!A:B,2,0)</f>
        <v>BANCO CUSCATLAN DE EL SALVADOR S.A.</v>
      </c>
      <c r="F783" s="234" t="s">
        <v>47</v>
      </c>
      <c r="G783" s="234"/>
      <c r="H783" s="592"/>
      <c r="I783" s="592"/>
      <c r="J783" s="592">
        <v>47.58</v>
      </c>
      <c r="K783" s="235">
        <v>6.19</v>
      </c>
      <c r="L783" s="592">
        <f t="shared" si="63"/>
        <v>53.769999999999996</v>
      </c>
      <c r="M783" s="608">
        <v>51000200001</v>
      </c>
      <c r="N783" s="593"/>
      <c r="O783" s="589"/>
      <c r="P783" s="589"/>
    </row>
    <row r="786" spans="1:28" ht="3.75" customHeight="1" x14ac:dyDescent="0.2">
      <c r="A786" s="610"/>
      <c r="B786" s="610"/>
      <c r="C786" s="611"/>
      <c r="D786" s="611"/>
      <c r="E786" s="610"/>
      <c r="F786" s="610"/>
      <c r="G786" s="610"/>
      <c r="H786" s="610"/>
      <c r="I786" s="610"/>
      <c r="J786" s="610"/>
      <c r="K786" s="610"/>
      <c r="L786" s="610"/>
      <c r="M786" s="612"/>
      <c r="N786" s="612"/>
      <c r="O786" s="612"/>
      <c r="P786" s="612"/>
      <c r="Q786" s="613"/>
      <c r="R786" s="613"/>
      <c r="S786" s="613"/>
      <c r="T786" s="613"/>
      <c r="U786" s="613"/>
      <c r="V786" s="613"/>
      <c r="W786" s="613"/>
      <c r="X786" s="613"/>
      <c r="Y786" s="613"/>
      <c r="Z786" s="613"/>
      <c r="AA786" s="613"/>
      <c r="AB786" s="613"/>
    </row>
    <row r="788" spans="1:28" ht="15.75" x14ac:dyDescent="0.25">
      <c r="E788" s="741" t="s">
        <v>857</v>
      </c>
    </row>
    <row r="790" spans="1:28" x14ac:dyDescent="0.2">
      <c r="B790" s="217"/>
      <c r="C790" s="218" t="s">
        <v>137</v>
      </c>
      <c r="D790" s="219" t="s">
        <v>16</v>
      </c>
      <c r="E790" s="219"/>
      <c r="F790" s="219" t="s">
        <v>74</v>
      </c>
      <c r="G790" s="219"/>
      <c r="H790" s="220" t="s">
        <v>75</v>
      </c>
      <c r="I790" s="221"/>
      <c r="J790" s="221"/>
      <c r="K790" s="221"/>
      <c r="L790" s="239"/>
      <c r="O790" s="303" t="s">
        <v>257</v>
      </c>
      <c r="P790" s="303"/>
      <c r="Q790" s="303"/>
      <c r="R790" s="303"/>
      <c r="U790" s="153" t="s">
        <v>247</v>
      </c>
      <c r="Y790" s="144" t="s">
        <v>256</v>
      </c>
      <c r="Z790" s="144" t="s">
        <v>184</v>
      </c>
    </row>
    <row r="791" spans="1:28" x14ac:dyDescent="0.2">
      <c r="B791" s="222" t="s">
        <v>76</v>
      </c>
      <c r="C791" s="223" t="s">
        <v>77</v>
      </c>
      <c r="D791" s="223" t="s">
        <v>141</v>
      </c>
      <c r="E791" s="223" t="s">
        <v>78</v>
      </c>
      <c r="F791" s="223" t="s">
        <v>142</v>
      </c>
      <c r="G791" s="223" t="s">
        <v>79</v>
      </c>
      <c r="H791" s="224" t="s">
        <v>48</v>
      </c>
      <c r="I791" s="221"/>
      <c r="J791" s="224" t="s">
        <v>80</v>
      </c>
      <c r="K791" s="221"/>
      <c r="L791" s="240" t="s">
        <v>175</v>
      </c>
      <c r="O791" s="260" t="s">
        <v>85</v>
      </c>
      <c r="P791" s="96">
        <v>51000000001</v>
      </c>
      <c r="Q791" s="234" t="s">
        <v>242</v>
      </c>
      <c r="R791" s="592">
        <f>SUMIFS($J$794:$J$803,$E$794:$E$803,Q791,$M$794:$M$803,P791)</f>
        <v>0</v>
      </c>
      <c r="T791" s="144">
        <v>51000200001</v>
      </c>
      <c r="U791" s="144" t="s">
        <v>194</v>
      </c>
      <c r="X791" s="156">
        <v>-435.41</v>
      </c>
      <c r="Y791" s="156">
        <f>R794</f>
        <v>0</v>
      </c>
      <c r="Z791" s="236">
        <v>0</v>
      </c>
    </row>
    <row r="792" spans="1:28" x14ac:dyDescent="0.2">
      <c r="B792" s="225"/>
      <c r="C792" s="226"/>
      <c r="D792" s="226"/>
      <c r="E792" s="225"/>
      <c r="F792" s="225"/>
      <c r="G792" s="225"/>
      <c r="H792" s="227" t="s">
        <v>176</v>
      </c>
      <c r="I792" s="228" t="s">
        <v>177</v>
      </c>
      <c r="J792" s="241" t="s">
        <v>178</v>
      </c>
      <c r="K792" s="241" t="s">
        <v>46</v>
      </c>
      <c r="L792" s="242" t="s">
        <v>48</v>
      </c>
      <c r="O792" s="260" t="s">
        <v>85</v>
      </c>
      <c r="P792" s="96">
        <v>51000000002</v>
      </c>
      <c r="Q792" s="234" t="s">
        <v>242</v>
      </c>
      <c r="R792" s="592">
        <f t="shared" ref="R792:R810" si="64">SUMIFS($J$794:$J$803,$E$794:$E$803,Q792,$M$794:$M$803,P792)</f>
        <v>0</v>
      </c>
      <c r="T792" s="144">
        <v>51000200002</v>
      </c>
      <c r="U792" s="144" t="s">
        <v>195</v>
      </c>
      <c r="X792" s="156">
        <v>-435.41</v>
      </c>
      <c r="Y792" s="156">
        <f>R796</f>
        <v>0</v>
      </c>
      <c r="Z792" s="236">
        <v>0</v>
      </c>
    </row>
    <row r="793" spans="1:28" x14ac:dyDescent="0.2">
      <c r="B793" s="229"/>
      <c r="C793" s="230"/>
      <c r="D793" s="230"/>
      <c r="E793" s="231"/>
      <c r="F793" s="232"/>
      <c r="G793" s="591"/>
      <c r="H793" s="592"/>
      <c r="I793" s="592"/>
      <c r="J793" s="592"/>
      <c r="K793" s="592"/>
      <c r="L793" s="592"/>
      <c r="O793" s="260" t="s">
        <v>85</v>
      </c>
      <c r="P793" s="96">
        <v>51000100001</v>
      </c>
      <c r="Q793" s="234" t="s">
        <v>242</v>
      </c>
      <c r="R793" s="592">
        <f t="shared" si="64"/>
        <v>0</v>
      </c>
      <c r="T793" s="144">
        <v>51000100001</v>
      </c>
      <c r="U793" s="156" t="s">
        <v>4</v>
      </c>
      <c r="X793" s="156">
        <v>-404.96</v>
      </c>
    </row>
    <row r="794" spans="1:28" x14ac:dyDescent="0.2">
      <c r="B794" s="737">
        <v>43601</v>
      </c>
      <c r="C794" s="738" t="s">
        <v>846</v>
      </c>
      <c r="D794" s="738" t="s">
        <v>241</v>
      </c>
      <c r="E794" s="476" t="str">
        <f>+VLOOKUP(F794,[10]bd!A:B,2,0)</f>
        <v>CITIBANK, N.A. SUCURSAL EL SALVADOR</v>
      </c>
      <c r="F794" s="476" t="s">
        <v>179</v>
      </c>
      <c r="G794" s="477"/>
      <c r="H794" s="478"/>
      <c r="I794" s="478"/>
      <c r="J794" s="478">
        <v>404.96</v>
      </c>
      <c r="K794" s="609">
        <v>52.64</v>
      </c>
      <c r="L794" s="478">
        <f t="shared" ref="L794:L803" si="65">+J794+K794</f>
        <v>457.59999999999997</v>
      </c>
      <c r="M794" s="719"/>
      <c r="O794" s="260" t="s">
        <v>85</v>
      </c>
      <c r="P794" s="96">
        <v>51000100001</v>
      </c>
      <c r="Q794" s="234" t="s">
        <v>269</v>
      </c>
      <c r="R794" s="592">
        <f t="shared" si="64"/>
        <v>0</v>
      </c>
      <c r="T794" s="144">
        <v>51000100002</v>
      </c>
      <c r="U794" s="156" t="s">
        <v>193</v>
      </c>
      <c r="X794" s="156">
        <v>-253.1</v>
      </c>
    </row>
    <row r="795" spans="1:28" x14ac:dyDescent="0.2">
      <c r="B795" s="737">
        <v>43601</v>
      </c>
      <c r="C795" s="738" t="s">
        <v>847</v>
      </c>
      <c r="D795" s="738" t="s">
        <v>241</v>
      </c>
      <c r="E795" s="476" t="str">
        <f>+VLOOKUP(F795,[10]bd!A:B,2,0)</f>
        <v>CITIBANK, N.A. SUCURSAL EL SALVADOR</v>
      </c>
      <c r="F795" s="476" t="s">
        <v>179</v>
      </c>
      <c r="G795" s="476"/>
      <c r="H795" s="478"/>
      <c r="I795" s="478"/>
      <c r="J795" s="478">
        <v>253.1</v>
      </c>
      <c r="K795" s="609">
        <v>32.9</v>
      </c>
      <c r="L795" s="478">
        <f t="shared" si="65"/>
        <v>286</v>
      </c>
      <c r="M795" s="719"/>
      <c r="O795" s="260" t="s">
        <v>85</v>
      </c>
      <c r="P795" s="96">
        <v>51000100002</v>
      </c>
      <c r="Q795" s="234" t="s">
        <v>242</v>
      </c>
      <c r="R795" s="592">
        <f t="shared" si="64"/>
        <v>0</v>
      </c>
      <c r="T795" s="144">
        <v>51220200001</v>
      </c>
      <c r="U795" s="144" t="s">
        <v>21</v>
      </c>
      <c r="X795" s="156">
        <v>-1522.23</v>
      </c>
      <c r="Y795" s="156">
        <f>R803+R810</f>
        <v>1520.5</v>
      </c>
      <c r="Z795" s="236">
        <f>X795+Y795</f>
        <v>-1.7300000000000182</v>
      </c>
    </row>
    <row r="796" spans="1:28" x14ac:dyDescent="0.2">
      <c r="B796" s="731">
        <v>43605</v>
      </c>
      <c r="C796" s="230" t="s">
        <v>848</v>
      </c>
      <c r="D796" s="230" t="s">
        <v>241</v>
      </c>
      <c r="E796" s="234" t="str">
        <f>+VLOOKUP(F796,[10]bd!A:B,2,0)</f>
        <v>BANCO CUSCATLAN DE EL SALVADOR S.A.</v>
      </c>
      <c r="F796" s="234" t="s">
        <v>47</v>
      </c>
      <c r="G796" s="591"/>
      <c r="H796" s="592"/>
      <c r="I796" s="592"/>
      <c r="J796" s="592">
        <v>102.74</v>
      </c>
      <c r="K796" s="235">
        <v>13.36</v>
      </c>
      <c r="L796" s="592">
        <f t="shared" si="65"/>
        <v>116.1</v>
      </c>
      <c r="M796" s="608">
        <v>51000200002</v>
      </c>
      <c r="O796" s="260" t="s">
        <v>85</v>
      </c>
      <c r="P796" s="96">
        <v>51000100002</v>
      </c>
      <c r="Q796" s="234" t="s">
        <v>269</v>
      </c>
      <c r="R796" s="592">
        <f t="shared" si="64"/>
        <v>0</v>
      </c>
      <c r="T796" s="702">
        <v>52200000001</v>
      </c>
      <c r="U796" s="702" t="s">
        <v>11</v>
      </c>
      <c r="V796" s="702"/>
      <c r="W796" s="702"/>
      <c r="X796" s="703">
        <v>-149.55000000000001</v>
      </c>
      <c r="Y796" s="156">
        <v>0</v>
      </c>
      <c r="Z796" s="236">
        <v>0</v>
      </c>
    </row>
    <row r="797" spans="1:28" x14ac:dyDescent="0.2">
      <c r="B797" s="731">
        <v>43605</v>
      </c>
      <c r="C797" s="230" t="s">
        <v>849</v>
      </c>
      <c r="D797" s="230" t="s">
        <v>241</v>
      </c>
      <c r="E797" s="234" t="str">
        <f>+VLOOKUP(F797,[10]bd!A:B,2,0)</f>
        <v>BANCO CUSCATLAN DE EL SALVADOR S.A.</v>
      </c>
      <c r="F797" s="234" t="s">
        <v>47</v>
      </c>
      <c r="G797" s="591"/>
      <c r="H797" s="592"/>
      <c r="I797" s="592"/>
      <c r="J797" s="592">
        <v>102.74</v>
      </c>
      <c r="K797" s="235">
        <v>13.36</v>
      </c>
      <c r="L797" s="592">
        <f t="shared" si="65"/>
        <v>116.1</v>
      </c>
      <c r="M797" s="608">
        <v>51000200001</v>
      </c>
      <c r="O797" s="260" t="s">
        <v>85</v>
      </c>
      <c r="P797" s="486">
        <v>51000200001</v>
      </c>
      <c r="Q797" s="476" t="s">
        <v>242</v>
      </c>
      <c r="R797" s="592">
        <f t="shared" si="64"/>
        <v>435.41</v>
      </c>
      <c r="T797" s="144">
        <v>51000000001</v>
      </c>
      <c r="U797" s="144" t="s">
        <v>71</v>
      </c>
      <c r="X797" s="156"/>
    </row>
    <row r="798" spans="1:28" x14ac:dyDescent="0.2">
      <c r="B798" s="736" t="s">
        <v>850</v>
      </c>
      <c r="C798" s="230" t="s">
        <v>851</v>
      </c>
      <c r="D798" s="230" t="s">
        <v>241</v>
      </c>
      <c r="E798" s="234" t="str">
        <f>+VLOOKUP(F798,[10]bd!A:B,2,0)</f>
        <v>INVERSIONES FINANCIERAS IMPERIA CUSCATLAN, SA</v>
      </c>
      <c r="F798" s="234" t="s">
        <v>270</v>
      </c>
      <c r="G798" s="234"/>
      <c r="H798" s="592"/>
      <c r="I798" s="592"/>
      <c r="J798" s="592">
        <v>379.35</v>
      </c>
      <c r="K798" s="235">
        <v>49.32</v>
      </c>
      <c r="L798" s="592">
        <f t="shared" si="65"/>
        <v>428.67</v>
      </c>
      <c r="M798" s="726">
        <v>51220200001</v>
      </c>
      <c r="O798" s="260" t="s">
        <v>85</v>
      </c>
      <c r="P798" s="96">
        <v>51000200001</v>
      </c>
      <c r="Q798" s="234" t="s">
        <v>187</v>
      </c>
      <c r="R798" s="592">
        <f t="shared" si="64"/>
        <v>0</v>
      </c>
      <c r="T798" s="144">
        <v>51000000002</v>
      </c>
      <c r="U798" s="144" t="s">
        <v>3</v>
      </c>
      <c r="X798" s="156"/>
    </row>
    <row r="799" spans="1:28" x14ac:dyDescent="0.2">
      <c r="B799" s="736" t="s">
        <v>850</v>
      </c>
      <c r="C799" s="230" t="s">
        <v>852</v>
      </c>
      <c r="D799" s="230" t="s">
        <v>241</v>
      </c>
      <c r="E799" s="234" t="str">
        <f>+VLOOKUP(F799,[10]bd!A:B,2,0)</f>
        <v>BANCO CUSCATLAN DE EL SALVADOR S.A.</v>
      </c>
      <c r="F799" s="234" t="s">
        <v>47</v>
      </c>
      <c r="G799" s="234"/>
      <c r="H799" s="592"/>
      <c r="I799" s="592"/>
      <c r="J799" s="592">
        <v>1141.1500000000001</v>
      </c>
      <c r="K799" s="235">
        <v>148.35</v>
      </c>
      <c r="L799" s="592">
        <f t="shared" si="65"/>
        <v>1289.5</v>
      </c>
      <c r="M799" s="608">
        <v>51220200001</v>
      </c>
      <c r="O799" s="260" t="s">
        <v>85</v>
      </c>
      <c r="P799" s="96">
        <v>51000200001</v>
      </c>
      <c r="Q799" s="234" t="s">
        <v>22</v>
      </c>
      <c r="R799" s="592">
        <f t="shared" si="64"/>
        <v>0</v>
      </c>
      <c r="X799" s="356">
        <v>0</v>
      </c>
      <c r="Y799" s="156">
        <v>0</v>
      </c>
      <c r="Z799" s="236">
        <v>0</v>
      </c>
    </row>
    <row r="800" spans="1:28" x14ac:dyDescent="0.2">
      <c r="B800" s="731">
        <v>43612</v>
      </c>
      <c r="C800" s="230" t="s">
        <v>853</v>
      </c>
      <c r="D800" s="230" t="s">
        <v>241</v>
      </c>
      <c r="E800" s="234" t="str">
        <f>+VLOOKUP(F800,[10]bd!A:B,2,0)</f>
        <v>BANCO CUSCATLAN DE EL SALVADOR S.A.</v>
      </c>
      <c r="F800" s="234" t="s">
        <v>47</v>
      </c>
      <c r="G800" s="234"/>
      <c r="H800" s="592"/>
      <c r="I800" s="592"/>
      <c r="J800" s="592">
        <v>65.180000000000007</v>
      </c>
      <c r="K800" s="235">
        <v>8.4700000000000006</v>
      </c>
      <c r="L800" s="592">
        <f t="shared" si="65"/>
        <v>73.650000000000006</v>
      </c>
      <c r="M800" s="608">
        <v>51000200002</v>
      </c>
      <c r="O800" s="260" t="s">
        <v>85</v>
      </c>
      <c r="P800" s="486">
        <v>51000200002</v>
      </c>
      <c r="Q800" s="476" t="s">
        <v>242</v>
      </c>
      <c r="R800" s="592">
        <f t="shared" si="64"/>
        <v>435.41</v>
      </c>
      <c r="X800" s="304">
        <v>0</v>
      </c>
      <c r="Y800" s="304">
        <f>R806+R813</f>
        <v>0</v>
      </c>
      <c r="Z800" s="300">
        <v>0</v>
      </c>
    </row>
    <row r="801" spans="2:26" x14ac:dyDescent="0.2">
      <c r="B801" s="731">
        <v>43612</v>
      </c>
      <c r="C801" s="230" t="s">
        <v>854</v>
      </c>
      <c r="D801" s="230" t="s">
        <v>241</v>
      </c>
      <c r="E801" s="234" t="str">
        <f>+VLOOKUP(F801,[10]bd!A:B,2,0)</f>
        <v>BANCO CUSCATLAN DE EL SALVADOR S.A.</v>
      </c>
      <c r="F801" s="234" t="s">
        <v>47</v>
      </c>
      <c r="G801" s="234"/>
      <c r="H801" s="592"/>
      <c r="I801" s="592"/>
      <c r="J801" s="592">
        <v>65.180000000000007</v>
      </c>
      <c r="K801" s="235">
        <v>8.4700000000000006</v>
      </c>
      <c r="L801" s="592">
        <f t="shared" si="65"/>
        <v>73.650000000000006</v>
      </c>
      <c r="M801" s="608">
        <v>51000200001</v>
      </c>
      <c r="O801" s="260" t="s">
        <v>85</v>
      </c>
      <c r="P801" s="96">
        <v>51000200002</v>
      </c>
      <c r="Q801" s="234" t="s">
        <v>187</v>
      </c>
      <c r="R801" s="592">
        <f t="shared" si="64"/>
        <v>0</v>
      </c>
      <c r="X801" s="290">
        <f>SUM(X791:X798)</f>
        <v>-3200.66</v>
      </c>
      <c r="Y801" s="290">
        <f>SUM(Y791:Y800)</f>
        <v>1520.5</v>
      </c>
      <c r="Z801" s="290">
        <f>SUM(Z791:Z800)</f>
        <v>-1.7300000000000182</v>
      </c>
    </row>
    <row r="802" spans="2:26" x14ac:dyDescent="0.2">
      <c r="B802" s="731">
        <v>43614</v>
      </c>
      <c r="C802" s="230" t="s">
        <v>855</v>
      </c>
      <c r="D802" s="230" t="s">
        <v>241</v>
      </c>
      <c r="E802" s="234" t="str">
        <f>+VLOOKUP(F802,[10]bd!A:B,2,0)</f>
        <v>BANCO CUSCATLAN DE EL SALVADOR S.A.</v>
      </c>
      <c r="F802" s="234" t="s">
        <v>47</v>
      </c>
      <c r="G802" s="234"/>
      <c r="H802" s="592"/>
      <c r="I802" s="592"/>
      <c r="J802" s="592">
        <v>267.49</v>
      </c>
      <c r="K802" s="235">
        <v>34.770000000000003</v>
      </c>
      <c r="L802" s="592">
        <f t="shared" si="65"/>
        <v>302.26</v>
      </c>
      <c r="M802" s="608">
        <v>51000200002</v>
      </c>
      <c r="O802" s="260" t="s">
        <v>85</v>
      </c>
      <c r="P802" s="96">
        <v>51000200002</v>
      </c>
      <c r="Q802" s="234" t="s">
        <v>22</v>
      </c>
      <c r="R802" s="592">
        <f t="shared" si="64"/>
        <v>0</v>
      </c>
      <c r="U802" s="156"/>
      <c r="Z802" s="236"/>
    </row>
    <row r="803" spans="2:26" x14ac:dyDescent="0.2">
      <c r="B803" s="731">
        <v>43614</v>
      </c>
      <c r="C803" s="230" t="s">
        <v>856</v>
      </c>
      <c r="D803" s="230" t="s">
        <v>241</v>
      </c>
      <c r="E803" s="234" t="str">
        <f>+VLOOKUP(F803,[10]bd!A:B,2,0)</f>
        <v>BANCO CUSCATLAN DE EL SALVADOR S.A.</v>
      </c>
      <c r="F803" s="234" t="s">
        <v>47</v>
      </c>
      <c r="G803" s="234"/>
      <c r="H803" s="592"/>
      <c r="I803" s="592"/>
      <c r="J803" s="592">
        <v>267.49</v>
      </c>
      <c r="K803" s="235">
        <v>34.770000000000003</v>
      </c>
      <c r="L803" s="592">
        <f t="shared" si="65"/>
        <v>302.26</v>
      </c>
      <c r="M803" s="608">
        <v>51000200001</v>
      </c>
      <c r="O803" s="260" t="s">
        <v>85</v>
      </c>
      <c r="P803" s="486">
        <v>51220200001</v>
      </c>
      <c r="Q803" s="476" t="s">
        <v>242</v>
      </c>
      <c r="R803" s="592">
        <f t="shared" si="64"/>
        <v>1141.1500000000001</v>
      </c>
      <c r="U803" s="156"/>
    </row>
    <row r="804" spans="2:26" x14ac:dyDescent="0.2">
      <c r="O804" s="260" t="s">
        <v>85</v>
      </c>
      <c r="P804" s="96">
        <v>51220200001</v>
      </c>
      <c r="Q804" s="234" t="s">
        <v>187</v>
      </c>
      <c r="R804" s="592">
        <f t="shared" si="64"/>
        <v>0</v>
      </c>
    </row>
    <row r="805" spans="2:26" x14ac:dyDescent="0.2">
      <c r="O805" s="260" t="s">
        <v>85</v>
      </c>
      <c r="P805" s="96">
        <v>51220200001</v>
      </c>
      <c r="Q805" s="234" t="s">
        <v>22</v>
      </c>
      <c r="R805" s="592">
        <f t="shared" si="64"/>
        <v>0</v>
      </c>
    </row>
    <row r="806" spans="2:26" x14ac:dyDescent="0.2">
      <c r="O806" s="260" t="s">
        <v>85</v>
      </c>
      <c r="P806" s="96">
        <v>52200000001</v>
      </c>
      <c r="Q806" s="234" t="s">
        <v>242</v>
      </c>
      <c r="R806" s="592">
        <f t="shared" si="64"/>
        <v>0</v>
      </c>
      <c r="W806" s="153" t="s">
        <v>255</v>
      </c>
      <c r="X806" s="236">
        <f>+X792+X795+X791+X799+X800+X793+X794+X797+X798</f>
        <v>-3051.11</v>
      </c>
    </row>
    <row r="807" spans="2:26" x14ac:dyDescent="0.2">
      <c r="O807" s="260" t="s">
        <v>85</v>
      </c>
      <c r="P807" s="96">
        <v>52200000001</v>
      </c>
      <c r="Q807" s="234" t="s">
        <v>187</v>
      </c>
      <c r="R807" s="592">
        <f t="shared" si="64"/>
        <v>0</v>
      </c>
      <c r="W807" s="144" t="s">
        <v>257</v>
      </c>
      <c r="X807" s="236">
        <f>+R811</f>
        <v>2391.3200000000002</v>
      </c>
    </row>
    <row r="808" spans="2:26" x14ac:dyDescent="0.2">
      <c r="O808" s="260" t="s">
        <v>85</v>
      </c>
      <c r="P808" s="96">
        <v>52200000001</v>
      </c>
      <c r="Q808" s="234" t="s">
        <v>22</v>
      </c>
      <c r="R808" s="592">
        <f t="shared" si="64"/>
        <v>0</v>
      </c>
      <c r="W808" s="144" t="s">
        <v>260</v>
      </c>
      <c r="X808" s="300">
        <f>+J794+J795</f>
        <v>658.06</v>
      </c>
    </row>
    <row r="809" spans="2:26" x14ac:dyDescent="0.2">
      <c r="O809" s="260" t="s">
        <v>85</v>
      </c>
      <c r="P809" s="96">
        <v>52200000001</v>
      </c>
      <c r="Q809" s="234" t="s">
        <v>242</v>
      </c>
      <c r="R809" s="592">
        <f t="shared" si="64"/>
        <v>0</v>
      </c>
      <c r="X809" s="704">
        <f>X806+X807+X808</f>
        <v>-1.7300000000000182</v>
      </c>
      <c r="Y809" s="144" t="s">
        <v>275</v>
      </c>
    </row>
    <row r="810" spans="2:26" x14ac:dyDescent="0.2">
      <c r="O810" s="260" t="s">
        <v>85</v>
      </c>
      <c r="P810" s="486">
        <v>51220200001</v>
      </c>
      <c r="Q810" s="476" t="s">
        <v>269</v>
      </c>
      <c r="R810" s="592">
        <f t="shared" si="64"/>
        <v>379.35</v>
      </c>
    </row>
    <row r="811" spans="2:26" ht="13.5" thickBot="1" x14ac:dyDescent="0.25">
      <c r="O811" s="589"/>
      <c r="P811" s="589"/>
      <c r="R811" s="607">
        <f>SUM(R791:R810)</f>
        <v>2391.3200000000002</v>
      </c>
    </row>
    <row r="812" spans="2:26" ht="13.5" thickTop="1" x14ac:dyDescent="0.2"/>
    <row r="814" spans="2:26" x14ac:dyDescent="0.2">
      <c r="X814" s="156"/>
    </row>
    <row r="815" spans="2:26" x14ac:dyDescent="0.2">
      <c r="X815" s="156"/>
    </row>
    <row r="816" spans="2:26" x14ac:dyDescent="0.2">
      <c r="X816" s="156"/>
    </row>
    <row r="817" spans="1:28" x14ac:dyDescent="0.2">
      <c r="X817" s="156"/>
    </row>
    <row r="818" spans="1:28" x14ac:dyDescent="0.2">
      <c r="X818" s="156"/>
    </row>
    <row r="819" spans="1:28" ht="3.75" customHeight="1" x14ac:dyDescent="0.2">
      <c r="A819" s="610"/>
      <c r="B819" s="610"/>
      <c r="C819" s="611"/>
      <c r="D819" s="611"/>
      <c r="E819" s="610"/>
      <c r="F819" s="610"/>
      <c r="G819" s="610"/>
      <c r="H819" s="610"/>
      <c r="I819" s="610"/>
      <c r="J819" s="610"/>
      <c r="K819" s="610"/>
      <c r="L819" s="610"/>
      <c r="M819" s="612"/>
      <c r="N819" s="612"/>
      <c r="O819" s="612"/>
      <c r="P819" s="612"/>
      <c r="Q819" s="613"/>
      <c r="R819" s="613"/>
      <c r="S819" s="613"/>
      <c r="T819" s="613"/>
      <c r="U819" s="613"/>
      <c r="V819" s="613"/>
      <c r="W819" s="613"/>
      <c r="X819" s="613"/>
      <c r="Y819" s="613"/>
      <c r="Z819" s="613"/>
      <c r="AA819" s="613"/>
      <c r="AB819" s="613"/>
    </row>
    <row r="821" spans="1:28" ht="15.75" x14ac:dyDescent="0.25">
      <c r="E821" s="741" t="s">
        <v>876</v>
      </c>
    </row>
    <row r="824" spans="1:28" x14ac:dyDescent="0.2">
      <c r="B824" s="217"/>
      <c r="C824" s="218" t="s">
        <v>137</v>
      </c>
      <c r="D824" s="219" t="s">
        <v>16</v>
      </c>
      <c r="E824" s="219"/>
      <c r="F824" s="219" t="s">
        <v>74</v>
      </c>
      <c r="G824" s="219"/>
      <c r="H824" s="220" t="s">
        <v>75</v>
      </c>
      <c r="I824" s="221"/>
      <c r="J824" s="221"/>
      <c r="K824" s="221"/>
      <c r="L824" s="239"/>
      <c r="O824" s="303" t="s">
        <v>257</v>
      </c>
      <c r="P824" s="303"/>
      <c r="Q824" s="303"/>
      <c r="R824" s="303"/>
      <c r="U824" s="153" t="s">
        <v>247</v>
      </c>
      <c r="Y824" s="144" t="s">
        <v>256</v>
      </c>
      <c r="Z824" s="144" t="s">
        <v>184</v>
      </c>
    </row>
    <row r="825" spans="1:28" x14ac:dyDescent="0.2">
      <c r="B825" s="222" t="s">
        <v>76</v>
      </c>
      <c r="C825" s="223" t="s">
        <v>77</v>
      </c>
      <c r="D825" s="223" t="s">
        <v>141</v>
      </c>
      <c r="E825" s="223" t="s">
        <v>78</v>
      </c>
      <c r="F825" s="223" t="s">
        <v>142</v>
      </c>
      <c r="G825" s="223" t="s">
        <v>79</v>
      </c>
      <c r="H825" s="224" t="s">
        <v>48</v>
      </c>
      <c r="I825" s="221"/>
      <c r="J825" s="224" t="s">
        <v>80</v>
      </c>
      <c r="K825" s="221"/>
      <c r="L825" s="240" t="s">
        <v>175</v>
      </c>
      <c r="O825" s="260" t="s">
        <v>86</v>
      </c>
      <c r="P825" s="96">
        <v>51000000001</v>
      </c>
      <c r="Q825" s="234" t="s">
        <v>242</v>
      </c>
      <c r="R825" s="592">
        <f>SUMIFS($J$828:$J$840,$E$828:$E$840,Q825,$M$828:$M$840,P825)</f>
        <v>0</v>
      </c>
      <c r="T825" s="144">
        <v>51000200001</v>
      </c>
      <c r="U825" s="144" t="s">
        <v>194</v>
      </c>
      <c r="X825" s="156">
        <v>-758.84999999999945</v>
      </c>
      <c r="Y825" s="156">
        <f>R828</f>
        <v>0</v>
      </c>
      <c r="Z825" s="236">
        <v>0</v>
      </c>
    </row>
    <row r="826" spans="1:28" x14ac:dyDescent="0.2">
      <c r="B826" s="225"/>
      <c r="C826" s="226"/>
      <c r="D826" s="226"/>
      <c r="E826" s="225"/>
      <c r="F826" s="225"/>
      <c r="G826" s="225"/>
      <c r="H826" s="227" t="s">
        <v>176</v>
      </c>
      <c r="I826" s="228" t="s">
        <v>177</v>
      </c>
      <c r="J826" s="241" t="s">
        <v>178</v>
      </c>
      <c r="K826" s="241" t="s">
        <v>46</v>
      </c>
      <c r="L826" s="242" t="s">
        <v>48</v>
      </c>
      <c r="O826" s="260" t="s">
        <v>86</v>
      </c>
      <c r="P826" s="96">
        <v>51000000002</v>
      </c>
      <c r="Q826" s="234" t="s">
        <v>242</v>
      </c>
      <c r="R826" s="592">
        <f t="shared" ref="R826:R844" si="66">SUMIFS($J$828:$J$840,$E$828:$E$840,Q826,$M$828:$M$840,P826)</f>
        <v>0</v>
      </c>
      <c r="T826" s="144">
        <v>51000200002</v>
      </c>
      <c r="U826" s="144" t="s">
        <v>195</v>
      </c>
      <c r="X826" s="156">
        <v>-758.84999999999945</v>
      </c>
      <c r="Y826" s="156">
        <f>R830</f>
        <v>0</v>
      </c>
      <c r="Z826" s="236">
        <v>0</v>
      </c>
    </row>
    <row r="827" spans="1:28" x14ac:dyDescent="0.2">
      <c r="B827" s="229"/>
      <c r="C827" s="230"/>
      <c r="D827" s="230"/>
      <c r="E827" s="231"/>
      <c r="F827" s="232"/>
      <c r="G827" s="591"/>
      <c r="H827" s="592"/>
      <c r="I827" s="592"/>
      <c r="J827" s="592"/>
      <c r="K827" s="592"/>
      <c r="L827" s="592"/>
      <c r="O827" s="260" t="s">
        <v>86</v>
      </c>
      <c r="P827" s="96">
        <v>51000100001</v>
      </c>
      <c r="Q827" s="234" t="s">
        <v>242</v>
      </c>
      <c r="R827" s="592">
        <f t="shared" si="66"/>
        <v>0</v>
      </c>
      <c r="T827" s="144">
        <v>51000100001</v>
      </c>
      <c r="U827" s="156" t="s">
        <v>4</v>
      </c>
      <c r="X827" s="156"/>
    </row>
    <row r="828" spans="1:28" x14ac:dyDescent="0.2">
      <c r="B828" s="739">
        <v>43626</v>
      </c>
      <c r="C828" s="230" t="s">
        <v>858</v>
      </c>
      <c r="D828" s="230" t="s">
        <v>241</v>
      </c>
      <c r="E828" s="234" t="str">
        <f>+VLOOKUP(F828,[11]bd!A:B,2,0)</f>
        <v>BANCO CUSCATLAN DE EL SALVADOR S.A.</v>
      </c>
      <c r="F828" s="234" t="s">
        <v>47</v>
      </c>
      <c r="G828" s="591"/>
      <c r="H828" s="592"/>
      <c r="I828" s="592"/>
      <c r="J828" s="592">
        <v>142.4</v>
      </c>
      <c r="K828" s="235">
        <v>18.510000000000002</v>
      </c>
      <c r="L828" s="592">
        <f t="shared" ref="L828:L840" si="67">+J828+K828</f>
        <v>160.91</v>
      </c>
      <c r="M828" s="608">
        <v>51000200002</v>
      </c>
      <c r="O828" s="260" t="s">
        <v>86</v>
      </c>
      <c r="P828" s="96">
        <v>51000100001</v>
      </c>
      <c r="Q828" s="234" t="s">
        <v>269</v>
      </c>
      <c r="R828" s="592">
        <f t="shared" si="66"/>
        <v>0</v>
      </c>
      <c r="T828" s="144">
        <v>51000100002</v>
      </c>
      <c r="U828" s="156" t="s">
        <v>193</v>
      </c>
      <c r="X828" s="156"/>
    </row>
    <row r="829" spans="1:28" x14ac:dyDescent="0.2">
      <c r="B829" s="739">
        <v>43626</v>
      </c>
      <c r="C829" s="230" t="s">
        <v>859</v>
      </c>
      <c r="D829" s="230" t="s">
        <v>241</v>
      </c>
      <c r="E829" s="234" t="str">
        <f>+VLOOKUP(F829,[11]bd!A:B,2,0)</f>
        <v>BANCO CUSCATLAN DE EL SALVADOR S.A.</v>
      </c>
      <c r="F829" s="234" t="s">
        <v>47</v>
      </c>
      <c r="G829" s="234"/>
      <c r="H829" s="592"/>
      <c r="I829" s="592"/>
      <c r="J829" s="592">
        <v>142.4</v>
      </c>
      <c r="K829" s="235">
        <v>18.510000000000002</v>
      </c>
      <c r="L829" s="592">
        <f t="shared" si="67"/>
        <v>160.91</v>
      </c>
      <c r="M829" s="608">
        <v>51000200001</v>
      </c>
      <c r="O829" s="260" t="s">
        <v>86</v>
      </c>
      <c r="P829" s="96">
        <v>51000100002</v>
      </c>
      <c r="Q829" s="234" t="s">
        <v>242</v>
      </c>
      <c r="R829" s="592">
        <f t="shared" si="66"/>
        <v>0</v>
      </c>
      <c r="T829" s="144">
        <v>51220200001</v>
      </c>
      <c r="U829" s="144" t="s">
        <v>21</v>
      </c>
      <c r="X829" s="156">
        <v>-1985.52</v>
      </c>
      <c r="Y829" s="156">
        <f>R837+R844</f>
        <v>1732.0100000000002</v>
      </c>
      <c r="Z829" s="236">
        <f>X829+Y829</f>
        <v>-253.50999999999976</v>
      </c>
    </row>
    <row r="830" spans="1:28" x14ac:dyDescent="0.2">
      <c r="B830" s="740" t="s">
        <v>860</v>
      </c>
      <c r="C830" s="230" t="s">
        <v>861</v>
      </c>
      <c r="D830" s="230" t="s">
        <v>241</v>
      </c>
      <c r="E830" s="234" t="str">
        <f>+VLOOKUP(F830,[11]bd!A:B,2,0)</f>
        <v>BANCO CUSCATLAN DE EL SALVADOR S.A.</v>
      </c>
      <c r="F830" s="234" t="s">
        <v>47</v>
      </c>
      <c r="G830" s="591"/>
      <c r="H830" s="592"/>
      <c r="I830" s="592"/>
      <c r="J830" s="592">
        <v>143.84</v>
      </c>
      <c r="K830" s="235">
        <v>18.7</v>
      </c>
      <c r="L830" s="592">
        <f t="shared" si="67"/>
        <v>162.54</v>
      </c>
      <c r="M830" s="608">
        <v>51000200002</v>
      </c>
      <c r="O830" s="260" t="s">
        <v>86</v>
      </c>
      <c r="P830" s="96">
        <v>51000100002</v>
      </c>
      <c r="Q830" s="234" t="s">
        <v>269</v>
      </c>
      <c r="R830" s="592">
        <f t="shared" si="66"/>
        <v>0</v>
      </c>
      <c r="T830" s="702">
        <v>52200000001</v>
      </c>
      <c r="U830" s="702" t="s">
        <v>11</v>
      </c>
      <c r="V830" s="702"/>
      <c r="W830" s="702"/>
      <c r="X830" s="703">
        <v>-778.41</v>
      </c>
      <c r="Y830" s="156">
        <v>0</v>
      </c>
      <c r="Z830" s="236">
        <v>0</v>
      </c>
    </row>
    <row r="831" spans="1:28" x14ac:dyDescent="0.2">
      <c r="B831" s="740" t="s">
        <v>860</v>
      </c>
      <c r="C831" s="230" t="s">
        <v>862</v>
      </c>
      <c r="D831" s="230" t="s">
        <v>241</v>
      </c>
      <c r="E831" s="234" t="str">
        <f>+VLOOKUP(F831,[11]bd!A:B,2,0)</f>
        <v>BANCO CUSCATLAN DE EL SALVADOR S.A.</v>
      </c>
      <c r="F831" s="234" t="s">
        <v>47</v>
      </c>
      <c r="G831" s="591"/>
      <c r="H831" s="592"/>
      <c r="I831" s="592"/>
      <c r="J831" s="592">
        <v>143.84</v>
      </c>
      <c r="K831" s="235">
        <v>18.7</v>
      </c>
      <c r="L831" s="592">
        <f t="shared" si="67"/>
        <v>162.54</v>
      </c>
      <c r="M831" s="608">
        <v>51000200001</v>
      </c>
      <c r="O831" s="260" t="s">
        <v>86</v>
      </c>
      <c r="P831" s="486">
        <v>51000200001</v>
      </c>
      <c r="Q831" s="476" t="s">
        <v>242</v>
      </c>
      <c r="R831" s="592">
        <f t="shared" si="66"/>
        <v>758.85</v>
      </c>
      <c r="T831" s="144">
        <v>51000000001</v>
      </c>
      <c r="U831" s="144" t="s">
        <v>71</v>
      </c>
      <c r="X831" s="156"/>
    </row>
    <row r="832" spans="1:28" x14ac:dyDescent="0.2">
      <c r="B832" s="740" t="s">
        <v>863</v>
      </c>
      <c r="C832" s="230" t="s">
        <v>864</v>
      </c>
      <c r="D832" s="230" t="s">
        <v>241</v>
      </c>
      <c r="E832" s="234" t="str">
        <f>+VLOOKUP(F832,[11]bd!A:B,2,0)</f>
        <v>BANCO CUSCATLAN DE EL SALVADOR S.A.</v>
      </c>
      <c r="F832" s="234" t="s">
        <v>47</v>
      </c>
      <c r="G832" s="234"/>
      <c r="H832" s="592"/>
      <c r="I832" s="592"/>
      <c r="J832" s="592">
        <v>191.78</v>
      </c>
      <c r="K832" s="235">
        <v>24.93</v>
      </c>
      <c r="L832" s="592">
        <f t="shared" si="67"/>
        <v>216.71</v>
      </c>
      <c r="M832" s="608">
        <v>51000200002</v>
      </c>
      <c r="O832" s="260" t="s">
        <v>86</v>
      </c>
      <c r="P832" s="96">
        <v>51000200001</v>
      </c>
      <c r="Q832" s="234" t="s">
        <v>187</v>
      </c>
      <c r="R832" s="592">
        <f t="shared" si="66"/>
        <v>0</v>
      </c>
      <c r="T832" s="144">
        <v>51000000002</v>
      </c>
      <c r="U832" s="144" t="s">
        <v>3</v>
      </c>
      <c r="X832" s="156"/>
    </row>
    <row r="833" spans="1:28" x14ac:dyDescent="0.2">
      <c r="B833" s="740" t="s">
        <v>863</v>
      </c>
      <c r="C833" s="230" t="s">
        <v>865</v>
      </c>
      <c r="D833" s="230" t="s">
        <v>241</v>
      </c>
      <c r="E833" s="234" t="str">
        <f>+VLOOKUP(F833,[11]bd!A:B,2,0)</f>
        <v>BANCO CUSCATLAN DE EL SALVADOR S.A.</v>
      </c>
      <c r="F833" s="234" t="s">
        <v>47</v>
      </c>
      <c r="G833" s="234"/>
      <c r="H833" s="592"/>
      <c r="I833" s="592"/>
      <c r="J833" s="592">
        <v>191.78</v>
      </c>
      <c r="K833" s="235">
        <v>24.93</v>
      </c>
      <c r="L833" s="592">
        <f t="shared" si="67"/>
        <v>216.71</v>
      </c>
      <c r="M833" s="608">
        <v>51000200001</v>
      </c>
      <c r="O833" s="260" t="s">
        <v>86</v>
      </c>
      <c r="P833" s="96">
        <v>51000200001</v>
      </c>
      <c r="Q833" s="234" t="s">
        <v>22</v>
      </c>
      <c r="R833" s="592">
        <f t="shared" si="66"/>
        <v>0</v>
      </c>
      <c r="X833" s="356">
        <v>0</v>
      </c>
      <c r="Y833" s="156">
        <v>0</v>
      </c>
      <c r="Z833" s="236">
        <v>0</v>
      </c>
    </row>
    <row r="834" spans="1:28" x14ac:dyDescent="0.2">
      <c r="B834" s="740" t="s">
        <v>866</v>
      </c>
      <c r="C834" s="230" t="s">
        <v>867</v>
      </c>
      <c r="D834" s="230" t="s">
        <v>241</v>
      </c>
      <c r="E834" s="234" t="str">
        <f>+VLOOKUP(F834,[11]bd!A:B,2,0)</f>
        <v>BANCO CUSCATLAN DE EL SALVADOR S.A.</v>
      </c>
      <c r="F834" s="234" t="s">
        <v>47</v>
      </c>
      <c r="G834" s="234"/>
      <c r="H834" s="592"/>
      <c r="I834" s="592"/>
      <c r="J834" s="592">
        <v>136.99</v>
      </c>
      <c r="K834" s="235">
        <v>17.809999999999999</v>
      </c>
      <c r="L834" s="592">
        <f t="shared" si="67"/>
        <v>154.80000000000001</v>
      </c>
      <c r="M834" s="608">
        <v>51000200002</v>
      </c>
      <c r="O834" s="260" t="s">
        <v>86</v>
      </c>
      <c r="P834" s="486">
        <v>51000200002</v>
      </c>
      <c r="Q834" s="476" t="s">
        <v>242</v>
      </c>
      <c r="R834" s="592">
        <f t="shared" si="66"/>
        <v>758.85</v>
      </c>
      <c r="X834" s="304">
        <v>0</v>
      </c>
      <c r="Y834" s="304">
        <f>R840+R850</f>
        <v>0</v>
      </c>
      <c r="Z834" s="300">
        <v>0</v>
      </c>
    </row>
    <row r="835" spans="1:28" x14ac:dyDescent="0.2">
      <c r="B835" s="740" t="s">
        <v>866</v>
      </c>
      <c r="C835" s="230" t="s">
        <v>868</v>
      </c>
      <c r="D835" s="230" t="s">
        <v>241</v>
      </c>
      <c r="E835" s="234" t="str">
        <f>+VLOOKUP(F835,[11]bd!A:B,2,0)</f>
        <v>BANCO CUSCATLAN DE EL SALVADOR S.A.</v>
      </c>
      <c r="F835" s="234" t="s">
        <v>47</v>
      </c>
      <c r="G835" s="234"/>
      <c r="H835" s="592"/>
      <c r="I835" s="592"/>
      <c r="J835" s="592">
        <v>136.99</v>
      </c>
      <c r="K835" s="235">
        <v>17.809999999999999</v>
      </c>
      <c r="L835" s="592">
        <f t="shared" si="67"/>
        <v>154.80000000000001</v>
      </c>
      <c r="M835" s="608">
        <v>51000200001</v>
      </c>
      <c r="O835" s="260" t="s">
        <v>86</v>
      </c>
      <c r="P835" s="96">
        <v>51000200002</v>
      </c>
      <c r="Q835" s="234" t="s">
        <v>187</v>
      </c>
      <c r="R835" s="592">
        <f t="shared" si="66"/>
        <v>0</v>
      </c>
      <c r="X835" s="290">
        <f>SUM(X825:X832)</f>
        <v>-4281.6299999999992</v>
      </c>
      <c r="Y835" s="290">
        <f>SUM(Y825:Y834)</f>
        <v>1732.0100000000002</v>
      </c>
      <c r="Z835" s="290">
        <f>SUM(Z825:Z834)</f>
        <v>-253.50999999999976</v>
      </c>
    </row>
    <row r="836" spans="1:28" x14ac:dyDescent="0.2">
      <c r="B836" s="740" t="s">
        <v>869</v>
      </c>
      <c r="C836" s="230" t="s">
        <v>870</v>
      </c>
      <c r="D836" s="230" t="s">
        <v>241</v>
      </c>
      <c r="E836" s="234" t="str">
        <f>+VLOOKUP(F836,[11]bd!A:B,2,0)</f>
        <v>BANCO CUSCATLAN DE EL SALVADOR S.A.</v>
      </c>
      <c r="F836" s="234" t="s">
        <v>47</v>
      </c>
      <c r="G836" s="234"/>
      <c r="H836" s="592"/>
      <c r="I836" s="592"/>
      <c r="J836" s="592">
        <v>143.84</v>
      </c>
      <c r="K836" s="235">
        <v>18.7</v>
      </c>
      <c r="L836" s="592">
        <f t="shared" si="67"/>
        <v>162.54</v>
      </c>
      <c r="M836" s="608">
        <v>51000200002</v>
      </c>
      <c r="O836" s="260" t="s">
        <v>86</v>
      </c>
      <c r="P836" s="96">
        <v>51000200002</v>
      </c>
      <c r="Q836" s="234" t="s">
        <v>22</v>
      </c>
      <c r="R836" s="592">
        <f t="shared" si="66"/>
        <v>0</v>
      </c>
      <c r="U836" s="156"/>
      <c r="Z836" s="236"/>
    </row>
    <row r="837" spans="1:28" x14ac:dyDescent="0.2">
      <c r="B837" s="740" t="s">
        <v>869</v>
      </c>
      <c r="C837" s="230" t="s">
        <v>871</v>
      </c>
      <c r="D837" s="230" t="s">
        <v>241</v>
      </c>
      <c r="E837" s="234" t="str">
        <f>+VLOOKUP(F837,[11]bd!A:B,2,0)</f>
        <v>BANCO CUSCATLAN DE EL SALVADOR S.A.</v>
      </c>
      <c r="F837" s="234" t="s">
        <v>47</v>
      </c>
      <c r="G837" s="234"/>
      <c r="H837" s="592"/>
      <c r="I837" s="592"/>
      <c r="J837" s="592">
        <v>143.84</v>
      </c>
      <c r="K837" s="235">
        <v>18.7</v>
      </c>
      <c r="L837" s="592">
        <f t="shared" si="67"/>
        <v>162.54</v>
      </c>
      <c r="M837" s="608">
        <v>51000200001</v>
      </c>
      <c r="O837" s="260" t="s">
        <v>86</v>
      </c>
      <c r="P837" s="486">
        <v>51220200001</v>
      </c>
      <c r="Q837" s="476" t="s">
        <v>242</v>
      </c>
      <c r="R837" s="592">
        <f t="shared" si="66"/>
        <v>1377.66</v>
      </c>
      <c r="U837" s="156"/>
    </row>
    <row r="838" spans="1:28" x14ac:dyDescent="0.2">
      <c r="B838" s="740" t="s">
        <v>872</v>
      </c>
      <c r="C838" s="230" t="s">
        <v>873</v>
      </c>
      <c r="D838" s="230" t="s">
        <v>241</v>
      </c>
      <c r="E838" s="234" t="str">
        <f>+VLOOKUP(F838,[11]bd!A:B,2,0)</f>
        <v>INVERSIONES FINANCIERAS IMPERIA CUSCATLAN, SA</v>
      </c>
      <c r="F838" s="234" t="s">
        <v>270</v>
      </c>
      <c r="G838" s="234"/>
      <c r="H838" s="592"/>
      <c r="I838" s="592"/>
      <c r="J838" s="592">
        <v>354.35</v>
      </c>
      <c r="K838" s="235">
        <v>46.07</v>
      </c>
      <c r="L838" s="592">
        <f t="shared" si="67"/>
        <v>400.42</v>
      </c>
      <c r="M838" s="608">
        <v>51220200001</v>
      </c>
      <c r="O838" s="260" t="s">
        <v>86</v>
      </c>
      <c r="P838" s="96">
        <v>51220200001</v>
      </c>
      <c r="Q838" s="234" t="s">
        <v>187</v>
      </c>
      <c r="R838" s="592">
        <f t="shared" si="66"/>
        <v>0</v>
      </c>
    </row>
    <row r="839" spans="1:28" x14ac:dyDescent="0.2">
      <c r="B839" s="740" t="s">
        <v>872</v>
      </c>
      <c r="C839" s="230" t="s">
        <v>874</v>
      </c>
      <c r="D839" s="230" t="s">
        <v>241</v>
      </c>
      <c r="E839" s="234" t="str">
        <f>+VLOOKUP(F839,[11]bd!A:B,2,0)</f>
        <v>BANCO CUSCATLAN DE EL SALVADOR S.A.</v>
      </c>
      <c r="F839" s="234" t="s">
        <v>47</v>
      </c>
      <c r="G839" s="234"/>
      <c r="H839" s="592"/>
      <c r="I839" s="592"/>
      <c r="J839" s="592">
        <v>1377.66</v>
      </c>
      <c r="K839" s="235">
        <v>179.1</v>
      </c>
      <c r="L839" s="592">
        <f t="shared" si="67"/>
        <v>1556.76</v>
      </c>
      <c r="M839" s="608">
        <v>51220200001</v>
      </c>
      <c r="O839" s="260" t="s">
        <v>86</v>
      </c>
      <c r="P839" s="96">
        <v>51220200001</v>
      </c>
      <c r="Q839" s="234" t="s">
        <v>22</v>
      </c>
      <c r="R839" s="592">
        <f t="shared" si="66"/>
        <v>0</v>
      </c>
    </row>
    <row r="840" spans="1:28" x14ac:dyDescent="0.2">
      <c r="B840" s="742">
        <v>43640</v>
      </c>
      <c r="C840" s="738" t="s">
        <v>875</v>
      </c>
      <c r="D840" s="738" t="s">
        <v>241</v>
      </c>
      <c r="E840" s="476" t="str">
        <f>+VLOOKUP(F840,[11]bd!A:B,2,0)</f>
        <v>CITIBANK, N.A. SUCURSAL EL SALVADOR</v>
      </c>
      <c r="F840" s="476" t="s">
        <v>179</v>
      </c>
      <c r="G840" s="476"/>
      <c r="H840" s="478"/>
      <c r="I840" s="478"/>
      <c r="J840" s="478">
        <v>251.79</v>
      </c>
      <c r="K840" s="609">
        <v>32.729999999999997</v>
      </c>
      <c r="L840" s="478">
        <f t="shared" si="67"/>
        <v>284.52</v>
      </c>
      <c r="M840" s="719"/>
      <c r="O840" s="260" t="s">
        <v>86</v>
      </c>
      <c r="P840" s="96">
        <v>52200000001</v>
      </c>
      <c r="Q840" s="234" t="s">
        <v>242</v>
      </c>
      <c r="R840" s="592">
        <f t="shared" si="66"/>
        <v>0</v>
      </c>
      <c r="W840" s="153" t="s">
        <v>255</v>
      </c>
      <c r="X840" s="236">
        <f>+X826+X829+X825+X833+X834+X827+X828+X831+X832</f>
        <v>-3503.2199999999989</v>
      </c>
    </row>
    <row r="841" spans="1:28" x14ac:dyDescent="0.2">
      <c r="O841" s="260" t="s">
        <v>86</v>
      </c>
      <c r="P841" s="96">
        <v>52200000001</v>
      </c>
      <c r="Q841" s="234" t="s">
        <v>187</v>
      </c>
      <c r="R841" s="592">
        <f t="shared" si="66"/>
        <v>0</v>
      </c>
      <c r="W841" s="144" t="s">
        <v>257</v>
      </c>
      <c r="X841" s="236">
        <f>+R845</f>
        <v>3249.71</v>
      </c>
    </row>
    <row r="842" spans="1:28" x14ac:dyDescent="0.2">
      <c r="O842" s="260" t="s">
        <v>86</v>
      </c>
      <c r="P842" s="96">
        <v>52200000001</v>
      </c>
      <c r="Q842" s="234" t="s">
        <v>22</v>
      </c>
      <c r="R842" s="592">
        <f t="shared" si="66"/>
        <v>0</v>
      </c>
      <c r="W842" s="144" t="s">
        <v>260</v>
      </c>
      <c r="X842" s="300">
        <f>+J840</f>
        <v>251.79</v>
      </c>
    </row>
    <row r="843" spans="1:28" x14ac:dyDescent="0.2">
      <c r="O843" s="260" t="s">
        <v>86</v>
      </c>
      <c r="P843" s="96">
        <v>52200000001</v>
      </c>
      <c r="Q843" s="234" t="s">
        <v>242</v>
      </c>
      <c r="R843" s="592">
        <f t="shared" si="66"/>
        <v>0</v>
      </c>
      <c r="X843" s="704">
        <f>X840+X841+X842</f>
        <v>-1.719999999998862</v>
      </c>
      <c r="Y843" s="144" t="s">
        <v>275</v>
      </c>
    </row>
    <row r="844" spans="1:28" x14ac:dyDescent="0.2">
      <c r="O844" s="260" t="s">
        <v>86</v>
      </c>
      <c r="P844" s="486">
        <v>51220200001</v>
      </c>
      <c r="Q844" s="476" t="s">
        <v>269</v>
      </c>
      <c r="R844" s="592">
        <f t="shared" si="66"/>
        <v>354.35</v>
      </c>
    </row>
    <row r="845" spans="1:28" ht="13.5" thickBot="1" x14ac:dyDescent="0.25">
      <c r="O845" s="589"/>
      <c r="P845" s="589"/>
      <c r="R845" s="607">
        <f>SUM(R825:R844)</f>
        <v>3249.71</v>
      </c>
    </row>
    <row r="846" spans="1:28" ht="13.5" thickTop="1" x14ac:dyDescent="0.2">
      <c r="M846" s="589"/>
      <c r="N846" s="589"/>
      <c r="O846" s="589"/>
      <c r="P846" s="589"/>
      <c r="R846" s="769"/>
    </row>
    <row r="847" spans="1:28" ht="3.75" customHeight="1" x14ac:dyDescent="0.2">
      <c r="A847" s="610"/>
      <c r="B847" s="610"/>
      <c r="C847" s="611"/>
      <c r="D847" s="611"/>
      <c r="E847" s="610"/>
      <c r="F847" s="610"/>
      <c r="G847" s="610"/>
      <c r="H847" s="610"/>
      <c r="I847" s="610"/>
      <c r="J847" s="610"/>
      <c r="K847" s="610"/>
      <c r="L847" s="610"/>
      <c r="M847" s="612"/>
      <c r="N847" s="612"/>
      <c r="O847" s="612"/>
      <c r="P847" s="612"/>
      <c r="Q847" s="613"/>
      <c r="R847" s="613"/>
      <c r="S847" s="613"/>
      <c r="T847" s="613"/>
      <c r="U847" s="613"/>
      <c r="V847" s="613"/>
      <c r="W847" s="613"/>
      <c r="X847" s="613"/>
      <c r="Y847" s="613"/>
      <c r="Z847" s="613"/>
      <c r="AA847" s="613"/>
      <c r="AB847" s="613"/>
    </row>
    <row r="848" spans="1:28" ht="15.75" x14ac:dyDescent="0.25">
      <c r="E848" s="741" t="s">
        <v>949</v>
      </c>
      <c r="M848" s="589"/>
      <c r="N848" s="589"/>
      <c r="O848" s="589"/>
      <c r="P848" s="589"/>
    </row>
    <row r="849" spans="2:26" x14ac:dyDescent="0.2">
      <c r="M849" s="589"/>
      <c r="N849" s="589"/>
      <c r="O849" s="589"/>
      <c r="P849" s="589"/>
    </row>
    <row r="850" spans="2:26" x14ac:dyDescent="0.2">
      <c r="B850" s="217"/>
      <c r="C850" s="218" t="s">
        <v>137</v>
      </c>
      <c r="D850" s="219" t="s">
        <v>16</v>
      </c>
      <c r="E850" s="219"/>
      <c r="F850" s="219" t="s">
        <v>74</v>
      </c>
      <c r="G850" s="219"/>
      <c r="H850" s="220" t="s">
        <v>75</v>
      </c>
      <c r="I850" s="221"/>
      <c r="J850" s="221"/>
      <c r="K850" s="221"/>
      <c r="L850" s="239"/>
      <c r="O850" s="303" t="s">
        <v>257</v>
      </c>
      <c r="P850" s="303"/>
      <c r="Q850" s="303"/>
      <c r="R850" s="303"/>
      <c r="U850" s="153" t="s">
        <v>247</v>
      </c>
      <c r="Y850" s="144" t="s">
        <v>256</v>
      </c>
      <c r="Z850" s="144" t="s">
        <v>184</v>
      </c>
    </row>
    <row r="851" spans="2:26" x14ac:dyDescent="0.2">
      <c r="B851" s="222" t="s">
        <v>76</v>
      </c>
      <c r="C851" s="223" t="s">
        <v>77</v>
      </c>
      <c r="D851" s="223" t="s">
        <v>141</v>
      </c>
      <c r="E851" s="223" t="s">
        <v>78</v>
      </c>
      <c r="F851" s="223" t="s">
        <v>142</v>
      </c>
      <c r="G851" s="223" t="s">
        <v>79</v>
      </c>
      <c r="H851" s="224" t="s">
        <v>48</v>
      </c>
      <c r="I851" s="221"/>
      <c r="J851" s="224" t="s">
        <v>80</v>
      </c>
      <c r="K851" s="221"/>
      <c r="L851" s="240" t="s">
        <v>175</v>
      </c>
      <c r="O851" s="260" t="s">
        <v>87</v>
      </c>
      <c r="P851" s="96">
        <v>51000000001</v>
      </c>
      <c r="Q851" s="234" t="s">
        <v>242</v>
      </c>
      <c r="R851" s="592">
        <f>SUMIFS($J$853:$J$896,$E$853:$E$896,Q851,$M$853:$M$896,P851)</f>
        <v>0</v>
      </c>
      <c r="T851" s="144">
        <v>51000200001</v>
      </c>
      <c r="U851" s="144" t="s">
        <v>194</v>
      </c>
      <c r="X851" s="156">
        <v>-1260.54</v>
      </c>
      <c r="Y851" s="156">
        <f>R854</f>
        <v>0</v>
      </c>
      <c r="Z851" s="236">
        <v>0</v>
      </c>
    </row>
    <row r="852" spans="2:26" x14ac:dyDescent="0.2">
      <c r="B852" s="225"/>
      <c r="C852" s="226"/>
      <c r="D852" s="226"/>
      <c r="E852" s="225"/>
      <c r="F852" s="225"/>
      <c r="G852" s="225"/>
      <c r="H852" s="227" t="s">
        <v>176</v>
      </c>
      <c r="I852" s="228" t="s">
        <v>177</v>
      </c>
      <c r="J852" s="241" t="s">
        <v>178</v>
      </c>
      <c r="K852" s="241" t="s">
        <v>46</v>
      </c>
      <c r="L852" s="242" t="s">
        <v>48</v>
      </c>
      <c r="M852" s="589"/>
      <c r="N852" s="589"/>
      <c r="O852" s="260" t="s">
        <v>87</v>
      </c>
      <c r="P852" s="96">
        <v>51000000002</v>
      </c>
      <c r="Q852" s="234" t="s">
        <v>242</v>
      </c>
      <c r="R852" s="592">
        <f t="shared" ref="R852:R870" si="68">SUMIFS($J$853:$J$896,$E$853:$E$896,Q852,$M$853:$M$896,P852)</f>
        <v>0</v>
      </c>
      <c r="T852" s="144">
        <v>51000200002</v>
      </c>
      <c r="U852" s="144" t="s">
        <v>195</v>
      </c>
      <c r="X852" s="156">
        <v>-1260.54</v>
      </c>
      <c r="Y852" s="156">
        <f>R856</f>
        <v>0</v>
      </c>
      <c r="Z852" s="236">
        <v>0</v>
      </c>
    </row>
    <row r="853" spans="2:26" x14ac:dyDescent="0.2">
      <c r="B853" s="233">
        <v>43647</v>
      </c>
      <c r="C853" s="230" t="s">
        <v>906</v>
      </c>
      <c r="D853" s="230" t="s">
        <v>241</v>
      </c>
      <c r="E853" s="234" t="s">
        <v>242</v>
      </c>
      <c r="F853" s="234" t="s">
        <v>47</v>
      </c>
      <c r="G853" s="591"/>
      <c r="H853" s="592"/>
      <c r="I853" s="592"/>
      <c r="J853" s="592">
        <v>47.95</v>
      </c>
      <c r="K853" s="235">
        <v>6.23</v>
      </c>
      <c r="L853" s="592">
        <f t="shared" ref="L853:L896" si="69">+J853+K853</f>
        <v>54.180000000000007</v>
      </c>
      <c r="M853" s="608">
        <v>51000200002</v>
      </c>
      <c r="N853" s="589"/>
      <c r="O853" s="260" t="s">
        <v>87</v>
      </c>
      <c r="P853" s="96">
        <v>51000100001</v>
      </c>
      <c r="Q853" s="234" t="s">
        <v>242</v>
      </c>
      <c r="R853" s="592">
        <f t="shared" si="68"/>
        <v>0</v>
      </c>
      <c r="T853" s="144">
        <v>51000100001</v>
      </c>
      <c r="U853" s="156" t="s">
        <v>4</v>
      </c>
      <c r="X853" s="156">
        <v>-1227.3599999999999</v>
      </c>
    </row>
    <row r="854" spans="2:26" x14ac:dyDescent="0.2">
      <c r="B854" s="233">
        <v>43647</v>
      </c>
      <c r="C854" s="230" t="s">
        <v>907</v>
      </c>
      <c r="D854" s="230" t="s">
        <v>241</v>
      </c>
      <c r="E854" s="234" t="s">
        <v>242</v>
      </c>
      <c r="F854" s="234" t="s">
        <v>47</v>
      </c>
      <c r="G854" s="234"/>
      <c r="H854" s="592"/>
      <c r="I854" s="592"/>
      <c r="J854" s="592">
        <v>47.95</v>
      </c>
      <c r="K854" s="235">
        <v>6.23</v>
      </c>
      <c r="L854" s="592">
        <f t="shared" si="69"/>
        <v>54.180000000000007</v>
      </c>
      <c r="M854" s="608">
        <v>51000200001</v>
      </c>
      <c r="N854" s="589"/>
      <c r="O854" s="260" t="s">
        <v>87</v>
      </c>
      <c r="P854" s="96">
        <v>51000100001</v>
      </c>
      <c r="Q854" s="234" t="s">
        <v>269</v>
      </c>
      <c r="R854" s="592">
        <f t="shared" si="68"/>
        <v>0</v>
      </c>
      <c r="T854" s="144">
        <v>51000100002</v>
      </c>
      <c r="U854" s="156" t="s">
        <v>193</v>
      </c>
      <c r="X854" s="156">
        <v>-780.29</v>
      </c>
    </row>
    <row r="855" spans="2:26" x14ac:dyDescent="0.2">
      <c r="B855" s="233">
        <v>43647</v>
      </c>
      <c r="C855" s="230" t="s">
        <v>908</v>
      </c>
      <c r="D855" s="230" t="s">
        <v>241</v>
      </c>
      <c r="E855" s="476" t="s">
        <v>323</v>
      </c>
      <c r="F855" s="476" t="s">
        <v>179</v>
      </c>
      <c r="G855" s="477"/>
      <c r="H855" s="478"/>
      <c r="I855" s="478"/>
      <c r="J855" s="478">
        <v>21.65</v>
      </c>
      <c r="K855" s="609">
        <v>2.82</v>
      </c>
      <c r="L855" s="478">
        <f t="shared" si="69"/>
        <v>24.47</v>
      </c>
      <c r="M855" s="719"/>
      <c r="N855" s="589"/>
      <c r="O855" s="260" t="s">
        <v>87</v>
      </c>
      <c r="P855" s="96">
        <v>51000100002</v>
      </c>
      <c r="Q855" s="234" t="s">
        <v>242</v>
      </c>
      <c r="R855" s="592">
        <f t="shared" si="68"/>
        <v>0</v>
      </c>
      <c r="T855" s="144">
        <v>51220200001</v>
      </c>
      <c r="U855" s="144" t="s">
        <v>21</v>
      </c>
      <c r="X855" s="156">
        <v>-1744.0499999999993</v>
      </c>
      <c r="Y855" s="156">
        <f>R863+R870</f>
        <v>1663.13</v>
      </c>
      <c r="Z855" s="236">
        <f>X855+Y855</f>
        <v>-80.919999999999163</v>
      </c>
    </row>
    <row r="856" spans="2:26" x14ac:dyDescent="0.2">
      <c r="B856" s="233">
        <v>43647</v>
      </c>
      <c r="C856" s="230" t="s">
        <v>909</v>
      </c>
      <c r="D856" s="230" t="s">
        <v>241</v>
      </c>
      <c r="E856" s="476" t="s">
        <v>323</v>
      </c>
      <c r="F856" s="476" t="s">
        <v>179</v>
      </c>
      <c r="G856" s="477"/>
      <c r="H856" s="478"/>
      <c r="I856" s="478"/>
      <c r="J856" s="478">
        <v>13.54</v>
      </c>
      <c r="K856" s="609">
        <v>1.76</v>
      </c>
      <c r="L856" s="478">
        <f t="shared" si="69"/>
        <v>15.299999999999999</v>
      </c>
      <c r="M856" s="719"/>
      <c r="N856" s="589"/>
      <c r="O856" s="260" t="s">
        <v>87</v>
      </c>
      <c r="P856" s="96">
        <v>51000100002</v>
      </c>
      <c r="Q856" s="234" t="s">
        <v>269</v>
      </c>
      <c r="R856" s="592">
        <f t="shared" si="68"/>
        <v>0</v>
      </c>
      <c r="T856" s="351">
        <v>52200000001</v>
      </c>
      <c r="U856" s="351" t="s">
        <v>11</v>
      </c>
      <c r="V856" s="351"/>
      <c r="W856" s="351"/>
      <c r="X856" s="347">
        <v>-143.15</v>
      </c>
      <c r="Y856" s="156">
        <v>0</v>
      </c>
      <c r="Z856" s="236">
        <v>0</v>
      </c>
    </row>
    <row r="857" spans="2:26" x14ac:dyDescent="0.2">
      <c r="B857" s="233">
        <v>43648</v>
      </c>
      <c r="C857" s="230" t="s">
        <v>910</v>
      </c>
      <c r="D857" s="230" t="s">
        <v>241</v>
      </c>
      <c r="E857" s="234" t="s">
        <v>242</v>
      </c>
      <c r="F857" s="234" t="s">
        <v>47</v>
      </c>
      <c r="G857" s="234"/>
      <c r="H857" s="592"/>
      <c r="I857" s="592"/>
      <c r="J857" s="592">
        <v>41.56</v>
      </c>
      <c r="K857" s="235">
        <v>5.4</v>
      </c>
      <c r="L857" s="592">
        <f t="shared" si="69"/>
        <v>46.96</v>
      </c>
      <c r="M857" s="608">
        <v>51000200002</v>
      </c>
      <c r="N857" s="589"/>
      <c r="O857" s="260" t="s">
        <v>87</v>
      </c>
      <c r="P857" s="486">
        <v>51000200001</v>
      </c>
      <c r="Q857" s="476" t="s">
        <v>242</v>
      </c>
      <c r="R857" s="592">
        <f t="shared" si="68"/>
        <v>1260.5400000000002</v>
      </c>
      <c r="T857" s="144">
        <v>51000000001</v>
      </c>
      <c r="U857" s="144" t="s">
        <v>71</v>
      </c>
      <c r="X857" s="156"/>
    </row>
    <row r="858" spans="2:26" x14ac:dyDescent="0.2">
      <c r="B858" s="233">
        <v>43648</v>
      </c>
      <c r="C858" s="230" t="s">
        <v>911</v>
      </c>
      <c r="D858" s="230" t="s">
        <v>241</v>
      </c>
      <c r="E858" s="234" t="s">
        <v>242</v>
      </c>
      <c r="F858" s="234" t="s">
        <v>47</v>
      </c>
      <c r="G858" s="234"/>
      <c r="H858" s="592"/>
      <c r="I858" s="592"/>
      <c r="J858" s="592">
        <v>41.56</v>
      </c>
      <c r="K858" s="235">
        <v>5.4</v>
      </c>
      <c r="L858" s="592">
        <f t="shared" si="69"/>
        <v>46.96</v>
      </c>
      <c r="M858" s="608">
        <v>51000200001</v>
      </c>
      <c r="N858" s="589"/>
      <c r="O858" s="260" t="s">
        <v>87</v>
      </c>
      <c r="P858" s="96">
        <v>51000200001</v>
      </c>
      <c r="Q858" s="234" t="s">
        <v>187</v>
      </c>
      <c r="R858" s="592">
        <f t="shared" si="68"/>
        <v>0</v>
      </c>
      <c r="T858" s="144">
        <v>51000000002</v>
      </c>
      <c r="U858" s="144" t="s">
        <v>3</v>
      </c>
      <c r="X858" s="156"/>
    </row>
    <row r="859" spans="2:26" x14ac:dyDescent="0.2">
      <c r="B859" s="233">
        <v>43654</v>
      </c>
      <c r="C859" s="230" t="s">
        <v>912</v>
      </c>
      <c r="D859" s="230" t="s">
        <v>241</v>
      </c>
      <c r="E859" s="234" t="s">
        <v>259</v>
      </c>
      <c r="F859" s="234"/>
      <c r="G859" s="234"/>
      <c r="H859" s="592"/>
      <c r="I859" s="592"/>
      <c r="J859" s="592">
        <v>0</v>
      </c>
      <c r="K859" s="235">
        <v>0</v>
      </c>
      <c r="L859" s="592">
        <f t="shared" si="69"/>
        <v>0</v>
      </c>
      <c r="M859" s="589"/>
      <c r="N859" s="589"/>
      <c r="O859" s="260" t="s">
        <v>87</v>
      </c>
      <c r="P859" s="96">
        <v>51000200001</v>
      </c>
      <c r="Q859" s="234" t="s">
        <v>22</v>
      </c>
      <c r="R859" s="592">
        <f t="shared" si="68"/>
        <v>0</v>
      </c>
      <c r="X859" s="356">
        <v>0</v>
      </c>
      <c r="Y859" s="156">
        <v>0</v>
      </c>
      <c r="Z859" s="236">
        <v>0</v>
      </c>
    </row>
    <row r="860" spans="2:26" x14ac:dyDescent="0.2">
      <c r="B860" s="233">
        <v>43654</v>
      </c>
      <c r="C860" s="230" t="s">
        <v>913</v>
      </c>
      <c r="D860" s="230" t="s">
        <v>241</v>
      </c>
      <c r="E860" s="234" t="s">
        <v>259</v>
      </c>
      <c r="F860" s="234"/>
      <c r="G860" s="234"/>
      <c r="H860" s="592"/>
      <c r="I860" s="592"/>
      <c r="J860" s="592">
        <v>0</v>
      </c>
      <c r="K860" s="235">
        <v>0</v>
      </c>
      <c r="L860" s="592">
        <f t="shared" si="69"/>
        <v>0</v>
      </c>
      <c r="M860" s="589"/>
      <c r="N860" s="589"/>
      <c r="O860" s="260" t="s">
        <v>87</v>
      </c>
      <c r="P860" s="486">
        <v>51000200002</v>
      </c>
      <c r="Q860" s="476" t="s">
        <v>242</v>
      </c>
      <c r="R860" s="592">
        <f t="shared" si="68"/>
        <v>1260.5400000000002</v>
      </c>
      <c r="X860" s="304">
        <v>0</v>
      </c>
      <c r="Y860" s="304">
        <f>R866+R873</f>
        <v>0</v>
      </c>
      <c r="Z860" s="300">
        <v>0</v>
      </c>
    </row>
    <row r="861" spans="2:26" x14ac:dyDescent="0.2">
      <c r="B861" s="233">
        <v>43654</v>
      </c>
      <c r="C861" s="230" t="s">
        <v>914</v>
      </c>
      <c r="D861" s="230" t="s">
        <v>241</v>
      </c>
      <c r="E861" s="234" t="s">
        <v>242</v>
      </c>
      <c r="F861" s="234" t="s">
        <v>47</v>
      </c>
      <c r="G861" s="234"/>
      <c r="H861" s="592"/>
      <c r="I861" s="592"/>
      <c r="J861" s="592">
        <v>47.95</v>
      </c>
      <c r="K861" s="235">
        <v>6.23</v>
      </c>
      <c r="L861" s="592">
        <f t="shared" si="69"/>
        <v>54.180000000000007</v>
      </c>
      <c r="M861" s="608">
        <v>51000200002</v>
      </c>
      <c r="N861" s="589"/>
      <c r="O861" s="260" t="s">
        <v>87</v>
      </c>
      <c r="P861" s="96">
        <v>51000200002</v>
      </c>
      <c r="Q861" s="234" t="s">
        <v>187</v>
      </c>
      <c r="R861" s="592">
        <f t="shared" si="68"/>
        <v>0</v>
      </c>
      <c r="X861" s="290">
        <f>SUM(X851:X858)</f>
        <v>-6415.9299999999985</v>
      </c>
      <c r="Y861" s="290">
        <f>SUM(Y851:Y860)</f>
        <v>1663.13</v>
      </c>
      <c r="Z861" s="290">
        <f>SUM(Z851:Z860)</f>
        <v>-80.919999999999163</v>
      </c>
    </row>
    <row r="862" spans="2:26" x14ac:dyDescent="0.2">
      <c r="B862" s="233">
        <v>43654</v>
      </c>
      <c r="C862" s="230" t="s">
        <v>915</v>
      </c>
      <c r="D862" s="230" t="s">
        <v>241</v>
      </c>
      <c r="E862" s="234" t="s">
        <v>242</v>
      </c>
      <c r="F862" s="234" t="s">
        <v>47</v>
      </c>
      <c r="G862" s="234"/>
      <c r="H862" s="592"/>
      <c r="I862" s="592"/>
      <c r="J862" s="592">
        <v>47.95</v>
      </c>
      <c r="K862" s="235">
        <v>6.23</v>
      </c>
      <c r="L862" s="592">
        <f t="shared" si="69"/>
        <v>54.180000000000007</v>
      </c>
      <c r="M862" s="608">
        <v>51000200001</v>
      </c>
      <c r="N862" s="589"/>
      <c r="O862" s="260" t="s">
        <v>87</v>
      </c>
      <c r="P862" s="96">
        <v>51000200002</v>
      </c>
      <c r="Q862" s="234" t="s">
        <v>22</v>
      </c>
      <c r="R862" s="592">
        <f t="shared" si="68"/>
        <v>0</v>
      </c>
      <c r="U862" s="156"/>
      <c r="Z862" s="236"/>
    </row>
    <row r="863" spans="2:26" x14ac:dyDescent="0.2">
      <c r="B863" s="233">
        <v>43654</v>
      </c>
      <c r="C863" s="230" t="s">
        <v>916</v>
      </c>
      <c r="D863" s="230" t="s">
        <v>241</v>
      </c>
      <c r="E863" s="476" t="s">
        <v>323</v>
      </c>
      <c r="F863" s="476" t="s">
        <v>179</v>
      </c>
      <c r="G863" s="476"/>
      <c r="H863" s="478"/>
      <c r="I863" s="478"/>
      <c r="J863" s="478">
        <v>716.42</v>
      </c>
      <c r="K863" s="609">
        <v>93.14</v>
      </c>
      <c r="L863" s="478">
        <f t="shared" si="69"/>
        <v>809.56</v>
      </c>
      <c r="M863" s="719"/>
      <c r="N863" s="589"/>
      <c r="O863" s="260" t="s">
        <v>87</v>
      </c>
      <c r="P863" s="486">
        <v>51220200001</v>
      </c>
      <c r="Q863" s="476" t="s">
        <v>242</v>
      </c>
      <c r="R863" s="592">
        <f t="shared" si="68"/>
        <v>1308.78</v>
      </c>
      <c r="U863" s="156"/>
    </row>
    <row r="864" spans="2:26" x14ac:dyDescent="0.2">
      <c r="B864" s="233">
        <v>43654</v>
      </c>
      <c r="C864" s="230" t="s">
        <v>917</v>
      </c>
      <c r="D864" s="230" t="s">
        <v>241</v>
      </c>
      <c r="E864" s="476" t="s">
        <v>323</v>
      </c>
      <c r="F864" s="476" t="s">
        <v>179</v>
      </c>
      <c r="G864" s="476"/>
      <c r="H864" s="478"/>
      <c r="I864" s="478"/>
      <c r="J864" s="478">
        <v>447.77</v>
      </c>
      <c r="K864" s="609">
        <v>58.21</v>
      </c>
      <c r="L864" s="478">
        <f t="shared" si="69"/>
        <v>505.97999999999996</v>
      </c>
      <c r="M864" s="719"/>
      <c r="N864" s="589"/>
      <c r="O864" s="260" t="s">
        <v>87</v>
      </c>
      <c r="P864" s="96">
        <v>51220200001</v>
      </c>
      <c r="Q864" s="234" t="s">
        <v>187</v>
      </c>
      <c r="R864" s="592">
        <f t="shared" si="68"/>
        <v>0</v>
      </c>
    </row>
    <row r="865" spans="2:25" x14ac:dyDescent="0.2">
      <c r="B865" s="233">
        <v>43656</v>
      </c>
      <c r="C865" s="230" t="s">
        <v>918</v>
      </c>
      <c r="D865" s="230" t="s">
        <v>241</v>
      </c>
      <c r="E865" s="234" t="s">
        <v>242</v>
      </c>
      <c r="F865" s="234" t="s">
        <v>47</v>
      </c>
      <c r="G865" s="234"/>
      <c r="H865" s="592"/>
      <c r="I865" s="592"/>
      <c r="J865" s="592">
        <v>95.89</v>
      </c>
      <c r="K865" s="294">
        <v>12.47</v>
      </c>
      <c r="L865" s="592">
        <f t="shared" si="69"/>
        <v>108.36</v>
      </c>
      <c r="M865" s="608">
        <v>51000200002</v>
      </c>
      <c r="N865" s="589"/>
      <c r="O865" s="260" t="s">
        <v>87</v>
      </c>
      <c r="P865" s="96">
        <v>51220200001</v>
      </c>
      <c r="Q865" s="234" t="s">
        <v>22</v>
      </c>
      <c r="R865" s="592">
        <f t="shared" si="68"/>
        <v>0</v>
      </c>
    </row>
    <row r="866" spans="2:25" x14ac:dyDescent="0.2">
      <c r="B866" s="233">
        <v>43656</v>
      </c>
      <c r="C866" s="230" t="s">
        <v>651</v>
      </c>
      <c r="D866" s="230" t="s">
        <v>241</v>
      </c>
      <c r="E866" s="234" t="s">
        <v>242</v>
      </c>
      <c r="F866" s="234" t="s">
        <v>47</v>
      </c>
      <c r="G866" s="234"/>
      <c r="H866" s="592"/>
      <c r="I866" s="592"/>
      <c r="J866" s="592">
        <v>95.89</v>
      </c>
      <c r="K866" s="294">
        <v>12.47</v>
      </c>
      <c r="L866" s="592">
        <f t="shared" si="69"/>
        <v>108.36</v>
      </c>
      <c r="M866" s="608">
        <v>51000200001</v>
      </c>
      <c r="N866" s="589"/>
      <c r="O866" s="260" t="s">
        <v>87</v>
      </c>
      <c r="P866" s="96">
        <v>52200000001</v>
      </c>
      <c r="Q866" s="234" t="s">
        <v>242</v>
      </c>
      <c r="R866" s="592">
        <f t="shared" si="68"/>
        <v>0</v>
      </c>
      <c r="W866" s="153" t="s">
        <v>255</v>
      </c>
      <c r="X866" s="236">
        <f>+X852+X855+X851+X859+X860+X853+X854+X857+X858</f>
        <v>-6272.7799999999988</v>
      </c>
    </row>
    <row r="867" spans="2:25" x14ac:dyDescent="0.2">
      <c r="B867" s="233">
        <v>43657</v>
      </c>
      <c r="C867" s="230" t="s">
        <v>919</v>
      </c>
      <c r="D867" s="230" t="s">
        <v>241</v>
      </c>
      <c r="E867" s="234" t="s">
        <v>242</v>
      </c>
      <c r="F867" s="234" t="s">
        <v>47</v>
      </c>
      <c r="G867" s="234"/>
      <c r="H867" s="592"/>
      <c r="I867" s="592"/>
      <c r="J867" s="592">
        <v>164.64</v>
      </c>
      <c r="K867" s="294">
        <v>21.4</v>
      </c>
      <c r="L867" s="592">
        <f t="shared" si="69"/>
        <v>186.04</v>
      </c>
      <c r="M867" s="608">
        <v>51000200002</v>
      </c>
      <c r="N867" s="589"/>
      <c r="O867" s="260" t="s">
        <v>87</v>
      </c>
      <c r="P867" s="96">
        <v>52200000001</v>
      </c>
      <c r="Q867" s="234" t="s">
        <v>187</v>
      </c>
      <c r="R867" s="592">
        <f t="shared" si="68"/>
        <v>0</v>
      </c>
      <c r="W867" s="144" t="s">
        <v>257</v>
      </c>
      <c r="X867" s="236">
        <f>+R871</f>
        <v>4184.2100000000009</v>
      </c>
    </row>
    <row r="868" spans="2:25" x14ac:dyDescent="0.2">
      <c r="B868" s="233">
        <v>43657</v>
      </c>
      <c r="C868" s="230" t="s">
        <v>920</v>
      </c>
      <c r="D868" s="230" t="s">
        <v>241</v>
      </c>
      <c r="E868" s="234" t="s">
        <v>242</v>
      </c>
      <c r="F868" s="234" t="s">
        <v>47</v>
      </c>
      <c r="G868" s="234"/>
      <c r="H868" s="592"/>
      <c r="I868" s="592"/>
      <c r="J868" s="592">
        <v>164.64</v>
      </c>
      <c r="K868" s="294">
        <v>21.4</v>
      </c>
      <c r="L868" s="592">
        <f t="shared" si="69"/>
        <v>186.04</v>
      </c>
      <c r="M868" s="608">
        <v>51000200001</v>
      </c>
      <c r="N868" s="589"/>
      <c r="O868" s="260" t="s">
        <v>87</v>
      </c>
      <c r="P868" s="96">
        <v>52200000001</v>
      </c>
      <c r="Q868" s="234" t="s">
        <v>22</v>
      </c>
      <c r="R868" s="592">
        <f t="shared" si="68"/>
        <v>0</v>
      </c>
      <c r="W868" s="144" t="s">
        <v>260</v>
      </c>
      <c r="X868" s="300">
        <f>+J855+J856+J863+J864+J879+J881+J889+J890+J893</f>
        <v>2066.4699999999998</v>
      </c>
    </row>
    <row r="869" spans="2:25" x14ac:dyDescent="0.2">
      <c r="B869" s="233">
        <v>43661</v>
      </c>
      <c r="C869" s="230" t="s">
        <v>921</v>
      </c>
      <c r="D869" s="230" t="s">
        <v>241</v>
      </c>
      <c r="E869" s="234" t="s">
        <v>242</v>
      </c>
      <c r="F869" s="234" t="s">
        <v>47</v>
      </c>
      <c r="G869" s="591"/>
      <c r="H869" s="592"/>
      <c r="I869" s="592"/>
      <c r="J869" s="592">
        <v>47.95</v>
      </c>
      <c r="K869" s="294">
        <v>6.23</v>
      </c>
      <c r="L869" s="592">
        <f t="shared" si="69"/>
        <v>54.180000000000007</v>
      </c>
      <c r="M869" s="608">
        <v>51000200002</v>
      </c>
      <c r="N869" s="589"/>
      <c r="O869" s="260" t="s">
        <v>87</v>
      </c>
      <c r="P869" s="96">
        <v>52200000001</v>
      </c>
      <c r="Q869" s="234" t="s">
        <v>242</v>
      </c>
      <c r="R869" s="592">
        <f t="shared" si="68"/>
        <v>0</v>
      </c>
      <c r="X869" s="704">
        <f>X866+X867+X868</f>
        <v>-22.09999999999809</v>
      </c>
      <c r="Y869" s="144" t="s">
        <v>275</v>
      </c>
    </row>
    <row r="870" spans="2:25" x14ac:dyDescent="0.2">
      <c r="B870" s="233">
        <v>43661</v>
      </c>
      <c r="C870" s="230" t="s">
        <v>922</v>
      </c>
      <c r="D870" s="230" t="s">
        <v>241</v>
      </c>
      <c r="E870" s="234" t="s">
        <v>242</v>
      </c>
      <c r="F870" s="234" t="s">
        <v>47</v>
      </c>
      <c r="G870" s="591"/>
      <c r="H870" s="592"/>
      <c r="I870" s="592"/>
      <c r="J870" s="592">
        <v>47.95</v>
      </c>
      <c r="K870" s="294">
        <v>6.23</v>
      </c>
      <c r="L870" s="592">
        <f t="shared" si="69"/>
        <v>54.180000000000007</v>
      </c>
      <c r="M870" s="608">
        <v>51000200001</v>
      </c>
      <c r="N870" s="589"/>
      <c r="O870" s="260" t="s">
        <v>87</v>
      </c>
      <c r="P870" s="486">
        <v>51220200001</v>
      </c>
      <c r="Q870" s="476" t="s">
        <v>269</v>
      </c>
      <c r="R870" s="592">
        <f t="shared" si="68"/>
        <v>354.35</v>
      </c>
    </row>
    <row r="871" spans="2:25" ht="13.5" thickBot="1" x14ac:dyDescent="0.25">
      <c r="B871" s="233">
        <v>43662</v>
      </c>
      <c r="C871" s="230" t="s">
        <v>923</v>
      </c>
      <c r="D871" s="230" t="s">
        <v>241</v>
      </c>
      <c r="E871" s="234" t="s">
        <v>242</v>
      </c>
      <c r="F871" s="234" t="s">
        <v>47</v>
      </c>
      <c r="G871" s="591"/>
      <c r="H871" s="592"/>
      <c r="I871" s="592"/>
      <c r="J871" s="592">
        <v>151.04</v>
      </c>
      <c r="K871" s="235">
        <v>19.63</v>
      </c>
      <c r="L871" s="592">
        <f t="shared" si="69"/>
        <v>170.67</v>
      </c>
      <c r="M871" s="608">
        <v>51000200002</v>
      </c>
      <c r="N871" s="589"/>
      <c r="O871" s="589"/>
      <c r="P871" s="589"/>
      <c r="R871" s="607">
        <f>SUM(R851:R870)</f>
        <v>4184.2100000000009</v>
      </c>
    </row>
    <row r="872" spans="2:25" ht="13.5" thickTop="1" x14ac:dyDescent="0.2">
      <c r="B872" s="233">
        <v>43662</v>
      </c>
      <c r="C872" s="230" t="s">
        <v>924</v>
      </c>
      <c r="D872" s="230" t="s">
        <v>241</v>
      </c>
      <c r="E872" s="234" t="s">
        <v>242</v>
      </c>
      <c r="F872" s="234" t="s">
        <v>47</v>
      </c>
      <c r="G872" s="591"/>
      <c r="H872" s="592"/>
      <c r="I872" s="592"/>
      <c r="J872" s="592">
        <v>151.04</v>
      </c>
      <c r="K872" s="235">
        <v>19.63</v>
      </c>
      <c r="L872" s="592">
        <f t="shared" si="69"/>
        <v>170.67</v>
      </c>
      <c r="M872" s="608">
        <v>51000200001</v>
      </c>
      <c r="N872" s="589"/>
    </row>
    <row r="873" spans="2:25" x14ac:dyDescent="0.2">
      <c r="B873" s="233">
        <v>43663</v>
      </c>
      <c r="C873" s="230" t="s">
        <v>925</v>
      </c>
      <c r="D873" s="230" t="s">
        <v>241</v>
      </c>
      <c r="E873" s="234" t="s">
        <v>242</v>
      </c>
      <c r="F873" s="234" t="s">
        <v>47</v>
      </c>
      <c r="G873" s="591"/>
      <c r="H873" s="592"/>
      <c r="I873" s="592"/>
      <c r="J873" s="592">
        <v>191.79</v>
      </c>
      <c r="K873" s="235">
        <v>24.93</v>
      </c>
      <c r="L873" s="592">
        <f t="shared" si="69"/>
        <v>216.72</v>
      </c>
      <c r="M873" s="608">
        <v>51000200002</v>
      </c>
      <c r="N873" s="589"/>
    </row>
    <row r="874" spans="2:25" x14ac:dyDescent="0.2">
      <c r="B874" s="233">
        <v>43663</v>
      </c>
      <c r="C874" s="230" t="s">
        <v>926</v>
      </c>
      <c r="D874" s="230" t="s">
        <v>241</v>
      </c>
      <c r="E874" s="234" t="s">
        <v>242</v>
      </c>
      <c r="F874" s="234" t="s">
        <v>47</v>
      </c>
      <c r="G874" s="591"/>
      <c r="H874" s="592"/>
      <c r="I874" s="592"/>
      <c r="J874" s="592">
        <v>191.79</v>
      </c>
      <c r="K874" s="235">
        <v>24.93</v>
      </c>
      <c r="L874" s="592">
        <f t="shared" si="69"/>
        <v>216.72</v>
      </c>
      <c r="M874" s="608">
        <v>51000200001</v>
      </c>
      <c r="N874" s="589"/>
    </row>
    <row r="875" spans="2:25" x14ac:dyDescent="0.2">
      <c r="B875" s="233">
        <v>43664</v>
      </c>
      <c r="C875" s="230" t="s">
        <v>927</v>
      </c>
      <c r="D875" s="230" t="s">
        <v>241</v>
      </c>
      <c r="E875" s="234" t="s">
        <v>242</v>
      </c>
      <c r="F875" s="234" t="s">
        <v>47</v>
      </c>
      <c r="G875" s="591"/>
      <c r="H875" s="592"/>
      <c r="I875" s="592"/>
      <c r="J875" s="592">
        <v>47.95</v>
      </c>
      <c r="K875" s="235">
        <v>6.23</v>
      </c>
      <c r="L875" s="592">
        <f t="shared" si="69"/>
        <v>54.180000000000007</v>
      </c>
      <c r="M875" s="608">
        <v>51000200002</v>
      </c>
      <c r="N875" s="589"/>
    </row>
    <row r="876" spans="2:25" x14ac:dyDescent="0.2">
      <c r="B876" s="233">
        <v>43664</v>
      </c>
      <c r="C876" s="230" t="s">
        <v>928</v>
      </c>
      <c r="D876" s="230" t="s">
        <v>241</v>
      </c>
      <c r="E876" s="234" t="s">
        <v>242</v>
      </c>
      <c r="F876" s="234" t="s">
        <v>47</v>
      </c>
      <c r="G876" s="591"/>
      <c r="H876" s="592"/>
      <c r="I876" s="592"/>
      <c r="J876" s="592">
        <v>47.95</v>
      </c>
      <c r="K876" s="235">
        <v>6.23</v>
      </c>
      <c r="L876" s="592">
        <f t="shared" si="69"/>
        <v>54.180000000000007</v>
      </c>
      <c r="M876" s="608">
        <v>51000200001</v>
      </c>
      <c r="N876" s="589"/>
    </row>
    <row r="877" spans="2:25" x14ac:dyDescent="0.2">
      <c r="B877" s="233">
        <v>43668</v>
      </c>
      <c r="C877" s="230" t="s">
        <v>929</v>
      </c>
      <c r="D877" s="230" t="s">
        <v>241</v>
      </c>
      <c r="E877" s="234" t="s">
        <v>242</v>
      </c>
      <c r="F877" s="234" t="s">
        <v>47</v>
      </c>
      <c r="G877" s="591"/>
      <c r="H877" s="592"/>
      <c r="I877" s="592"/>
      <c r="J877" s="592">
        <v>47.95</v>
      </c>
      <c r="K877" s="235">
        <v>6.23</v>
      </c>
      <c r="L877" s="592">
        <f t="shared" si="69"/>
        <v>54.180000000000007</v>
      </c>
      <c r="M877" s="608">
        <v>51000200002</v>
      </c>
      <c r="N877" s="589"/>
    </row>
    <row r="878" spans="2:25" x14ac:dyDescent="0.2">
      <c r="B878" s="233">
        <v>43668</v>
      </c>
      <c r="C878" s="230" t="s">
        <v>930</v>
      </c>
      <c r="D878" s="230" t="s">
        <v>241</v>
      </c>
      <c r="E878" s="234" t="s">
        <v>242</v>
      </c>
      <c r="F878" s="234" t="s">
        <v>47</v>
      </c>
      <c r="G878" s="591"/>
      <c r="H878" s="592"/>
      <c r="I878" s="592"/>
      <c r="J878" s="592">
        <v>47.95</v>
      </c>
      <c r="K878" s="235">
        <v>6.23</v>
      </c>
      <c r="L878" s="592">
        <f t="shared" si="69"/>
        <v>54.180000000000007</v>
      </c>
      <c r="M878" s="608">
        <v>51000200001</v>
      </c>
      <c r="N878" s="589"/>
    </row>
    <row r="879" spans="2:25" x14ac:dyDescent="0.2">
      <c r="B879" s="233" t="s">
        <v>931</v>
      </c>
      <c r="C879" s="230" t="s">
        <v>932</v>
      </c>
      <c r="D879" s="230" t="s">
        <v>241</v>
      </c>
      <c r="E879" s="476" t="s">
        <v>323</v>
      </c>
      <c r="F879" s="476" t="s">
        <v>179</v>
      </c>
      <c r="G879" s="476"/>
      <c r="H879" s="478"/>
      <c r="I879" s="478"/>
      <c r="J879" s="478">
        <v>314.89999999999998</v>
      </c>
      <c r="K879" s="609">
        <v>40.94</v>
      </c>
      <c r="L879" s="478">
        <f t="shared" si="69"/>
        <v>355.84</v>
      </c>
      <c r="M879" s="719"/>
      <c r="N879" s="589"/>
    </row>
    <row r="880" spans="2:25" x14ac:dyDescent="0.2">
      <c r="B880" s="233">
        <v>43668</v>
      </c>
      <c r="C880" s="230" t="s">
        <v>933</v>
      </c>
      <c r="D880" s="230" t="s">
        <v>241</v>
      </c>
      <c r="E880" s="234" t="s">
        <v>259</v>
      </c>
      <c r="F880" s="234" t="s">
        <v>179</v>
      </c>
      <c r="G880" s="234"/>
      <c r="H880" s="592"/>
      <c r="I880" s="592"/>
      <c r="J880" s="592"/>
      <c r="K880" s="235"/>
      <c r="L880" s="592">
        <f t="shared" si="69"/>
        <v>0</v>
      </c>
      <c r="M880" s="589"/>
      <c r="N880" s="589"/>
    </row>
    <row r="881" spans="2:14" x14ac:dyDescent="0.2">
      <c r="B881" s="233">
        <v>43668</v>
      </c>
      <c r="C881" s="230" t="s">
        <v>934</v>
      </c>
      <c r="D881" s="230" t="s">
        <v>241</v>
      </c>
      <c r="E881" s="476" t="s">
        <v>323</v>
      </c>
      <c r="F881" s="476" t="s">
        <v>179</v>
      </c>
      <c r="G881" s="476"/>
      <c r="H881" s="478"/>
      <c r="I881" s="478"/>
      <c r="J881" s="478">
        <v>196.81</v>
      </c>
      <c r="K881" s="609">
        <v>25.59</v>
      </c>
      <c r="L881" s="478">
        <f t="shared" si="69"/>
        <v>222.4</v>
      </c>
      <c r="M881" s="719"/>
      <c r="N881" s="589"/>
    </row>
    <row r="882" spans="2:14" x14ac:dyDescent="0.2">
      <c r="B882" s="233">
        <v>43669</v>
      </c>
      <c r="C882" s="230" t="s">
        <v>935</v>
      </c>
      <c r="D882" s="230" t="s">
        <v>241</v>
      </c>
      <c r="E882" s="234" t="s">
        <v>242</v>
      </c>
      <c r="F882" s="234" t="s">
        <v>47</v>
      </c>
      <c r="G882" s="234"/>
      <c r="H882" s="592"/>
      <c r="I882" s="592"/>
      <c r="J882" s="592">
        <v>95.89</v>
      </c>
      <c r="K882" s="235">
        <v>12.47</v>
      </c>
      <c r="L882" s="592">
        <f t="shared" si="69"/>
        <v>108.36</v>
      </c>
      <c r="M882" s="608">
        <v>51000200002</v>
      </c>
      <c r="N882" s="589"/>
    </row>
    <row r="883" spans="2:14" x14ac:dyDescent="0.2">
      <c r="B883" s="233">
        <v>43669</v>
      </c>
      <c r="C883" s="230" t="s">
        <v>936</v>
      </c>
      <c r="D883" s="230" t="s">
        <v>241</v>
      </c>
      <c r="E883" s="234" t="s">
        <v>242</v>
      </c>
      <c r="F883" s="234" t="s">
        <v>47</v>
      </c>
      <c r="G883" s="234"/>
      <c r="H883" s="592"/>
      <c r="I883" s="592"/>
      <c r="J883" s="592">
        <v>95.89</v>
      </c>
      <c r="K883" s="235">
        <v>12.47</v>
      </c>
      <c r="L883" s="592">
        <f t="shared" si="69"/>
        <v>108.36</v>
      </c>
      <c r="M883" s="608">
        <v>51000200001</v>
      </c>
      <c r="N883" s="589"/>
    </row>
    <row r="884" spans="2:14" x14ac:dyDescent="0.2">
      <c r="B884" s="233">
        <v>43669</v>
      </c>
      <c r="C884" s="230" t="s">
        <v>185</v>
      </c>
      <c r="D884" s="230" t="s">
        <v>241</v>
      </c>
      <c r="E884" s="234" t="s">
        <v>259</v>
      </c>
      <c r="F884" s="234" t="s">
        <v>47</v>
      </c>
      <c r="G884" s="234"/>
      <c r="H884" s="592"/>
      <c r="I884" s="592"/>
      <c r="J884" s="592"/>
      <c r="K884" s="235"/>
      <c r="L884" s="592">
        <f t="shared" si="69"/>
        <v>0</v>
      </c>
      <c r="M884" s="589"/>
      <c r="N884" s="589"/>
    </row>
    <row r="885" spans="2:14" x14ac:dyDescent="0.2">
      <c r="B885" s="233">
        <v>43670</v>
      </c>
      <c r="C885" s="230" t="s">
        <v>937</v>
      </c>
      <c r="D885" s="230" t="s">
        <v>241</v>
      </c>
      <c r="E885" s="234" t="s">
        <v>242</v>
      </c>
      <c r="F885" s="234" t="s">
        <v>47</v>
      </c>
      <c r="G885" s="234"/>
      <c r="H885" s="592"/>
      <c r="I885" s="592"/>
      <c r="J885" s="592">
        <v>95.89</v>
      </c>
      <c r="K885" s="235">
        <v>12.47</v>
      </c>
      <c r="L885" s="592">
        <f t="shared" si="69"/>
        <v>108.36</v>
      </c>
      <c r="M885" s="608">
        <v>51000200002</v>
      </c>
      <c r="N885" s="589"/>
    </row>
    <row r="886" spans="2:14" x14ac:dyDescent="0.2">
      <c r="B886" s="233">
        <v>43670</v>
      </c>
      <c r="C886" s="230" t="s">
        <v>938</v>
      </c>
      <c r="D886" s="230" t="s">
        <v>241</v>
      </c>
      <c r="E886" s="234" t="s">
        <v>242</v>
      </c>
      <c r="F886" s="234" t="s">
        <v>47</v>
      </c>
      <c r="G886" s="234"/>
      <c r="H886" s="592"/>
      <c r="I886" s="592"/>
      <c r="J886" s="592">
        <v>95.89</v>
      </c>
      <c r="K886" s="235">
        <v>12.47</v>
      </c>
      <c r="L886" s="592">
        <f t="shared" si="69"/>
        <v>108.36</v>
      </c>
      <c r="M886" s="608">
        <v>51000200001</v>
      </c>
      <c r="N886" s="589"/>
    </row>
    <row r="887" spans="2:14" x14ac:dyDescent="0.2">
      <c r="B887" s="233">
        <v>43671</v>
      </c>
      <c r="C887" s="230" t="s">
        <v>939</v>
      </c>
      <c r="D887" s="230" t="s">
        <v>241</v>
      </c>
      <c r="E887" s="234" t="s">
        <v>242</v>
      </c>
      <c r="F887" s="234" t="s">
        <v>47</v>
      </c>
      <c r="G887" s="234"/>
      <c r="H887" s="592"/>
      <c r="I887" s="592"/>
      <c r="J887" s="592">
        <v>88.2</v>
      </c>
      <c r="K887" s="235">
        <v>11.47</v>
      </c>
      <c r="L887" s="592">
        <f t="shared" si="69"/>
        <v>99.67</v>
      </c>
      <c r="M887" s="608">
        <v>51000200002</v>
      </c>
      <c r="N887" s="589"/>
    </row>
    <row r="888" spans="2:14" x14ac:dyDescent="0.2">
      <c r="B888" s="233">
        <v>43671</v>
      </c>
      <c r="C888" s="230" t="s">
        <v>940</v>
      </c>
      <c r="D888" s="230" t="s">
        <v>241</v>
      </c>
      <c r="E888" s="234" t="s">
        <v>242</v>
      </c>
      <c r="F888" s="234" t="s">
        <v>47</v>
      </c>
      <c r="G888" s="234"/>
      <c r="H888" s="592"/>
      <c r="I888" s="592"/>
      <c r="J888" s="592">
        <v>88.2</v>
      </c>
      <c r="K888" s="235">
        <v>11.47</v>
      </c>
      <c r="L888" s="592">
        <f t="shared" si="69"/>
        <v>99.67</v>
      </c>
      <c r="M888" s="608">
        <v>51000200001</v>
      </c>
      <c r="N888" s="589"/>
    </row>
    <row r="889" spans="2:14" x14ac:dyDescent="0.2">
      <c r="B889" s="233">
        <v>43672</v>
      </c>
      <c r="C889" s="230" t="s">
        <v>941</v>
      </c>
      <c r="D889" s="230" t="s">
        <v>241</v>
      </c>
      <c r="E889" s="476" t="s">
        <v>323</v>
      </c>
      <c r="F889" s="476" t="s">
        <v>179</v>
      </c>
      <c r="G889" s="476"/>
      <c r="H889" s="478"/>
      <c r="I889" s="478"/>
      <c r="J889" s="478">
        <v>182.5</v>
      </c>
      <c r="K889" s="609">
        <v>23.73</v>
      </c>
      <c r="L889" s="478">
        <f t="shared" si="69"/>
        <v>206.23</v>
      </c>
      <c r="M889" s="719"/>
      <c r="N889" s="589"/>
    </row>
    <row r="890" spans="2:14" x14ac:dyDescent="0.2">
      <c r="B890" s="233">
        <v>43672</v>
      </c>
      <c r="C890" s="230" t="s">
        <v>942</v>
      </c>
      <c r="D890" s="230" t="s">
        <v>241</v>
      </c>
      <c r="E890" s="476" t="s">
        <v>323</v>
      </c>
      <c r="F890" s="476" t="s">
        <v>179</v>
      </c>
      <c r="G890" s="476"/>
      <c r="H890" s="478"/>
      <c r="I890" s="478"/>
      <c r="J890" s="478">
        <v>114.06</v>
      </c>
      <c r="K890" s="609">
        <v>14.83</v>
      </c>
      <c r="L890" s="478">
        <f t="shared" si="69"/>
        <v>128.89000000000001</v>
      </c>
      <c r="M890" s="719"/>
      <c r="N890" s="589"/>
    </row>
    <row r="891" spans="2:14" x14ac:dyDescent="0.2">
      <c r="B891" s="233">
        <v>43675</v>
      </c>
      <c r="C891" s="230" t="s">
        <v>943</v>
      </c>
      <c r="D891" s="230" t="s">
        <v>241</v>
      </c>
      <c r="E891" s="234" t="s">
        <v>269</v>
      </c>
      <c r="F891" s="234" t="s">
        <v>270</v>
      </c>
      <c r="G891" s="234"/>
      <c r="H891" s="592"/>
      <c r="I891" s="592"/>
      <c r="J891" s="592">
        <v>354.35</v>
      </c>
      <c r="K891" s="235">
        <v>46.07</v>
      </c>
      <c r="L891" s="592">
        <f t="shared" si="69"/>
        <v>400.42</v>
      </c>
      <c r="M891" s="608">
        <v>51220200001</v>
      </c>
      <c r="N891" s="589"/>
    </row>
    <row r="892" spans="2:14" x14ac:dyDescent="0.2">
      <c r="B892" s="233">
        <v>43675</v>
      </c>
      <c r="C892" s="230" t="s">
        <v>944</v>
      </c>
      <c r="D892" s="230" t="s">
        <v>241</v>
      </c>
      <c r="E892" s="234" t="s">
        <v>242</v>
      </c>
      <c r="F892" s="234" t="s">
        <v>47</v>
      </c>
      <c r="G892" s="234"/>
      <c r="H892" s="592"/>
      <c r="I892" s="592"/>
      <c r="J892" s="592">
        <v>1308.78</v>
      </c>
      <c r="K892" s="235">
        <v>170.14</v>
      </c>
      <c r="L892" s="592">
        <f t="shared" si="69"/>
        <v>1478.92</v>
      </c>
      <c r="M892" s="608">
        <v>51220200001</v>
      </c>
      <c r="N892" s="589"/>
    </row>
    <row r="893" spans="2:14" x14ac:dyDescent="0.2">
      <c r="B893" s="233">
        <v>43675</v>
      </c>
      <c r="C893" s="230" t="s">
        <v>945</v>
      </c>
      <c r="D893" s="230" t="s">
        <v>241</v>
      </c>
      <c r="E893" s="476" t="s">
        <v>323</v>
      </c>
      <c r="F893" s="476" t="s">
        <v>179</v>
      </c>
      <c r="G893" s="476"/>
      <c r="H893" s="478"/>
      <c r="I893" s="478"/>
      <c r="J893" s="478">
        <v>58.82</v>
      </c>
      <c r="K893" s="609">
        <v>7.65</v>
      </c>
      <c r="L893" s="478">
        <f t="shared" si="69"/>
        <v>66.47</v>
      </c>
      <c r="M893" s="719"/>
      <c r="N893" s="589"/>
    </row>
    <row r="894" spans="2:14" x14ac:dyDescent="0.2">
      <c r="B894" s="233">
        <v>43675</v>
      </c>
      <c r="C894" s="230" t="s">
        <v>946</v>
      </c>
      <c r="D894" s="230" t="s">
        <v>241</v>
      </c>
      <c r="E894" s="234" t="s">
        <v>259</v>
      </c>
      <c r="F894" s="234"/>
      <c r="G894" s="234"/>
      <c r="H894" s="592"/>
      <c r="I894" s="592"/>
      <c r="J894" s="592">
        <v>0</v>
      </c>
      <c r="K894" s="235">
        <v>0</v>
      </c>
      <c r="L894" s="592">
        <f t="shared" si="69"/>
        <v>0</v>
      </c>
      <c r="M894" s="589"/>
      <c r="N894" s="589"/>
    </row>
    <row r="895" spans="2:14" x14ac:dyDescent="0.2">
      <c r="B895" s="233">
        <v>43675</v>
      </c>
      <c r="C895" s="230" t="s">
        <v>947</v>
      </c>
      <c r="D895" s="230" t="s">
        <v>241</v>
      </c>
      <c r="E895" s="234" t="s">
        <v>242</v>
      </c>
      <c r="F895" s="234" t="s">
        <v>47</v>
      </c>
      <c r="G895" s="234"/>
      <c r="H895" s="592"/>
      <c r="I895" s="592"/>
      <c r="J895" s="592">
        <v>95.89</v>
      </c>
      <c r="K895" s="235">
        <v>12.47</v>
      </c>
      <c r="L895" s="592">
        <f t="shared" si="69"/>
        <v>108.36</v>
      </c>
      <c r="M895" s="608">
        <v>51000200002</v>
      </c>
      <c r="N895" s="589"/>
    </row>
    <row r="896" spans="2:14" x14ac:dyDescent="0.2">
      <c r="B896" s="233">
        <v>43675</v>
      </c>
      <c r="C896" s="230" t="s">
        <v>948</v>
      </c>
      <c r="D896" s="230" t="s">
        <v>241</v>
      </c>
      <c r="E896" s="234" t="s">
        <v>242</v>
      </c>
      <c r="F896" s="234" t="s">
        <v>47</v>
      </c>
      <c r="G896" s="234"/>
      <c r="H896" s="592"/>
      <c r="I896" s="592"/>
      <c r="J896" s="592">
        <v>95.89</v>
      </c>
      <c r="K896" s="235">
        <v>12.47</v>
      </c>
      <c r="L896" s="592">
        <f t="shared" si="69"/>
        <v>108.36</v>
      </c>
      <c r="M896" s="608">
        <v>51000200001</v>
      </c>
      <c r="N896" s="589"/>
    </row>
    <row r="897" spans="1:28" x14ac:dyDescent="0.2">
      <c r="B897" s="233"/>
      <c r="C897" s="230"/>
      <c r="D897" s="230"/>
      <c r="E897" s="234"/>
      <c r="F897" s="234"/>
      <c r="G897" s="234"/>
      <c r="H897" s="592"/>
      <c r="I897" s="592"/>
      <c r="J897" s="592"/>
      <c r="K897" s="235"/>
      <c r="L897" s="592"/>
      <c r="M897" s="589"/>
      <c r="N897" s="589"/>
    </row>
    <row r="898" spans="1:28" x14ac:dyDescent="0.2">
      <c r="B898" s="233"/>
      <c r="C898" s="230" t="s">
        <v>18</v>
      </c>
      <c r="D898" s="230"/>
      <c r="E898" s="234" t="s">
        <v>321</v>
      </c>
      <c r="F898" s="206"/>
      <c r="G898" s="289"/>
      <c r="H898" s="289"/>
      <c r="I898" s="289"/>
      <c r="J898" s="289"/>
      <c r="K898" s="601">
        <v>-812.6</v>
      </c>
      <c r="L898" s="592">
        <f>+J898+K898</f>
        <v>-812.6</v>
      </c>
      <c r="M898" s="589"/>
      <c r="N898" s="589"/>
    </row>
    <row r="899" spans="1:28" x14ac:dyDescent="0.2">
      <c r="B899" s="295"/>
      <c r="C899" s="296"/>
      <c r="D899" s="296"/>
      <c r="E899" s="234"/>
      <c r="F899" s="295"/>
      <c r="G899" s="297"/>
      <c r="H899" s="297"/>
      <c r="I899" s="297"/>
      <c r="J899" s="297"/>
      <c r="K899" s="297"/>
      <c r="L899" s="297"/>
      <c r="M899" s="589"/>
      <c r="N899" s="589"/>
    </row>
    <row r="900" spans="1:28" x14ac:dyDescent="0.2">
      <c r="B900" s="206"/>
      <c r="C900" s="207"/>
      <c r="D900" s="207"/>
      <c r="E900" s="206"/>
      <c r="F900" s="206"/>
      <c r="G900" s="298">
        <f t="shared" ref="G900:L900" si="70">SUM(G852:G899)</f>
        <v>0</v>
      </c>
      <c r="H900" s="298">
        <f t="shared" si="70"/>
        <v>0</v>
      </c>
      <c r="I900" s="298">
        <f t="shared" si="70"/>
        <v>0</v>
      </c>
      <c r="J900" s="298">
        <f t="shared" si="70"/>
        <v>6250.6799999999994</v>
      </c>
      <c r="K900" s="298">
        <f t="shared" si="70"/>
        <v>0</v>
      </c>
      <c r="L900" s="298">
        <f t="shared" si="70"/>
        <v>6250.6799999999976</v>
      </c>
      <c r="M900" s="589"/>
      <c r="N900" s="589"/>
    </row>
    <row r="901" spans="1:28" x14ac:dyDescent="0.2">
      <c r="B901" s="206"/>
      <c r="C901" s="207"/>
      <c r="D901" s="207"/>
      <c r="E901" s="206"/>
      <c r="F901" s="206"/>
      <c r="G901" s="366"/>
      <c r="H901" s="366"/>
      <c r="I901" s="366"/>
      <c r="J901" s="366"/>
      <c r="K901" s="366"/>
      <c r="L901" s="366"/>
      <c r="M901" s="589"/>
      <c r="N901" s="589"/>
    </row>
    <row r="903" spans="1:28" ht="3.75" customHeight="1" x14ac:dyDescent="0.2">
      <c r="A903" s="610"/>
      <c r="B903" s="610"/>
      <c r="C903" s="611"/>
      <c r="D903" s="611"/>
      <c r="E903" s="610"/>
      <c r="F903" s="610"/>
      <c r="G903" s="610"/>
      <c r="H903" s="610"/>
      <c r="I903" s="610"/>
      <c r="J903" s="610"/>
      <c r="K903" s="610"/>
      <c r="L903" s="610"/>
      <c r="M903" s="612"/>
      <c r="N903" s="612"/>
      <c r="O903" s="612"/>
      <c r="P903" s="612"/>
      <c r="Q903" s="613"/>
      <c r="R903" s="613"/>
      <c r="S903" s="613"/>
      <c r="T903" s="613"/>
      <c r="U903" s="613"/>
      <c r="V903" s="613"/>
      <c r="W903" s="613"/>
      <c r="X903" s="613"/>
      <c r="Y903" s="613"/>
      <c r="Z903" s="613"/>
      <c r="AA903" s="613"/>
      <c r="AB903" s="613"/>
    </row>
    <row r="906" spans="1:28" ht="15.75" x14ac:dyDescent="0.25">
      <c r="E906" s="741" t="s">
        <v>962</v>
      </c>
    </row>
    <row r="908" spans="1:28" x14ac:dyDescent="0.2">
      <c r="B908" s="217"/>
      <c r="C908" s="218" t="s">
        <v>137</v>
      </c>
      <c r="D908" s="219" t="s">
        <v>16</v>
      </c>
      <c r="E908" s="219"/>
      <c r="F908" s="219" t="s">
        <v>74</v>
      </c>
      <c r="G908" s="219"/>
      <c r="H908" s="220" t="s">
        <v>75</v>
      </c>
      <c r="I908" s="221"/>
      <c r="J908" s="221"/>
      <c r="K908" s="221"/>
      <c r="L908" s="239"/>
      <c r="O908" s="303" t="s">
        <v>257</v>
      </c>
      <c r="P908" s="303"/>
      <c r="Q908" s="303"/>
      <c r="R908" s="303"/>
      <c r="U908" s="153" t="s">
        <v>247</v>
      </c>
      <c r="Y908" s="144" t="s">
        <v>256</v>
      </c>
      <c r="Z908" s="144" t="s">
        <v>184</v>
      </c>
    </row>
    <row r="909" spans="1:28" x14ac:dyDescent="0.2">
      <c r="B909" s="222" t="s">
        <v>76</v>
      </c>
      <c r="C909" s="223" t="s">
        <v>77</v>
      </c>
      <c r="D909" s="223" t="s">
        <v>141</v>
      </c>
      <c r="E909" s="223" t="s">
        <v>78</v>
      </c>
      <c r="F909" s="223" t="s">
        <v>142</v>
      </c>
      <c r="G909" s="223" t="s">
        <v>79</v>
      </c>
      <c r="H909" s="224" t="s">
        <v>48</v>
      </c>
      <c r="I909" s="221"/>
      <c r="J909" s="224" t="s">
        <v>80</v>
      </c>
      <c r="K909" s="221"/>
      <c r="L909" s="240" t="s">
        <v>175</v>
      </c>
      <c r="O909" s="260" t="s">
        <v>88</v>
      </c>
      <c r="P909" s="96">
        <v>51000000001</v>
      </c>
      <c r="Q909" s="234" t="s">
        <v>242</v>
      </c>
      <c r="R909" s="592">
        <f>SUMIFS($J$939:$J$963,$E$939:$E$963,Q909,$M$939:$M$963,P909)</f>
        <v>0</v>
      </c>
      <c r="T909" s="144">
        <v>51000200001</v>
      </c>
      <c r="U909" s="144" t="s">
        <v>194</v>
      </c>
      <c r="X909" s="156">
        <v>-308.22999999999956</v>
      </c>
      <c r="Y909" s="156">
        <f>R912</f>
        <v>0</v>
      </c>
      <c r="Z909" s="236">
        <v>0</v>
      </c>
    </row>
    <row r="910" spans="1:28" x14ac:dyDescent="0.2">
      <c r="B910" s="225"/>
      <c r="C910" s="226"/>
      <c r="D910" s="226"/>
      <c r="E910" s="225"/>
      <c r="F910" s="225"/>
      <c r="G910" s="225"/>
      <c r="H910" s="227" t="s">
        <v>176</v>
      </c>
      <c r="I910" s="228" t="s">
        <v>177</v>
      </c>
      <c r="J910" s="241" t="s">
        <v>178</v>
      </c>
      <c r="K910" s="241" t="s">
        <v>46</v>
      </c>
      <c r="L910" s="242" t="s">
        <v>48</v>
      </c>
      <c r="O910" s="260" t="s">
        <v>88</v>
      </c>
      <c r="P910" s="96">
        <v>51000000002</v>
      </c>
      <c r="Q910" s="234" t="s">
        <v>242</v>
      </c>
      <c r="R910" s="592">
        <f t="shared" ref="R910:R928" si="71">SUMIFS($J$911:$J$919,$E$911:$E$919,Q910,$M$911:$M$919,P910)</f>
        <v>0</v>
      </c>
      <c r="T910" s="144">
        <v>51000200002</v>
      </c>
      <c r="U910" s="144" t="s">
        <v>195</v>
      </c>
      <c r="X910" s="156">
        <v>-308.22999999999956</v>
      </c>
      <c r="Y910" s="156">
        <f>R914</f>
        <v>0</v>
      </c>
      <c r="Z910" s="236">
        <v>0</v>
      </c>
    </row>
    <row r="911" spans="1:28" x14ac:dyDescent="0.2">
      <c r="B911" s="233">
        <v>43684</v>
      </c>
      <c r="C911" s="230" t="s">
        <v>950</v>
      </c>
      <c r="D911" s="230" t="s">
        <v>241</v>
      </c>
      <c r="E911" s="234" t="s">
        <v>242</v>
      </c>
      <c r="F911" s="234" t="s">
        <v>47</v>
      </c>
      <c r="G911" s="591"/>
      <c r="H911" s="592"/>
      <c r="I911" s="592"/>
      <c r="J911" s="592">
        <v>68.5</v>
      </c>
      <c r="K911" s="235">
        <v>8.9</v>
      </c>
      <c r="L911" s="592">
        <f t="shared" ref="L911:L919" si="72">+J911+K911</f>
        <v>77.400000000000006</v>
      </c>
      <c r="M911" s="608">
        <v>51000200002</v>
      </c>
      <c r="O911" s="260" t="s">
        <v>88</v>
      </c>
      <c r="P911" s="96">
        <v>51000100001</v>
      </c>
      <c r="Q911" s="234" t="s">
        <v>242</v>
      </c>
      <c r="R911" s="592">
        <f t="shared" si="71"/>
        <v>0</v>
      </c>
      <c r="T911" s="144">
        <v>51000100001</v>
      </c>
      <c r="U911" s="156" t="s">
        <v>4</v>
      </c>
      <c r="X911" s="156"/>
    </row>
    <row r="912" spans="1:28" x14ac:dyDescent="0.2">
      <c r="B912" s="233">
        <v>43684</v>
      </c>
      <c r="C912" s="230" t="s">
        <v>951</v>
      </c>
      <c r="D912" s="230" t="s">
        <v>241</v>
      </c>
      <c r="E912" s="234" t="s">
        <v>242</v>
      </c>
      <c r="F912" s="234" t="s">
        <v>47</v>
      </c>
      <c r="G912" s="591"/>
      <c r="H912" s="592"/>
      <c r="I912" s="592"/>
      <c r="J912" s="592">
        <v>68.5</v>
      </c>
      <c r="K912" s="235">
        <v>8.9</v>
      </c>
      <c r="L912" s="592">
        <f t="shared" si="72"/>
        <v>77.400000000000006</v>
      </c>
      <c r="M912" s="608">
        <v>51000200001</v>
      </c>
      <c r="O912" s="260" t="s">
        <v>88</v>
      </c>
      <c r="P912" s="96">
        <v>51000100001</v>
      </c>
      <c r="Q912" s="234" t="s">
        <v>269</v>
      </c>
      <c r="R912" s="592">
        <f t="shared" si="71"/>
        <v>0</v>
      </c>
      <c r="T912" s="144">
        <v>51000100002</v>
      </c>
      <c r="U912" s="156" t="s">
        <v>193</v>
      </c>
      <c r="X912" s="156"/>
    </row>
    <row r="913" spans="2:26" x14ac:dyDescent="0.2">
      <c r="B913" s="770" t="s">
        <v>952</v>
      </c>
      <c r="C913" s="230" t="s">
        <v>953</v>
      </c>
      <c r="D913" s="230" t="s">
        <v>241</v>
      </c>
      <c r="E913" s="234" t="s">
        <v>242</v>
      </c>
      <c r="F913" s="234" t="s">
        <v>47</v>
      </c>
      <c r="G913" s="234"/>
      <c r="H913" s="592"/>
      <c r="I913" s="592"/>
      <c r="J913" s="592">
        <v>47.95</v>
      </c>
      <c r="K913" s="235">
        <v>6.23</v>
      </c>
      <c r="L913" s="592">
        <f t="shared" si="72"/>
        <v>54.180000000000007</v>
      </c>
      <c r="M913" s="608">
        <v>51000200002</v>
      </c>
      <c r="O913" s="260" t="s">
        <v>88</v>
      </c>
      <c r="P913" s="96">
        <v>51000100002</v>
      </c>
      <c r="Q913" s="234" t="s">
        <v>242</v>
      </c>
      <c r="R913" s="592">
        <f t="shared" si="71"/>
        <v>0</v>
      </c>
      <c r="T913" s="144">
        <v>51220200001</v>
      </c>
      <c r="U913" s="144" t="s">
        <v>21</v>
      </c>
      <c r="X913" s="156">
        <v>-1440.43</v>
      </c>
      <c r="Y913" s="156">
        <f>R921+R928</f>
        <v>1230.06</v>
      </c>
      <c r="Z913" s="236">
        <f>X913+Y913</f>
        <v>-210.37000000000012</v>
      </c>
    </row>
    <row r="914" spans="2:26" x14ac:dyDescent="0.2">
      <c r="B914" s="770" t="s">
        <v>952</v>
      </c>
      <c r="C914" s="230" t="s">
        <v>954</v>
      </c>
      <c r="D914" s="230" t="s">
        <v>241</v>
      </c>
      <c r="E914" s="234" t="s">
        <v>242</v>
      </c>
      <c r="F914" s="234" t="s">
        <v>47</v>
      </c>
      <c r="G914" s="234"/>
      <c r="H914" s="592"/>
      <c r="I914" s="592"/>
      <c r="J914" s="592">
        <v>47.95</v>
      </c>
      <c r="K914" s="235">
        <v>6.23</v>
      </c>
      <c r="L914" s="592">
        <f t="shared" si="72"/>
        <v>54.180000000000007</v>
      </c>
      <c r="M914" s="608">
        <v>51000200001</v>
      </c>
      <c r="O914" s="260" t="s">
        <v>88</v>
      </c>
      <c r="P914" s="96">
        <v>51000100002</v>
      </c>
      <c r="Q914" s="234" t="s">
        <v>269</v>
      </c>
      <c r="R914" s="592">
        <f t="shared" si="71"/>
        <v>0</v>
      </c>
      <c r="T914" s="351">
        <v>52200000001</v>
      </c>
      <c r="U914" s="351" t="s">
        <v>11</v>
      </c>
      <c r="V914" s="351"/>
      <c r="W914" s="351"/>
      <c r="X914" s="347"/>
      <c r="Y914" s="156">
        <v>0</v>
      </c>
      <c r="Z914" s="236">
        <v>0</v>
      </c>
    </row>
    <row r="915" spans="2:26" x14ac:dyDescent="0.2">
      <c r="B915" s="770" t="s">
        <v>955</v>
      </c>
      <c r="C915" s="230" t="s">
        <v>956</v>
      </c>
      <c r="D915" s="230" t="s">
        <v>241</v>
      </c>
      <c r="E915" s="234" t="s">
        <v>269</v>
      </c>
      <c r="F915" s="234" t="s">
        <v>270</v>
      </c>
      <c r="G915" s="234"/>
      <c r="H915" s="592"/>
      <c r="I915" s="592"/>
      <c r="J915" s="592">
        <v>354.35</v>
      </c>
      <c r="K915" s="235">
        <v>46.07</v>
      </c>
      <c r="L915" s="592">
        <f t="shared" si="72"/>
        <v>400.42</v>
      </c>
      <c r="M915" s="608">
        <v>51220200001</v>
      </c>
      <c r="O915" s="260" t="s">
        <v>88</v>
      </c>
      <c r="P915" s="486">
        <v>51000200001</v>
      </c>
      <c r="Q915" s="476" t="s">
        <v>242</v>
      </c>
      <c r="R915" s="592">
        <f t="shared" si="71"/>
        <v>308.23</v>
      </c>
      <c r="T915" s="144">
        <v>51000000001</v>
      </c>
      <c r="U915" s="144" t="s">
        <v>71</v>
      </c>
      <c r="X915" s="156"/>
    </row>
    <row r="916" spans="2:26" x14ac:dyDescent="0.2">
      <c r="B916" s="770" t="s">
        <v>955</v>
      </c>
      <c r="C916" s="230" t="s">
        <v>957</v>
      </c>
      <c r="D916" s="230" t="s">
        <v>241</v>
      </c>
      <c r="E916" s="234" t="s">
        <v>242</v>
      </c>
      <c r="F916" s="234" t="s">
        <v>47</v>
      </c>
      <c r="G916" s="234"/>
      <c r="H916" s="592"/>
      <c r="I916" s="592"/>
      <c r="J916" s="592">
        <v>875.71</v>
      </c>
      <c r="K916" s="235">
        <v>113.84</v>
      </c>
      <c r="L916" s="592">
        <f t="shared" si="72"/>
        <v>989.55000000000007</v>
      </c>
      <c r="M916" s="608">
        <v>51220200001</v>
      </c>
      <c r="O916" s="260" t="s">
        <v>88</v>
      </c>
      <c r="P916" s="96">
        <v>51000200001</v>
      </c>
      <c r="Q916" s="234" t="s">
        <v>187</v>
      </c>
      <c r="R916" s="592">
        <f t="shared" si="71"/>
        <v>0</v>
      </c>
      <c r="T916" s="144">
        <v>51000000002</v>
      </c>
      <c r="U916" s="144" t="s">
        <v>3</v>
      </c>
      <c r="X916" s="156"/>
    </row>
    <row r="917" spans="2:26" x14ac:dyDescent="0.2">
      <c r="B917" s="770" t="s">
        <v>955</v>
      </c>
      <c r="C917" s="230" t="s">
        <v>958</v>
      </c>
      <c r="D917" s="230" t="s">
        <v>241</v>
      </c>
      <c r="E917" s="476" t="s">
        <v>323</v>
      </c>
      <c r="F917" s="476" t="s">
        <v>179</v>
      </c>
      <c r="G917" s="476"/>
      <c r="H917" s="478"/>
      <c r="I917" s="478"/>
      <c r="J917" s="478">
        <v>208.58</v>
      </c>
      <c r="K917" s="609">
        <v>27.12</v>
      </c>
      <c r="L917" s="478">
        <f t="shared" si="72"/>
        <v>235.70000000000002</v>
      </c>
      <c r="O917" s="260" t="s">
        <v>88</v>
      </c>
      <c r="P917" s="96">
        <v>51000200001</v>
      </c>
      <c r="Q917" s="234" t="s">
        <v>22</v>
      </c>
      <c r="R917" s="592">
        <f t="shared" si="71"/>
        <v>0</v>
      </c>
      <c r="X917" s="356">
        <v>0</v>
      </c>
      <c r="Y917" s="156">
        <v>0</v>
      </c>
      <c r="Z917" s="236">
        <v>0</v>
      </c>
    </row>
    <row r="918" spans="2:26" x14ac:dyDescent="0.2">
      <c r="B918" s="770" t="s">
        <v>959</v>
      </c>
      <c r="C918" s="230" t="s">
        <v>960</v>
      </c>
      <c r="D918" s="230" t="s">
        <v>241</v>
      </c>
      <c r="E918" s="234" t="s">
        <v>242</v>
      </c>
      <c r="F918" s="234" t="s">
        <v>47</v>
      </c>
      <c r="G918" s="234"/>
      <c r="H918" s="592"/>
      <c r="I918" s="592"/>
      <c r="J918" s="592">
        <v>191.78</v>
      </c>
      <c r="K918" s="235">
        <v>24.93</v>
      </c>
      <c r="L918" s="592">
        <f t="shared" si="72"/>
        <v>216.71</v>
      </c>
      <c r="M918" s="608">
        <v>51000200002</v>
      </c>
      <c r="O918" s="260" t="s">
        <v>88</v>
      </c>
      <c r="P918" s="486">
        <v>51000200002</v>
      </c>
      <c r="Q918" s="476" t="s">
        <v>242</v>
      </c>
      <c r="R918" s="592">
        <f t="shared" si="71"/>
        <v>308.23</v>
      </c>
      <c r="X918" s="304">
        <v>0</v>
      </c>
      <c r="Y918" s="304">
        <f>R924+R933</f>
        <v>0</v>
      </c>
      <c r="Z918" s="300">
        <v>0</v>
      </c>
    </row>
    <row r="919" spans="2:26" x14ac:dyDescent="0.2">
      <c r="B919" s="770" t="s">
        <v>959</v>
      </c>
      <c r="C919" s="230" t="s">
        <v>961</v>
      </c>
      <c r="D919" s="230" t="s">
        <v>241</v>
      </c>
      <c r="E919" s="234" t="s">
        <v>242</v>
      </c>
      <c r="F919" s="234"/>
      <c r="G919" s="234"/>
      <c r="H919" s="592"/>
      <c r="I919" s="592"/>
      <c r="J919" s="592">
        <v>191.78</v>
      </c>
      <c r="K919" s="235">
        <v>24.93</v>
      </c>
      <c r="L919" s="592">
        <f t="shared" si="72"/>
        <v>216.71</v>
      </c>
      <c r="M919" s="608">
        <v>51000200001</v>
      </c>
      <c r="O919" s="260" t="s">
        <v>88</v>
      </c>
      <c r="P919" s="96">
        <v>51000200002</v>
      </c>
      <c r="Q919" s="234" t="s">
        <v>187</v>
      </c>
      <c r="R919" s="592">
        <f t="shared" si="71"/>
        <v>0</v>
      </c>
      <c r="X919" s="290">
        <f>SUM(X909:X916)</f>
        <v>-2056.8899999999994</v>
      </c>
      <c r="Y919" s="290">
        <f>SUM(Y909:Y918)</f>
        <v>1230.06</v>
      </c>
      <c r="Z919" s="290">
        <f>SUM(Z909:Z918)</f>
        <v>-210.37000000000012</v>
      </c>
    </row>
    <row r="920" spans="2:26" x14ac:dyDescent="0.2">
      <c r="O920" s="260" t="s">
        <v>88</v>
      </c>
      <c r="P920" s="96">
        <v>51000200002</v>
      </c>
      <c r="Q920" s="234" t="s">
        <v>22</v>
      </c>
      <c r="R920" s="592">
        <f t="shared" si="71"/>
        <v>0</v>
      </c>
      <c r="U920" s="156"/>
      <c r="Z920" s="236"/>
    </row>
    <row r="921" spans="2:26" x14ac:dyDescent="0.2">
      <c r="O921" s="260" t="s">
        <v>88</v>
      </c>
      <c r="P921" s="486">
        <v>51220200001</v>
      </c>
      <c r="Q921" s="476" t="s">
        <v>242</v>
      </c>
      <c r="R921" s="592">
        <f t="shared" si="71"/>
        <v>875.71</v>
      </c>
      <c r="U921" s="156"/>
    </row>
    <row r="922" spans="2:26" x14ac:dyDescent="0.2">
      <c r="O922" s="260" t="s">
        <v>88</v>
      </c>
      <c r="P922" s="96">
        <v>51220200001</v>
      </c>
      <c r="Q922" s="234" t="s">
        <v>187</v>
      </c>
      <c r="R922" s="592">
        <f t="shared" si="71"/>
        <v>0</v>
      </c>
    </row>
    <row r="923" spans="2:26" x14ac:dyDescent="0.2">
      <c r="O923" s="260" t="s">
        <v>88</v>
      </c>
      <c r="P923" s="96">
        <v>51220200001</v>
      </c>
      <c r="Q923" s="234" t="s">
        <v>22</v>
      </c>
      <c r="R923" s="592">
        <f t="shared" si="71"/>
        <v>0</v>
      </c>
    </row>
    <row r="924" spans="2:26" x14ac:dyDescent="0.2">
      <c r="O924" s="260" t="s">
        <v>88</v>
      </c>
      <c r="P924" s="96">
        <v>52200000001</v>
      </c>
      <c r="Q924" s="234" t="s">
        <v>242</v>
      </c>
      <c r="R924" s="592">
        <f t="shared" si="71"/>
        <v>0</v>
      </c>
      <c r="W924" s="153" t="s">
        <v>255</v>
      </c>
      <c r="X924" s="236">
        <f>+X910+X913+X909+X917+X918+X911+X912+X915+X916</f>
        <v>-2056.8899999999994</v>
      </c>
    </row>
    <row r="925" spans="2:26" x14ac:dyDescent="0.2">
      <c r="O925" s="260" t="s">
        <v>88</v>
      </c>
      <c r="P925" s="96">
        <v>52200000001</v>
      </c>
      <c r="Q925" s="234" t="s">
        <v>187</v>
      </c>
      <c r="R925" s="592">
        <f t="shared" si="71"/>
        <v>0</v>
      </c>
      <c r="W925" s="144" t="s">
        <v>257</v>
      </c>
      <c r="X925" s="236">
        <f>+R929</f>
        <v>1846.52</v>
      </c>
    </row>
    <row r="926" spans="2:26" x14ac:dyDescent="0.2">
      <c r="O926" s="260" t="s">
        <v>88</v>
      </c>
      <c r="P926" s="96">
        <v>52200000001</v>
      </c>
      <c r="Q926" s="234" t="s">
        <v>22</v>
      </c>
      <c r="R926" s="592">
        <f t="shared" si="71"/>
        <v>0</v>
      </c>
      <c r="W926" s="144" t="s">
        <v>260</v>
      </c>
      <c r="X926" s="300">
        <f>+J917</f>
        <v>208.58</v>
      </c>
    </row>
    <row r="927" spans="2:26" x14ac:dyDescent="0.2">
      <c r="O927" s="260" t="s">
        <v>88</v>
      </c>
      <c r="P927" s="96">
        <v>52200000001</v>
      </c>
      <c r="Q927" s="234" t="s">
        <v>242</v>
      </c>
      <c r="R927" s="592">
        <f t="shared" si="71"/>
        <v>0</v>
      </c>
      <c r="X927" s="704">
        <f>X924+X925+X926</f>
        <v>-1.7899999999994236</v>
      </c>
      <c r="Y927" s="144" t="s">
        <v>275</v>
      </c>
    </row>
    <row r="928" spans="2:26" x14ac:dyDescent="0.2">
      <c r="O928" s="260" t="s">
        <v>88</v>
      </c>
      <c r="P928" s="486">
        <v>51220200001</v>
      </c>
      <c r="Q928" s="476" t="s">
        <v>269</v>
      </c>
      <c r="R928" s="592">
        <f t="shared" si="71"/>
        <v>354.35</v>
      </c>
    </row>
    <row r="929" spans="1:26" ht="13.5" thickBot="1" x14ac:dyDescent="0.25">
      <c r="O929" s="589"/>
      <c r="P929" s="589"/>
      <c r="R929" s="607">
        <f>SUM(R909:R928)</f>
        <v>1846.52</v>
      </c>
    </row>
    <row r="930" spans="1:26" ht="13.5" thickTop="1" x14ac:dyDescent="0.2">
      <c r="M930" s="863"/>
      <c r="N930" s="863"/>
      <c r="O930" s="863"/>
      <c r="P930" s="863"/>
      <c r="R930" s="769"/>
    </row>
    <row r="931" spans="1:26" s="613" customFormat="1" ht="4.5" customHeight="1" x14ac:dyDescent="0.2">
      <c r="A931" s="610"/>
      <c r="B931" s="610"/>
      <c r="C931" s="611"/>
      <c r="D931" s="611"/>
      <c r="E931" s="610"/>
      <c r="F931" s="610"/>
      <c r="G931" s="610"/>
      <c r="H931" s="610"/>
      <c r="I931" s="610"/>
      <c r="J931" s="610"/>
      <c r="K931" s="610"/>
      <c r="L931" s="610"/>
      <c r="M931" s="612"/>
      <c r="N931" s="612"/>
      <c r="O931" s="612"/>
      <c r="P931" s="612"/>
      <c r="R931" s="801"/>
    </row>
    <row r="933" spans="1:26" ht="15.75" x14ac:dyDescent="0.25">
      <c r="E933" s="741" t="s">
        <v>990</v>
      </c>
    </row>
    <row r="935" spans="1:26" x14ac:dyDescent="0.2">
      <c r="B935" s="217"/>
      <c r="C935" s="218" t="s">
        <v>137</v>
      </c>
      <c r="D935" s="219" t="s">
        <v>16</v>
      </c>
      <c r="E935" s="219"/>
      <c r="F935" s="219" t="s">
        <v>74</v>
      </c>
      <c r="G935" s="219"/>
      <c r="H935" s="220" t="s">
        <v>75</v>
      </c>
      <c r="I935" s="221"/>
      <c r="J935" s="221"/>
      <c r="K935" s="221"/>
      <c r="L935" s="239"/>
      <c r="O935" s="303" t="s">
        <v>257</v>
      </c>
      <c r="P935" s="303"/>
      <c r="Q935" s="303"/>
      <c r="R935" s="303"/>
      <c r="U935" s="153" t="s">
        <v>247</v>
      </c>
      <c r="Y935" s="144" t="s">
        <v>256</v>
      </c>
      <c r="Z935" s="144" t="s">
        <v>184</v>
      </c>
    </row>
    <row r="936" spans="1:26" x14ac:dyDescent="0.2">
      <c r="B936" s="222" t="s">
        <v>76</v>
      </c>
      <c r="C936" s="223" t="s">
        <v>77</v>
      </c>
      <c r="D936" s="223" t="s">
        <v>141</v>
      </c>
      <c r="E936" s="223" t="s">
        <v>78</v>
      </c>
      <c r="F936" s="223" t="s">
        <v>142</v>
      </c>
      <c r="G936" s="223" t="s">
        <v>79</v>
      </c>
      <c r="H936" s="224" t="s">
        <v>48</v>
      </c>
      <c r="I936" s="221"/>
      <c r="J936" s="224" t="s">
        <v>80</v>
      </c>
      <c r="K936" s="221"/>
      <c r="L936" s="240" t="s">
        <v>175</v>
      </c>
      <c r="O936" s="260" t="s">
        <v>419</v>
      </c>
      <c r="P936" s="96">
        <v>51000000001</v>
      </c>
      <c r="Q936" s="234" t="s">
        <v>242</v>
      </c>
      <c r="R936" s="865">
        <f>SUMIFS($J$939:$J$963,$E$939:$E$963,Q936,$M$939:$M$963,P936)</f>
        <v>0</v>
      </c>
      <c r="T936" s="144">
        <v>51000200001</v>
      </c>
      <c r="U936" s="144" t="s">
        <v>194</v>
      </c>
      <c r="X936" s="156">
        <v>-233.57999999999993</v>
      </c>
      <c r="Y936" s="156">
        <f>R939</f>
        <v>0</v>
      </c>
      <c r="Z936" s="236">
        <v>0</v>
      </c>
    </row>
    <row r="937" spans="1:26" x14ac:dyDescent="0.2">
      <c r="B937" s="225"/>
      <c r="C937" s="226"/>
      <c r="D937" s="226"/>
      <c r="E937" s="225"/>
      <c r="F937" s="225"/>
      <c r="G937" s="225"/>
      <c r="H937" s="227" t="s">
        <v>176</v>
      </c>
      <c r="I937" s="228" t="s">
        <v>177</v>
      </c>
      <c r="J937" s="241" t="s">
        <v>178</v>
      </c>
      <c r="K937" s="241" t="s">
        <v>46</v>
      </c>
      <c r="L937" s="242" t="s">
        <v>48</v>
      </c>
      <c r="O937" s="260" t="s">
        <v>419</v>
      </c>
      <c r="P937" s="96">
        <v>51000000002</v>
      </c>
      <c r="Q937" s="234" t="s">
        <v>242</v>
      </c>
      <c r="R937" s="865">
        <f t="shared" ref="R937:R955" si="73">SUMIFS($J$939:$J$963,$E$939:$E$963,Q937,$M$939:$M$963,P937)</f>
        <v>0</v>
      </c>
      <c r="T937" s="144">
        <v>51000200002</v>
      </c>
      <c r="U937" s="144" t="s">
        <v>195</v>
      </c>
      <c r="X937" s="156">
        <v>-233.57999999999993</v>
      </c>
      <c r="Y937" s="156">
        <f>R941</f>
        <v>0</v>
      </c>
      <c r="Z937" s="236">
        <v>0</v>
      </c>
    </row>
    <row r="938" spans="1:26" x14ac:dyDescent="0.2">
      <c r="O938" s="260" t="s">
        <v>419</v>
      </c>
      <c r="P938" s="96">
        <v>51000100001</v>
      </c>
      <c r="Q938" s="234" t="s">
        <v>242</v>
      </c>
      <c r="R938" s="865">
        <f t="shared" si="73"/>
        <v>0</v>
      </c>
      <c r="T938" s="144">
        <v>51000100001</v>
      </c>
      <c r="U938" s="156" t="s">
        <v>4</v>
      </c>
      <c r="X938" s="156">
        <v>-3172.8100000000004</v>
      </c>
    </row>
    <row r="939" spans="1:26" x14ac:dyDescent="0.2">
      <c r="B939" s="233">
        <v>43711</v>
      </c>
      <c r="C939" s="230" t="s">
        <v>964</v>
      </c>
      <c r="D939" s="230" t="s">
        <v>241</v>
      </c>
      <c r="E939" s="234" t="s">
        <v>242</v>
      </c>
      <c r="F939" s="234" t="s">
        <v>47</v>
      </c>
      <c r="G939" s="864"/>
      <c r="H939" s="865"/>
      <c r="I939" s="865"/>
      <c r="J939" s="865">
        <v>494.11</v>
      </c>
      <c r="K939" s="235">
        <v>64.23</v>
      </c>
      <c r="L939" s="865">
        <f t="shared" ref="L939:L963" si="74">+J939+K939</f>
        <v>558.34</v>
      </c>
      <c r="M939" s="608">
        <v>51000200002</v>
      </c>
      <c r="O939" s="260" t="s">
        <v>419</v>
      </c>
      <c r="P939" s="96">
        <v>51000100001</v>
      </c>
      <c r="Q939" s="234" t="s">
        <v>269</v>
      </c>
      <c r="R939" s="865">
        <f t="shared" si="73"/>
        <v>0</v>
      </c>
      <c r="T939" s="144">
        <v>51000100002</v>
      </c>
      <c r="U939" s="156" t="s">
        <v>193</v>
      </c>
      <c r="X939" s="156">
        <v>-2168.31</v>
      </c>
    </row>
    <row r="940" spans="1:26" x14ac:dyDescent="0.2">
      <c r="B940" s="233">
        <v>43711</v>
      </c>
      <c r="C940" s="230" t="s">
        <v>965</v>
      </c>
      <c r="D940" s="230" t="s">
        <v>241</v>
      </c>
      <c r="E940" s="234" t="s">
        <v>242</v>
      </c>
      <c r="F940" s="234" t="s">
        <v>47</v>
      </c>
      <c r="G940" s="864"/>
      <c r="H940" s="865"/>
      <c r="I940" s="865"/>
      <c r="J940" s="865">
        <v>494.11</v>
      </c>
      <c r="K940" s="235">
        <v>64.23</v>
      </c>
      <c r="L940" s="865">
        <f t="shared" si="74"/>
        <v>558.34</v>
      </c>
      <c r="M940" s="608">
        <v>51000200001</v>
      </c>
      <c r="O940" s="260" t="s">
        <v>419</v>
      </c>
      <c r="P940" s="96">
        <v>51000100002</v>
      </c>
      <c r="Q940" s="234" t="s">
        <v>242</v>
      </c>
      <c r="R940" s="865">
        <f t="shared" si="73"/>
        <v>0</v>
      </c>
      <c r="T940" s="144">
        <v>51220200001</v>
      </c>
      <c r="U940" s="144" t="s">
        <v>21</v>
      </c>
      <c r="X940" s="156">
        <v>-1830.6</v>
      </c>
      <c r="Y940" s="156">
        <f>R948+R955</f>
        <v>1629.1100000000001</v>
      </c>
      <c r="Z940" s="236">
        <f>X940+Y940</f>
        <v>-201.48999999999978</v>
      </c>
    </row>
    <row r="941" spans="1:26" x14ac:dyDescent="0.2">
      <c r="B941" s="233">
        <v>43711</v>
      </c>
      <c r="C941" s="230" t="s">
        <v>966</v>
      </c>
      <c r="D941" s="230" t="s">
        <v>241</v>
      </c>
      <c r="E941" s="476" t="s">
        <v>323</v>
      </c>
      <c r="F941" s="476" t="s">
        <v>179</v>
      </c>
      <c r="G941" s="476"/>
      <c r="H941" s="478"/>
      <c r="I941" s="478"/>
      <c r="J941" s="478">
        <v>778.97</v>
      </c>
      <c r="K941" s="609">
        <v>101.27</v>
      </c>
      <c r="L941" s="478">
        <f t="shared" si="74"/>
        <v>880.24</v>
      </c>
      <c r="M941" s="719"/>
      <c r="O941" s="260" t="s">
        <v>419</v>
      </c>
      <c r="P941" s="96">
        <v>51000100002</v>
      </c>
      <c r="Q941" s="234" t="s">
        <v>269</v>
      </c>
      <c r="R941" s="865">
        <f t="shared" si="73"/>
        <v>0</v>
      </c>
      <c r="T941" s="351">
        <v>52200000001</v>
      </c>
      <c r="U941" s="351" t="s">
        <v>11</v>
      </c>
      <c r="V941" s="351"/>
      <c r="W941" s="351"/>
      <c r="X941" s="347"/>
      <c r="Y941" s="156">
        <v>0</v>
      </c>
      <c r="Z941" s="236">
        <v>0</v>
      </c>
    </row>
    <row r="942" spans="1:26" x14ac:dyDescent="0.2">
      <c r="B942" s="233">
        <v>43711</v>
      </c>
      <c r="C942" s="230" t="s">
        <v>967</v>
      </c>
      <c r="D942" s="230" t="s">
        <v>241</v>
      </c>
      <c r="E942" s="476" t="s">
        <v>323</v>
      </c>
      <c r="F942" s="476" t="s">
        <v>179</v>
      </c>
      <c r="G942" s="476"/>
      <c r="H942" s="478"/>
      <c r="I942" s="478"/>
      <c r="J942" s="478">
        <v>486.86</v>
      </c>
      <c r="K942" s="609">
        <v>63.29</v>
      </c>
      <c r="L942" s="478">
        <f t="shared" si="74"/>
        <v>550.15</v>
      </c>
      <c r="M942" s="719"/>
      <c r="O942" s="260" t="s">
        <v>419</v>
      </c>
      <c r="P942" s="486">
        <v>51000200001</v>
      </c>
      <c r="Q942" s="476" t="s">
        <v>242</v>
      </c>
      <c r="R942" s="865">
        <f t="shared" si="73"/>
        <v>707.1400000000001</v>
      </c>
      <c r="T942" s="144">
        <v>51000000001</v>
      </c>
      <c r="U942" s="144" t="s">
        <v>71</v>
      </c>
      <c r="X942" s="156"/>
    </row>
    <row r="943" spans="1:26" x14ac:dyDescent="0.2">
      <c r="B943" s="233">
        <v>43711</v>
      </c>
      <c r="C943" s="230" t="s">
        <v>968</v>
      </c>
      <c r="D943" s="230" t="s">
        <v>241</v>
      </c>
      <c r="E943" s="234" t="s">
        <v>259</v>
      </c>
      <c r="F943" s="234"/>
      <c r="G943" s="234"/>
      <c r="H943" s="865"/>
      <c r="I943" s="865"/>
      <c r="J943" s="865"/>
      <c r="K943" s="235"/>
      <c r="L943" s="865"/>
      <c r="O943" s="260" t="s">
        <v>419</v>
      </c>
      <c r="P943" s="96">
        <v>51000200001</v>
      </c>
      <c r="Q943" s="234" t="s">
        <v>187</v>
      </c>
      <c r="R943" s="865">
        <f t="shared" si="73"/>
        <v>0</v>
      </c>
      <c r="T943" s="144">
        <v>51000000002</v>
      </c>
      <c r="U943" s="144" t="s">
        <v>3</v>
      </c>
      <c r="X943" s="156"/>
    </row>
    <row r="944" spans="1:26" x14ac:dyDescent="0.2">
      <c r="B944" s="233">
        <v>43711</v>
      </c>
      <c r="C944" s="230" t="s">
        <v>969</v>
      </c>
      <c r="D944" s="230" t="s">
        <v>241</v>
      </c>
      <c r="E944" s="234" t="s">
        <v>259</v>
      </c>
      <c r="F944" s="234"/>
      <c r="G944" s="234"/>
      <c r="H944" s="865"/>
      <c r="I944" s="865"/>
      <c r="J944" s="865"/>
      <c r="K944" s="235"/>
      <c r="L944" s="865"/>
      <c r="O944" s="260" t="s">
        <v>419</v>
      </c>
      <c r="P944" s="96">
        <v>51000200001</v>
      </c>
      <c r="Q944" s="234" t="s">
        <v>22</v>
      </c>
      <c r="R944" s="865">
        <f t="shared" si="73"/>
        <v>0</v>
      </c>
      <c r="T944" s="144">
        <v>53000100001</v>
      </c>
      <c r="U944" s="144" t="s">
        <v>73</v>
      </c>
      <c r="X944" s="356">
        <v>-41.88</v>
      </c>
      <c r="Y944" s="156">
        <v>0</v>
      </c>
      <c r="Z944" s="236">
        <v>0</v>
      </c>
    </row>
    <row r="945" spans="2:26" x14ac:dyDescent="0.2">
      <c r="B945" s="233">
        <v>43712</v>
      </c>
      <c r="C945" s="230" t="s">
        <v>970</v>
      </c>
      <c r="D945" s="230" t="s">
        <v>241</v>
      </c>
      <c r="E945" s="234" t="s">
        <v>242</v>
      </c>
      <c r="F945" s="234" t="s">
        <v>47</v>
      </c>
      <c r="G945" s="234"/>
      <c r="H945" s="865"/>
      <c r="I945" s="865"/>
      <c r="J945" s="865">
        <v>55.48</v>
      </c>
      <c r="K945" s="235">
        <v>7.21</v>
      </c>
      <c r="L945" s="865">
        <f t="shared" si="74"/>
        <v>62.69</v>
      </c>
      <c r="M945" s="608">
        <v>51000200002</v>
      </c>
      <c r="O945" s="260" t="s">
        <v>419</v>
      </c>
      <c r="P945" s="486">
        <v>51000200002</v>
      </c>
      <c r="Q945" s="476" t="s">
        <v>242</v>
      </c>
      <c r="R945" s="865">
        <f t="shared" si="73"/>
        <v>707.1400000000001</v>
      </c>
      <c r="X945" s="304">
        <v>0</v>
      </c>
      <c r="Y945" s="304">
        <f>R951+R960</f>
        <v>0</v>
      </c>
      <c r="Z945" s="300">
        <v>0</v>
      </c>
    </row>
    <row r="946" spans="2:26" x14ac:dyDescent="0.2">
      <c r="B946" s="233">
        <v>43712</v>
      </c>
      <c r="C946" s="230" t="s">
        <v>971</v>
      </c>
      <c r="D946" s="230" t="s">
        <v>241</v>
      </c>
      <c r="E946" s="234" t="s">
        <v>242</v>
      </c>
      <c r="F946" s="234" t="s">
        <v>47</v>
      </c>
      <c r="G946" s="234"/>
      <c r="H946" s="865"/>
      <c r="I946" s="865"/>
      <c r="J946" s="865">
        <v>55.48</v>
      </c>
      <c r="K946" s="235">
        <v>7.21</v>
      </c>
      <c r="L946" s="865">
        <f t="shared" si="74"/>
        <v>62.69</v>
      </c>
      <c r="M946" s="608">
        <v>51000200001</v>
      </c>
      <c r="O946" s="260" t="s">
        <v>419</v>
      </c>
      <c r="P946" s="96">
        <v>51000200002</v>
      </c>
      <c r="Q946" s="234" t="s">
        <v>187</v>
      </c>
      <c r="R946" s="865">
        <f t="shared" si="73"/>
        <v>0</v>
      </c>
      <c r="X946" s="290">
        <f>SUM(X936:X944)</f>
        <v>-7680.7600000000011</v>
      </c>
      <c r="Y946" s="290">
        <f>SUM(Y936:Y945)</f>
        <v>1629.1100000000001</v>
      </c>
      <c r="Z946" s="290">
        <f>SUM(Z936:Z945)</f>
        <v>-201.48999999999978</v>
      </c>
    </row>
    <row r="947" spans="2:26" x14ac:dyDescent="0.2">
      <c r="B947" s="233">
        <v>43713</v>
      </c>
      <c r="C947" s="230" t="s">
        <v>972</v>
      </c>
      <c r="D947" s="230" t="s">
        <v>241</v>
      </c>
      <c r="E947" s="234" t="s">
        <v>242</v>
      </c>
      <c r="F947" s="234" t="s">
        <v>47</v>
      </c>
      <c r="G947" s="234"/>
      <c r="H947" s="865"/>
      <c r="I947" s="865"/>
      <c r="J947" s="865">
        <v>47.95</v>
      </c>
      <c r="K947" s="235">
        <v>6.23</v>
      </c>
      <c r="L947" s="865">
        <f t="shared" si="74"/>
        <v>54.180000000000007</v>
      </c>
      <c r="M947" s="608">
        <v>51000200002</v>
      </c>
      <c r="O947" s="260" t="s">
        <v>419</v>
      </c>
      <c r="P947" s="96">
        <v>51000200002</v>
      </c>
      <c r="Q947" s="234" t="s">
        <v>22</v>
      </c>
      <c r="R947" s="865">
        <f t="shared" si="73"/>
        <v>0</v>
      </c>
      <c r="U947" s="156"/>
      <c r="Z947" s="236"/>
    </row>
    <row r="948" spans="2:26" x14ac:dyDescent="0.2">
      <c r="B948" s="233">
        <v>43713</v>
      </c>
      <c r="C948" s="230" t="s">
        <v>973</v>
      </c>
      <c r="D948" s="230" t="s">
        <v>241</v>
      </c>
      <c r="E948" s="234" t="s">
        <v>242</v>
      </c>
      <c r="F948" s="234" t="s">
        <v>47</v>
      </c>
      <c r="G948" s="234"/>
      <c r="H948" s="865"/>
      <c r="I948" s="865"/>
      <c r="J948" s="865">
        <v>47.95</v>
      </c>
      <c r="K948" s="235">
        <v>6.23</v>
      </c>
      <c r="L948" s="865">
        <f t="shared" si="74"/>
        <v>54.180000000000007</v>
      </c>
      <c r="M948" s="608">
        <v>51000200001</v>
      </c>
      <c r="O948" s="260" t="s">
        <v>419</v>
      </c>
      <c r="P948" s="486">
        <v>51220200001</v>
      </c>
      <c r="Q948" s="476" t="s">
        <v>242</v>
      </c>
      <c r="R948" s="865">
        <f t="shared" si="73"/>
        <v>1274.76</v>
      </c>
      <c r="U948" s="156"/>
    </row>
    <row r="949" spans="2:26" x14ac:dyDescent="0.2">
      <c r="B949" s="233">
        <v>43718</v>
      </c>
      <c r="C949" s="230" t="s">
        <v>974</v>
      </c>
      <c r="D949" s="230" t="s">
        <v>241</v>
      </c>
      <c r="E949" s="234" t="s">
        <v>242</v>
      </c>
      <c r="F949" s="234" t="s">
        <v>47</v>
      </c>
      <c r="G949" s="234"/>
      <c r="H949" s="865"/>
      <c r="I949" s="865"/>
      <c r="J949" s="865">
        <v>20.55</v>
      </c>
      <c r="K949" s="235">
        <v>2.67</v>
      </c>
      <c r="L949" s="865">
        <f t="shared" si="74"/>
        <v>23.22</v>
      </c>
      <c r="M949" s="608">
        <v>51000200002</v>
      </c>
      <c r="O949" s="260" t="s">
        <v>419</v>
      </c>
      <c r="P949" s="96">
        <v>51220200001</v>
      </c>
      <c r="Q949" s="234" t="s">
        <v>187</v>
      </c>
      <c r="R949" s="865">
        <f t="shared" si="73"/>
        <v>0</v>
      </c>
    </row>
    <row r="950" spans="2:26" x14ac:dyDescent="0.2">
      <c r="B950" s="233">
        <v>43718</v>
      </c>
      <c r="C950" s="230" t="s">
        <v>975</v>
      </c>
      <c r="D950" s="230" t="s">
        <v>241</v>
      </c>
      <c r="E950" s="234" t="s">
        <v>242</v>
      </c>
      <c r="F950" s="234" t="s">
        <v>47</v>
      </c>
      <c r="G950" s="234"/>
      <c r="H950" s="865"/>
      <c r="I950" s="865"/>
      <c r="J950" s="865">
        <v>20.55</v>
      </c>
      <c r="K950" s="235">
        <v>2.67</v>
      </c>
      <c r="L950" s="865">
        <f t="shared" si="74"/>
        <v>23.22</v>
      </c>
      <c r="M950" s="608">
        <v>51000200001</v>
      </c>
      <c r="O950" s="260" t="s">
        <v>419</v>
      </c>
      <c r="P950" s="96">
        <v>51220200001</v>
      </c>
      <c r="Q950" s="234" t="s">
        <v>22</v>
      </c>
      <c r="R950" s="865">
        <f t="shared" si="73"/>
        <v>0</v>
      </c>
    </row>
    <row r="951" spans="2:26" x14ac:dyDescent="0.2">
      <c r="B951" s="233">
        <v>43718</v>
      </c>
      <c r="C951" s="230" t="s">
        <v>976</v>
      </c>
      <c r="D951" s="230" t="s">
        <v>241</v>
      </c>
      <c r="E951" s="476" t="s">
        <v>323</v>
      </c>
      <c r="F951" s="476" t="s">
        <v>179</v>
      </c>
      <c r="G951" s="476"/>
      <c r="H951" s="478"/>
      <c r="I951" s="478"/>
      <c r="J951" s="478">
        <v>20.55</v>
      </c>
      <c r="K951" s="609">
        <v>2.67</v>
      </c>
      <c r="L951" s="478">
        <f t="shared" si="74"/>
        <v>23.22</v>
      </c>
      <c r="M951" s="483"/>
      <c r="O951" s="260" t="s">
        <v>419</v>
      </c>
      <c r="P951" s="96">
        <v>52200000001</v>
      </c>
      <c r="Q951" s="234" t="s">
        <v>242</v>
      </c>
      <c r="R951" s="865">
        <f t="shared" si="73"/>
        <v>0</v>
      </c>
      <c r="W951" s="153" t="s">
        <v>255</v>
      </c>
      <c r="X951" s="236">
        <f>+X937+X940+X936+X945+X938+X939+X942+X943</f>
        <v>-7638.8799999999992</v>
      </c>
    </row>
    <row r="952" spans="2:26" x14ac:dyDescent="0.2">
      <c r="B952" s="233">
        <v>43718</v>
      </c>
      <c r="C952" s="230" t="s">
        <v>977</v>
      </c>
      <c r="D952" s="230" t="s">
        <v>241</v>
      </c>
      <c r="E952" s="476" t="s">
        <v>323</v>
      </c>
      <c r="F952" s="476" t="s">
        <v>179</v>
      </c>
      <c r="G952" s="476"/>
      <c r="H952" s="478"/>
      <c r="I952" s="478"/>
      <c r="J952" s="478">
        <v>20.55</v>
      </c>
      <c r="K952" s="609">
        <v>2.67</v>
      </c>
      <c r="L952" s="478">
        <f t="shared" si="74"/>
        <v>23.22</v>
      </c>
      <c r="M952" s="483"/>
      <c r="O952" s="260" t="s">
        <v>419</v>
      </c>
      <c r="P952" s="96">
        <v>52200000001</v>
      </c>
      <c r="Q952" s="234" t="s">
        <v>187</v>
      </c>
      <c r="R952" s="865">
        <f t="shared" si="73"/>
        <v>0</v>
      </c>
      <c r="W952" s="144" t="s">
        <v>257</v>
      </c>
      <c r="X952" s="236">
        <f>+R956</f>
        <v>3043.39</v>
      </c>
    </row>
    <row r="953" spans="2:26" x14ac:dyDescent="0.2">
      <c r="B953" s="233" t="s">
        <v>978</v>
      </c>
      <c r="C953" s="230" t="s">
        <v>979</v>
      </c>
      <c r="D953" s="230" t="s">
        <v>241</v>
      </c>
      <c r="E953" s="234" t="s">
        <v>242</v>
      </c>
      <c r="F953" s="234" t="s">
        <v>47</v>
      </c>
      <c r="G953" s="234"/>
      <c r="H953" s="865"/>
      <c r="I953" s="865"/>
      <c r="J953" s="865">
        <v>47.95</v>
      </c>
      <c r="K953" s="294">
        <v>6.23</v>
      </c>
      <c r="L953" s="865">
        <f t="shared" si="74"/>
        <v>54.180000000000007</v>
      </c>
      <c r="M953" s="608">
        <v>51000200002</v>
      </c>
      <c r="O953" s="260" t="s">
        <v>419</v>
      </c>
      <c r="P953" s="96">
        <v>52200000001</v>
      </c>
      <c r="Q953" s="234" t="s">
        <v>22</v>
      </c>
      <c r="R953" s="865">
        <f t="shared" si="73"/>
        <v>0</v>
      </c>
      <c r="W953" s="144" t="s">
        <v>260</v>
      </c>
      <c r="X953" s="300">
        <f>+J941+J942+J951+J952+J955+J956+J961</f>
        <v>4583.37</v>
      </c>
    </row>
    <row r="954" spans="2:26" x14ac:dyDescent="0.2">
      <c r="B954" s="233" t="s">
        <v>978</v>
      </c>
      <c r="C954" s="230" t="s">
        <v>980</v>
      </c>
      <c r="D954" s="230" t="s">
        <v>241</v>
      </c>
      <c r="E954" s="234" t="s">
        <v>242</v>
      </c>
      <c r="F954" s="234" t="s">
        <v>47</v>
      </c>
      <c r="G954" s="234"/>
      <c r="H954" s="865"/>
      <c r="I954" s="865"/>
      <c r="J954" s="865">
        <v>47.95</v>
      </c>
      <c r="K954" s="294">
        <v>6.23</v>
      </c>
      <c r="L954" s="865">
        <f t="shared" si="74"/>
        <v>54.180000000000007</v>
      </c>
      <c r="M954" s="608">
        <v>51000200001</v>
      </c>
      <c r="O954" s="260" t="s">
        <v>419</v>
      </c>
      <c r="P954" s="96">
        <v>52200000001</v>
      </c>
      <c r="Q954" s="234" t="s">
        <v>242</v>
      </c>
      <c r="R954" s="865">
        <f t="shared" si="73"/>
        <v>0</v>
      </c>
      <c r="X954" s="704">
        <f>X951+X952+X953</f>
        <v>-12.119999999999891</v>
      </c>
      <c r="Y954" s="144" t="s">
        <v>275</v>
      </c>
    </row>
    <row r="955" spans="2:26" x14ac:dyDescent="0.2">
      <c r="B955" s="233">
        <v>43725</v>
      </c>
      <c r="C955" s="230" t="s">
        <v>981</v>
      </c>
      <c r="D955" s="230" t="s">
        <v>241</v>
      </c>
      <c r="E955" s="476" t="s">
        <v>323</v>
      </c>
      <c r="F955" s="476" t="s">
        <v>179</v>
      </c>
      <c r="G955" s="476"/>
      <c r="H955" s="478"/>
      <c r="I955" s="478"/>
      <c r="J955" s="478">
        <v>1899.73</v>
      </c>
      <c r="K955" s="609">
        <v>246.97</v>
      </c>
      <c r="L955" s="478">
        <f t="shared" si="74"/>
        <v>2146.6999999999998</v>
      </c>
      <c r="M955" s="719"/>
      <c r="O955" s="260" t="s">
        <v>419</v>
      </c>
      <c r="P955" s="486">
        <v>51220200001</v>
      </c>
      <c r="Q955" s="476" t="s">
        <v>269</v>
      </c>
      <c r="R955" s="865">
        <f t="shared" si="73"/>
        <v>354.35</v>
      </c>
    </row>
    <row r="956" spans="2:26" ht="13.5" thickBot="1" x14ac:dyDescent="0.25">
      <c r="B956" s="233">
        <v>43725</v>
      </c>
      <c r="C956" s="230" t="s">
        <v>982</v>
      </c>
      <c r="D956" s="230" t="s">
        <v>241</v>
      </c>
      <c r="E956" s="476" t="s">
        <v>323</v>
      </c>
      <c r="F956" s="476" t="s">
        <v>179</v>
      </c>
      <c r="G956" s="477"/>
      <c r="H956" s="478"/>
      <c r="I956" s="478"/>
      <c r="J956" s="478">
        <v>1187.3399999999999</v>
      </c>
      <c r="K956" s="609">
        <v>154.35</v>
      </c>
      <c r="L956" s="478">
        <f t="shared" si="74"/>
        <v>1341.6899999999998</v>
      </c>
      <c r="M956" s="719"/>
      <c r="O956" s="863"/>
      <c r="P956" s="863"/>
      <c r="R956" s="607">
        <f>SUM(R936:R955)</f>
        <v>3043.39</v>
      </c>
      <c r="X956" s="236"/>
    </row>
    <row r="957" spans="2:26" ht="13.5" thickTop="1" x14ac:dyDescent="0.2">
      <c r="B957" s="233">
        <v>43726</v>
      </c>
      <c r="C957" s="230" t="s">
        <v>983</v>
      </c>
      <c r="D957" s="230" t="s">
        <v>241</v>
      </c>
      <c r="E957" s="234" t="s">
        <v>259</v>
      </c>
      <c r="F957" s="234"/>
      <c r="G957" s="864"/>
      <c r="H957" s="865"/>
      <c r="I957" s="865"/>
      <c r="J957" s="865"/>
      <c r="K957" s="294"/>
      <c r="L957" s="865">
        <f t="shared" si="74"/>
        <v>0</v>
      </c>
    </row>
    <row r="958" spans="2:26" x14ac:dyDescent="0.2">
      <c r="B958" s="233">
        <v>43726</v>
      </c>
      <c r="C958" s="230" t="s">
        <v>984</v>
      </c>
      <c r="D958" s="230" t="s">
        <v>241</v>
      </c>
      <c r="E958" s="234" t="s">
        <v>259</v>
      </c>
      <c r="F958" s="234"/>
      <c r="G958" s="864"/>
      <c r="H958" s="865"/>
      <c r="I958" s="865"/>
      <c r="J958" s="865"/>
      <c r="K958" s="235"/>
      <c r="L958" s="865">
        <f t="shared" si="74"/>
        <v>0</v>
      </c>
    </row>
    <row r="959" spans="2:26" x14ac:dyDescent="0.2">
      <c r="B959" s="233">
        <v>43731</v>
      </c>
      <c r="C959" s="230" t="s">
        <v>985</v>
      </c>
      <c r="D959" s="230" t="s">
        <v>241</v>
      </c>
      <c r="E959" s="234" t="s">
        <v>269</v>
      </c>
      <c r="F959" s="234" t="s">
        <v>270</v>
      </c>
      <c r="G959" s="864"/>
      <c r="H959" s="865"/>
      <c r="I959" s="865"/>
      <c r="J959" s="865">
        <v>354.35</v>
      </c>
      <c r="K959" s="235">
        <v>46.07</v>
      </c>
      <c r="L959" s="865">
        <f t="shared" si="74"/>
        <v>400.42</v>
      </c>
      <c r="M959" s="608">
        <v>51220200001</v>
      </c>
    </row>
    <row r="960" spans="2:26" x14ac:dyDescent="0.2">
      <c r="B960" s="233">
        <v>43731</v>
      </c>
      <c r="C960" s="230" t="s">
        <v>986</v>
      </c>
      <c r="D960" s="230" t="s">
        <v>241</v>
      </c>
      <c r="E960" s="234" t="s">
        <v>242</v>
      </c>
      <c r="F960" s="234" t="s">
        <v>47</v>
      </c>
      <c r="G960" s="864"/>
      <c r="H960" s="865"/>
      <c r="I960" s="865"/>
      <c r="J960" s="865">
        <v>1274.76</v>
      </c>
      <c r="K960" s="235">
        <v>165.72</v>
      </c>
      <c r="L960" s="865">
        <f t="shared" si="74"/>
        <v>1440.48</v>
      </c>
      <c r="M960" s="608">
        <v>51220200001</v>
      </c>
    </row>
    <row r="961" spans="1:26" x14ac:dyDescent="0.2">
      <c r="B961" s="233">
        <v>43731</v>
      </c>
      <c r="C961" s="230" t="s">
        <v>987</v>
      </c>
      <c r="D961" s="230" t="s">
        <v>241</v>
      </c>
      <c r="E961" s="476" t="s">
        <v>323</v>
      </c>
      <c r="F961" s="476" t="s">
        <v>179</v>
      </c>
      <c r="G961" s="477"/>
      <c r="H961" s="478"/>
      <c r="I961" s="478"/>
      <c r="J961" s="478">
        <v>189.37</v>
      </c>
      <c r="K961" s="609">
        <v>24.62</v>
      </c>
      <c r="L961" s="478">
        <f t="shared" si="74"/>
        <v>213.99</v>
      </c>
      <c r="M961" s="719"/>
    </row>
    <row r="962" spans="1:26" x14ac:dyDescent="0.2">
      <c r="B962" s="233">
        <v>43733</v>
      </c>
      <c r="C962" s="230" t="s">
        <v>988</v>
      </c>
      <c r="D962" s="230" t="s">
        <v>241</v>
      </c>
      <c r="E962" s="234" t="s">
        <v>242</v>
      </c>
      <c r="F962" s="234" t="s">
        <v>47</v>
      </c>
      <c r="G962" s="864"/>
      <c r="H962" s="865"/>
      <c r="I962" s="865"/>
      <c r="J962" s="865">
        <v>41.1</v>
      </c>
      <c r="K962" s="235">
        <v>5.34</v>
      </c>
      <c r="L962" s="865">
        <f t="shared" si="74"/>
        <v>46.44</v>
      </c>
      <c r="M962" s="608">
        <v>51000200002</v>
      </c>
    </row>
    <row r="963" spans="1:26" x14ac:dyDescent="0.2">
      <c r="B963" s="233">
        <v>43733</v>
      </c>
      <c r="C963" s="230" t="s">
        <v>989</v>
      </c>
      <c r="D963" s="230" t="s">
        <v>241</v>
      </c>
      <c r="E963" s="234" t="s">
        <v>242</v>
      </c>
      <c r="F963" s="234" t="s">
        <v>47</v>
      </c>
      <c r="G963" s="864"/>
      <c r="H963" s="865"/>
      <c r="I963" s="865"/>
      <c r="J963" s="865">
        <v>41.1</v>
      </c>
      <c r="K963" s="235">
        <v>5.34</v>
      </c>
      <c r="L963" s="865">
        <f t="shared" si="74"/>
        <v>46.44</v>
      </c>
      <c r="M963" s="608">
        <v>51000200001</v>
      </c>
    </row>
    <row r="966" spans="1:26" s="613" customFormat="1" ht="4.5" customHeight="1" x14ac:dyDescent="0.2">
      <c r="A966" s="610"/>
      <c r="B966" s="610"/>
      <c r="C966" s="611"/>
      <c r="D966" s="611"/>
      <c r="E966" s="610"/>
      <c r="F966" s="610"/>
      <c r="G966" s="610"/>
      <c r="H966" s="610"/>
      <c r="I966" s="610"/>
      <c r="J966" s="610"/>
      <c r="K966" s="610"/>
      <c r="L966" s="610"/>
      <c r="M966" s="612"/>
      <c r="N966" s="612"/>
      <c r="O966" s="612"/>
      <c r="P966" s="612"/>
      <c r="R966" s="801"/>
    </row>
    <row r="968" spans="1:26" x14ac:dyDescent="0.2">
      <c r="B968" s="217"/>
      <c r="C968" s="218" t="s">
        <v>137</v>
      </c>
      <c r="D968" s="219" t="s">
        <v>16</v>
      </c>
      <c r="E968" s="219"/>
      <c r="F968" s="219" t="s">
        <v>74</v>
      </c>
      <c r="G968" s="219"/>
      <c r="H968" s="220" t="s">
        <v>75</v>
      </c>
      <c r="I968" s="221"/>
      <c r="J968" s="221"/>
      <c r="K968" s="221"/>
      <c r="L968" s="239"/>
      <c r="O968" s="303" t="s">
        <v>257</v>
      </c>
      <c r="P968" s="303"/>
      <c r="Q968" s="303"/>
      <c r="R968" s="303"/>
      <c r="U968" s="153" t="s">
        <v>247</v>
      </c>
      <c r="Y968" s="144" t="s">
        <v>256</v>
      </c>
      <c r="Z968" s="144" t="s">
        <v>184</v>
      </c>
    </row>
    <row r="969" spans="1:26" x14ac:dyDescent="0.2">
      <c r="B969" s="222" t="s">
        <v>76</v>
      </c>
      <c r="C969" s="223" t="s">
        <v>77</v>
      </c>
      <c r="D969" s="223" t="s">
        <v>141</v>
      </c>
      <c r="E969" s="223" t="s">
        <v>78</v>
      </c>
      <c r="F969" s="223" t="s">
        <v>142</v>
      </c>
      <c r="G969" s="223" t="s">
        <v>79</v>
      </c>
      <c r="H969" s="224" t="s">
        <v>48</v>
      </c>
      <c r="I969" s="221"/>
      <c r="J969" s="224" t="s">
        <v>80</v>
      </c>
      <c r="K969" s="221"/>
      <c r="L969" s="240" t="s">
        <v>175</v>
      </c>
      <c r="O969" s="260" t="s">
        <v>528</v>
      </c>
      <c r="P969" s="96">
        <v>51000000001</v>
      </c>
      <c r="Q969" s="234" t="s">
        <v>242</v>
      </c>
      <c r="R969" s="865">
        <f>SUMIFS($J$971:$J$995,$E$971:$E$995,Q969,$M$971:$M$995,P969)</f>
        <v>0</v>
      </c>
      <c r="T969" s="144">
        <v>51000200001</v>
      </c>
      <c r="U969" s="144" t="s">
        <v>194</v>
      </c>
      <c r="X969" s="156">
        <v>-381.51000000000022</v>
      </c>
      <c r="Y969" s="156">
        <f>R972</f>
        <v>0</v>
      </c>
      <c r="Z969" s="236">
        <v>0</v>
      </c>
    </row>
    <row r="970" spans="1:26" x14ac:dyDescent="0.2">
      <c r="B970" s="225"/>
      <c r="C970" s="226"/>
      <c r="D970" s="226"/>
      <c r="E970" s="225"/>
      <c r="F970" s="225"/>
      <c r="G970" s="225"/>
      <c r="H970" s="227" t="s">
        <v>176</v>
      </c>
      <c r="I970" s="228" t="s">
        <v>177</v>
      </c>
      <c r="J970" s="241" t="s">
        <v>178</v>
      </c>
      <c r="K970" s="241" t="s">
        <v>46</v>
      </c>
      <c r="L970" s="242" t="s">
        <v>48</v>
      </c>
      <c r="O970" s="260" t="s">
        <v>528</v>
      </c>
      <c r="P970" s="96">
        <v>51000000002</v>
      </c>
      <c r="Q970" s="234" t="s">
        <v>242</v>
      </c>
      <c r="R970" s="865">
        <f t="shared" ref="R970:R988" si="75">SUMIFS($J$971:$J$995,$E$971:$E$995,Q970,$M$971:$M$995,P970)</f>
        <v>0</v>
      </c>
      <c r="T970" s="144">
        <v>51000200002</v>
      </c>
      <c r="U970" s="144" t="s">
        <v>195</v>
      </c>
      <c r="X970" s="156">
        <v>-381.51000000000022</v>
      </c>
      <c r="Y970" s="156">
        <f>R974</f>
        <v>0</v>
      </c>
      <c r="Z970" s="236">
        <v>0</v>
      </c>
    </row>
    <row r="971" spans="1:26" x14ac:dyDescent="0.2">
      <c r="B971" s="233">
        <v>43739</v>
      </c>
      <c r="C971" s="230" t="s">
        <v>1085</v>
      </c>
      <c r="D971" s="230" t="s">
        <v>241</v>
      </c>
      <c r="E971" s="234" t="s">
        <v>242</v>
      </c>
      <c r="F971" s="234" t="s">
        <v>47</v>
      </c>
      <c r="G971" s="864"/>
      <c r="H971" s="865"/>
      <c r="I971" s="865"/>
      <c r="J971" s="865">
        <v>93.59</v>
      </c>
      <c r="K971" s="235">
        <v>12.17</v>
      </c>
      <c r="L971" s="865">
        <f t="shared" ref="L971:L994" si="76">+J971+K971</f>
        <v>105.76</v>
      </c>
      <c r="M971" s="608">
        <v>51000200002</v>
      </c>
      <c r="O971" s="260" t="s">
        <v>528</v>
      </c>
      <c r="P971" s="96">
        <v>51000100001</v>
      </c>
      <c r="Q971" s="234" t="s">
        <v>242</v>
      </c>
      <c r="R971" s="865">
        <f t="shared" si="75"/>
        <v>0</v>
      </c>
      <c r="T971" s="144">
        <v>51000100001</v>
      </c>
      <c r="U971" s="156" t="s">
        <v>4</v>
      </c>
      <c r="X971" s="156">
        <v>-352.44999999999982</v>
      </c>
    </row>
    <row r="972" spans="1:26" x14ac:dyDescent="0.2">
      <c r="B972" s="233">
        <v>43739</v>
      </c>
      <c r="C972" s="230" t="s">
        <v>1086</v>
      </c>
      <c r="D972" s="230" t="s">
        <v>241</v>
      </c>
      <c r="E972" s="234" t="s">
        <v>242</v>
      </c>
      <c r="F972" s="234" t="s">
        <v>47</v>
      </c>
      <c r="G972" s="864"/>
      <c r="H972" s="865"/>
      <c r="I972" s="865"/>
      <c r="J972" s="865">
        <v>93.59</v>
      </c>
      <c r="K972" s="235">
        <v>12.17</v>
      </c>
      <c r="L972" s="865">
        <f t="shared" si="76"/>
        <v>105.76</v>
      </c>
      <c r="M972" s="608">
        <v>51000200001</v>
      </c>
      <c r="O972" s="260" t="s">
        <v>528</v>
      </c>
      <c r="P972" s="96">
        <v>51000100001</v>
      </c>
      <c r="Q972" s="234" t="s">
        <v>269</v>
      </c>
      <c r="R972" s="865">
        <f t="shared" si="75"/>
        <v>0</v>
      </c>
      <c r="T972" s="144">
        <v>51000100002</v>
      </c>
      <c r="U972" s="156" t="s">
        <v>193</v>
      </c>
      <c r="X972" s="156">
        <v>-536.04999999999973</v>
      </c>
    </row>
    <row r="973" spans="1:26" x14ac:dyDescent="0.2">
      <c r="B973" s="233">
        <v>43740</v>
      </c>
      <c r="C973" s="230" t="s">
        <v>1087</v>
      </c>
      <c r="D973" s="230" t="s">
        <v>241</v>
      </c>
      <c r="E973" s="234" t="s">
        <v>242</v>
      </c>
      <c r="F973" s="234" t="s">
        <v>47</v>
      </c>
      <c r="G973" s="234"/>
      <c r="H973" s="865"/>
      <c r="I973" s="865"/>
      <c r="J973" s="865">
        <v>81.55</v>
      </c>
      <c r="K973" s="235">
        <v>10.6</v>
      </c>
      <c r="L973" s="865">
        <f t="shared" si="76"/>
        <v>92.149999999999991</v>
      </c>
      <c r="M973" s="608">
        <v>51000200002</v>
      </c>
      <c r="O973" s="260" t="s">
        <v>528</v>
      </c>
      <c r="P973" s="96">
        <v>51000100002</v>
      </c>
      <c r="Q973" s="234" t="s">
        <v>242</v>
      </c>
      <c r="R973" s="865">
        <f t="shared" si="75"/>
        <v>0</v>
      </c>
      <c r="T973" s="144">
        <v>51220200001</v>
      </c>
      <c r="U973" s="144" t="s">
        <v>21</v>
      </c>
      <c r="X973" s="156">
        <v>-1985.0900000000001</v>
      </c>
      <c r="Y973" s="156">
        <f>R981+R988</f>
        <v>1676.8400000000001</v>
      </c>
      <c r="Z973" s="236">
        <f>X973+Y973</f>
        <v>-308.25</v>
      </c>
    </row>
    <row r="974" spans="1:26" x14ac:dyDescent="0.2">
      <c r="B974" s="233">
        <v>43740</v>
      </c>
      <c r="C974" s="230" t="s">
        <v>1088</v>
      </c>
      <c r="D974" s="230" t="s">
        <v>241</v>
      </c>
      <c r="E974" s="234" t="s">
        <v>242</v>
      </c>
      <c r="F974" s="234" t="s">
        <v>47</v>
      </c>
      <c r="G974" s="234"/>
      <c r="H974" s="865"/>
      <c r="I974" s="865"/>
      <c r="J974" s="865">
        <v>81.55</v>
      </c>
      <c r="K974" s="235">
        <v>10.6</v>
      </c>
      <c r="L974" s="865">
        <f t="shared" si="76"/>
        <v>92.149999999999991</v>
      </c>
      <c r="M974" s="608">
        <v>51000200001</v>
      </c>
      <c r="O974" s="260" t="s">
        <v>528</v>
      </c>
      <c r="P974" s="96">
        <v>51000100002</v>
      </c>
      <c r="Q974" s="234" t="s">
        <v>269</v>
      </c>
      <c r="R974" s="865">
        <f t="shared" si="75"/>
        <v>0</v>
      </c>
      <c r="T974" s="351">
        <v>52200000001</v>
      </c>
      <c r="U974" s="351" t="s">
        <v>11</v>
      </c>
      <c r="V974" s="351"/>
      <c r="W974" s="351"/>
      <c r="X974" s="347">
        <v>-935.34</v>
      </c>
      <c r="Y974" s="156">
        <v>0</v>
      </c>
      <c r="Z974" s="236">
        <v>0</v>
      </c>
    </row>
    <row r="975" spans="1:26" x14ac:dyDescent="0.2">
      <c r="B975" s="233">
        <v>43741</v>
      </c>
      <c r="C975" s="230" t="s">
        <v>1089</v>
      </c>
      <c r="D975" s="230" t="s">
        <v>241</v>
      </c>
      <c r="E975" s="234" t="s">
        <v>242</v>
      </c>
      <c r="F975" s="234" t="s">
        <v>47</v>
      </c>
      <c r="G975" s="234"/>
      <c r="H975" s="865"/>
      <c r="I975" s="865"/>
      <c r="J975" s="865">
        <v>50.35</v>
      </c>
      <c r="K975" s="235">
        <v>6.54</v>
      </c>
      <c r="L975" s="865">
        <f t="shared" si="76"/>
        <v>56.89</v>
      </c>
      <c r="M975" s="608">
        <v>51000200002</v>
      </c>
      <c r="O975" s="260" t="s">
        <v>528</v>
      </c>
      <c r="P975" s="486">
        <v>51000200001</v>
      </c>
      <c r="Q975" s="476" t="s">
        <v>242</v>
      </c>
      <c r="R975" s="865">
        <f t="shared" si="75"/>
        <v>381.51</v>
      </c>
      <c r="T975" s="144">
        <v>51000000001</v>
      </c>
      <c r="U975" s="144" t="s">
        <v>71</v>
      </c>
      <c r="X975" s="156"/>
    </row>
    <row r="976" spans="1:26" x14ac:dyDescent="0.2">
      <c r="B976" s="233">
        <v>43741</v>
      </c>
      <c r="C976" s="230" t="s">
        <v>1090</v>
      </c>
      <c r="D976" s="230" t="s">
        <v>241</v>
      </c>
      <c r="E976" s="234" t="s">
        <v>242</v>
      </c>
      <c r="F976" s="234" t="s">
        <v>47</v>
      </c>
      <c r="G976" s="234"/>
      <c r="H976" s="865"/>
      <c r="I976" s="865"/>
      <c r="J976" s="865">
        <v>50.35</v>
      </c>
      <c r="K976" s="235">
        <v>6.54</v>
      </c>
      <c r="L976" s="865">
        <f t="shared" si="76"/>
        <v>56.89</v>
      </c>
      <c r="M976" s="608">
        <v>51000200001</v>
      </c>
      <c r="O976" s="260" t="s">
        <v>528</v>
      </c>
      <c r="P976" s="96">
        <v>51000200001</v>
      </c>
      <c r="Q976" s="234" t="s">
        <v>187</v>
      </c>
      <c r="R976" s="865">
        <f t="shared" si="75"/>
        <v>0</v>
      </c>
      <c r="T976" s="144">
        <v>51000000002</v>
      </c>
      <c r="U976" s="144" t="s">
        <v>3</v>
      </c>
      <c r="X976" s="156"/>
    </row>
    <row r="977" spans="2:26" x14ac:dyDescent="0.2">
      <c r="B977" s="233">
        <v>43741</v>
      </c>
      <c r="C977" s="230" t="s">
        <v>1091</v>
      </c>
      <c r="D977" s="230" t="s">
        <v>241</v>
      </c>
      <c r="E977" s="234" t="s">
        <v>259</v>
      </c>
      <c r="F977" s="234"/>
      <c r="G977" s="234"/>
      <c r="H977" s="865"/>
      <c r="I977" s="865"/>
      <c r="J977" s="865">
        <v>0</v>
      </c>
      <c r="K977" s="235">
        <v>0</v>
      </c>
      <c r="L977" s="865">
        <f t="shared" si="76"/>
        <v>0</v>
      </c>
      <c r="O977" s="260" t="s">
        <v>528</v>
      </c>
      <c r="P977" s="96">
        <v>51000200001</v>
      </c>
      <c r="Q977" s="234" t="s">
        <v>22</v>
      </c>
      <c r="R977" s="865">
        <f t="shared" si="75"/>
        <v>0</v>
      </c>
      <c r="T977" s="144">
        <v>53000100001</v>
      </c>
      <c r="U977" s="144" t="s">
        <v>73</v>
      </c>
      <c r="X977" s="356"/>
      <c r="Y977" s="156">
        <v>0</v>
      </c>
      <c r="Z977" s="236">
        <v>0</v>
      </c>
    </row>
    <row r="978" spans="2:26" x14ac:dyDescent="0.2">
      <c r="B978" s="233">
        <v>43741</v>
      </c>
      <c r="C978" s="230" t="s">
        <v>1092</v>
      </c>
      <c r="D978" s="230" t="s">
        <v>241</v>
      </c>
      <c r="E978" s="234" t="s">
        <v>259</v>
      </c>
      <c r="F978" s="234"/>
      <c r="G978" s="234"/>
      <c r="H978" s="865"/>
      <c r="I978" s="865"/>
      <c r="J978" s="865">
        <v>0</v>
      </c>
      <c r="K978" s="235">
        <v>0</v>
      </c>
      <c r="L978" s="865">
        <f t="shared" si="76"/>
        <v>0</v>
      </c>
      <c r="O978" s="260" t="s">
        <v>528</v>
      </c>
      <c r="P978" s="486">
        <v>51000200002</v>
      </c>
      <c r="Q978" s="476" t="s">
        <v>242</v>
      </c>
      <c r="R978" s="865">
        <f t="shared" si="75"/>
        <v>381.51</v>
      </c>
      <c r="X978" s="304">
        <v>0</v>
      </c>
      <c r="Y978" s="304">
        <f>R984+R993</f>
        <v>0</v>
      </c>
      <c r="Z978" s="300">
        <v>0</v>
      </c>
    </row>
    <row r="979" spans="2:26" x14ac:dyDescent="0.2">
      <c r="B979" s="233">
        <v>43746</v>
      </c>
      <c r="C979" s="230" t="s">
        <v>1093</v>
      </c>
      <c r="D979" s="230" t="s">
        <v>241</v>
      </c>
      <c r="E979" s="234" t="s">
        <v>242</v>
      </c>
      <c r="F979" s="234" t="s">
        <v>47</v>
      </c>
      <c r="G979" s="234"/>
      <c r="H979" s="865"/>
      <c r="I979" s="865"/>
      <c r="J979" s="865">
        <v>32.99</v>
      </c>
      <c r="K979" s="235">
        <v>4.29</v>
      </c>
      <c r="L979" s="865">
        <f t="shared" si="76"/>
        <v>37.28</v>
      </c>
      <c r="M979" s="608">
        <v>51000200002</v>
      </c>
      <c r="O979" s="260" t="s">
        <v>528</v>
      </c>
      <c r="P979" s="96">
        <v>51000200002</v>
      </c>
      <c r="Q979" s="234" t="s">
        <v>187</v>
      </c>
      <c r="R979" s="865">
        <f t="shared" si="75"/>
        <v>0</v>
      </c>
      <c r="X979" s="290">
        <f>SUM(X969:X977)</f>
        <v>-4571.95</v>
      </c>
      <c r="Y979" s="290">
        <f>SUM(Y969:Y978)</f>
        <v>1676.8400000000001</v>
      </c>
      <c r="Z979" s="290">
        <f>SUM(Z969:Z978)</f>
        <v>-308.25</v>
      </c>
    </row>
    <row r="980" spans="2:26" x14ac:dyDescent="0.2">
      <c r="B980" s="233">
        <v>43746</v>
      </c>
      <c r="C980" s="230" t="s">
        <v>1094</v>
      </c>
      <c r="D980" s="230" t="s">
        <v>241</v>
      </c>
      <c r="E980" s="234" t="s">
        <v>242</v>
      </c>
      <c r="F980" s="234" t="s">
        <v>47</v>
      </c>
      <c r="G980" s="234"/>
      <c r="H980" s="865"/>
      <c r="I980" s="865"/>
      <c r="J980" s="865">
        <v>32.99</v>
      </c>
      <c r="K980" s="235">
        <v>4.29</v>
      </c>
      <c r="L980" s="865">
        <f t="shared" si="76"/>
        <v>37.28</v>
      </c>
      <c r="M980" s="608">
        <v>51000200001</v>
      </c>
      <c r="O980" s="260" t="s">
        <v>528</v>
      </c>
      <c r="P980" s="96">
        <v>51000200002</v>
      </c>
      <c r="Q980" s="234" t="s">
        <v>22</v>
      </c>
      <c r="R980" s="865">
        <f t="shared" si="75"/>
        <v>0</v>
      </c>
      <c r="U980" s="156"/>
      <c r="Z980" s="236"/>
    </row>
    <row r="981" spans="2:26" x14ac:dyDescent="0.2">
      <c r="B981" s="233">
        <v>43748</v>
      </c>
      <c r="C981" s="230" t="s">
        <v>1095</v>
      </c>
      <c r="D981" s="230" t="s">
        <v>241</v>
      </c>
      <c r="E981" s="234" t="s">
        <v>242</v>
      </c>
      <c r="F981" s="234" t="s">
        <v>47</v>
      </c>
      <c r="G981" s="234"/>
      <c r="H981" s="865"/>
      <c r="I981" s="865"/>
      <c r="J981" s="865">
        <v>35.96</v>
      </c>
      <c r="K981" s="235">
        <v>4.67</v>
      </c>
      <c r="L981" s="865">
        <f t="shared" si="76"/>
        <v>40.630000000000003</v>
      </c>
      <c r="M981" s="608">
        <v>51000200002</v>
      </c>
      <c r="O981" s="260" t="s">
        <v>528</v>
      </c>
      <c r="P981" s="486">
        <v>51220200001</v>
      </c>
      <c r="Q981" s="476" t="s">
        <v>242</v>
      </c>
      <c r="R981" s="865">
        <f t="shared" si="75"/>
        <v>1322.49</v>
      </c>
      <c r="U981" s="156"/>
    </row>
    <row r="982" spans="2:26" x14ac:dyDescent="0.2">
      <c r="B982" s="233">
        <v>43748</v>
      </c>
      <c r="C982" s="230" t="s">
        <v>1096</v>
      </c>
      <c r="D982" s="230" t="s">
        <v>241</v>
      </c>
      <c r="E982" s="234" t="s">
        <v>242</v>
      </c>
      <c r="F982" s="234" t="s">
        <v>47</v>
      </c>
      <c r="G982" s="234"/>
      <c r="H982" s="865"/>
      <c r="I982" s="865"/>
      <c r="J982" s="865">
        <v>35.96</v>
      </c>
      <c r="K982" s="235">
        <v>4.67</v>
      </c>
      <c r="L982" s="865">
        <f t="shared" si="76"/>
        <v>40.630000000000003</v>
      </c>
      <c r="M982" s="608">
        <v>51000200001</v>
      </c>
      <c r="O982" s="260" t="s">
        <v>528</v>
      </c>
      <c r="P982" s="96">
        <v>51220200001</v>
      </c>
      <c r="Q982" s="234" t="s">
        <v>187</v>
      </c>
      <c r="R982" s="865">
        <f t="shared" si="75"/>
        <v>0</v>
      </c>
    </row>
    <row r="983" spans="2:26" x14ac:dyDescent="0.2">
      <c r="B983" s="233">
        <v>43748</v>
      </c>
      <c r="C983" s="230" t="s">
        <v>1097</v>
      </c>
      <c r="D983" s="230" t="s">
        <v>241</v>
      </c>
      <c r="E983" s="476" t="s">
        <v>323</v>
      </c>
      <c r="F983" s="476" t="s">
        <v>179</v>
      </c>
      <c r="G983" s="476"/>
      <c r="H983" s="478"/>
      <c r="I983" s="478"/>
      <c r="J983" s="478">
        <v>28.58</v>
      </c>
      <c r="K983" s="609">
        <v>3.72</v>
      </c>
      <c r="L983" s="478">
        <f t="shared" si="76"/>
        <v>32.299999999999997</v>
      </c>
      <c r="M983" s="719"/>
      <c r="O983" s="260" t="s">
        <v>528</v>
      </c>
      <c r="P983" s="96">
        <v>51220200001</v>
      </c>
      <c r="Q983" s="234" t="s">
        <v>22</v>
      </c>
      <c r="R983" s="865">
        <f t="shared" si="75"/>
        <v>0</v>
      </c>
    </row>
    <row r="984" spans="2:26" x14ac:dyDescent="0.2">
      <c r="B984" s="233">
        <v>43748</v>
      </c>
      <c r="C984" s="230" t="s">
        <v>1098</v>
      </c>
      <c r="D984" s="230" t="s">
        <v>241</v>
      </c>
      <c r="E984" s="476" t="s">
        <v>323</v>
      </c>
      <c r="F984" s="476" t="s">
        <v>179</v>
      </c>
      <c r="G984" s="476"/>
      <c r="H984" s="478"/>
      <c r="I984" s="478"/>
      <c r="J984" s="478">
        <v>17.86</v>
      </c>
      <c r="K984" s="609">
        <v>2.3199999999999998</v>
      </c>
      <c r="L984" s="478">
        <f t="shared" si="76"/>
        <v>20.18</v>
      </c>
      <c r="M984" s="719"/>
      <c r="O984" s="260" t="s">
        <v>528</v>
      </c>
      <c r="P984" s="96">
        <v>52200000001</v>
      </c>
      <c r="Q984" s="234" t="s">
        <v>242</v>
      </c>
      <c r="R984" s="865">
        <f t="shared" si="75"/>
        <v>0</v>
      </c>
      <c r="W984" s="153" t="s">
        <v>255</v>
      </c>
      <c r="X984" s="236">
        <f>+X970+X973+X969+X978+X971+X972+X975+X976</f>
        <v>-3636.61</v>
      </c>
    </row>
    <row r="985" spans="2:26" x14ac:dyDescent="0.2">
      <c r="B985" s="233">
        <v>43753</v>
      </c>
      <c r="C985" s="230" t="s">
        <v>1099</v>
      </c>
      <c r="D985" s="230" t="s">
        <v>241</v>
      </c>
      <c r="E985" s="234" t="s">
        <v>242</v>
      </c>
      <c r="F985" s="234" t="s">
        <v>47</v>
      </c>
      <c r="G985" s="234"/>
      <c r="H985" s="865"/>
      <c r="I985" s="865"/>
      <c r="J985" s="865">
        <v>42.34</v>
      </c>
      <c r="K985" s="235">
        <v>5.5</v>
      </c>
      <c r="L985" s="865">
        <f t="shared" si="76"/>
        <v>47.84</v>
      </c>
      <c r="M985" s="608">
        <v>51000200002</v>
      </c>
      <c r="O985" s="260" t="s">
        <v>528</v>
      </c>
      <c r="P985" s="96">
        <v>52200000001</v>
      </c>
      <c r="Q985" s="234" t="s">
        <v>187</v>
      </c>
      <c r="R985" s="865">
        <f t="shared" si="75"/>
        <v>0</v>
      </c>
      <c r="W985" s="144" t="s">
        <v>257</v>
      </c>
      <c r="X985" s="236">
        <f>+R989</f>
        <v>2439.86</v>
      </c>
    </row>
    <row r="986" spans="2:26" x14ac:dyDescent="0.2">
      <c r="B986" s="233">
        <v>43753</v>
      </c>
      <c r="C986" s="230" t="s">
        <v>1100</v>
      </c>
      <c r="D986" s="230" t="s">
        <v>241</v>
      </c>
      <c r="E986" s="234" t="s">
        <v>242</v>
      </c>
      <c r="F986" s="234" t="s">
        <v>47</v>
      </c>
      <c r="G986" s="234"/>
      <c r="H986" s="865"/>
      <c r="I986" s="865"/>
      <c r="J986" s="865">
        <v>42.34</v>
      </c>
      <c r="K986" s="235">
        <v>5.5</v>
      </c>
      <c r="L986" s="865">
        <f t="shared" si="76"/>
        <v>47.84</v>
      </c>
      <c r="M986" s="608">
        <v>51000200001</v>
      </c>
      <c r="O986" s="260" t="s">
        <v>528</v>
      </c>
      <c r="P986" s="96">
        <v>52200000001</v>
      </c>
      <c r="Q986" s="234" t="s">
        <v>22</v>
      </c>
      <c r="R986" s="865">
        <f t="shared" si="75"/>
        <v>0</v>
      </c>
      <c r="W986" s="144" t="s">
        <v>260</v>
      </c>
      <c r="X986" s="300">
        <f>+J983+J984+J989+J991+J992</f>
        <v>1183.4000000000001</v>
      </c>
    </row>
    <row r="987" spans="2:26" x14ac:dyDescent="0.2">
      <c r="B987" s="233">
        <v>43760</v>
      </c>
      <c r="C987" s="230" t="s">
        <v>1101</v>
      </c>
      <c r="D987" s="230" t="s">
        <v>241</v>
      </c>
      <c r="E987" s="234" t="s">
        <v>269</v>
      </c>
      <c r="F987" s="234" t="s">
        <v>270</v>
      </c>
      <c r="G987" s="234"/>
      <c r="H987" s="865"/>
      <c r="I987" s="865"/>
      <c r="J987" s="865">
        <v>354.35</v>
      </c>
      <c r="K987" s="294">
        <v>46.07</v>
      </c>
      <c r="L987" s="865">
        <f t="shared" si="76"/>
        <v>400.42</v>
      </c>
      <c r="M987" s="608">
        <v>51220200001</v>
      </c>
      <c r="O987" s="260" t="s">
        <v>528</v>
      </c>
      <c r="P987" s="96">
        <v>52200000001</v>
      </c>
      <c r="Q987" s="234" t="s">
        <v>242</v>
      </c>
      <c r="R987" s="865">
        <f t="shared" si="75"/>
        <v>0</v>
      </c>
      <c r="X987" s="704">
        <f>X984+X985+X986</f>
        <v>-13.349999999999909</v>
      </c>
      <c r="Y987" s="144" t="s">
        <v>275</v>
      </c>
    </row>
    <row r="988" spans="2:26" x14ac:dyDescent="0.2">
      <c r="B988" s="233">
        <v>43760</v>
      </c>
      <c r="C988" s="230" t="s">
        <v>1102</v>
      </c>
      <c r="D988" s="230" t="s">
        <v>241</v>
      </c>
      <c r="E988" s="234" t="s">
        <v>242</v>
      </c>
      <c r="F988" s="234" t="s">
        <v>47</v>
      </c>
      <c r="G988" s="234"/>
      <c r="H988" s="865"/>
      <c r="I988" s="865"/>
      <c r="J988" s="865">
        <v>1322.49</v>
      </c>
      <c r="K988" s="294">
        <v>171.92</v>
      </c>
      <c r="L988" s="865">
        <f t="shared" si="76"/>
        <v>1494.41</v>
      </c>
      <c r="M988" s="608">
        <v>51220200001</v>
      </c>
      <c r="O988" s="260" t="s">
        <v>528</v>
      </c>
      <c r="P988" s="486">
        <v>51220200001</v>
      </c>
      <c r="Q988" s="476" t="s">
        <v>269</v>
      </c>
      <c r="R988" s="865">
        <f t="shared" si="75"/>
        <v>354.35</v>
      </c>
    </row>
    <row r="989" spans="2:26" ht="13.5" thickBot="1" x14ac:dyDescent="0.25">
      <c r="B989" s="233">
        <v>43760</v>
      </c>
      <c r="C989" s="230" t="s">
        <v>1103</v>
      </c>
      <c r="D989" s="230" t="s">
        <v>241</v>
      </c>
      <c r="E989" s="476" t="s">
        <v>323</v>
      </c>
      <c r="F989" s="476" t="s">
        <v>179</v>
      </c>
      <c r="G989" s="477"/>
      <c r="H989" s="478"/>
      <c r="I989" s="478"/>
      <c r="J989" s="478">
        <v>294.89999999999998</v>
      </c>
      <c r="K989" s="609">
        <v>38.340000000000003</v>
      </c>
      <c r="L989" s="478">
        <f t="shared" si="76"/>
        <v>333.24</v>
      </c>
      <c r="O989" s="863"/>
      <c r="P989" s="863"/>
      <c r="R989" s="607">
        <f>SUM(R969:R988)</f>
        <v>2439.86</v>
      </c>
      <c r="X989" s="236"/>
    </row>
    <row r="990" spans="2:26" ht="13.5" thickTop="1" x14ac:dyDescent="0.2">
      <c r="B990" s="233">
        <v>43760</v>
      </c>
      <c r="C990" s="230" t="s">
        <v>1104</v>
      </c>
      <c r="D990" s="230" t="s">
        <v>241</v>
      </c>
      <c r="E990" s="234" t="s">
        <v>259</v>
      </c>
      <c r="F990" s="234"/>
      <c r="G990" s="864"/>
      <c r="H990" s="865"/>
      <c r="I990" s="865"/>
      <c r="J990" s="865"/>
      <c r="K990" s="294"/>
      <c r="L990" s="865">
        <f t="shared" si="76"/>
        <v>0</v>
      </c>
    </row>
    <row r="991" spans="2:26" x14ac:dyDescent="0.2">
      <c r="B991" s="980" t="s">
        <v>1083</v>
      </c>
      <c r="C991" s="230" t="s">
        <v>1105</v>
      </c>
      <c r="D991" s="230" t="s">
        <v>241</v>
      </c>
      <c r="E991" s="476" t="s">
        <v>323</v>
      </c>
      <c r="F991" s="476" t="s">
        <v>179</v>
      </c>
      <c r="G991" s="477"/>
      <c r="H991" s="478"/>
      <c r="I991" s="478"/>
      <c r="J991" s="478">
        <v>518.19000000000005</v>
      </c>
      <c r="K991" s="609">
        <v>67.36</v>
      </c>
      <c r="L991" s="478">
        <f t="shared" si="76"/>
        <v>585.55000000000007</v>
      </c>
      <c r="M991" s="608"/>
    </row>
    <row r="992" spans="2:26" x14ac:dyDescent="0.2">
      <c r="B992" s="980" t="s">
        <v>1083</v>
      </c>
      <c r="C992" s="230" t="s">
        <v>1106</v>
      </c>
      <c r="D992" s="230" t="s">
        <v>241</v>
      </c>
      <c r="E992" s="476" t="s">
        <v>323</v>
      </c>
      <c r="F992" s="476" t="s">
        <v>179</v>
      </c>
      <c r="G992" s="477"/>
      <c r="H992" s="478"/>
      <c r="I992" s="478"/>
      <c r="J992" s="478">
        <v>323.87</v>
      </c>
      <c r="K992" s="609">
        <v>42.1</v>
      </c>
      <c r="L992" s="478">
        <f t="shared" si="76"/>
        <v>365.97</v>
      </c>
      <c r="M992" s="608"/>
    </row>
    <row r="993" spans="2:18" x14ac:dyDescent="0.2">
      <c r="B993" s="980" t="s">
        <v>1107</v>
      </c>
      <c r="C993" s="230" t="s">
        <v>1108</v>
      </c>
      <c r="D993" s="230" t="s">
        <v>241</v>
      </c>
      <c r="E993" s="234" t="s">
        <v>242</v>
      </c>
      <c r="F993" s="234" t="s">
        <v>47</v>
      </c>
      <c r="G993" s="864"/>
      <c r="H993" s="865"/>
      <c r="I993" s="865"/>
      <c r="J993" s="865">
        <v>44.73</v>
      </c>
      <c r="K993" s="235">
        <v>5.82</v>
      </c>
      <c r="L993" s="865">
        <f t="shared" si="76"/>
        <v>50.55</v>
      </c>
      <c r="M993" s="608">
        <v>51000200002</v>
      </c>
    </row>
    <row r="994" spans="2:18" x14ac:dyDescent="0.2">
      <c r="B994" s="980" t="s">
        <v>1107</v>
      </c>
      <c r="C994" s="230" t="s">
        <v>1109</v>
      </c>
      <c r="D994" s="230" t="s">
        <v>241</v>
      </c>
      <c r="E994" s="234" t="s">
        <v>242</v>
      </c>
      <c r="F994" s="234" t="s">
        <v>47</v>
      </c>
      <c r="G994" s="864"/>
      <c r="H994" s="865"/>
      <c r="I994" s="865"/>
      <c r="J994" s="865">
        <v>44.73</v>
      </c>
      <c r="K994" s="235">
        <v>5.82</v>
      </c>
      <c r="L994" s="865">
        <f t="shared" si="76"/>
        <v>50.55</v>
      </c>
      <c r="M994" s="608">
        <v>51000200001</v>
      </c>
      <c r="R994" s="981"/>
    </row>
    <row r="996" spans="2:18" x14ac:dyDescent="0.2">
      <c r="B996" s="233"/>
      <c r="C996" s="230" t="s">
        <v>18</v>
      </c>
      <c r="D996" s="230"/>
      <c r="E996" s="234" t="s">
        <v>321</v>
      </c>
      <c r="F996" s="206"/>
      <c r="G996" s="289"/>
      <c r="H996" s="289"/>
      <c r="I996" s="289"/>
      <c r="J996" s="289"/>
      <c r="K996" s="601">
        <v>-471.01</v>
      </c>
      <c r="L996" s="865">
        <f>+J996+K996</f>
        <v>-471.01</v>
      </c>
    </row>
    <row r="997" spans="2:18" x14ac:dyDescent="0.2">
      <c r="B997" s="233"/>
      <c r="C997" s="230"/>
      <c r="D997" s="230"/>
      <c r="E997" s="234"/>
      <c r="F997" s="206"/>
      <c r="G997" s="289"/>
      <c r="H997" s="289"/>
      <c r="I997" s="289"/>
      <c r="J997" s="289"/>
      <c r="K997" s="235"/>
      <c r="L997" s="865">
        <f>+J997+K997</f>
        <v>0</v>
      </c>
    </row>
    <row r="998" spans="2:18" x14ac:dyDescent="0.2">
      <c r="B998" s="233"/>
      <c r="C998" s="230"/>
      <c r="D998" s="230"/>
      <c r="E998" s="234"/>
      <c r="F998" s="206"/>
      <c r="G998" s="289"/>
      <c r="H998" s="289"/>
      <c r="I998" s="289"/>
      <c r="J998" s="289"/>
      <c r="K998" s="235"/>
      <c r="L998" s="865"/>
    </row>
    <row r="999" spans="2:18" x14ac:dyDescent="0.2">
      <c r="B999" s="233"/>
      <c r="C999" s="230"/>
      <c r="D999" s="230"/>
      <c r="E999" s="234"/>
      <c r="F999" s="206"/>
      <c r="G999" s="289"/>
      <c r="H999" s="289"/>
      <c r="I999" s="289"/>
      <c r="J999" s="289"/>
      <c r="K999" s="235"/>
      <c r="L999" s="865"/>
    </row>
    <row r="1000" spans="2:18" x14ac:dyDescent="0.2">
      <c r="B1000" s="206"/>
      <c r="C1000" s="207"/>
      <c r="D1000" s="207"/>
      <c r="E1000" s="234"/>
      <c r="F1000" s="206"/>
      <c r="G1000" s="289"/>
      <c r="H1000" s="289"/>
      <c r="I1000" s="289"/>
      <c r="J1000" s="289"/>
      <c r="K1000" s="289"/>
      <c r="L1000" s="289"/>
    </row>
    <row r="1001" spans="2:18" x14ac:dyDescent="0.2">
      <c r="B1001" s="295"/>
      <c r="C1001" s="296"/>
      <c r="D1001" s="296"/>
      <c r="E1001" s="234"/>
      <c r="F1001" s="295"/>
      <c r="G1001" s="297"/>
      <c r="H1001" s="297"/>
      <c r="I1001" s="297"/>
      <c r="J1001" s="297"/>
      <c r="K1001" s="297"/>
      <c r="L1001" s="297"/>
    </row>
    <row r="1002" spans="2:18" x14ac:dyDescent="0.2">
      <c r="B1002" s="206"/>
      <c r="C1002" s="207"/>
      <c r="D1002" s="207"/>
      <c r="E1002" s="206"/>
      <c r="F1002" s="206"/>
      <c r="G1002" s="298">
        <f t="shared" ref="G1002:I1002" si="77">SUM(G949:G1001)</f>
        <v>0</v>
      </c>
      <c r="H1002" s="298">
        <f t="shared" si="77"/>
        <v>0</v>
      </c>
      <c r="I1002" s="298">
        <f t="shared" si="77"/>
        <v>0</v>
      </c>
      <c r="J1002" s="298">
        <f t="shared" ref="J1002:K1002" si="78">SUM(J971:J1001)</f>
        <v>3623.26</v>
      </c>
      <c r="K1002" s="298">
        <f t="shared" si="78"/>
        <v>0</v>
      </c>
      <c r="L1002" s="298">
        <f>SUM(L971:L1001)</f>
        <v>3623.26</v>
      </c>
    </row>
    <row r="1003" spans="2:18" x14ac:dyDescent="0.2">
      <c r="B1003" s="206"/>
      <c r="C1003" s="207"/>
      <c r="D1003" s="207"/>
      <c r="E1003" s="206"/>
      <c r="F1003" s="206"/>
      <c r="G1003" s="366"/>
      <c r="H1003" s="366"/>
      <c r="I1003" s="366"/>
      <c r="J1003" s="366"/>
      <c r="K1003" s="366"/>
      <c r="L1003" s="366"/>
    </row>
    <row r="1004" spans="2:18" x14ac:dyDescent="0.2">
      <c r="B1004" s="206"/>
      <c r="C1004" s="207"/>
      <c r="D1004" s="207"/>
      <c r="E1004" s="206"/>
      <c r="F1004" s="206"/>
      <c r="G1004" s="366"/>
      <c r="H1004" s="366"/>
      <c r="I1004" s="366"/>
      <c r="J1004" s="366"/>
      <c r="K1004" s="366"/>
      <c r="L1004" s="366"/>
    </row>
    <row r="1005" spans="2:18" x14ac:dyDescent="0.2">
      <c r="B1005" s="206"/>
      <c r="C1005" s="207"/>
      <c r="D1005" s="207"/>
      <c r="E1005" s="206"/>
      <c r="F1005" s="206"/>
      <c r="G1005" s="366"/>
      <c r="H1005" s="366"/>
      <c r="I1005" s="366"/>
      <c r="J1005" s="366"/>
      <c r="K1005" s="366"/>
      <c r="L1005" s="366"/>
    </row>
    <row r="1006" spans="2:18" x14ac:dyDescent="0.2">
      <c r="B1006" s="206"/>
      <c r="C1006" s="207"/>
      <c r="D1006" s="207"/>
      <c r="E1006" s="206"/>
      <c r="F1006" s="206"/>
      <c r="G1006" s="366"/>
      <c r="H1006" s="366"/>
      <c r="I1006" s="366"/>
      <c r="J1006" s="366"/>
      <c r="K1006" s="366"/>
      <c r="L1006" s="366"/>
    </row>
    <row r="1007" spans="2:18" x14ac:dyDescent="0.2">
      <c r="B1007" s="206"/>
      <c r="C1007" s="207"/>
      <c r="D1007" s="207"/>
      <c r="E1007" s="206"/>
      <c r="F1007" s="206"/>
      <c r="G1007" s="366"/>
      <c r="H1007" s="366"/>
      <c r="I1007" s="366"/>
      <c r="J1007" s="366"/>
      <c r="K1007" s="366"/>
      <c r="L1007" s="366"/>
    </row>
    <row r="1008" spans="2:18" x14ac:dyDescent="0.2">
      <c r="B1008" s="206"/>
      <c r="C1008" s="207"/>
      <c r="D1008" s="207"/>
      <c r="E1008" s="206"/>
      <c r="F1008" s="206"/>
      <c r="G1008" s="206"/>
      <c r="H1008" s="206"/>
      <c r="I1008" s="206"/>
      <c r="J1008" s="206"/>
      <c r="K1008" s="206"/>
      <c r="L1008" s="206"/>
    </row>
    <row r="1009" spans="1:18" x14ac:dyDescent="0.2">
      <c r="B1009" s="206"/>
      <c r="C1009" s="209" t="s">
        <v>445</v>
      </c>
      <c r="D1009" s="207"/>
      <c r="E1009" s="207"/>
      <c r="F1009" s="206"/>
      <c r="G1009" s="206"/>
      <c r="H1009" s="206"/>
      <c r="I1009" s="209" t="s">
        <v>446</v>
      </c>
      <c r="J1009" s="206"/>
      <c r="K1009" s="206"/>
      <c r="L1009" s="206"/>
    </row>
    <row r="1010" spans="1:18" x14ac:dyDescent="0.2">
      <c r="B1010" s="206"/>
      <c r="C1010" s="209"/>
      <c r="D1010" s="207"/>
      <c r="E1010" s="207"/>
      <c r="F1010" s="206"/>
      <c r="G1010" s="206"/>
      <c r="H1010" s="206"/>
      <c r="I1010" s="209"/>
      <c r="J1010" s="206"/>
      <c r="K1010" s="206"/>
      <c r="L1010" s="206"/>
    </row>
    <row r="1011" spans="1:18" x14ac:dyDescent="0.2">
      <c r="B1011" s="206"/>
      <c r="C1011" s="206" t="s">
        <v>79</v>
      </c>
      <c r="D1011" s="207"/>
      <c r="E1011" s="207"/>
      <c r="F1011" s="206"/>
      <c r="G1011" s="467">
        <v>0</v>
      </c>
      <c r="H1011" s="206"/>
      <c r="I1011" s="206" t="s">
        <v>79</v>
      </c>
      <c r="J1011" s="206"/>
      <c r="K1011" s="206"/>
      <c r="L1011" s="467">
        <v>0</v>
      </c>
    </row>
    <row r="1012" spans="1:18" x14ac:dyDescent="0.2">
      <c r="B1012" s="206"/>
      <c r="C1012" s="206"/>
      <c r="D1012" s="207"/>
      <c r="E1012" s="207"/>
      <c r="F1012" s="206"/>
      <c r="G1012" s="206"/>
      <c r="H1012" s="206"/>
      <c r="I1012" s="206"/>
      <c r="J1012" s="206"/>
      <c r="K1012" s="206"/>
      <c r="L1012" s="206"/>
    </row>
    <row r="1013" spans="1:18" x14ac:dyDescent="0.2">
      <c r="B1013" s="206"/>
      <c r="C1013" s="206" t="s">
        <v>447</v>
      </c>
      <c r="D1013" s="207"/>
      <c r="E1013" s="207"/>
      <c r="F1013" s="206"/>
      <c r="G1013" s="467">
        <v>0</v>
      </c>
      <c r="H1013" s="206"/>
      <c r="I1013" s="206" t="s">
        <v>447</v>
      </c>
      <c r="J1013" s="206"/>
      <c r="K1013" s="206"/>
      <c r="L1013" s="467">
        <v>0</v>
      </c>
    </row>
    <row r="1014" spans="1:18" x14ac:dyDescent="0.2">
      <c r="B1014" s="206"/>
      <c r="C1014" s="206"/>
      <c r="D1014" s="207"/>
      <c r="E1014" s="207"/>
      <c r="F1014" s="206"/>
      <c r="G1014" s="467"/>
      <c r="H1014" s="206"/>
      <c r="I1014" s="206"/>
      <c r="J1014" s="206"/>
      <c r="K1014" s="206"/>
      <c r="L1014" s="467"/>
    </row>
    <row r="1015" spans="1:18" x14ac:dyDescent="0.2">
      <c r="B1015" s="206"/>
      <c r="C1015" s="206"/>
      <c r="D1015" s="207"/>
      <c r="E1015" s="207"/>
      <c r="F1015" s="206"/>
      <c r="G1015" s="467"/>
      <c r="H1015" s="206"/>
      <c r="I1015" s="206"/>
      <c r="J1015" s="206"/>
      <c r="K1015" s="206"/>
      <c r="L1015" s="467"/>
    </row>
    <row r="1016" spans="1:18" x14ac:dyDescent="0.2">
      <c r="B1016" s="206"/>
      <c r="C1016" s="206" t="s">
        <v>448</v>
      </c>
      <c r="D1016" s="207"/>
      <c r="E1016" s="207"/>
      <c r="F1016" s="206"/>
      <c r="G1016" s="467"/>
      <c r="H1016" s="206"/>
      <c r="I1016" s="206" t="s">
        <v>448</v>
      </c>
      <c r="J1016" s="206"/>
      <c r="K1016" s="206"/>
      <c r="L1016" s="467"/>
    </row>
    <row r="1017" spans="1:18" x14ac:dyDescent="0.2">
      <c r="B1017" s="206"/>
      <c r="C1017" s="206" t="s">
        <v>80</v>
      </c>
      <c r="D1017" s="207"/>
      <c r="E1017" s="207"/>
      <c r="F1017" s="206"/>
      <c r="G1017" s="467">
        <f>+'[12]reportes consumidor final'!I973</f>
        <v>0</v>
      </c>
      <c r="H1017" s="206"/>
      <c r="I1017" s="206" t="s">
        <v>80</v>
      </c>
      <c r="J1017" s="206"/>
      <c r="K1017" s="206"/>
      <c r="L1017" s="467">
        <f>+J1002</f>
        <v>3623.26</v>
      </c>
    </row>
    <row r="1018" spans="1:18" x14ac:dyDescent="0.2">
      <c r="B1018" s="206"/>
      <c r="C1018" s="206" t="s">
        <v>449</v>
      </c>
      <c r="D1018" s="207"/>
      <c r="E1018" s="207"/>
      <c r="F1018" s="206"/>
      <c r="G1018" s="468">
        <f>+G1017*0.13</f>
        <v>0</v>
      </c>
      <c r="H1018" s="206"/>
      <c r="I1018" s="206" t="s">
        <v>449</v>
      </c>
      <c r="J1018" s="206"/>
      <c r="K1018" s="206"/>
      <c r="L1018" s="468">
        <f>+K1002</f>
        <v>0</v>
      </c>
    </row>
    <row r="1019" spans="1:18" x14ac:dyDescent="0.2">
      <c r="B1019" s="206"/>
      <c r="C1019" s="206"/>
      <c r="D1019" s="207"/>
      <c r="E1019" s="207"/>
      <c r="F1019" s="206"/>
      <c r="G1019" s="467"/>
      <c r="H1019" s="206"/>
      <c r="I1019" s="206"/>
      <c r="J1019" s="206"/>
      <c r="K1019" s="206"/>
      <c r="L1019" s="467"/>
    </row>
    <row r="1020" spans="1:18" ht="13.5" thickBot="1" x14ac:dyDescent="0.25">
      <c r="B1020" s="206"/>
      <c r="C1020" s="206" t="s">
        <v>450</v>
      </c>
      <c r="D1020" s="207"/>
      <c r="E1020" s="207"/>
      <c r="F1020" s="206"/>
      <c r="G1020" s="469">
        <f>SUM(G1011:G1018)</f>
        <v>0</v>
      </c>
      <c r="H1020" s="206"/>
      <c r="I1020" s="206" t="s">
        <v>450</v>
      </c>
      <c r="J1020" s="206"/>
      <c r="K1020" s="206"/>
      <c r="L1020" s="469">
        <f>SUM(L1017:L1019)</f>
        <v>3623.26</v>
      </c>
    </row>
    <row r="1021" spans="1:18" ht="13.5" thickTop="1" x14ac:dyDescent="0.2">
      <c r="B1021" s="206"/>
      <c r="C1021" s="206"/>
      <c r="D1021" s="207"/>
      <c r="E1021" s="207"/>
      <c r="F1021" s="206"/>
      <c r="G1021" s="206"/>
      <c r="H1021" s="206"/>
      <c r="I1021" s="206"/>
      <c r="J1021" s="206"/>
      <c r="K1021" s="206"/>
      <c r="L1021" s="206"/>
    </row>
    <row r="1022" spans="1:18" s="613" customFormat="1" ht="4.5" customHeight="1" x14ac:dyDescent="0.2">
      <c r="A1022" s="610"/>
      <c r="B1022" s="610"/>
      <c r="C1022" s="611"/>
      <c r="D1022" s="611"/>
      <c r="E1022" s="610"/>
      <c r="F1022" s="610"/>
      <c r="G1022" s="610"/>
      <c r="H1022" s="610"/>
      <c r="I1022" s="610"/>
      <c r="J1022" s="610"/>
      <c r="K1022" s="610"/>
      <c r="L1022" s="610"/>
      <c r="M1022" s="612"/>
      <c r="N1022" s="612"/>
      <c r="O1022" s="612"/>
      <c r="P1022" s="612"/>
      <c r="R1022" s="801"/>
    </row>
    <row r="1026" spans="2:26" x14ac:dyDescent="0.2">
      <c r="B1026" s="217"/>
      <c r="C1026" s="218" t="s">
        <v>137</v>
      </c>
      <c r="D1026" s="219" t="s">
        <v>16</v>
      </c>
      <c r="E1026" s="219"/>
      <c r="F1026" s="219" t="s">
        <v>74</v>
      </c>
      <c r="G1026" s="219"/>
      <c r="H1026" s="220" t="s">
        <v>75</v>
      </c>
      <c r="I1026" s="221"/>
      <c r="J1026" s="221"/>
      <c r="K1026" s="221"/>
      <c r="L1026" s="239"/>
      <c r="O1026" s="303" t="s">
        <v>257</v>
      </c>
      <c r="P1026" s="303"/>
      <c r="Q1026" s="303"/>
      <c r="R1026" s="303"/>
      <c r="U1026" s="153" t="s">
        <v>247</v>
      </c>
      <c r="Y1026" s="144" t="s">
        <v>256</v>
      </c>
      <c r="Z1026" s="144" t="s">
        <v>184</v>
      </c>
    </row>
    <row r="1027" spans="2:26" x14ac:dyDescent="0.2">
      <c r="B1027" s="222" t="s">
        <v>76</v>
      </c>
      <c r="C1027" s="223" t="s">
        <v>77</v>
      </c>
      <c r="D1027" s="223" t="s">
        <v>141</v>
      </c>
      <c r="E1027" s="223" t="s">
        <v>78</v>
      </c>
      <c r="F1027" s="223" t="s">
        <v>142</v>
      </c>
      <c r="G1027" s="223" t="s">
        <v>79</v>
      </c>
      <c r="H1027" s="224" t="s">
        <v>48</v>
      </c>
      <c r="I1027" s="221"/>
      <c r="J1027" s="224" t="s">
        <v>80</v>
      </c>
      <c r="K1027" s="221"/>
      <c r="L1027" s="240" t="s">
        <v>175</v>
      </c>
      <c r="O1027" s="260" t="s">
        <v>595</v>
      </c>
      <c r="P1027" s="96">
        <v>51000000001</v>
      </c>
      <c r="Q1027" s="234" t="s">
        <v>242</v>
      </c>
      <c r="R1027" s="865">
        <f>SUMIFS($J$1029:$J$1040,$E$1029:$E$1040,Q1027,$M$1029:$M$1040,P1027)</f>
        <v>0</v>
      </c>
      <c r="T1027" s="144">
        <v>51000200001</v>
      </c>
      <c r="U1027" s="144" t="s">
        <v>194</v>
      </c>
      <c r="X1027" s="156">
        <v>-140.6200000000008</v>
      </c>
      <c r="Y1027" s="156">
        <f>R1030</f>
        <v>0</v>
      </c>
      <c r="Z1027" s="236">
        <v>0</v>
      </c>
    </row>
    <row r="1028" spans="2:26" x14ac:dyDescent="0.2">
      <c r="B1028" s="225"/>
      <c r="C1028" s="226"/>
      <c r="D1028" s="226"/>
      <c r="E1028" s="225"/>
      <c r="F1028" s="225"/>
      <c r="G1028" s="225"/>
      <c r="H1028" s="227" t="s">
        <v>176</v>
      </c>
      <c r="I1028" s="228" t="s">
        <v>177</v>
      </c>
      <c r="J1028" s="241" t="s">
        <v>178</v>
      </c>
      <c r="K1028" s="241" t="s">
        <v>46</v>
      </c>
      <c r="L1028" s="242" t="s">
        <v>48</v>
      </c>
      <c r="O1028" s="260" t="s">
        <v>595</v>
      </c>
      <c r="P1028" s="96">
        <v>51000000002</v>
      </c>
      <c r="Q1028" s="234" t="s">
        <v>242</v>
      </c>
      <c r="R1028" s="865">
        <f t="shared" ref="R1028:R1046" si="79">SUMIFS($J$1029:$J$1040,$E$1029:$E$1040,Q1028,$M$1029:$M$1040,P1028)</f>
        <v>0</v>
      </c>
      <c r="T1028" s="144">
        <v>51000200002</v>
      </c>
      <c r="U1028" s="144" t="s">
        <v>195</v>
      </c>
      <c r="X1028" s="156">
        <v>-140.6200000000008</v>
      </c>
      <c r="Y1028" s="156">
        <f>R1032</f>
        <v>0</v>
      </c>
      <c r="Z1028" s="236">
        <v>0</v>
      </c>
    </row>
    <row r="1029" spans="2:26" x14ac:dyDescent="0.2">
      <c r="B1029" s="233" t="s">
        <v>1116</v>
      </c>
      <c r="C1029" s="230" t="s">
        <v>362</v>
      </c>
      <c r="D1029" s="230" t="s">
        <v>241</v>
      </c>
      <c r="E1029" s="234" t="str">
        <f>+VLOOKUP(F1029,[13]bd!A:B,2,0)</f>
        <v>BANCO CUSCATLAN DE EL SALVADOR S.A.</v>
      </c>
      <c r="F1029" s="234" t="s">
        <v>47</v>
      </c>
      <c r="G1029" s="234"/>
      <c r="H1029" s="865"/>
      <c r="I1029" s="865"/>
      <c r="J1029" s="865">
        <v>55.62</v>
      </c>
      <c r="K1029" s="235">
        <v>7.23</v>
      </c>
      <c r="L1029" s="865">
        <f t="shared" ref="L1029:L1040" si="80">+J1029+K1029</f>
        <v>62.849999999999994</v>
      </c>
      <c r="M1029" s="608">
        <v>51000200002</v>
      </c>
      <c r="O1029" s="260" t="s">
        <v>595</v>
      </c>
      <c r="P1029" s="96">
        <v>51000100001</v>
      </c>
      <c r="Q1029" s="234" t="s">
        <v>242</v>
      </c>
      <c r="R1029" s="865">
        <f t="shared" si="79"/>
        <v>0</v>
      </c>
      <c r="T1029" s="144">
        <v>51000100001</v>
      </c>
      <c r="U1029" s="156" t="s">
        <v>4</v>
      </c>
      <c r="X1029" s="156">
        <v>-368.94999999999982</v>
      </c>
    </row>
    <row r="1030" spans="2:26" x14ac:dyDescent="0.2">
      <c r="B1030" s="233">
        <v>43780</v>
      </c>
      <c r="C1030" s="230" t="s">
        <v>361</v>
      </c>
      <c r="D1030" s="230" t="s">
        <v>241</v>
      </c>
      <c r="E1030" s="234" t="str">
        <f>+VLOOKUP(F1030,[13]bd!A:B,2,0)</f>
        <v>BANCO CUSCATLAN DE EL SALVADOR S.A.</v>
      </c>
      <c r="F1030" s="234" t="s">
        <v>47</v>
      </c>
      <c r="G1030" s="234"/>
      <c r="H1030" s="865"/>
      <c r="I1030" s="865"/>
      <c r="J1030" s="865">
        <v>55.62</v>
      </c>
      <c r="K1030" s="235">
        <v>7.23</v>
      </c>
      <c r="L1030" s="865">
        <f t="shared" si="80"/>
        <v>62.849999999999994</v>
      </c>
      <c r="M1030" s="608">
        <v>51000200001</v>
      </c>
      <c r="O1030" s="260" t="s">
        <v>595</v>
      </c>
      <c r="P1030" s="96">
        <v>51000100001</v>
      </c>
      <c r="Q1030" s="234" t="s">
        <v>269</v>
      </c>
      <c r="R1030" s="865">
        <f t="shared" si="79"/>
        <v>0</v>
      </c>
      <c r="T1030" s="144">
        <v>51000100002</v>
      </c>
      <c r="U1030" s="156" t="s">
        <v>193</v>
      </c>
      <c r="X1030" s="156">
        <v>-230.60000000000036</v>
      </c>
    </row>
    <row r="1031" spans="2:26" x14ac:dyDescent="0.2">
      <c r="B1031" s="233">
        <v>43783</v>
      </c>
      <c r="C1031" s="230" t="s">
        <v>1117</v>
      </c>
      <c r="D1031" s="230" t="s">
        <v>241</v>
      </c>
      <c r="E1031" s="234" t="str">
        <f>+VLOOKUP(F1031,[13]bd!A:B,2,0)</f>
        <v>BANCO CUSCATLAN DE EL SALVADOR S.A.</v>
      </c>
      <c r="F1031" s="234" t="s">
        <v>47</v>
      </c>
      <c r="G1031" s="234"/>
      <c r="H1031" s="865"/>
      <c r="I1031" s="865"/>
      <c r="J1031" s="865">
        <v>85</v>
      </c>
      <c r="K1031" s="235">
        <v>11.05</v>
      </c>
      <c r="L1031" s="865">
        <f t="shared" si="80"/>
        <v>96.05</v>
      </c>
      <c r="M1031" s="608">
        <v>51000200002</v>
      </c>
      <c r="O1031" s="260" t="s">
        <v>595</v>
      </c>
      <c r="P1031" s="96">
        <v>51000100002</v>
      </c>
      <c r="Q1031" s="234" t="s">
        <v>242</v>
      </c>
      <c r="R1031" s="865">
        <f t="shared" si="79"/>
        <v>0</v>
      </c>
      <c r="T1031" s="144">
        <v>51220200001</v>
      </c>
      <c r="U1031" s="144" t="s">
        <v>21</v>
      </c>
      <c r="X1031" s="156">
        <v>-2205.16</v>
      </c>
      <c r="Y1031" s="156">
        <f>R1039+R1046</f>
        <v>1927.8400000000001</v>
      </c>
      <c r="Z1031" s="236">
        <f>X1032+Y1031</f>
        <v>1927.8400000000001</v>
      </c>
    </row>
    <row r="1032" spans="2:26" x14ac:dyDescent="0.2">
      <c r="B1032" s="233">
        <v>43783</v>
      </c>
      <c r="C1032" s="230" t="s">
        <v>1118</v>
      </c>
      <c r="D1032" s="230" t="s">
        <v>241</v>
      </c>
      <c r="E1032" s="234" t="str">
        <f>+VLOOKUP(F1032,[13]bd!A:B,2,0)</f>
        <v>BANCO CUSCATLAN DE EL SALVADOR S.A.</v>
      </c>
      <c r="F1032" s="234" t="s">
        <v>47</v>
      </c>
      <c r="G1032" s="234"/>
      <c r="H1032" s="865"/>
      <c r="I1032" s="865"/>
      <c r="J1032" s="865">
        <v>85</v>
      </c>
      <c r="K1032" s="235">
        <v>11.05</v>
      </c>
      <c r="L1032" s="865">
        <f t="shared" si="80"/>
        <v>96.05</v>
      </c>
      <c r="M1032" s="608">
        <v>51000200001</v>
      </c>
      <c r="O1032" s="260" t="s">
        <v>595</v>
      </c>
      <c r="P1032" s="96">
        <v>51000100002</v>
      </c>
      <c r="Q1032" s="234" t="s">
        <v>269</v>
      </c>
      <c r="R1032" s="865">
        <f t="shared" si="79"/>
        <v>0</v>
      </c>
      <c r="T1032" s="351">
        <v>52200000001</v>
      </c>
      <c r="U1032" s="351" t="s">
        <v>11</v>
      </c>
      <c r="V1032" s="351"/>
      <c r="W1032" s="351"/>
      <c r="X1032" s="156"/>
      <c r="Y1032" s="156">
        <v>0</v>
      </c>
      <c r="Z1032" s="236">
        <v>0</v>
      </c>
    </row>
    <row r="1033" spans="2:26" x14ac:dyDescent="0.2">
      <c r="B1033" s="233">
        <v>43783</v>
      </c>
      <c r="C1033" s="230" t="s">
        <v>1119</v>
      </c>
      <c r="D1033" s="230" t="s">
        <v>241</v>
      </c>
      <c r="E1033" s="476" t="str">
        <f>+VLOOKUP(F1033,[13]bd!A:B,2,0)</f>
        <v>CITIBANK, N.A. SUCURSAL EL SALVADOR</v>
      </c>
      <c r="F1033" s="476" t="s">
        <v>179</v>
      </c>
      <c r="G1033" s="477"/>
      <c r="H1033" s="478"/>
      <c r="I1033" s="478"/>
      <c r="J1033" s="478">
        <v>242.58</v>
      </c>
      <c r="K1033" s="609">
        <v>31.54</v>
      </c>
      <c r="L1033" s="478">
        <f t="shared" si="80"/>
        <v>274.12</v>
      </c>
      <c r="O1033" s="260" t="s">
        <v>595</v>
      </c>
      <c r="P1033" s="486">
        <v>51000200001</v>
      </c>
      <c r="Q1033" s="476" t="s">
        <v>242</v>
      </c>
      <c r="R1033" s="865">
        <f t="shared" si="79"/>
        <v>140.62</v>
      </c>
      <c r="T1033" s="144">
        <v>51000000001</v>
      </c>
      <c r="U1033" s="144" t="s">
        <v>71</v>
      </c>
      <c r="X1033" s="156"/>
    </row>
    <row r="1034" spans="2:26" x14ac:dyDescent="0.2">
      <c r="B1034" s="233">
        <v>43783</v>
      </c>
      <c r="C1034" s="230" t="s">
        <v>1120</v>
      </c>
      <c r="D1034" s="230" t="s">
        <v>241</v>
      </c>
      <c r="E1034" s="234" t="s">
        <v>259</v>
      </c>
      <c r="F1034" s="234"/>
      <c r="G1034" s="864"/>
      <c r="H1034" s="865"/>
      <c r="I1034" s="865"/>
      <c r="J1034" s="865">
        <v>0</v>
      </c>
      <c r="K1034" s="235">
        <v>0</v>
      </c>
      <c r="L1034" s="865">
        <f t="shared" si="80"/>
        <v>0</v>
      </c>
      <c r="O1034" s="260" t="s">
        <v>595</v>
      </c>
      <c r="P1034" s="96">
        <v>51000200001</v>
      </c>
      <c r="Q1034" s="234" t="s">
        <v>187</v>
      </c>
      <c r="R1034" s="865">
        <f t="shared" si="79"/>
        <v>0</v>
      </c>
      <c r="T1034" s="144">
        <v>51000000002</v>
      </c>
      <c r="U1034" s="144" t="s">
        <v>3</v>
      </c>
      <c r="X1034" s="156"/>
    </row>
    <row r="1035" spans="2:26" x14ac:dyDescent="0.2">
      <c r="B1035" s="233">
        <v>43784</v>
      </c>
      <c r="C1035" s="230" t="s">
        <v>1121</v>
      </c>
      <c r="D1035" s="230" t="s">
        <v>241</v>
      </c>
      <c r="E1035" s="234" t="str">
        <f>+VLOOKUP(F1035,[13]bd!A:B,2,0)</f>
        <v>BANCO CUSCATLAN DE EL SALVADOR S.A.</v>
      </c>
      <c r="F1035" s="234" t="s">
        <v>47</v>
      </c>
      <c r="G1035" s="234"/>
      <c r="H1035" s="865"/>
      <c r="I1035" s="865"/>
      <c r="J1035" s="865">
        <v>1573.49</v>
      </c>
      <c r="K1035" s="235">
        <v>204.55</v>
      </c>
      <c r="L1035" s="865">
        <f t="shared" si="80"/>
        <v>1778.04</v>
      </c>
      <c r="M1035" s="608">
        <v>51220200001</v>
      </c>
      <c r="O1035" s="260" t="s">
        <v>595</v>
      </c>
      <c r="P1035" s="96">
        <v>51000200001</v>
      </c>
      <c r="Q1035" s="234" t="s">
        <v>22</v>
      </c>
      <c r="R1035" s="865">
        <f t="shared" si="79"/>
        <v>0</v>
      </c>
      <c r="T1035" s="144">
        <v>53000100001</v>
      </c>
      <c r="U1035" s="144" t="s">
        <v>73</v>
      </c>
      <c r="X1035" s="356"/>
      <c r="Y1035" s="156">
        <v>0</v>
      </c>
      <c r="Z1035" s="236">
        <v>0</v>
      </c>
    </row>
    <row r="1036" spans="2:26" x14ac:dyDescent="0.2">
      <c r="B1036" s="233">
        <v>43784</v>
      </c>
      <c r="C1036" s="230" t="s">
        <v>1122</v>
      </c>
      <c r="D1036" s="230" t="s">
        <v>241</v>
      </c>
      <c r="E1036" s="234" t="str">
        <f>+VLOOKUP(F1036,[13]bd!A:B,2,0)</f>
        <v>INVERSIONES FINANCIERAS IMPERIA CUSCATLAN, SA</v>
      </c>
      <c r="F1036" s="234" t="s">
        <v>270</v>
      </c>
      <c r="G1036" s="234"/>
      <c r="H1036" s="865"/>
      <c r="I1036" s="865"/>
      <c r="J1036" s="865">
        <v>354.35</v>
      </c>
      <c r="K1036" s="235">
        <v>46.07</v>
      </c>
      <c r="L1036" s="865">
        <f t="shared" si="80"/>
        <v>400.42</v>
      </c>
      <c r="M1036" s="608">
        <v>51220200001</v>
      </c>
      <c r="O1036" s="260" t="s">
        <v>595</v>
      </c>
      <c r="P1036" s="486">
        <v>51000200002</v>
      </c>
      <c r="Q1036" s="476" t="s">
        <v>242</v>
      </c>
      <c r="R1036" s="865">
        <f t="shared" si="79"/>
        <v>140.62</v>
      </c>
      <c r="X1036" s="304">
        <v>0</v>
      </c>
      <c r="Y1036" s="304"/>
      <c r="Z1036" s="300">
        <v>0</v>
      </c>
    </row>
    <row r="1037" spans="2:26" x14ac:dyDescent="0.2">
      <c r="B1037" s="233" t="s">
        <v>1123</v>
      </c>
      <c r="C1037" s="230" t="s">
        <v>1124</v>
      </c>
      <c r="D1037" s="230" t="s">
        <v>241</v>
      </c>
      <c r="E1037" s="476" t="str">
        <f>+VLOOKUP(F1037,[13]bd!A:B,2,0)</f>
        <v>CITIBANK, N.A. SUCURSAL EL SALVADOR</v>
      </c>
      <c r="F1037" s="476" t="s">
        <v>179</v>
      </c>
      <c r="G1037" s="476"/>
      <c r="H1037" s="478"/>
      <c r="I1037" s="478"/>
      <c r="J1037" s="478">
        <v>319.95999999999998</v>
      </c>
      <c r="K1037" s="609">
        <v>41.6</v>
      </c>
      <c r="L1037" s="478">
        <f t="shared" si="80"/>
        <v>361.56</v>
      </c>
      <c r="O1037" s="260" t="s">
        <v>595</v>
      </c>
      <c r="P1037" s="96">
        <v>51000200002</v>
      </c>
      <c r="Q1037" s="234" t="s">
        <v>187</v>
      </c>
      <c r="R1037" s="865">
        <f t="shared" si="79"/>
        <v>0</v>
      </c>
      <c r="X1037" s="290">
        <f>SUM(X1027:X1035)</f>
        <v>-3085.9500000000016</v>
      </c>
      <c r="Y1037" s="290">
        <f>SUM(Y1027:Y1036)</f>
        <v>1927.8400000000001</v>
      </c>
      <c r="Z1037" s="290">
        <f>SUM(Z1027:Z1036)</f>
        <v>1927.8400000000001</v>
      </c>
    </row>
    <row r="1038" spans="2:26" x14ac:dyDescent="0.2">
      <c r="B1038" s="233" t="s">
        <v>1123</v>
      </c>
      <c r="C1038" s="230" t="s">
        <v>1125</v>
      </c>
      <c r="D1038" s="230" t="s">
        <v>241</v>
      </c>
      <c r="E1038" s="476" t="str">
        <f>+VLOOKUP(F1038,[13]bd!A:B,2,0)</f>
        <v>CITIBANK, N.A. SUCURSAL EL SALVADOR</v>
      </c>
      <c r="F1038" s="476" t="s">
        <v>179</v>
      </c>
      <c r="G1038" s="476"/>
      <c r="H1038" s="478"/>
      <c r="I1038" s="478"/>
      <c r="J1038" s="478">
        <v>199.98</v>
      </c>
      <c r="K1038" s="609">
        <v>26</v>
      </c>
      <c r="L1038" s="478">
        <f t="shared" si="80"/>
        <v>225.98</v>
      </c>
      <c r="O1038" s="260" t="s">
        <v>595</v>
      </c>
      <c r="P1038" s="96">
        <v>51000200002</v>
      </c>
      <c r="Q1038" s="234" t="s">
        <v>22</v>
      </c>
      <c r="R1038" s="865">
        <f t="shared" si="79"/>
        <v>0</v>
      </c>
      <c r="U1038" s="156"/>
      <c r="Z1038" s="236"/>
    </row>
    <row r="1039" spans="2:26" x14ac:dyDescent="0.2">
      <c r="B1039" s="233">
        <v>43798</v>
      </c>
      <c r="C1039" s="230" t="s">
        <v>1126</v>
      </c>
      <c r="D1039" s="230" t="s">
        <v>241</v>
      </c>
      <c r="E1039" s="476" t="str">
        <f>+VLOOKUP(F1039,[13]bd!A:B,2,0)</f>
        <v>CITIBANK, N.A. SUCURSAL EL SALVADOR</v>
      </c>
      <c r="F1039" s="476" t="s">
        <v>179</v>
      </c>
      <c r="G1039" s="476"/>
      <c r="H1039" s="478"/>
      <c r="I1039" s="478"/>
      <c r="J1039" s="478">
        <v>48.99</v>
      </c>
      <c r="K1039" s="609">
        <v>6.37</v>
      </c>
      <c r="L1039" s="478">
        <f t="shared" si="80"/>
        <v>55.36</v>
      </c>
      <c r="O1039" s="260" t="s">
        <v>595</v>
      </c>
      <c r="P1039" s="486">
        <v>51220200001</v>
      </c>
      <c r="Q1039" s="476" t="s">
        <v>242</v>
      </c>
      <c r="R1039" s="865">
        <f t="shared" si="79"/>
        <v>1573.49</v>
      </c>
      <c r="U1039" s="156"/>
    </row>
    <row r="1040" spans="2:26" x14ac:dyDescent="0.2">
      <c r="B1040" s="233">
        <v>43798</v>
      </c>
      <c r="C1040" s="230" t="s">
        <v>1127</v>
      </c>
      <c r="D1040" s="230" t="s">
        <v>241</v>
      </c>
      <c r="E1040" s="476" t="str">
        <f>+VLOOKUP(F1040,[13]bd!A:B,2,0)</f>
        <v>CITIBANK, N.A. SUCURSAL EL SALVADOR</v>
      </c>
      <c r="F1040" s="476" t="s">
        <v>179</v>
      </c>
      <c r="G1040" s="476"/>
      <c r="H1040" s="478"/>
      <c r="I1040" s="478"/>
      <c r="J1040" s="478">
        <v>30.62</v>
      </c>
      <c r="K1040" s="609">
        <v>3.98</v>
      </c>
      <c r="L1040" s="478">
        <f t="shared" si="80"/>
        <v>34.6</v>
      </c>
      <c r="O1040" s="260" t="s">
        <v>595</v>
      </c>
      <c r="P1040" s="96">
        <v>51220200001</v>
      </c>
      <c r="Q1040" s="234" t="s">
        <v>187</v>
      </c>
      <c r="R1040" s="865">
        <f t="shared" si="79"/>
        <v>0</v>
      </c>
    </row>
    <row r="1041" spans="3:25" x14ac:dyDescent="0.2">
      <c r="O1041" s="260" t="s">
        <v>595</v>
      </c>
      <c r="P1041" s="96">
        <v>51220200001</v>
      </c>
      <c r="Q1041" s="234" t="s">
        <v>22</v>
      </c>
      <c r="R1041" s="865">
        <f t="shared" si="79"/>
        <v>0</v>
      </c>
    </row>
    <row r="1042" spans="3:25" x14ac:dyDescent="0.2">
      <c r="C1042" s="230" t="s">
        <v>18</v>
      </c>
      <c r="D1042" s="230"/>
      <c r="E1042" s="234" t="s">
        <v>321</v>
      </c>
      <c r="F1042" s="206"/>
      <c r="G1042" s="289"/>
      <c r="H1042" s="289"/>
      <c r="I1042" s="289"/>
      <c r="J1042" s="289"/>
      <c r="K1042" s="601">
        <v>-396.67</v>
      </c>
      <c r="L1042" s="865">
        <f>+J1042+K1042</f>
        <v>-396.67</v>
      </c>
      <c r="O1042" s="260" t="s">
        <v>595</v>
      </c>
      <c r="P1042" s="96">
        <v>52200000001</v>
      </c>
      <c r="Q1042" s="234" t="s">
        <v>242</v>
      </c>
      <c r="R1042" s="865">
        <f t="shared" si="79"/>
        <v>0</v>
      </c>
      <c r="W1042" s="153" t="s">
        <v>255</v>
      </c>
      <c r="X1042" s="236">
        <f>+X1027+X1028+X1029+X1030+X1031</f>
        <v>-3085.9500000000016</v>
      </c>
    </row>
    <row r="1043" spans="3:25" x14ac:dyDescent="0.2">
      <c r="C1043" s="230"/>
      <c r="D1043" s="230"/>
      <c r="E1043" s="234"/>
      <c r="F1043" s="206"/>
      <c r="G1043" s="289"/>
      <c r="H1043" s="289"/>
      <c r="I1043" s="289"/>
      <c r="J1043" s="289"/>
      <c r="K1043" s="235"/>
      <c r="L1043" s="865">
        <f>+J1043+K1043</f>
        <v>0</v>
      </c>
      <c r="O1043" s="260" t="s">
        <v>595</v>
      </c>
      <c r="P1043" s="96">
        <v>52200000001</v>
      </c>
      <c r="Q1043" s="234" t="s">
        <v>187</v>
      </c>
      <c r="R1043" s="865">
        <f t="shared" si="79"/>
        <v>0</v>
      </c>
      <c r="W1043" s="144" t="s">
        <v>257</v>
      </c>
      <c r="X1043" s="236">
        <f>+R1047</f>
        <v>2209.08</v>
      </c>
    </row>
    <row r="1044" spans="3:25" x14ac:dyDescent="0.2">
      <c r="C1044" s="230"/>
      <c r="D1044" s="230"/>
      <c r="E1044" s="234"/>
      <c r="F1044" s="206"/>
      <c r="G1044" s="289"/>
      <c r="H1044" s="289"/>
      <c r="I1044" s="289"/>
      <c r="J1044" s="289"/>
      <c r="K1044" s="235"/>
      <c r="L1044" s="865"/>
      <c r="O1044" s="260" t="s">
        <v>595</v>
      </c>
      <c r="P1044" s="96">
        <v>52200000001</v>
      </c>
      <c r="Q1044" s="234" t="s">
        <v>22</v>
      </c>
      <c r="R1044" s="865">
        <f t="shared" si="79"/>
        <v>0</v>
      </c>
      <c r="W1044" s="144" t="s">
        <v>260</v>
      </c>
      <c r="X1044" s="300">
        <f>+J1033+J1037+J1038+J1039+J1040</f>
        <v>842.13</v>
      </c>
    </row>
    <row r="1045" spans="3:25" x14ac:dyDescent="0.2">
      <c r="C1045" s="230"/>
      <c r="D1045" s="230"/>
      <c r="E1045" s="234"/>
      <c r="F1045" s="206"/>
      <c r="G1045" s="289"/>
      <c r="H1045" s="289"/>
      <c r="I1045" s="289"/>
      <c r="J1045" s="289"/>
      <c r="K1045" s="235"/>
      <c r="L1045" s="865"/>
      <c r="O1045" s="260" t="s">
        <v>595</v>
      </c>
      <c r="P1045" s="96">
        <v>52200000001</v>
      </c>
      <c r="Q1045" s="234" t="s">
        <v>242</v>
      </c>
      <c r="R1045" s="865">
        <f t="shared" si="79"/>
        <v>0</v>
      </c>
      <c r="X1045" s="704">
        <f>X1042+X1043+X1044</f>
        <v>-34.740000000001714</v>
      </c>
      <c r="Y1045" s="144" t="s">
        <v>275</v>
      </c>
    </row>
    <row r="1046" spans="3:25" x14ac:dyDescent="0.2">
      <c r="C1046" s="207"/>
      <c r="D1046" s="207"/>
      <c r="E1046" s="234"/>
      <c r="F1046" s="206"/>
      <c r="G1046" s="289"/>
      <c r="H1046" s="289"/>
      <c r="I1046" s="289"/>
      <c r="J1046" s="289"/>
      <c r="K1046" s="289"/>
      <c r="L1046" s="289"/>
      <c r="O1046" s="260" t="s">
        <v>595</v>
      </c>
      <c r="P1046" s="486">
        <v>51220200001</v>
      </c>
      <c r="Q1046" s="476" t="s">
        <v>269</v>
      </c>
      <c r="R1046" s="865">
        <f t="shared" si="79"/>
        <v>354.35</v>
      </c>
    </row>
    <row r="1047" spans="3:25" ht="13.5" thickBot="1" x14ac:dyDescent="0.25">
      <c r="C1047" s="296"/>
      <c r="D1047" s="296"/>
      <c r="E1047" s="234"/>
      <c r="F1047" s="295"/>
      <c r="G1047" s="297"/>
      <c r="H1047" s="297"/>
      <c r="I1047" s="297"/>
      <c r="J1047" s="297"/>
      <c r="K1047" s="297"/>
      <c r="L1047" s="297"/>
      <c r="O1047" s="863"/>
      <c r="P1047" s="863"/>
      <c r="R1047" s="607">
        <f>SUM(R1027:R1046)</f>
        <v>2209.08</v>
      </c>
      <c r="X1047" s="236"/>
    </row>
    <row r="1048" spans="3:25" ht="13.5" thickTop="1" x14ac:dyDescent="0.2">
      <c r="C1048" s="207"/>
      <c r="D1048" s="207"/>
      <c r="E1048" s="206"/>
      <c r="F1048" s="206"/>
      <c r="G1048" s="298">
        <f t="shared" ref="G1048:I1048" si="81">SUM(G1001:G1047)</f>
        <v>0</v>
      </c>
      <c r="H1048" s="298">
        <f t="shared" si="81"/>
        <v>0</v>
      </c>
      <c r="I1048" s="298">
        <f t="shared" si="81"/>
        <v>0</v>
      </c>
      <c r="J1048" s="298">
        <f>SUM(J1029:J1047)</f>
        <v>3051.2099999999996</v>
      </c>
      <c r="K1048" s="298">
        <f>SUM(K1029:K1047)</f>
        <v>0</v>
      </c>
      <c r="L1048" s="298">
        <f>SUM(L1029:L1047)</f>
        <v>3051.21</v>
      </c>
    </row>
    <row r="1049" spans="3:25" x14ac:dyDescent="0.2">
      <c r="C1049" s="207"/>
      <c r="D1049" s="207"/>
      <c r="E1049" s="206"/>
      <c r="F1049" s="206"/>
      <c r="G1049" s="366"/>
      <c r="H1049" s="366"/>
      <c r="I1049" s="366"/>
      <c r="J1049" s="366"/>
      <c r="K1049" s="366"/>
      <c r="L1049" s="366"/>
    </row>
    <row r="1050" spans="3:25" x14ac:dyDescent="0.2">
      <c r="C1050" s="209" t="s">
        <v>445</v>
      </c>
      <c r="D1050" s="207"/>
      <c r="E1050" s="207"/>
      <c r="F1050" s="206"/>
      <c r="G1050" s="206"/>
      <c r="H1050" s="206"/>
      <c r="I1050" s="209" t="s">
        <v>446</v>
      </c>
      <c r="J1050" s="206"/>
      <c r="K1050" s="206"/>
      <c r="L1050" s="206"/>
      <c r="V1050" s="156"/>
      <c r="X1050" s="156"/>
    </row>
    <row r="1051" spans="3:25" x14ac:dyDescent="0.2">
      <c r="C1051" s="209"/>
      <c r="D1051" s="207"/>
      <c r="E1051" s="207"/>
      <c r="F1051" s="206"/>
      <c r="G1051" s="206"/>
      <c r="H1051" s="206"/>
      <c r="I1051" s="209"/>
      <c r="J1051" s="206">
        <v>0</v>
      </c>
      <c r="K1051" s="206"/>
      <c r="L1051" s="206"/>
      <c r="V1051" s="156"/>
      <c r="X1051" s="156"/>
    </row>
    <row r="1052" spans="3:25" x14ac:dyDescent="0.2">
      <c r="C1052" s="206" t="s">
        <v>79</v>
      </c>
      <c r="D1052" s="207"/>
      <c r="E1052" s="207"/>
      <c r="F1052" s="206"/>
      <c r="G1052" s="467">
        <v>0</v>
      </c>
      <c r="H1052" s="206"/>
      <c r="I1052" s="206" t="s">
        <v>79</v>
      </c>
      <c r="J1052" s="206"/>
      <c r="K1052" s="206"/>
      <c r="L1052" s="467">
        <v>0</v>
      </c>
      <c r="V1052" s="156"/>
      <c r="X1052" s="156"/>
    </row>
    <row r="1053" spans="3:25" x14ac:dyDescent="0.2">
      <c r="C1053" s="206"/>
      <c r="D1053" s="207"/>
      <c r="E1053" s="207"/>
      <c r="F1053" s="206"/>
      <c r="G1053" s="206"/>
      <c r="H1053" s="206"/>
      <c r="I1053" s="206"/>
      <c r="J1053" s="206">
        <v>0</v>
      </c>
      <c r="K1053" s="206"/>
      <c r="L1053" s="206"/>
      <c r="X1053" s="156"/>
    </row>
    <row r="1054" spans="3:25" x14ac:dyDescent="0.2">
      <c r="C1054" s="206" t="s">
        <v>447</v>
      </c>
      <c r="D1054" s="207"/>
      <c r="E1054" s="207"/>
      <c r="F1054" s="206"/>
      <c r="G1054" s="467">
        <v>0</v>
      </c>
      <c r="H1054" s="206"/>
      <c r="I1054" s="206" t="s">
        <v>447</v>
      </c>
      <c r="J1054" s="206"/>
      <c r="K1054" s="206"/>
      <c r="L1054" s="467">
        <v>0</v>
      </c>
      <c r="X1054" s="156"/>
    </row>
    <row r="1055" spans="3:25" x14ac:dyDescent="0.2">
      <c r="C1055" s="206"/>
      <c r="D1055" s="207"/>
      <c r="E1055" s="207"/>
      <c r="F1055" s="206"/>
      <c r="G1055" s="467"/>
      <c r="H1055" s="206"/>
      <c r="I1055" s="206"/>
      <c r="J1055" s="206"/>
      <c r="K1055" s="206"/>
      <c r="L1055" s="467"/>
    </row>
    <row r="1056" spans="3:25" x14ac:dyDescent="0.2">
      <c r="C1056" s="206"/>
      <c r="D1056" s="207"/>
      <c r="E1056" s="207"/>
      <c r="F1056" s="206"/>
      <c r="G1056" s="467"/>
      <c r="H1056" s="206"/>
      <c r="I1056" s="206"/>
      <c r="J1056" s="206"/>
      <c r="K1056" s="206"/>
      <c r="L1056" s="467"/>
    </row>
    <row r="1057" spans="1:26" x14ac:dyDescent="0.2">
      <c r="C1057" s="206" t="s">
        <v>448</v>
      </c>
      <c r="D1057" s="207"/>
      <c r="E1057" s="207"/>
      <c r="F1057" s="206"/>
      <c r="G1057" s="467"/>
      <c r="H1057" s="206"/>
      <c r="I1057" s="206" t="s">
        <v>448</v>
      </c>
      <c r="J1057" s="356"/>
      <c r="K1057" s="206"/>
      <c r="L1057" s="467"/>
    </row>
    <row r="1058" spans="1:26" x14ac:dyDescent="0.2">
      <c r="C1058" s="206" t="s">
        <v>80</v>
      </c>
      <c r="D1058" s="207"/>
      <c r="E1058" s="207"/>
      <c r="F1058" s="206"/>
      <c r="G1058" s="467">
        <f>+'[13]reportes consumidor final'!I1025</f>
        <v>0</v>
      </c>
      <c r="H1058" s="206"/>
      <c r="I1058" s="206" t="s">
        <v>80</v>
      </c>
      <c r="J1058" s="467">
        <v>34.74</v>
      </c>
      <c r="K1058" s="206"/>
      <c r="L1058" s="467">
        <f>+J1048</f>
        <v>3051.2099999999996</v>
      </c>
    </row>
    <row r="1059" spans="1:26" x14ac:dyDescent="0.2">
      <c r="C1059" s="206" t="s">
        <v>449</v>
      </c>
      <c r="D1059" s="207"/>
      <c r="E1059" s="207"/>
      <c r="F1059" s="206"/>
      <c r="G1059" s="468">
        <f>+G1058*0.13</f>
        <v>0</v>
      </c>
      <c r="H1059" s="206"/>
      <c r="I1059" s="206" t="s">
        <v>449</v>
      </c>
      <c r="J1059" s="468">
        <v>4.5162000000000004</v>
      </c>
      <c r="K1059" s="206"/>
      <c r="L1059" s="468">
        <f>+K1048</f>
        <v>0</v>
      </c>
    </row>
    <row r="1060" spans="1:26" x14ac:dyDescent="0.2">
      <c r="C1060" s="206"/>
      <c r="D1060" s="207"/>
      <c r="E1060" s="207"/>
      <c r="F1060" s="206"/>
      <c r="G1060" s="467"/>
      <c r="H1060" s="206"/>
      <c r="I1060" s="206"/>
      <c r="J1060" s="467"/>
      <c r="K1060" s="206"/>
      <c r="L1060" s="467"/>
    </row>
    <row r="1061" spans="1:26" ht="13.5" thickBot="1" x14ac:dyDescent="0.25">
      <c r="C1061" s="206" t="s">
        <v>450</v>
      </c>
      <c r="D1061" s="207"/>
      <c r="E1061" s="207"/>
      <c r="F1061" s="206"/>
      <c r="G1061" s="469">
        <f>SUM(G1052:G1059)</f>
        <v>0</v>
      </c>
      <c r="H1061" s="206"/>
      <c r="I1061" s="206" t="s">
        <v>450</v>
      </c>
      <c r="J1061" s="469">
        <v>39.2562</v>
      </c>
      <c r="K1061" s="206"/>
      <c r="L1061" s="469">
        <f>SUM(L1058:L1060)</f>
        <v>3051.2099999999996</v>
      </c>
    </row>
    <row r="1062" spans="1:26" ht="13.5" thickTop="1" x14ac:dyDescent="0.2">
      <c r="J1062" s="356"/>
    </row>
    <row r="1064" spans="1:26" s="613" customFormat="1" ht="4.5" customHeight="1" x14ac:dyDescent="0.2">
      <c r="A1064" s="610"/>
      <c r="B1064" s="610"/>
      <c r="C1064" s="611"/>
      <c r="D1064" s="611"/>
      <c r="E1064" s="610"/>
      <c r="F1064" s="610"/>
      <c r="G1064" s="610"/>
      <c r="H1064" s="610"/>
      <c r="I1064" s="610"/>
      <c r="J1064" s="610"/>
      <c r="K1064" s="610"/>
      <c r="L1064" s="610"/>
      <c r="M1064" s="612"/>
      <c r="N1064" s="612"/>
      <c r="O1064" s="612"/>
      <c r="P1064" s="612"/>
      <c r="R1064" s="801"/>
    </row>
    <row r="1068" spans="1:26" x14ac:dyDescent="0.2">
      <c r="B1068" s="217"/>
      <c r="C1068" s="218" t="s">
        <v>137</v>
      </c>
      <c r="D1068" s="219" t="s">
        <v>16</v>
      </c>
      <c r="E1068" s="219"/>
      <c r="F1068" s="219" t="s">
        <v>74</v>
      </c>
      <c r="G1068" s="219"/>
      <c r="H1068" s="220" t="s">
        <v>75</v>
      </c>
      <c r="I1068" s="221"/>
      <c r="J1068" s="221"/>
      <c r="K1068" s="221"/>
      <c r="L1068" s="239"/>
      <c r="O1068" s="303" t="s">
        <v>257</v>
      </c>
      <c r="P1068" s="303"/>
      <c r="Q1068" s="303"/>
      <c r="R1068" s="303"/>
      <c r="U1068" s="153" t="s">
        <v>247</v>
      </c>
      <c r="Y1068" s="144" t="s">
        <v>256</v>
      </c>
      <c r="Z1068" s="144" t="s">
        <v>184</v>
      </c>
    </row>
    <row r="1069" spans="1:26" x14ac:dyDescent="0.2">
      <c r="B1069" s="222" t="s">
        <v>76</v>
      </c>
      <c r="C1069" s="223" t="s">
        <v>77</v>
      </c>
      <c r="D1069" s="223" t="s">
        <v>141</v>
      </c>
      <c r="E1069" s="223" t="s">
        <v>78</v>
      </c>
      <c r="F1069" s="223" t="s">
        <v>142</v>
      </c>
      <c r="G1069" s="223" t="s">
        <v>79</v>
      </c>
      <c r="H1069" s="224" t="s">
        <v>48</v>
      </c>
      <c r="I1069" s="221"/>
      <c r="J1069" s="224" t="s">
        <v>80</v>
      </c>
      <c r="K1069" s="221"/>
      <c r="L1069" s="240" t="s">
        <v>175</v>
      </c>
      <c r="O1069" s="260" t="s">
        <v>608</v>
      </c>
      <c r="P1069" s="96">
        <v>51000000001</v>
      </c>
      <c r="Q1069" s="234" t="s">
        <v>242</v>
      </c>
      <c r="R1069" s="865">
        <f>SUMIFS($J$1071:$J$1082,$E$1071:$E$1082,Q1069,$M$1071:$M$1082,P1069)</f>
        <v>0</v>
      </c>
      <c r="T1069" s="144">
        <v>51000200001</v>
      </c>
      <c r="U1069" s="144" t="s">
        <v>194</v>
      </c>
      <c r="X1069" s="156">
        <v>-146.69000000000051</v>
      </c>
      <c r="Y1069" s="156">
        <f>R1072</f>
        <v>0</v>
      </c>
      <c r="Z1069" s="236">
        <v>0</v>
      </c>
    </row>
    <row r="1070" spans="1:26" x14ac:dyDescent="0.2">
      <c r="B1070" s="225"/>
      <c r="C1070" s="226"/>
      <c r="D1070" s="226"/>
      <c r="E1070" s="225"/>
      <c r="F1070" s="225"/>
      <c r="G1070" s="225"/>
      <c r="H1070" s="227" t="s">
        <v>176</v>
      </c>
      <c r="I1070" s="228" t="s">
        <v>177</v>
      </c>
      <c r="J1070" s="241" t="s">
        <v>178</v>
      </c>
      <c r="K1070" s="241" t="s">
        <v>46</v>
      </c>
      <c r="L1070" s="242" t="s">
        <v>48</v>
      </c>
      <c r="O1070" s="260" t="s">
        <v>608</v>
      </c>
      <c r="P1070" s="96">
        <v>51000000002</v>
      </c>
      <c r="Q1070" s="234" t="s">
        <v>242</v>
      </c>
      <c r="R1070" s="865">
        <f t="shared" ref="R1070:R1088" si="82">SUMIFS($J$1071:$J$1082,$E$1071:$E$1082,Q1070,$M$1071:$M$1082,P1070)</f>
        <v>0</v>
      </c>
      <c r="T1070" s="144">
        <v>51000200002</v>
      </c>
      <c r="U1070" s="144" t="s">
        <v>195</v>
      </c>
      <c r="X1070" s="156">
        <v>-146.69000000000051</v>
      </c>
      <c r="Y1070" s="156">
        <f>R1074</f>
        <v>0</v>
      </c>
      <c r="Z1070" s="236">
        <v>0</v>
      </c>
    </row>
    <row r="1071" spans="1:26" x14ac:dyDescent="0.2">
      <c r="B1071" s="1006" t="s">
        <v>1149</v>
      </c>
      <c r="C1071" s="230" t="s">
        <v>1150</v>
      </c>
      <c r="D1071" s="230" t="s">
        <v>241</v>
      </c>
      <c r="E1071" s="234" t="str">
        <f>+VLOOKUP(F1071,[14]bd!A:B,2,0)</f>
        <v>BANCO CUSCATLAN DE EL SALVADOR S.A.</v>
      </c>
      <c r="F1071" s="234" t="s">
        <v>47</v>
      </c>
      <c r="G1071" s="234"/>
      <c r="H1071" s="865"/>
      <c r="I1071" s="865"/>
      <c r="J1071" s="865">
        <v>78.19</v>
      </c>
      <c r="K1071" s="235">
        <v>10.16</v>
      </c>
      <c r="L1071" s="865">
        <f t="shared" ref="L1071:L1082" si="83">+J1071+K1071</f>
        <v>88.35</v>
      </c>
      <c r="M1071" s="608">
        <v>51000200002</v>
      </c>
      <c r="O1071" s="260" t="s">
        <v>608</v>
      </c>
      <c r="P1071" s="96">
        <v>51000100001</v>
      </c>
      <c r="Q1071" s="234" t="s">
        <v>242</v>
      </c>
      <c r="R1071" s="865">
        <f t="shared" si="82"/>
        <v>0</v>
      </c>
      <c r="T1071" s="144">
        <v>51000100001</v>
      </c>
      <c r="U1071" s="156" t="s">
        <v>4</v>
      </c>
      <c r="X1071" s="156">
        <v>-1766.4700000000003</v>
      </c>
    </row>
    <row r="1072" spans="1:26" x14ac:dyDescent="0.2">
      <c r="B1072" s="1006" t="s">
        <v>1149</v>
      </c>
      <c r="C1072" s="230" t="s">
        <v>1151</v>
      </c>
      <c r="D1072" s="230" t="s">
        <v>241</v>
      </c>
      <c r="E1072" s="234" t="str">
        <f>+VLOOKUP(F1072,[14]bd!A:B,2,0)</f>
        <v>BANCO CUSCATLAN DE EL SALVADOR S.A.</v>
      </c>
      <c r="F1072" s="234" t="s">
        <v>47</v>
      </c>
      <c r="G1072" s="234"/>
      <c r="H1072" s="865"/>
      <c r="I1072" s="865"/>
      <c r="J1072" s="865">
        <v>78.19</v>
      </c>
      <c r="K1072" s="235">
        <v>10.16</v>
      </c>
      <c r="L1072" s="865">
        <f t="shared" si="83"/>
        <v>88.35</v>
      </c>
      <c r="M1072" s="608">
        <v>51000200001</v>
      </c>
      <c r="O1072" s="260" t="s">
        <v>608</v>
      </c>
      <c r="P1072" s="96">
        <v>51000100001</v>
      </c>
      <c r="Q1072" s="234" t="s">
        <v>269</v>
      </c>
      <c r="R1072" s="865">
        <f t="shared" si="82"/>
        <v>0</v>
      </c>
      <c r="T1072" s="144">
        <v>51000100002</v>
      </c>
      <c r="U1072" s="156" t="s">
        <v>193</v>
      </c>
      <c r="X1072" s="156">
        <v>-1104.04</v>
      </c>
    </row>
    <row r="1073" spans="2:26" x14ac:dyDescent="0.2">
      <c r="B1073" s="1006" t="s">
        <v>1149</v>
      </c>
      <c r="C1073" s="230" t="s">
        <v>1152</v>
      </c>
      <c r="D1073" s="230" t="s">
        <v>241</v>
      </c>
      <c r="E1073" s="234" t="s">
        <v>259</v>
      </c>
      <c r="F1073" s="234"/>
      <c r="G1073" s="234"/>
      <c r="H1073" s="865"/>
      <c r="I1073" s="865"/>
      <c r="J1073" s="865">
        <v>0</v>
      </c>
      <c r="K1073" s="235">
        <v>0</v>
      </c>
      <c r="L1073" s="865">
        <f t="shared" si="83"/>
        <v>0</v>
      </c>
      <c r="O1073" s="260" t="s">
        <v>608</v>
      </c>
      <c r="P1073" s="96">
        <v>51000100002</v>
      </c>
      <c r="Q1073" s="234" t="s">
        <v>242</v>
      </c>
      <c r="R1073" s="865">
        <f t="shared" si="82"/>
        <v>0</v>
      </c>
      <c r="T1073" s="144">
        <v>51220200001</v>
      </c>
      <c r="U1073" s="144" t="s">
        <v>21</v>
      </c>
      <c r="X1073" s="156">
        <v>-2260.8199999999997</v>
      </c>
      <c r="Y1073" s="156">
        <f>R1081+R1088</f>
        <v>1975.87</v>
      </c>
      <c r="Z1073" s="236">
        <f>X1074+Y1073</f>
        <v>-6263.29</v>
      </c>
    </row>
    <row r="1074" spans="2:26" x14ac:dyDescent="0.2">
      <c r="B1074" s="1006" t="s">
        <v>1153</v>
      </c>
      <c r="C1074" s="230" t="s">
        <v>1154</v>
      </c>
      <c r="D1074" s="230" t="s">
        <v>241</v>
      </c>
      <c r="E1074" s="234" t="str">
        <f>+VLOOKUP(F1074,[14]bd!A:B,2,0)</f>
        <v>BANCO CUSCATLAN DE EL SALVADOR S.A.</v>
      </c>
      <c r="F1074" s="234" t="s">
        <v>47</v>
      </c>
      <c r="G1074" s="234"/>
      <c r="H1074" s="865"/>
      <c r="I1074" s="865"/>
      <c r="J1074" s="865">
        <v>1621.52</v>
      </c>
      <c r="K1074" s="235">
        <v>210.8</v>
      </c>
      <c r="L1074" s="865">
        <f t="shared" si="83"/>
        <v>1832.32</v>
      </c>
      <c r="M1074" s="608">
        <v>51220200001</v>
      </c>
      <c r="O1074" s="260" t="s">
        <v>608</v>
      </c>
      <c r="P1074" s="96">
        <v>51000100002</v>
      </c>
      <c r="Q1074" s="234" t="s">
        <v>269</v>
      </c>
      <c r="R1074" s="865">
        <f t="shared" si="82"/>
        <v>0</v>
      </c>
      <c r="T1074" s="351">
        <v>52200000001</v>
      </c>
      <c r="U1074" s="351" t="s">
        <v>11</v>
      </c>
      <c r="V1074" s="351"/>
      <c r="W1074" s="351"/>
      <c r="X1074" s="156">
        <v>-8239.16</v>
      </c>
      <c r="Y1074" s="156">
        <v>0</v>
      </c>
      <c r="Z1074" s="236">
        <v>0</v>
      </c>
    </row>
    <row r="1075" spans="2:26" x14ac:dyDescent="0.2">
      <c r="B1075" s="1006" t="s">
        <v>1153</v>
      </c>
      <c r="C1075" s="230" t="s">
        <v>1155</v>
      </c>
      <c r="D1075" s="230" t="s">
        <v>241</v>
      </c>
      <c r="E1075" s="476" t="str">
        <f>+VLOOKUP(F1075,[14]bd!A:B,2,0)</f>
        <v>CITIBANK, N.A. SUCURSAL EL SALVADOR</v>
      </c>
      <c r="F1075" s="476" t="s">
        <v>179</v>
      </c>
      <c r="G1075" s="477"/>
      <c r="H1075" s="478"/>
      <c r="I1075" s="478"/>
      <c r="J1075" s="478">
        <v>271.38</v>
      </c>
      <c r="K1075" s="609">
        <v>35.28</v>
      </c>
      <c r="L1075" s="478">
        <f t="shared" si="83"/>
        <v>306.65999999999997</v>
      </c>
      <c r="M1075" s="719"/>
      <c r="O1075" s="260" t="s">
        <v>608</v>
      </c>
      <c r="P1075" s="486">
        <v>51000200001</v>
      </c>
      <c r="Q1075" s="476" t="s">
        <v>242</v>
      </c>
      <c r="R1075" s="865">
        <f t="shared" si="82"/>
        <v>112.44</v>
      </c>
      <c r="T1075" s="144">
        <v>51000000001</v>
      </c>
      <c r="U1075" s="144" t="s">
        <v>71</v>
      </c>
      <c r="X1075" s="156"/>
    </row>
    <row r="1076" spans="2:26" x14ac:dyDescent="0.2">
      <c r="B1076" s="1006" t="s">
        <v>1153</v>
      </c>
      <c r="C1076" s="230" t="s">
        <v>1156</v>
      </c>
      <c r="D1076" s="230" t="s">
        <v>241</v>
      </c>
      <c r="E1076" s="234" t="str">
        <f>+VLOOKUP(F1076,[14]bd!A:B,2,0)</f>
        <v>INVERSIONES FINANCIERAS IMPERIA CUSCATLAN, SA</v>
      </c>
      <c r="F1076" s="234" t="s">
        <v>270</v>
      </c>
      <c r="G1076" s="864"/>
      <c r="H1076" s="865"/>
      <c r="I1076" s="865"/>
      <c r="J1076" s="865">
        <v>354.35</v>
      </c>
      <c r="K1076" s="235">
        <v>46.07</v>
      </c>
      <c r="L1076" s="865">
        <f t="shared" si="83"/>
        <v>400.42</v>
      </c>
      <c r="M1076" s="608">
        <v>51220200001</v>
      </c>
      <c r="O1076" s="260" t="s">
        <v>608</v>
      </c>
      <c r="P1076" s="96">
        <v>51000200001</v>
      </c>
      <c r="Q1076" s="234" t="s">
        <v>187</v>
      </c>
      <c r="R1076" s="865">
        <f t="shared" si="82"/>
        <v>0</v>
      </c>
      <c r="T1076" s="144">
        <v>51000000002</v>
      </c>
      <c r="U1076" s="144" t="s">
        <v>3</v>
      </c>
      <c r="X1076" s="156"/>
    </row>
    <row r="1077" spans="2:26" x14ac:dyDescent="0.2">
      <c r="B1077" s="1007" t="s">
        <v>1157</v>
      </c>
      <c r="C1077" s="339" t="s">
        <v>1158</v>
      </c>
      <c r="D1077" s="230" t="s">
        <v>241</v>
      </c>
      <c r="E1077" s="476" t="str">
        <f>+VLOOKUP(F1077,[14]bd!A:B,2,0)</f>
        <v>CITIBANK, N.A. SUCURSAL EL SALVADOR</v>
      </c>
      <c r="F1077" s="476" t="s">
        <v>179</v>
      </c>
      <c r="G1077" s="476"/>
      <c r="H1077" s="478"/>
      <c r="I1077" s="478"/>
      <c r="J1077" s="478">
        <v>34.25</v>
      </c>
      <c r="K1077" s="609">
        <v>4.45</v>
      </c>
      <c r="L1077" s="478">
        <f t="shared" si="83"/>
        <v>38.700000000000003</v>
      </c>
      <c r="M1077" s="483"/>
      <c r="O1077" s="260" t="s">
        <v>608</v>
      </c>
      <c r="P1077" s="96">
        <v>51000200001</v>
      </c>
      <c r="Q1077" s="234" t="s">
        <v>22</v>
      </c>
      <c r="R1077" s="865">
        <f t="shared" si="82"/>
        <v>0</v>
      </c>
      <c r="T1077" s="144">
        <v>53000100001</v>
      </c>
      <c r="U1077" s="144" t="s">
        <v>73</v>
      </c>
      <c r="X1077" s="356"/>
      <c r="Y1077" s="156">
        <v>0</v>
      </c>
      <c r="Z1077" s="236">
        <v>0</v>
      </c>
    </row>
    <row r="1078" spans="2:26" x14ac:dyDescent="0.2">
      <c r="B1078" s="1007" t="s">
        <v>1157</v>
      </c>
      <c r="C1078" s="1017" t="s">
        <v>1159</v>
      </c>
      <c r="D1078" s="230" t="s">
        <v>241</v>
      </c>
      <c r="E1078" s="476" t="str">
        <f>+VLOOKUP(F1078,[14]bd!A:B,2,0)</f>
        <v>CITIBANK, N.A. SUCURSAL EL SALVADOR</v>
      </c>
      <c r="F1078" s="476" t="s">
        <v>179</v>
      </c>
      <c r="G1078" s="476"/>
      <c r="H1078" s="478"/>
      <c r="I1078" s="478"/>
      <c r="J1078" s="478">
        <v>34.25</v>
      </c>
      <c r="K1078" s="609">
        <v>4.45</v>
      </c>
      <c r="L1078" s="478">
        <f t="shared" si="83"/>
        <v>38.700000000000003</v>
      </c>
      <c r="M1078" s="483"/>
      <c r="O1078" s="260" t="s">
        <v>608</v>
      </c>
      <c r="P1078" s="486">
        <v>51000200002</v>
      </c>
      <c r="Q1078" s="476" t="s">
        <v>242</v>
      </c>
      <c r="R1078" s="865">
        <f t="shared" si="82"/>
        <v>112.44</v>
      </c>
      <c r="X1078" s="304">
        <v>0</v>
      </c>
      <c r="Y1078" s="304"/>
      <c r="Z1078" s="300">
        <v>0</v>
      </c>
    </row>
    <row r="1079" spans="2:26" x14ac:dyDescent="0.2">
      <c r="B1079" s="1016">
        <v>43812</v>
      </c>
      <c r="C1079" s="339" t="s">
        <v>1160</v>
      </c>
      <c r="D1079" s="230" t="s">
        <v>241</v>
      </c>
      <c r="E1079" s="234" t="str">
        <f>+VLOOKUP(F1079,[14]bd!A:B,2,0)</f>
        <v>BANCO CUSCATLAN DE EL SALVADOR S.A.</v>
      </c>
      <c r="F1079" s="234" t="s">
        <v>47</v>
      </c>
      <c r="G1079" s="234"/>
      <c r="H1079" s="865"/>
      <c r="I1079" s="865"/>
      <c r="J1079" s="865">
        <v>34.25</v>
      </c>
      <c r="K1079" s="235">
        <v>4.45</v>
      </c>
      <c r="L1079" s="865">
        <f t="shared" si="83"/>
        <v>38.700000000000003</v>
      </c>
      <c r="M1079" s="608">
        <v>51000200002</v>
      </c>
      <c r="O1079" s="260" t="s">
        <v>608</v>
      </c>
      <c r="P1079" s="96">
        <v>51000200002</v>
      </c>
      <c r="Q1079" s="234" t="s">
        <v>187</v>
      </c>
      <c r="R1079" s="865">
        <f t="shared" si="82"/>
        <v>0</v>
      </c>
      <c r="X1079" s="290">
        <f>SUM(X1069:X1077)</f>
        <v>-13663.87</v>
      </c>
      <c r="Y1079" s="290">
        <f>SUM(Y1069:Y1078)</f>
        <v>1975.87</v>
      </c>
      <c r="Z1079" s="290">
        <f>SUM(Z1069:Z1078)</f>
        <v>-6263.29</v>
      </c>
    </row>
    <row r="1080" spans="2:26" x14ac:dyDescent="0.2">
      <c r="B1080" s="1016">
        <v>43812</v>
      </c>
      <c r="C1080" s="339" t="s">
        <v>1142</v>
      </c>
      <c r="D1080" s="230" t="s">
        <v>241</v>
      </c>
      <c r="E1080" s="234" t="str">
        <f>+VLOOKUP(F1080,[14]bd!A:B,2,0)</f>
        <v>BANCO CUSCATLAN DE EL SALVADOR S.A.</v>
      </c>
      <c r="F1080" s="234" t="s">
        <v>47</v>
      </c>
      <c r="G1080" s="234"/>
      <c r="H1080" s="865"/>
      <c r="I1080" s="865"/>
      <c r="J1080" s="865">
        <v>34.25</v>
      </c>
      <c r="K1080" s="235">
        <v>4.45</v>
      </c>
      <c r="L1080" s="865">
        <f t="shared" si="83"/>
        <v>38.700000000000003</v>
      </c>
      <c r="M1080" s="608">
        <v>51000200001</v>
      </c>
      <c r="O1080" s="260" t="s">
        <v>608</v>
      </c>
      <c r="P1080" s="96">
        <v>51000200002</v>
      </c>
      <c r="Q1080" s="234" t="s">
        <v>22</v>
      </c>
      <c r="R1080" s="865">
        <f t="shared" si="82"/>
        <v>0</v>
      </c>
      <c r="U1080" s="156"/>
      <c r="Z1080" s="236"/>
    </row>
    <row r="1081" spans="2:26" x14ac:dyDescent="0.2">
      <c r="B1081" s="1016">
        <v>43816</v>
      </c>
      <c r="C1081" s="339" t="s">
        <v>1161</v>
      </c>
      <c r="D1081" s="230" t="s">
        <v>241</v>
      </c>
      <c r="E1081" s="476" t="str">
        <f>+VLOOKUP(F1081,[14]bd!A:B,2,0)</f>
        <v>CITIBANK, N.A. SUCURSAL EL SALVADOR</v>
      </c>
      <c r="F1081" s="476" t="s">
        <v>179</v>
      </c>
      <c r="G1081" s="476"/>
      <c r="H1081" s="478"/>
      <c r="I1081" s="478"/>
      <c r="J1081" s="478">
        <v>1104.04</v>
      </c>
      <c r="K1081" s="609">
        <v>143.53</v>
      </c>
      <c r="L1081" s="478">
        <f t="shared" si="83"/>
        <v>1247.57</v>
      </c>
      <c r="O1081" s="260" t="s">
        <v>608</v>
      </c>
      <c r="P1081" s="486">
        <v>51220200001</v>
      </c>
      <c r="Q1081" s="476" t="s">
        <v>242</v>
      </c>
      <c r="R1081" s="865">
        <f t="shared" si="82"/>
        <v>1621.52</v>
      </c>
      <c r="U1081" s="156"/>
    </row>
    <row r="1082" spans="2:26" x14ac:dyDescent="0.2">
      <c r="B1082" s="1016">
        <v>43816</v>
      </c>
      <c r="C1082" s="339" t="s">
        <v>1162</v>
      </c>
      <c r="D1082" s="230" t="s">
        <v>241</v>
      </c>
      <c r="E1082" s="476" t="str">
        <f>+VLOOKUP(F1082,[14]bd!A:B,2,0)</f>
        <v>CITIBANK, N.A. SUCURSAL EL SALVADOR</v>
      </c>
      <c r="F1082" s="476" t="s">
        <v>179</v>
      </c>
      <c r="G1082" s="476"/>
      <c r="H1082" s="478"/>
      <c r="I1082" s="478"/>
      <c r="J1082" s="478">
        <v>1766.47</v>
      </c>
      <c r="K1082" s="609">
        <v>229.64</v>
      </c>
      <c r="L1082" s="478">
        <f t="shared" si="83"/>
        <v>1996.1100000000001</v>
      </c>
      <c r="O1082" s="260" t="s">
        <v>608</v>
      </c>
      <c r="P1082" s="96">
        <v>51220200001</v>
      </c>
      <c r="Q1082" s="234" t="s">
        <v>187</v>
      </c>
      <c r="R1082" s="865">
        <f t="shared" si="82"/>
        <v>0</v>
      </c>
    </row>
    <row r="1083" spans="2:26" x14ac:dyDescent="0.2">
      <c r="O1083" s="260" t="s">
        <v>608</v>
      </c>
      <c r="P1083" s="96">
        <v>51220200001</v>
      </c>
      <c r="Q1083" s="234" t="s">
        <v>22</v>
      </c>
      <c r="R1083" s="865">
        <f t="shared" si="82"/>
        <v>0</v>
      </c>
    </row>
    <row r="1084" spans="2:26" x14ac:dyDescent="0.2">
      <c r="B1084" s="233"/>
      <c r="C1084" s="230" t="s">
        <v>18</v>
      </c>
      <c r="D1084" s="230"/>
      <c r="E1084" s="234" t="s">
        <v>321</v>
      </c>
      <c r="F1084" s="206"/>
      <c r="G1084" s="289"/>
      <c r="H1084" s="289"/>
      <c r="I1084" s="289"/>
      <c r="J1084" s="289"/>
      <c r="K1084" s="601"/>
      <c r="L1084" s="865"/>
      <c r="O1084" s="260" t="s">
        <v>608</v>
      </c>
      <c r="P1084" s="96">
        <v>52200000001</v>
      </c>
      <c r="Q1084" s="234" t="s">
        <v>242</v>
      </c>
      <c r="R1084" s="865">
        <f t="shared" si="82"/>
        <v>0</v>
      </c>
      <c r="W1084" s="153" t="s">
        <v>255</v>
      </c>
      <c r="X1084" s="236">
        <f>+X1069+X1070+X1071+X1072+X1073</f>
        <v>-5424.7100000000009</v>
      </c>
    </row>
    <row r="1085" spans="2:26" x14ac:dyDescent="0.2">
      <c r="B1085" s="233"/>
      <c r="C1085" s="230"/>
      <c r="D1085" s="230"/>
      <c r="E1085" s="234"/>
      <c r="F1085" s="206"/>
      <c r="G1085" s="289"/>
      <c r="H1085" s="289"/>
      <c r="I1085" s="289"/>
      <c r="J1085" s="289"/>
      <c r="K1085" s="235"/>
      <c r="L1085" s="865"/>
      <c r="O1085" s="260" t="s">
        <v>608</v>
      </c>
      <c r="P1085" s="96">
        <v>52200000001</v>
      </c>
      <c r="Q1085" s="234" t="s">
        <v>187</v>
      </c>
      <c r="R1085" s="865">
        <f t="shared" si="82"/>
        <v>0</v>
      </c>
      <c r="W1085" s="144" t="s">
        <v>257</v>
      </c>
      <c r="X1085" s="236">
        <f>+R1089</f>
        <v>2200.75</v>
      </c>
    </row>
    <row r="1086" spans="2:26" x14ac:dyDescent="0.2">
      <c r="B1086" s="233"/>
      <c r="C1086" s="230"/>
      <c r="D1086" s="230"/>
      <c r="E1086" s="234"/>
      <c r="F1086" s="206"/>
      <c r="G1086" s="289"/>
      <c r="H1086" s="289"/>
      <c r="I1086" s="289"/>
      <c r="J1086" s="289"/>
      <c r="K1086" s="235"/>
      <c r="L1086" s="865"/>
      <c r="O1086" s="260" t="s">
        <v>608</v>
      </c>
      <c r="P1086" s="96">
        <v>52200000001</v>
      </c>
      <c r="Q1086" s="234" t="s">
        <v>22</v>
      </c>
      <c r="R1086" s="865">
        <f t="shared" si="82"/>
        <v>0</v>
      </c>
      <c r="W1086" s="144" t="s">
        <v>260</v>
      </c>
      <c r="X1086" s="300">
        <f>+J1075+J1079+J1080+J1081+J1082</f>
        <v>3210.3900000000003</v>
      </c>
    </row>
    <row r="1087" spans="2:26" x14ac:dyDescent="0.2">
      <c r="B1087" s="233"/>
      <c r="C1087" s="230"/>
      <c r="D1087" s="230"/>
      <c r="E1087" s="234"/>
      <c r="F1087" s="206"/>
      <c r="G1087" s="289"/>
      <c r="H1087" s="289"/>
      <c r="I1087" s="289"/>
      <c r="J1087" s="289"/>
      <c r="K1087" s="235"/>
      <c r="L1087" s="865"/>
      <c r="O1087" s="260" t="s">
        <v>608</v>
      </c>
      <c r="P1087" s="96">
        <v>52200000001</v>
      </c>
      <c r="Q1087" s="234" t="s">
        <v>242</v>
      </c>
      <c r="R1087" s="865">
        <f t="shared" si="82"/>
        <v>0</v>
      </c>
      <c r="X1087" s="704">
        <f>X1084+X1085+X1086</f>
        <v>-13.570000000000618</v>
      </c>
      <c r="Y1087" s="144" t="s">
        <v>275</v>
      </c>
    </row>
    <row r="1088" spans="2:26" x14ac:dyDescent="0.2">
      <c r="B1088" s="206"/>
      <c r="C1088" s="207"/>
      <c r="D1088" s="207"/>
      <c r="E1088" s="234"/>
      <c r="F1088" s="206"/>
      <c r="G1088" s="289"/>
      <c r="H1088" s="289"/>
      <c r="I1088" s="289"/>
      <c r="J1088" s="289"/>
      <c r="K1088" s="289"/>
      <c r="L1088" s="289"/>
      <c r="O1088" s="260" t="s">
        <v>608</v>
      </c>
      <c r="P1088" s="486">
        <v>51220200001</v>
      </c>
      <c r="Q1088" s="476" t="s">
        <v>269</v>
      </c>
      <c r="R1088" s="865">
        <f t="shared" si="82"/>
        <v>354.35</v>
      </c>
    </row>
    <row r="1089" spans="2:24" ht="13.5" thickBot="1" x14ac:dyDescent="0.25">
      <c r="B1089" s="295"/>
      <c r="C1089" s="296"/>
      <c r="D1089" s="296"/>
      <c r="E1089" s="234"/>
      <c r="F1089" s="295"/>
      <c r="G1089" s="297"/>
      <c r="H1089" s="297"/>
      <c r="I1089" s="297"/>
      <c r="J1089" s="297"/>
      <c r="K1089" s="297"/>
      <c r="L1089" s="297"/>
      <c r="O1089" s="863"/>
      <c r="P1089" s="863"/>
      <c r="R1089" s="607">
        <f>SUM(R1069:R1088)</f>
        <v>2200.75</v>
      </c>
      <c r="X1089" s="236"/>
    </row>
    <row r="1090" spans="2:24" ht="13.5" thickTop="1" x14ac:dyDescent="0.2">
      <c r="B1090" s="206"/>
      <c r="C1090" s="207"/>
      <c r="D1090" s="207"/>
      <c r="E1090" s="206"/>
      <c r="F1090" s="206"/>
      <c r="G1090" s="298">
        <f t="shared" ref="G1090:I1090" si="84">SUM(G1043:G1089)</f>
        <v>0</v>
      </c>
      <c r="H1090" s="298">
        <f t="shared" si="84"/>
        <v>0</v>
      </c>
      <c r="I1090" s="298">
        <f t="shared" si="84"/>
        <v>0</v>
      </c>
      <c r="J1090" s="298">
        <f>SUM(J1071:J1089)</f>
        <v>5411.14</v>
      </c>
      <c r="K1090" s="298">
        <f t="shared" ref="K1090:L1090" si="85">SUM(K1071:K1089)</f>
        <v>703.43999999999994</v>
      </c>
      <c r="L1090" s="298">
        <f t="shared" si="85"/>
        <v>6114.58</v>
      </c>
      <c r="O1090" s="863"/>
      <c r="P1090" s="863"/>
      <c r="W1090" s="156"/>
    </row>
    <row r="1091" spans="2:24" x14ac:dyDescent="0.2">
      <c r="B1091" s="206"/>
      <c r="C1091" s="207"/>
      <c r="D1091" s="207"/>
      <c r="E1091" s="206"/>
      <c r="F1091" s="206"/>
      <c r="G1091" s="366"/>
      <c r="H1091" s="366"/>
      <c r="I1091" s="366"/>
      <c r="J1091" s="366"/>
      <c r="K1091" s="366"/>
      <c r="L1091" s="366"/>
      <c r="O1091" s="863"/>
      <c r="P1091" s="863"/>
      <c r="W1091" s="156"/>
    </row>
    <row r="1092" spans="2:24" x14ac:dyDescent="0.2">
      <c r="B1092" s="206"/>
      <c r="C1092" s="207"/>
      <c r="D1092" s="207"/>
      <c r="E1092" s="206"/>
      <c r="F1092" s="206"/>
      <c r="G1092" s="366"/>
      <c r="H1092" s="366"/>
      <c r="I1092" s="366"/>
      <c r="J1092" s="366"/>
      <c r="K1092" s="366"/>
      <c r="L1092" s="366"/>
      <c r="O1092" s="863"/>
      <c r="P1092" s="863"/>
      <c r="V1092" s="156"/>
      <c r="W1092" s="156"/>
      <c r="X1092" s="156"/>
    </row>
    <row r="1093" spans="2:24" x14ac:dyDescent="0.2">
      <c r="B1093" s="206"/>
      <c r="C1093" s="207"/>
      <c r="D1093" s="207"/>
      <c r="E1093" s="206"/>
      <c r="F1093" s="206"/>
      <c r="G1093" s="366"/>
      <c r="H1093" s="366"/>
      <c r="I1093" s="366"/>
      <c r="J1093" s="366"/>
      <c r="K1093" s="366"/>
      <c r="L1093" s="366"/>
      <c r="W1093" s="156"/>
    </row>
    <row r="1094" spans="2:24" x14ac:dyDescent="0.2">
      <c r="B1094" s="206"/>
      <c r="C1094" s="207"/>
      <c r="D1094" s="207"/>
      <c r="E1094" s="206"/>
      <c r="F1094" s="206"/>
      <c r="G1094" s="366"/>
      <c r="H1094" s="366"/>
      <c r="I1094" s="366"/>
      <c r="J1094" s="366"/>
      <c r="K1094" s="366"/>
      <c r="L1094" s="366"/>
      <c r="W1094" s="156"/>
    </row>
    <row r="1095" spans="2:24" x14ac:dyDescent="0.2">
      <c r="B1095" s="206"/>
      <c r="C1095" s="207"/>
      <c r="D1095" s="207"/>
      <c r="E1095" s="206"/>
      <c r="F1095" s="206"/>
      <c r="G1095" s="366"/>
      <c r="H1095" s="366"/>
      <c r="I1095" s="366"/>
      <c r="J1095" s="366"/>
      <c r="K1095" s="366"/>
      <c r="L1095" s="366"/>
      <c r="W1095" s="156"/>
    </row>
    <row r="1096" spans="2:24" x14ac:dyDescent="0.2">
      <c r="B1096" s="206"/>
      <c r="C1096" s="207"/>
      <c r="D1096" s="207"/>
      <c r="E1096" s="206"/>
      <c r="F1096" s="206"/>
      <c r="G1096" s="206"/>
      <c r="H1096" s="206"/>
      <c r="I1096" s="206"/>
      <c r="J1096" s="206"/>
      <c r="K1096" s="206"/>
      <c r="L1096" s="206"/>
      <c r="W1096" s="156"/>
    </row>
    <row r="1097" spans="2:24" x14ac:dyDescent="0.2">
      <c r="B1097" s="206"/>
      <c r="C1097" s="209" t="s">
        <v>445</v>
      </c>
      <c r="D1097" s="207"/>
      <c r="E1097" s="207"/>
      <c r="F1097" s="206"/>
      <c r="G1097" s="206"/>
      <c r="H1097" s="206"/>
      <c r="I1097" s="209" t="s">
        <v>446</v>
      </c>
      <c r="J1097" s="206"/>
      <c r="K1097" s="206"/>
      <c r="L1097" s="206"/>
      <c r="W1097" s="156"/>
    </row>
    <row r="1098" spans="2:24" x14ac:dyDescent="0.2">
      <c r="B1098" s="206"/>
      <c r="C1098" s="209"/>
      <c r="D1098" s="207"/>
      <c r="E1098" s="207"/>
      <c r="F1098" s="206"/>
      <c r="G1098" s="206"/>
      <c r="H1098" s="206"/>
      <c r="I1098" s="209"/>
      <c r="J1098" s="206"/>
      <c r="K1098" s="206"/>
      <c r="L1098" s="206"/>
    </row>
    <row r="1099" spans="2:24" x14ac:dyDescent="0.2">
      <c r="B1099" s="206"/>
      <c r="C1099" s="206" t="s">
        <v>79</v>
      </c>
      <c r="D1099" s="207"/>
      <c r="E1099" s="207"/>
      <c r="F1099" s="206"/>
      <c r="G1099" s="467">
        <v>0</v>
      </c>
      <c r="H1099" s="206"/>
      <c r="I1099" s="206" t="s">
        <v>79</v>
      </c>
      <c r="J1099" s="467">
        <v>0</v>
      </c>
      <c r="K1099" s="206"/>
      <c r="L1099" s="467">
        <v>0</v>
      </c>
    </row>
    <row r="1100" spans="2:24" x14ac:dyDescent="0.2">
      <c r="B1100" s="206"/>
      <c r="C1100" s="206"/>
      <c r="D1100" s="207"/>
      <c r="E1100" s="207"/>
      <c r="F1100" s="206"/>
      <c r="G1100" s="206"/>
      <c r="H1100" s="206"/>
      <c r="I1100" s="206"/>
      <c r="J1100" s="206"/>
      <c r="K1100" s="206"/>
      <c r="L1100" s="206"/>
    </row>
    <row r="1101" spans="2:24" x14ac:dyDescent="0.2">
      <c r="B1101" s="206"/>
      <c r="C1101" s="206" t="s">
        <v>447</v>
      </c>
      <c r="D1101" s="207"/>
      <c r="E1101" s="207"/>
      <c r="F1101" s="206"/>
      <c r="G1101" s="467">
        <v>0</v>
      </c>
      <c r="H1101" s="206"/>
      <c r="I1101" s="206" t="s">
        <v>447</v>
      </c>
      <c r="J1101" s="467">
        <v>0</v>
      </c>
      <c r="K1101" s="206"/>
      <c r="L1101" s="467">
        <v>0</v>
      </c>
    </row>
    <row r="1102" spans="2:24" x14ac:dyDescent="0.2">
      <c r="B1102" s="206"/>
      <c r="C1102" s="206"/>
      <c r="D1102" s="207"/>
      <c r="E1102" s="207"/>
      <c r="F1102" s="206"/>
      <c r="G1102" s="467"/>
      <c r="H1102" s="206"/>
      <c r="I1102" s="206"/>
      <c r="J1102" s="467"/>
      <c r="K1102" s="206"/>
      <c r="L1102" s="467"/>
    </row>
    <row r="1103" spans="2:24" x14ac:dyDescent="0.2">
      <c r="B1103" s="206"/>
      <c r="C1103" s="206"/>
      <c r="D1103" s="207"/>
      <c r="E1103" s="207"/>
      <c r="F1103" s="206"/>
      <c r="G1103" s="467"/>
      <c r="H1103" s="206"/>
      <c r="I1103" s="206"/>
      <c r="J1103" s="467"/>
      <c r="K1103" s="206"/>
      <c r="L1103" s="467"/>
    </row>
    <row r="1104" spans="2:24" x14ac:dyDescent="0.2">
      <c r="B1104" s="206"/>
      <c r="C1104" s="206" t="s">
        <v>448</v>
      </c>
      <c r="D1104" s="207"/>
      <c r="E1104" s="207"/>
      <c r="F1104" s="206"/>
      <c r="G1104" s="467"/>
      <c r="H1104" s="206"/>
      <c r="I1104" s="206" t="s">
        <v>448</v>
      </c>
      <c r="J1104" s="467"/>
      <c r="K1104" s="206"/>
      <c r="L1104" s="467"/>
    </row>
    <row r="1105" spans="1:26" x14ac:dyDescent="0.2">
      <c r="B1105" s="206"/>
      <c r="C1105" s="206" t="s">
        <v>80</v>
      </c>
      <c r="D1105" s="207"/>
      <c r="E1105" s="207"/>
      <c r="F1105" s="206"/>
      <c r="G1105" s="467" t="e">
        <f>+'[14]reportes consumidor final'!I1067</f>
        <v>#REF!</v>
      </c>
      <c r="H1105" s="206"/>
      <c r="I1105" s="206" t="s">
        <v>80</v>
      </c>
      <c r="J1105" s="467">
        <v>13.57</v>
      </c>
      <c r="K1105" s="206"/>
      <c r="L1105" s="467">
        <f>+J1090</f>
        <v>5411.14</v>
      </c>
    </row>
    <row r="1106" spans="1:26" x14ac:dyDescent="0.2">
      <c r="B1106" s="206"/>
      <c r="C1106" s="206" t="s">
        <v>449</v>
      </c>
      <c r="D1106" s="207"/>
      <c r="E1106" s="207"/>
      <c r="F1106" s="206"/>
      <c r="G1106" s="468" t="e">
        <f>+G1105*0.13</f>
        <v>#REF!</v>
      </c>
      <c r="H1106" s="206"/>
      <c r="I1106" s="206" t="s">
        <v>449</v>
      </c>
      <c r="J1106" s="468">
        <v>1.7641</v>
      </c>
      <c r="K1106" s="206"/>
      <c r="L1106" s="468">
        <f>+K1090</f>
        <v>703.43999999999994</v>
      </c>
    </row>
    <row r="1107" spans="1:26" x14ac:dyDescent="0.2">
      <c r="B1107" s="206"/>
      <c r="C1107" s="206"/>
      <c r="D1107" s="207"/>
      <c r="E1107" s="207"/>
      <c r="F1107" s="206"/>
      <c r="G1107" s="467"/>
      <c r="H1107" s="206"/>
      <c r="I1107" s="206"/>
      <c r="J1107" s="467"/>
      <c r="K1107" s="206"/>
      <c r="L1107" s="467"/>
    </row>
    <row r="1108" spans="1:26" ht="13.5" thickBot="1" x14ac:dyDescent="0.25">
      <c r="B1108" s="206"/>
      <c r="C1108" s="206" t="s">
        <v>450</v>
      </c>
      <c r="D1108" s="207"/>
      <c r="E1108" s="207"/>
      <c r="F1108" s="206"/>
      <c r="G1108" s="469" t="e">
        <f>SUM(G1099:G1106)</f>
        <v>#REF!</v>
      </c>
      <c r="H1108" s="206"/>
      <c r="I1108" s="206" t="s">
        <v>450</v>
      </c>
      <c r="J1108" s="469">
        <v>15.334099999999999</v>
      </c>
      <c r="K1108" s="206"/>
      <c r="L1108" s="469">
        <f>SUM(L1105:L1107)</f>
        <v>6114.58</v>
      </c>
    </row>
    <row r="1109" spans="1:26" ht="13.5" thickTop="1" x14ac:dyDescent="0.2"/>
    <row r="1111" spans="1:26" s="613" customFormat="1" ht="8.25" customHeight="1" x14ac:dyDescent="0.2">
      <c r="A1111" s="610"/>
      <c r="B1111" s="610"/>
      <c r="C1111" s="611"/>
      <c r="D1111" s="611"/>
      <c r="E1111" s="610"/>
      <c r="F1111" s="610"/>
      <c r="G1111" s="610"/>
      <c r="H1111" s="610"/>
      <c r="I1111" s="610"/>
      <c r="J1111" s="610"/>
      <c r="K1111" s="610"/>
      <c r="L1111" s="610"/>
      <c r="M1111" s="612"/>
      <c r="N1111" s="612"/>
      <c r="O1111" s="612"/>
      <c r="P1111" s="612"/>
    </row>
    <row r="1113" spans="1:26" x14ac:dyDescent="0.2">
      <c r="B1113" s="216"/>
      <c r="C1113" s="216"/>
      <c r="D1113" s="216"/>
      <c r="E1113" s="216"/>
      <c r="F1113" s="216"/>
      <c r="G1113" s="216"/>
      <c r="H1113" s="209"/>
      <c r="I1113" s="209"/>
      <c r="J1113" s="209"/>
      <c r="K1113" s="209"/>
      <c r="L1113" s="216"/>
    </row>
    <row r="1114" spans="1:26" ht="14.25" x14ac:dyDescent="0.2">
      <c r="B1114" s="217"/>
      <c r="C1114" s="218" t="s">
        <v>137</v>
      </c>
      <c r="D1114" s="219" t="s">
        <v>16</v>
      </c>
      <c r="E1114" s="219"/>
      <c r="F1114" s="219" t="s">
        <v>74</v>
      </c>
      <c r="G1114" s="219"/>
      <c r="H1114" s="220" t="s">
        <v>75</v>
      </c>
      <c r="I1114" s="221"/>
      <c r="J1114" s="221"/>
      <c r="K1114" s="221"/>
      <c r="L1114" s="239"/>
      <c r="O1114" s="1039" t="s">
        <v>1189</v>
      </c>
      <c r="P1114" s="1039"/>
      <c r="Q1114" s="1039"/>
      <c r="R1114" s="1039"/>
      <c r="U1114" s="153" t="s">
        <v>247</v>
      </c>
      <c r="Y1114" s="144" t="s">
        <v>256</v>
      </c>
      <c r="Z1114" s="144" t="s">
        <v>184</v>
      </c>
    </row>
    <row r="1115" spans="1:26" x14ac:dyDescent="0.2">
      <c r="B1115" s="222" t="s">
        <v>76</v>
      </c>
      <c r="C1115" s="223" t="s">
        <v>77</v>
      </c>
      <c r="D1115" s="223" t="s">
        <v>141</v>
      </c>
      <c r="E1115" s="223" t="s">
        <v>78</v>
      </c>
      <c r="F1115" s="223" t="s">
        <v>142</v>
      </c>
      <c r="G1115" s="223" t="s">
        <v>79</v>
      </c>
      <c r="H1115" s="224" t="s">
        <v>48</v>
      </c>
      <c r="I1115" s="221"/>
      <c r="J1115" s="224" t="s">
        <v>80</v>
      </c>
      <c r="K1115" s="221"/>
      <c r="L1115" s="240" t="s">
        <v>175</v>
      </c>
      <c r="O1115" s="260" t="s">
        <v>81</v>
      </c>
      <c r="P1115" s="96">
        <v>51000000001</v>
      </c>
      <c r="Q1115" s="234" t="s">
        <v>242</v>
      </c>
      <c r="R1115" s="865">
        <f>SUMIFS($J$1117:$J$1122,$E$1117:$E$1122,Q1115,$M$1117:$M$1122,P1115)</f>
        <v>0</v>
      </c>
      <c r="T1115" s="144">
        <v>51000200001</v>
      </c>
      <c r="U1115" s="144" t="s">
        <v>194</v>
      </c>
      <c r="X1115" s="156">
        <v>-143.83000000000001</v>
      </c>
      <c r="Y1115" s="156">
        <f>R1118</f>
        <v>0</v>
      </c>
      <c r="Z1115" s="236">
        <v>0</v>
      </c>
    </row>
    <row r="1116" spans="1:26" x14ac:dyDescent="0.2">
      <c r="B1116" s="225"/>
      <c r="C1116" s="226"/>
      <c r="D1116" s="226"/>
      <c r="E1116" s="225"/>
      <c r="F1116" s="225"/>
      <c r="G1116" s="225"/>
      <c r="H1116" s="227" t="s">
        <v>176</v>
      </c>
      <c r="I1116" s="228" t="s">
        <v>177</v>
      </c>
      <c r="J1116" s="241" t="s">
        <v>178</v>
      </c>
      <c r="K1116" s="241" t="s">
        <v>46</v>
      </c>
      <c r="L1116" s="242" t="s">
        <v>48</v>
      </c>
      <c r="O1116" s="260" t="s">
        <v>81</v>
      </c>
      <c r="P1116" s="96">
        <v>51000000002</v>
      </c>
      <c r="Q1116" s="234" t="s">
        <v>242</v>
      </c>
      <c r="R1116" s="865">
        <f t="shared" ref="R1116:R1134" si="86">SUMIFS($J$1117:$J$1122,$E$1117:$E$1122,Q1116,$M$1117:$M$1122,P1116)</f>
        <v>0</v>
      </c>
      <c r="T1116" s="144">
        <v>51000200002</v>
      </c>
      <c r="U1116" s="144" t="s">
        <v>195</v>
      </c>
      <c r="X1116" s="156">
        <v>-143.83000000000001</v>
      </c>
      <c r="Y1116" s="156">
        <f>R1120</f>
        <v>0</v>
      </c>
      <c r="Z1116" s="236">
        <v>0</v>
      </c>
    </row>
    <row r="1117" spans="1:26" x14ac:dyDescent="0.2">
      <c r="B1117" s="1019">
        <v>43854</v>
      </c>
      <c r="C1117" s="230" t="s">
        <v>1179</v>
      </c>
      <c r="D1117" s="230" t="s">
        <v>241</v>
      </c>
      <c r="E1117" s="234" t="str">
        <f>+VLOOKUP(F1117,[6]bd!A:B,2,0)</f>
        <v>INVERSIONES FINANCIERAS IMPERIA CUSCATLAN, SA</v>
      </c>
      <c r="F1117" s="234" t="s">
        <v>270</v>
      </c>
      <c r="G1117" s="234"/>
      <c r="H1117" s="865"/>
      <c r="I1117" s="865"/>
      <c r="J1117" s="865">
        <v>354.35</v>
      </c>
      <c r="K1117" s="235">
        <v>46.07</v>
      </c>
      <c r="L1117" s="865">
        <f t="shared" ref="L1117:L1122" si="87">+J1117+K1117</f>
        <v>400.42</v>
      </c>
      <c r="M1117" s="608">
        <v>51220200001</v>
      </c>
      <c r="O1117" s="260" t="s">
        <v>81</v>
      </c>
      <c r="P1117" s="96">
        <v>51000100001</v>
      </c>
      <c r="Q1117" s="234" t="s">
        <v>242</v>
      </c>
      <c r="R1117" s="865">
        <f t="shared" si="86"/>
        <v>0</v>
      </c>
      <c r="T1117" s="144">
        <v>51000100001</v>
      </c>
      <c r="U1117" s="156" t="s">
        <v>4</v>
      </c>
      <c r="X1117" s="156"/>
    </row>
    <row r="1118" spans="1:26" x14ac:dyDescent="0.2">
      <c r="B1118" s="1019">
        <v>43854</v>
      </c>
      <c r="C1118" s="230" t="s">
        <v>1180</v>
      </c>
      <c r="D1118" s="230" t="s">
        <v>241</v>
      </c>
      <c r="E1118" s="234" t="str">
        <f>+VLOOKUP(F1118,[6]bd!A:B,2,0)</f>
        <v>BANCO CUSCATLAN DE EL SALVADOR S.A.</v>
      </c>
      <c r="F1118" s="234" t="s">
        <v>47</v>
      </c>
      <c r="G1118" s="234"/>
      <c r="H1118" s="865"/>
      <c r="I1118" s="865"/>
      <c r="J1118" s="865">
        <v>1807.46</v>
      </c>
      <c r="K1118" s="235">
        <v>234.97</v>
      </c>
      <c r="L1118" s="865">
        <f t="shared" si="87"/>
        <v>2042.43</v>
      </c>
      <c r="M1118" s="608">
        <v>51220200001</v>
      </c>
      <c r="O1118" s="260" t="s">
        <v>81</v>
      </c>
      <c r="P1118" s="96">
        <v>51000100001</v>
      </c>
      <c r="Q1118" s="234" t="s">
        <v>269</v>
      </c>
      <c r="R1118" s="865">
        <f t="shared" si="86"/>
        <v>0</v>
      </c>
      <c r="T1118" s="144">
        <v>51000100002</v>
      </c>
      <c r="U1118" s="156" t="s">
        <v>193</v>
      </c>
      <c r="X1118" s="156"/>
    </row>
    <row r="1119" spans="1:26" x14ac:dyDescent="0.2">
      <c r="B1119" s="1019">
        <v>43854</v>
      </c>
      <c r="C1119" s="230" t="s">
        <v>1181</v>
      </c>
      <c r="D1119" s="230" t="s">
        <v>241</v>
      </c>
      <c r="E1119" s="476" t="str">
        <f>+VLOOKUP(F1119,[6]bd!A:B,2,0)</f>
        <v>CITIBANK, N.A. SUCURSAL EL SALVADOR</v>
      </c>
      <c r="F1119" s="476" t="s">
        <v>179</v>
      </c>
      <c r="G1119" s="476"/>
      <c r="H1119" s="478"/>
      <c r="I1119" s="478"/>
      <c r="J1119" s="478">
        <v>251.07</v>
      </c>
      <c r="K1119" s="609">
        <v>32.64</v>
      </c>
      <c r="L1119" s="478">
        <f t="shared" si="87"/>
        <v>283.70999999999998</v>
      </c>
      <c r="O1119" s="260" t="s">
        <v>81</v>
      </c>
      <c r="P1119" s="96">
        <v>51000100002</v>
      </c>
      <c r="Q1119" s="234" t="s">
        <v>242</v>
      </c>
      <c r="R1119" s="865">
        <f t="shared" si="86"/>
        <v>0</v>
      </c>
      <c r="T1119" s="144">
        <v>51220200001</v>
      </c>
      <c r="U1119" s="144" t="s">
        <v>21</v>
      </c>
      <c r="X1119" s="156">
        <v>-2458.06</v>
      </c>
      <c r="Y1119" s="156">
        <f>R1127+R1134</f>
        <v>2161.81</v>
      </c>
      <c r="Z1119" s="236">
        <f>X1120+Y1119</f>
        <v>2161.81</v>
      </c>
    </row>
    <row r="1120" spans="1:26" x14ac:dyDescent="0.2">
      <c r="B1120" s="1019">
        <v>43854</v>
      </c>
      <c r="C1120" s="230" t="s">
        <v>1182</v>
      </c>
      <c r="D1120" s="230" t="s">
        <v>241</v>
      </c>
      <c r="E1120" s="234" t="s">
        <v>259</v>
      </c>
      <c r="F1120" s="234"/>
      <c r="G1120" s="234"/>
      <c r="H1120" s="865"/>
      <c r="I1120" s="865"/>
      <c r="J1120" s="865">
        <v>0</v>
      </c>
      <c r="K1120" s="235">
        <v>0</v>
      </c>
      <c r="L1120" s="865">
        <f t="shared" si="87"/>
        <v>0</v>
      </c>
      <c r="O1120" s="260" t="s">
        <v>81</v>
      </c>
      <c r="P1120" s="96">
        <v>51000100002</v>
      </c>
      <c r="Q1120" s="234" t="s">
        <v>269</v>
      </c>
      <c r="R1120" s="865">
        <f t="shared" si="86"/>
        <v>0</v>
      </c>
      <c r="T1120" s="351">
        <v>52200000001</v>
      </c>
      <c r="U1120" s="351" t="s">
        <v>11</v>
      </c>
      <c r="V1120" s="351"/>
      <c r="W1120" s="351"/>
      <c r="X1120" s="156"/>
      <c r="Y1120" s="156">
        <v>0</v>
      </c>
      <c r="Z1120" s="236">
        <v>0</v>
      </c>
    </row>
    <row r="1121" spans="2:26" x14ac:dyDescent="0.2">
      <c r="B1121" s="1019">
        <v>43860</v>
      </c>
      <c r="C1121" s="230" t="s">
        <v>1183</v>
      </c>
      <c r="D1121" s="230" t="s">
        <v>241</v>
      </c>
      <c r="E1121" s="234" t="str">
        <f>+VLOOKUP(F1121,[6]bd!A:B,2,0)</f>
        <v>BANCO CUSCATLAN DE EL SALVADOR S.A.</v>
      </c>
      <c r="F1121" s="234" t="s">
        <v>47</v>
      </c>
      <c r="G1121" s="864"/>
      <c r="H1121" s="865"/>
      <c r="I1121" s="865"/>
      <c r="J1121" s="865">
        <v>143.83000000000001</v>
      </c>
      <c r="K1121" s="235">
        <v>18.7</v>
      </c>
      <c r="L1121" s="865">
        <f t="shared" si="87"/>
        <v>162.53</v>
      </c>
      <c r="M1121" s="608">
        <v>51000200002</v>
      </c>
      <c r="O1121" s="260" t="s">
        <v>81</v>
      </c>
      <c r="P1121" s="486">
        <v>51000200001</v>
      </c>
      <c r="Q1121" s="476" t="s">
        <v>242</v>
      </c>
      <c r="R1121" s="865">
        <f t="shared" si="86"/>
        <v>143.83000000000001</v>
      </c>
      <c r="T1121" s="144">
        <v>51000000001</v>
      </c>
      <c r="U1121" s="144" t="s">
        <v>71</v>
      </c>
      <c r="X1121" s="156"/>
    </row>
    <row r="1122" spans="2:26" x14ac:dyDescent="0.2">
      <c r="B1122" s="1019">
        <v>43860</v>
      </c>
      <c r="C1122" s="230" t="s">
        <v>1184</v>
      </c>
      <c r="D1122" s="230" t="s">
        <v>241</v>
      </c>
      <c r="E1122" s="234" t="str">
        <f>+VLOOKUP(F1122,[6]bd!A:B,2,0)</f>
        <v>BANCO CUSCATLAN DE EL SALVADOR S.A.</v>
      </c>
      <c r="F1122" s="234" t="s">
        <v>47</v>
      </c>
      <c r="G1122" s="864"/>
      <c r="H1122" s="865"/>
      <c r="I1122" s="865"/>
      <c r="J1122" s="865">
        <v>143.83000000000001</v>
      </c>
      <c r="K1122" s="235">
        <v>18.7</v>
      </c>
      <c r="L1122" s="865">
        <f t="shared" si="87"/>
        <v>162.53</v>
      </c>
      <c r="M1122" s="608">
        <v>51000200001</v>
      </c>
      <c r="O1122" s="260" t="s">
        <v>81</v>
      </c>
      <c r="P1122" s="96">
        <v>51000200001</v>
      </c>
      <c r="Q1122" s="234" t="s">
        <v>187</v>
      </c>
      <c r="R1122" s="865">
        <f t="shared" si="86"/>
        <v>0</v>
      </c>
      <c r="T1122" s="144">
        <v>51000000002</v>
      </c>
      <c r="U1122" s="144" t="s">
        <v>3</v>
      </c>
      <c r="X1122" s="156"/>
    </row>
    <row r="1123" spans="2:26" x14ac:dyDescent="0.2">
      <c r="O1123" s="260" t="s">
        <v>81</v>
      </c>
      <c r="P1123" s="96">
        <v>51000200001</v>
      </c>
      <c r="Q1123" s="234" t="s">
        <v>22</v>
      </c>
      <c r="R1123" s="865">
        <f t="shared" si="86"/>
        <v>0</v>
      </c>
      <c r="T1123" s="144">
        <v>53000100001</v>
      </c>
      <c r="U1123" s="144" t="s">
        <v>73</v>
      </c>
      <c r="X1123" s="356"/>
      <c r="Y1123" s="156">
        <v>0</v>
      </c>
      <c r="Z1123" s="236">
        <v>0</v>
      </c>
    </row>
    <row r="1124" spans="2:26" x14ac:dyDescent="0.2">
      <c r="B1124" s="233"/>
      <c r="C1124" s="230"/>
      <c r="D1124" s="230"/>
      <c r="E1124" s="234"/>
      <c r="F1124" s="234"/>
      <c r="G1124" s="234"/>
      <c r="H1124" s="865"/>
      <c r="I1124" s="865"/>
      <c r="J1124" s="865"/>
      <c r="K1124" s="235"/>
      <c r="L1124" s="865"/>
      <c r="O1124" s="260" t="s">
        <v>81</v>
      </c>
      <c r="P1124" s="486">
        <v>51000200002</v>
      </c>
      <c r="Q1124" s="476" t="s">
        <v>242</v>
      </c>
      <c r="R1124" s="865">
        <f t="shared" si="86"/>
        <v>143.83000000000001</v>
      </c>
      <c r="X1124" s="304">
        <v>0</v>
      </c>
      <c r="Y1124" s="304"/>
      <c r="Z1124" s="300">
        <v>0</v>
      </c>
    </row>
    <row r="1125" spans="2:26" x14ac:dyDescent="0.2">
      <c r="B1125" s="233"/>
      <c r="C1125" s="230" t="s">
        <v>18</v>
      </c>
      <c r="D1125" s="230"/>
      <c r="E1125" s="234" t="s">
        <v>321</v>
      </c>
      <c r="F1125" s="206"/>
      <c r="G1125" s="289"/>
      <c r="H1125" s="289"/>
      <c r="I1125" s="289"/>
      <c r="J1125" s="289"/>
      <c r="K1125" s="601">
        <v>-351.08</v>
      </c>
      <c r="L1125" s="865">
        <f>+J1125+K1125</f>
        <v>-351.08</v>
      </c>
      <c r="O1125" s="260" t="s">
        <v>81</v>
      </c>
      <c r="P1125" s="96">
        <v>51000200002</v>
      </c>
      <c r="Q1125" s="234" t="s">
        <v>187</v>
      </c>
      <c r="R1125" s="865">
        <f t="shared" si="86"/>
        <v>0</v>
      </c>
      <c r="X1125" s="290">
        <f>SUM(X1115:X1123)</f>
        <v>-2745.72</v>
      </c>
      <c r="Y1125" s="290">
        <f>SUM(Y1115:Y1124)</f>
        <v>2161.81</v>
      </c>
      <c r="Z1125" s="290">
        <f>SUM(Z1115:Z1124)</f>
        <v>2161.81</v>
      </c>
    </row>
    <row r="1126" spans="2:26" x14ac:dyDescent="0.2">
      <c r="B1126" s="233"/>
      <c r="C1126" s="230"/>
      <c r="D1126" s="230"/>
      <c r="E1126" s="234"/>
      <c r="F1126" s="206"/>
      <c r="G1126" s="289"/>
      <c r="H1126" s="289"/>
      <c r="I1126" s="289"/>
      <c r="J1126" s="289"/>
      <c r="K1126" s="235"/>
      <c r="L1126" s="865">
        <f>+J1126+K1126</f>
        <v>0</v>
      </c>
      <c r="O1126" s="260" t="s">
        <v>81</v>
      </c>
      <c r="P1126" s="96">
        <v>51000200002</v>
      </c>
      <c r="Q1126" s="234" t="s">
        <v>22</v>
      </c>
      <c r="R1126" s="865">
        <f t="shared" si="86"/>
        <v>0</v>
      </c>
      <c r="U1126" s="156"/>
      <c r="Z1126" s="236"/>
    </row>
    <row r="1127" spans="2:26" x14ac:dyDescent="0.2">
      <c r="B1127" s="233"/>
      <c r="C1127" s="230"/>
      <c r="D1127" s="230"/>
      <c r="E1127" s="234"/>
      <c r="F1127" s="206"/>
      <c r="G1127" s="289"/>
      <c r="H1127" s="289"/>
      <c r="I1127" s="289"/>
      <c r="J1127" s="289"/>
      <c r="K1127" s="235"/>
      <c r="L1127" s="865"/>
      <c r="O1127" s="260" t="s">
        <v>81</v>
      </c>
      <c r="P1127" s="486">
        <v>51220200001</v>
      </c>
      <c r="Q1127" s="476" t="s">
        <v>242</v>
      </c>
      <c r="R1127" s="865">
        <f t="shared" si="86"/>
        <v>1807.46</v>
      </c>
      <c r="U1127" s="156"/>
    </row>
    <row r="1128" spans="2:26" x14ac:dyDescent="0.2">
      <c r="B1128" s="233"/>
      <c r="C1128" s="230"/>
      <c r="D1128" s="230"/>
      <c r="E1128" s="234"/>
      <c r="F1128" s="206"/>
      <c r="G1128" s="289"/>
      <c r="H1128" s="289"/>
      <c r="I1128" s="289"/>
      <c r="J1128" s="289"/>
      <c r="K1128" s="235"/>
      <c r="L1128" s="865"/>
      <c r="O1128" s="260" t="s">
        <v>81</v>
      </c>
      <c r="P1128" s="96">
        <v>51220200001</v>
      </c>
      <c r="Q1128" s="234" t="s">
        <v>187</v>
      </c>
      <c r="R1128" s="865">
        <f t="shared" si="86"/>
        <v>0</v>
      </c>
    </row>
    <row r="1129" spans="2:26" x14ac:dyDescent="0.2">
      <c r="B1129" s="206"/>
      <c r="C1129" s="207"/>
      <c r="D1129" s="207"/>
      <c r="E1129" s="234"/>
      <c r="F1129" s="206"/>
      <c r="G1129" s="289"/>
      <c r="H1129" s="289"/>
      <c r="I1129" s="289"/>
      <c r="J1129" s="289"/>
      <c r="K1129" s="289"/>
      <c r="L1129" s="289"/>
      <c r="O1129" s="260" t="s">
        <v>81</v>
      </c>
      <c r="P1129" s="96">
        <v>51220200001</v>
      </c>
      <c r="Q1129" s="234" t="s">
        <v>22</v>
      </c>
      <c r="R1129" s="865">
        <f t="shared" si="86"/>
        <v>0</v>
      </c>
    </row>
    <row r="1130" spans="2:26" x14ac:dyDescent="0.2">
      <c r="B1130" s="295"/>
      <c r="C1130" s="296"/>
      <c r="D1130" s="296"/>
      <c r="E1130" s="234"/>
      <c r="F1130" s="295"/>
      <c r="G1130" s="297"/>
      <c r="H1130" s="297"/>
      <c r="I1130" s="297"/>
      <c r="J1130" s="297"/>
      <c r="K1130" s="297"/>
      <c r="L1130" s="297"/>
      <c r="O1130" s="260" t="s">
        <v>81</v>
      </c>
      <c r="P1130" s="96">
        <v>52200000001</v>
      </c>
      <c r="Q1130" s="234" t="s">
        <v>242</v>
      </c>
      <c r="R1130" s="865">
        <f t="shared" si="86"/>
        <v>0</v>
      </c>
      <c r="W1130" s="153" t="s">
        <v>255</v>
      </c>
      <c r="X1130" s="236">
        <f>+X1115+X1116+X1117+X1118+X1119</f>
        <v>-2745.72</v>
      </c>
    </row>
    <row r="1131" spans="2:26" x14ac:dyDescent="0.2">
      <c r="B1131" s="206"/>
      <c r="C1131" s="207"/>
      <c r="D1131" s="207"/>
      <c r="E1131" s="206"/>
      <c r="F1131" s="206"/>
      <c r="G1131" s="298" t="e">
        <f t="shared" ref="G1131:I1131" si="88">SUM(G1084:G1130)</f>
        <v>#REF!</v>
      </c>
      <c r="H1131" s="298">
        <f t="shared" si="88"/>
        <v>0</v>
      </c>
      <c r="I1131" s="298">
        <f t="shared" si="88"/>
        <v>0</v>
      </c>
      <c r="J1131" s="298">
        <f>SUM(J1117:J1130)</f>
        <v>2700.54</v>
      </c>
      <c r="K1131" s="298">
        <f t="shared" ref="K1131:L1131" si="89">SUM(K1117:K1130)</f>
        <v>0</v>
      </c>
      <c r="L1131" s="298">
        <f t="shared" si="89"/>
        <v>2700.5400000000004</v>
      </c>
      <c r="O1131" s="260" t="s">
        <v>81</v>
      </c>
      <c r="P1131" s="96">
        <v>52200000001</v>
      </c>
      <c r="Q1131" s="234" t="s">
        <v>187</v>
      </c>
      <c r="R1131" s="865">
        <f t="shared" si="86"/>
        <v>0</v>
      </c>
      <c r="W1131" s="144" t="s">
        <v>257</v>
      </c>
      <c r="X1131" s="236">
        <f>+R1135</f>
        <v>2449.4699999999998</v>
      </c>
    </row>
    <row r="1132" spans="2:26" x14ac:dyDescent="0.2">
      <c r="B1132" s="206"/>
      <c r="C1132" s="207"/>
      <c r="D1132" s="207"/>
      <c r="E1132" s="206"/>
      <c r="F1132" s="206"/>
      <c r="G1132" s="366"/>
      <c r="H1132" s="366"/>
      <c r="I1132" s="366"/>
      <c r="J1132" s="366"/>
      <c r="K1132" s="366"/>
      <c r="L1132" s="366"/>
      <c r="O1132" s="260" t="s">
        <v>81</v>
      </c>
      <c r="P1132" s="96">
        <v>52200000001</v>
      </c>
      <c r="Q1132" s="234" t="s">
        <v>22</v>
      </c>
      <c r="R1132" s="865">
        <f t="shared" si="86"/>
        <v>0</v>
      </c>
      <c r="W1132" s="144" t="s">
        <v>260</v>
      </c>
      <c r="X1132" s="300">
        <f>J1119</f>
        <v>251.07</v>
      </c>
    </row>
    <row r="1133" spans="2:26" x14ac:dyDescent="0.2">
      <c r="B1133" s="206"/>
      <c r="C1133" s="207"/>
      <c r="D1133" s="207"/>
      <c r="E1133" s="206"/>
      <c r="F1133" s="206"/>
      <c r="G1133" s="366"/>
      <c r="H1133" s="366"/>
      <c r="I1133" s="366"/>
      <c r="J1133" s="366"/>
      <c r="K1133" s="366"/>
      <c r="L1133" s="366"/>
      <c r="O1133" s="260" t="s">
        <v>81</v>
      </c>
      <c r="P1133" s="96">
        <v>52200000001</v>
      </c>
      <c r="Q1133" s="234" t="s">
        <v>242</v>
      </c>
      <c r="R1133" s="865">
        <f t="shared" si="86"/>
        <v>0</v>
      </c>
      <c r="X1133" s="704">
        <f>X1130+X1131+X1132</f>
        <v>-45.180000000000007</v>
      </c>
      <c r="Y1133" s="144" t="s">
        <v>275</v>
      </c>
    </row>
    <row r="1134" spans="2:26" x14ac:dyDescent="0.2">
      <c r="B1134" s="206"/>
      <c r="C1134" s="207"/>
      <c r="D1134" s="207"/>
      <c r="E1134" s="206"/>
      <c r="F1134" s="206"/>
      <c r="G1134" s="366"/>
      <c r="H1134" s="366"/>
      <c r="I1134" s="366"/>
      <c r="J1134" s="366"/>
      <c r="K1134" s="366"/>
      <c r="L1134" s="366"/>
      <c r="O1134" s="260" t="s">
        <v>81</v>
      </c>
      <c r="P1134" s="486">
        <v>51220200001</v>
      </c>
      <c r="Q1134" s="476" t="s">
        <v>269</v>
      </c>
      <c r="R1134" s="865">
        <f t="shared" si="86"/>
        <v>354.35</v>
      </c>
    </row>
    <row r="1135" spans="2:26" ht="13.5" thickBot="1" x14ac:dyDescent="0.25">
      <c r="B1135" s="206"/>
      <c r="C1135" s="207"/>
      <c r="D1135" s="207"/>
      <c r="E1135" s="206"/>
      <c r="F1135" s="206"/>
      <c r="G1135" s="366"/>
      <c r="H1135" s="366"/>
      <c r="I1135" s="366"/>
      <c r="J1135" s="366"/>
      <c r="K1135" s="366"/>
      <c r="L1135" s="366"/>
      <c r="O1135" s="863"/>
      <c r="P1135" s="863"/>
      <c r="R1135" s="607">
        <f>SUM(R1115:R1134)</f>
        <v>2449.4699999999998</v>
      </c>
      <c r="X1135" s="236"/>
    </row>
    <row r="1136" spans="2:26" ht="13.5" thickTop="1" x14ac:dyDescent="0.2">
      <c r="B1136" s="206"/>
      <c r="C1136" s="207"/>
      <c r="D1136" s="207"/>
      <c r="E1136" s="206"/>
      <c r="F1136" s="206"/>
      <c r="G1136" s="366"/>
      <c r="H1136" s="366"/>
      <c r="I1136" s="366"/>
      <c r="J1136" s="366"/>
      <c r="K1136" s="366"/>
      <c r="L1136" s="366"/>
      <c r="O1136" s="863"/>
      <c r="P1136" s="863"/>
      <c r="W1136" s="156"/>
    </row>
    <row r="1137" spans="2:24" x14ac:dyDescent="0.2">
      <c r="B1137" s="206"/>
      <c r="C1137" s="207"/>
      <c r="D1137" s="207"/>
      <c r="E1137" s="206"/>
      <c r="F1137" s="206"/>
      <c r="G1137" s="206"/>
      <c r="H1137" s="206"/>
      <c r="I1137" s="206"/>
      <c r="J1137" s="206"/>
      <c r="K1137" s="206"/>
      <c r="L1137" s="206"/>
      <c r="O1137" s="863"/>
      <c r="P1137" s="863"/>
      <c r="W1137" s="156"/>
    </row>
    <row r="1138" spans="2:24" x14ac:dyDescent="0.2">
      <c r="B1138" s="206"/>
      <c r="C1138" s="209" t="s">
        <v>445</v>
      </c>
      <c r="D1138" s="207"/>
      <c r="E1138" s="207"/>
      <c r="F1138" s="206"/>
      <c r="G1138" s="206"/>
      <c r="H1138" s="206"/>
      <c r="I1138" s="209" t="s">
        <v>446</v>
      </c>
      <c r="J1138" s="206"/>
      <c r="K1138" s="206"/>
      <c r="L1138" s="206"/>
      <c r="O1138" s="863"/>
      <c r="P1138" s="863"/>
      <c r="V1138" s="156"/>
      <c r="W1138" s="156"/>
      <c r="X1138" s="156"/>
    </row>
    <row r="1139" spans="2:24" x14ac:dyDescent="0.2">
      <c r="B1139" s="206"/>
      <c r="C1139" s="209"/>
      <c r="D1139" s="207"/>
      <c r="E1139" s="207"/>
      <c r="F1139" s="206"/>
      <c r="G1139" s="206"/>
      <c r="H1139" s="206"/>
      <c r="I1139" s="209"/>
      <c r="J1139" s="206"/>
      <c r="K1139" s="206"/>
      <c r="L1139" s="206"/>
      <c r="O1139" s="863"/>
      <c r="P1139" s="863"/>
      <c r="W1139" s="156"/>
    </row>
    <row r="1140" spans="2:24" x14ac:dyDescent="0.2">
      <c r="B1140" s="206"/>
      <c r="C1140" s="206" t="s">
        <v>79</v>
      </c>
      <c r="D1140" s="207"/>
      <c r="E1140" s="207"/>
      <c r="F1140" s="206"/>
      <c r="G1140" s="467">
        <v>0</v>
      </c>
      <c r="H1140" s="206"/>
      <c r="I1140" s="206" t="s">
        <v>79</v>
      </c>
      <c r="J1140" s="206"/>
      <c r="K1140" s="206"/>
      <c r="L1140" s="467">
        <v>0</v>
      </c>
      <c r="O1140" s="863"/>
      <c r="P1140" s="863"/>
      <c r="W1140" s="156"/>
    </row>
    <row r="1141" spans="2:24" x14ac:dyDescent="0.2">
      <c r="B1141" s="206"/>
      <c r="C1141" s="206"/>
      <c r="D1141" s="207"/>
      <c r="E1141" s="207"/>
      <c r="F1141" s="206"/>
      <c r="G1141" s="206"/>
      <c r="H1141" s="206"/>
      <c r="I1141" s="206"/>
      <c r="J1141" s="206"/>
      <c r="K1141" s="206"/>
      <c r="L1141" s="206"/>
    </row>
    <row r="1142" spans="2:24" x14ac:dyDescent="0.2">
      <c r="B1142" s="206"/>
      <c r="C1142" s="206" t="s">
        <v>447</v>
      </c>
      <c r="D1142" s="207"/>
      <c r="E1142" s="207"/>
      <c r="F1142" s="206"/>
      <c r="G1142" s="467">
        <v>0</v>
      </c>
      <c r="H1142" s="206"/>
      <c r="I1142" s="206" t="s">
        <v>447</v>
      </c>
      <c r="J1142" s="206"/>
      <c r="K1142" s="206"/>
      <c r="L1142" s="467">
        <v>0</v>
      </c>
    </row>
    <row r="1143" spans="2:24" x14ac:dyDescent="0.2">
      <c r="B1143" s="206"/>
      <c r="C1143" s="206"/>
      <c r="D1143" s="207"/>
      <c r="E1143" s="207"/>
      <c r="F1143" s="206"/>
      <c r="G1143" s="467"/>
      <c r="H1143" s="206"/>
      <c r="I1143" s="206"/>
      <c r="J1143" s="206"/>
      <c r="K1143" s="206"/>
      <c r="L1143" s="467"/>
    </row>
    <row r="1144" spans="2:24" x14ac:dyDescent="0.2">
      <c r="B1144" s="206"/>
      <c r="C1144" s="206"/>
      <c r="D1144" s="207"/>
      <c r="E1144" s="207"/>
      <c r="F1144" s="206"/>
      <c r="G1144" s="467"/>
      <c r="H1144" s="206"/>
      <c r="I1144" s="206"/>
      <c r="J1144" s="206"/>
      <c r="K1144" s="206"/>
      <c r="L1144" s="467"/>
    </row>
    <row r="1145" spans="2:24" x14ac:dyDescent="0.2">
      <c r="B1145" s="206"/>
      <c r="C1145" s="206" t="s">
        <v>448</v>
      </c>
      <c r="D1145" s="207"/>
      <c r="E1145" s="207"/>
      <c r="F1145" s="467">
        <v>45.19</v>
      </c>
      <c r="G1145" s="467"/>
      <c r="H1145" s="206"/>
      <c r="I1145" s="206" t="s">
        <v>448</v>
      </c>
      <c r="J1145" s="206"/>
      <c r="K1145" s="206"/>
      <c r="L1145" s="467"/>
    </row>
    <row r="1146" spans="2:24" x14ac:dyDescent="0.2">
      <c r="B1146" s="206"/>
      <c r="C1146" s="206" t="s">
        <v>80</v>
      </c>
      <c r="D1146" s="207"/>
      <c r="E1146" s="207"/>
      <c r="F1146" s="468">
        <f>+F1145*0.13</f>
        <v>5.8746999999999998</v>
      </c>
      <c r="G1146" s="467">
        <f>+'[6]reportes consumidor final'!I1108</f>
        <v>0</v>
      </c>
      <c r="H1146" s="206"/>
      <c r="I1146" s="206" t="s">
        <v>80</v>
      </c>
      <c r="J1146" s="206"/>
      <c r="K1146" s="206"/>
      <c r="L1146" s="467">
        <f>+J1131</f>
        <v>2700.54</v>
      </c>
    </row>
    <row r="1147" spans="2:24" x14ac:dyDescent="0.2">
      <c r="B1147" s="206"/>
      <c r="C1147" s="206" t="s">
        <v>449</v>
      </c>
      <c r="D1147" s="207"/>
      <c r="E1147" s="207"/>
      <c r="F1147" s="467"/>
      <c r="G1147" s="468">
        <f>+G1146*0.13</f>
        <v>0</v>
      </c>
      <c r="H1147" s="206"/>
      <c r="I1147" s="206" t="s">
        <v>449</v>
      </c>
      <c r="J1147" s="206"/>
      <c r="K1147" s="206"/>
      <c r="L1147" s="468">
        <f>+K1131</f>
        <v>0</v>
      </c>
    </row>
    <row r="1148" spans="2:24" ht="13.5" thickBot="1" x14ac:dyDescent="0.25">
      <c r="B1148" s="206"/>
      <c r="C1148" s="206"/>
      <c r="D1148" s="207"/>
      <c r="E1148" s="207"/>
      <c r="F1148" s="469">
        <f>SUM(F1139:F1146)</f>
        <v>51.064699999999995</v>
      </c>
      <c r="G1148" s="467"/>
      <c r="H1148" s="206"/>
      <c r="I1148" s="206"/>
      <c r="J1148" s="206"/>
      <c r="K1148" s="206"/>
      <c r="L1148" s="467"/>
    </row>
    <row r="1149" spans="2:24" ht="14.25" thickTop="1" thickBot="1" x14ac:dyDescent="0.25">
      <c r="B1149" s="206"/>
      <c r="C1149" s="206" t="s">
        <v>450</v>
      </c>
      <c r="D1149" s="207"/>
      <c r="E1149" s="207"/>
      <c r="F1149" s="206"/>
      <c r="G1149" s="469">
        <f>SUM(G1140:G1147)</f>
        <v>0</v>
      </c>
      <c r="H1149" s="206"/>
      <c r="I1149" s="206" t="s">
        <v>450</v>
      </c>
      <c r="J1149" s="206"/>
      <c r="K1149" s="206"/>
      <c r="L1149" s="469">
        <f>SUM(L1146:L1148)</f>
        <v>2700.54</v>
      </c>
    </row>
    <row r="1150" spans="2:24" ht="13.5" thickTop="1" x14ac:dyDescent="0.2">
      <c r="B1150" s="206"/>
      <c r="C1150" s="206"/>
      <c r="D1150" s="207"/>
      <c r="E1150" s="207"/>
      <c r="F1150" s="206"/>
      <c r="G1150" s="206"/>
      <c r="H1150" s="206"/>
      <c r="I1150" s="206"/>
      <c r="J1150" s="206"/>
      <c r="K1150" s="206"/>
      <c r="L1150" s="206"/>
    </row>
    <row r="1154" spans="2:26" ht="14.25" x14ac:dyDescent="0.2">
      <c r="B1154" s="217"/>
      <c r="C1154" s="218" t="s">
        <v>137</v>
      </c>
      <c r="D1154" s="219" t="s">
        <v>16</v>
      </c>
      <c r="E1154" s="219"/>
      <c r="F1154" s="219" t="s">
        <v>74</v>
      </c>
      <c r="G1154" s="219"/>
      <c r="H1154" s="220" t="s">
        <v>75</v>
      </c>
      <c r="I1154" s="221"/>
      <c r="J1154" s="221"/>
      <c r="K1154" s="221"/>
      <c r="L1154" s="239"/>
      <c r="O1154" s="1039" t="s">
        <v>1189</v>
      </c>
      <c r="P1154" s="1039"/>
      <c r="Q1154" s="1039"/>
      <c r="R1154" s="1039"/>
      <c r="U1154" s="153" t="s">
        <v>247</v>
      </c>
      <c r="Y1154" s="144" t="s">
        <v>256</v>
      </c>
      <c r="Z1154" s="144" t="s">
        <v>184</v>
      </c>
    </row>
    <row r="1155" spans="2:26" x14ac:dyDescent="0.2">
      <c r="B1155" s="222" t="s">
        <v>76</v>
      </c>
      <c r="C1155" s="223" t="s">
        <v>77</v>
      </c>
      <c r="D1155" s="223" t="s">
        <v>141</v>
      </c>
      <c r="E1155" s="223" t="s">
        <v>78</v>
      </c>
      <c r="F1155" s="223" t="s">
        <v>142</v>
      </c>
      <c r="G1155" s="223" t="s">
        <v>79</v>
      </c>
      <c r="H1155" s="224" t="s">
        <v>48</v>
      </c>
      <c r="I1155" s="221"/>
      <c r="J1155" s="224" t="s">
        <v>80</v>
      </c>
      <c r="K1155" s="221"/>
      <c r="L1155" s="240" t="s">
        <v>175</v>
      </c>
      <c r="O1155" s="260" t="s">
        <v>82</v>
      </c>
      <c r="P1155" s="96">
        <v>51000000001</v>
      </c>
      <c r="Q1155" s="234" t="s">
        <v>242</v>
      </c>
      <c r="R1155" s="865">
        <f>SUMIFS($J$1157:$J$1167,$E$1157:$E$1167,Q1155,$M$1157:$M$1167,P1155)</f>
        <v>0</v>
      </c>
      <c r="T1155" s="144">
        <v>51000200001</v>
      </c>
      <c r="U1155" s="144" t="s">
        <v>194</v>
      </c>
      <c r="X1155" s="156">
        <v>-527.39</v>
      </c>
      <c r="Y1155" s="156">
        <f>R1158</f>
        <v>0</v>
      </c>
      <c r="Z1155" s="236">
        <v>0</v>
      </c>
    </row>
    <row r="1156" spans="2:26" x14ac:dyDescent="0.2">
      <c r="B1156" s="225"/>
      <c r="C1156" s="226"/>
      <c r="D1156" s="226"/>
      <c r="E1156" s="225"/>
      <c r="F1156" s="225"/>
      <c r="G1156" s="225"/>
      <c r="H1156" s="227" t="s">
        <v>176</v>
      </c>
      <c r="I1156" s="228" t="s">
        <v>177</v>
      </c>
      <c r="J1156" s="241" t="s">
        <v>178</v>
      </c>
      <c r="K1156" s="241" t="s">
        <v>46</v>
      </c>
      <c r="L1156" s="242" t="s">
        <v>48</v>
      </c>
      <c r="O1156" s="260" t="s">
        <v>82</v>
      </c>
      <c r="P1156" s="96">
        <v>51000000002</v>
      </c>
      <c r="Q1156" s="234" t="s">
        <v>242</v>
      </c>
      <c r="R1156" s="865">
        <f t="shared" ref="R1156:R1174" si="90">SUMIFS($J$1157:$J$1167,$E$1157:$E$1167,Q1156,$M$1157:$M$1167,P1156)</f>
        <v>0</v>
      </c>
      <c r="T1156" s="144">
        <v>51000200002</v>
      </c>
      <c r="U1156" s="144" t="s">
        <v>195</v>
      </c>
      <c r="X1156" s="156">
        <v>-527.39</v>
      </c>
      <c r="Y1156" s="156">
        <f>R1160</f>
        <v>0</v>
      </c>
      <c r="Z1156" s="236">
        <v>0</v>
      </c>
    </row>
    <row r="1157" spans="2:26" x14ac:dyDescent="0.2">
      <c r="B1157" s="1019">
        <v>43872</v>
      </c>
      <c r="C1157" s="230" t="s">
        <v>1192</v>
      </c>
      <c r="D1157" s="230" t="s">
        <v>241</v>
      </c>
      <c r="E1157" s="476" t="str">
        <f>+VLOOKUP(F1157,[15]bd!A:B,2,0)</f>
        <v>CITIBANK, N.A. SUCURSAL EL SALVADOR</v>
      </c>
      <c r="F1157" s="476" t="s">
        <v>179</v>
      </c>
      <c r="G1157" s="476"/>
      <c r="H1157" s="478"/>
      <c r="I1157" s="478"/>
      <c r="J1157" s="478">
        <v>8804.9500000000007</v>
      </c>
      <c r="K1157" s="609">
        <v>1144.6400000000001</v>
      </c>
      <c r="L1157" s="478">
        <f t="shared" ref="L1157:L1167" si="91">+J1157+K1157</f>
        <v>9949.59</v>
      </c>
      <c r="O1157" s="260" t="s">
        <v>82</v>
      </c>
      <c r="P1157" s="96">
        <v>51000100001</v>
      </c>
      <c r="Q1157" s="234" t="s">
        <v>242</v>
      </c>
      <c r="R1157" s="865">
        <f t="shared" si="90"/>
        <v>0</v>
      </c>
      <c r="T1157" s="144">
        <v>51000100001</v>
      </c>
      <c r="U1157" s="156" t="s">
        <v>4</v>
      </c>
      <c r="X1157" s="156">
        <v>-8804.9500000000007</v>
      </c>
    </row>
    <row r="1158" spans="2:26" x14ac:dyDescent="0.2">
      <c r="B1158" s="1019">
        <v>43872</v>
      </c>
      <c r="C1158" s="230" t="s">
        <v>1193</v>
      </c>
      <c r="D1158" s="230" t="s">
        <v>241</v>
      </c>
      <c r="E1158" s="476" t="str">
        <f>+VLOOKUP(F1158,[15]bd!A:B,2,0)</f>
        <v>CITIBANK, N.A. SUCURSAL EL SALVADOR</v>
      </c>
      <c r="F1158" s="476" t="s">
        <v>179</v>
      </c>
      <c r="G1158" s="476"/>
      <c r="H1158" s="478"/>
      <c r="I1158" s="478"/>
      <c r="J1158" s="478">
        <v>5503.1</v>
      </c>
      <c r="K1158" s="609">
        <v>715.4</v>
      </c>
      <c r="L1158" s="478">
        <f t="shared" si="91"/>
        <v>6218.5</v>
      </c>
      <c r="O1158" s="260" t="s">
        <v>82</v>
      </c>
      <c r="P1158" s="96">
        <v>51000100001</v>
      </c>
      <c r="Q1158" s="234" t="s">
        <v>269</v>
      </c>
      <c r="R1158" s="865">
        <f t="shared" si="90"/>
        <v>0</v>
      </c>
      <c r="T1158" s="144">
        <v>51000100002</v>
      </c>
      <c r="U1158" s="156" t="s">
        <v>193</v>
      </c>
      <c r="X1158" s="156">
        <v>-5503.1</v>
      </c>
    </row>
    <row r="1159" spans="2:26" x14ac:dyDescent="0.2">
      <c r="B1159" s="1019">
        <v>43875</v>
      </c>
      <c r="C1159" s="230" t="s">
        <v>1194</v>
      </c>
      <c r="D1159" s="230" t="s">
        <v>241</v>
      </c>
      <c r="E1159" s="476" t="str">
        <f>+VLOOKUP(F1159,[15]bd!A:B,2,0)</f>
        <v>CITIBANK, N.A. SUCURSAL EL SALVADOR</v>
      </c>
      <c r="F1159" s="476" t="s">
        <v>179</v>
      </c>
      <c r="G1159" s="476"/>
      <c r="H1159" s="478"/>
      <c r="I1159" s="478"/>
      <c r="J1159" s="478">
        <v>7.77</v>
      </c>
      <c r="K1159" s="609">
        <v>1.01</v>
      </c>
      <c r="L1159" s="478">
        <f t="shared" si="91"/>
        <v>8.7799999999999994</v>
      </c>
      <c r="O1159" s="260" t="s">
        <v>82</v>
      </c>
      <c r="P1159" s="96">
        <v>51000100002</v>
      </c>
      <c r="Q1159" s="234" t="s">
        <v>242</v>
      </c>
      <c r="R1159" s="865">
        <f t="shared" si="90"/>
        <v>0</v>
      </c>
      <c r="T1159" s="144">
        <v>51220200001</v>
      </c>
      <c r="U1159" s="144" t="s">
        <v>21</v>
      </c>
      <c r="X1159" s="156">
        <v>-3162.74</v>
      </c>
      <c r="Y1159" s="156">
        <f>R1167+R1174</f>
        <v>2807.46</v>
      </c>
      <c r="Z1159" s="236">
        <f>X1160+Y1159</f>
        <v>2807.46</v>
      </c>
    </row>
    <row r="1160" spans="2:26" x14ac:dyDescent="0.2">
      <c r="B1160" s="1019">
        <v>43875</v>
      </c>
      <c r="C1160" s="230" t="s">
        <v>1195</v>
      </c>
      <c r="D1160" s="230" t="s">
        <v>241</v>
      </c>
      <c r="E1160" s="476" t="str">
        <f>+VLOOKUP(F1160,[15]bd!A:B,2,0)</f>
        <v>CITIBANK, N.A. SUCURSAL EL SALVADOR</v>
      </c>
      <c r="F1160" s="476" t="s">
        <v>179</v>
      </c>
      <c r="G1160" s="476"/>
      <c r="H1160" s="478"/>
      <c r="I1160" s="478"/>
      <c r="J1160" s="478">
        <v>4.8600000000000003</v>
      </c>
      <c r="K1160" s="609">
        <v>0.63</v>
      </c>
      <c r="L1160" s="478">
        <f t="shared" si="91"/>
        <v>5.49</v>
      </c>
      <c r="O1160" s="260" t="s">
        <v>82</v>
      </c>
      <c r="P1160" s="96">
        <v>51000100002</v>
      </c>
      <c r="Q1160" s="234" t="s">
        <v>269</v>
      </c>
      <c r="R1160" s="865">
        <f t="shared" si="90"/>
        <v>0</v>
      </c>
      <c r="T1160" s="351">
        <v>52200000001</v>
      </c>
      <c r="U1160" s="351" t="s">
        <v>11</v>
      </c>
      <c r="V1160" s="351"/>
      <c r="W1160" s="351"/>
      <c r="X1160" s="156"/>
      <c r="Y1160" s="156">
        <v>0</v>
      </c>
      <c r="Z1160" s="236">
        <v>0</v>
      </c>
    </row>
    <row r="1161" spans="2:26" x14ac:dyDescent="0.2">
      <c r="B1161" s="1019">
        <v>43879</v>
      </c>
      <c r="C1161" s="230" t="s">
        <v>1196</v>
      </c>
      <c r="D1161" s="230" t="s">
        <v>241</v>
      </c>
      <c r="E1161" s="234" t="str">
        <f>+VLOOKUP(F1161,[15]bd!A:B,2,0)</f>
        <v>BANCO CUSCATLAN DE EL SALVADOR S.A.</v>
      </c>
      <c r="F1161" s="234" t="s">
        <v>47</v>
      </c>
      <c r="G1161" s="864"/>
      <c r="H1161" s="865"/>
      <c r="I1161" s="865"/>
      <c r="J1161" s="865">
        <v>239.73</v>
      </c>
      <c r="K1161" s="235">
        <v>31.16</v>
      </c>
      <c r="L1161" s="865">
        <f t="shared" si="91"/>
        <v>270.89</v>
      </c>
      <c r="M1161" s="608">
        <v>51000200002</v>
      </c>
      <c r="O1161" s="260" t="s">
        <v>82</v>
      </c>
      <c r="P1161" s="486">
        <v>51000200001</v>
      </c>
      <c r="Q1161" s="476" t="s">
        <v>242</v>
      </c>
      <c r="R1161" s="865">
        <f t="shared" si="90"/>
        <v>527.39</v>
      </c>
      <c r="T1161" s="144">
        <v>51000000001</v>
      </c>
      <c r="U1161" s="144" t="s">
        <v>71</v>
      </c>
      <c r="X1161" s="156"/>
    </row>
    <row r="1162" spans="2:26" x14ac:dyDescent="0.2">
      <c r="B1162" s="1019">
        <v>43879</v>
      </c>
      <c r="C1162" s="230" t="s">
        <v>1197</v>
      </c>
      <c r="D1162" s="230" t="s">
        <v>241</v>
      </c>
      <c r="E1162" s="234" t="str">
        <f>+VLOOKUP(F1162,[15]bd!A:B,2,0)</f>
        <v>BANCO CUSCATLAN DE EL SALVADOR S.A.</v>
      </c>
      <c r="F1162" s="234" t="s">
        <v>47</v>
      </c>
      <c r="G1162" s="864"/>
      <c r="H1162" s="865"/>
      <c r="I1162" s="865"/>
      <c r="J1162" s="865">
        <v>239.73</v>
      </c>
      <c r="K1162" s="235">
        <v>31.16</v>
      </c>
      <c r="L1162" s="865">
        <f t="shared" si="91"/>
        <v>270.89</v>
      </c>
      <c r="M1162" s="608">
        <v>51000200001</v>
      </c>
      <c r="O1162" s="260" t="s">
        <v>82</v>
      </c>
      <c r="P1162" s="96">
        <v>51000200001</v>
      </c>
      <c r="Q1162" s="234" t="s">
        <v>187</v>
      </c>
      <c r="R1162" s="865">
        <f t="shared" si="90"/>
        <v>0</v>
      </c>
      <c r="T1162" s="144">
        <v>51000000002</v>
      </c>
      <c r="U1162" s="144" t="s">
        <v>3</v>
      </c>
      <c r="X1162" s="156"/>
    </row>
    <row r="1163" spans="2:26" x14ac:dyDescent="0.2">
      <c r="B1163" s="1034">
        <v>43881</v>
      </c>
      <c r="C1163" s="230" t="s">
        <v>1198</v>
      </c>
      <c r="D1163" s="230" t="s">
        <v>241</v>
      </c>
      <c r="E1163" s="234" t="str">
        <f>+VLOOKUP(F1163,[15]bd!A:B,2,0)</f>
        <v>BANCO CUSCATLAN DE EL SALVADOR S.A.</v>
      </c>
      <c r="F1163" s="234" t="s">
        <v>47</v>
      </c>
      <c r="G1163" s="234"/>
      <c r="H1163" s="865"/>
      <c r="I1163" s="865"/>
      <c r="J1163" s="865">
        <v>287.66000000000003</v>
      </c>
      <c r="K1163" s="235">
        <v>37.4</v>
      </c>
      <c r="L1163" s="865">
        <f t="shared" si="91"/>
        <v>325.06</v>
      </c>
      <c r="M1163" s="608">
        <v>51000200002</v>
      </c>
      <c r="O1163" s="260" t="s">
        <v>82</v>
      </c>
      <c r="P1163" s="96">
        <v>51000200001</v>
      </c>
      <c r="Q1163" s="234" t="s">
        <v>22</v>
      </c>
      <c r="R1163" s="865">
        <f t="shared" si="90"/>
        <v>0</v>
      </c>
      <c r="T1163" s="144">
        <v>53000100001</v>
      </c>
      <c r="U1163" s="144" t="s">
        <v>73</v>
      </c>
      <c r="X1163" s="356"/>
      <c r="Y1163" s="156">
        <v>0</v>
      </c>
      <c r="Z1163" s="236">
        <v>0</v>
      </c>
    </row>
    <row r="1164" spans="2:26" x14ac:dyDescent="0.2">
      <c r="B1164" s="1034">
        <v>43881</v>
      </c>
      <c r="C1164" s="230" t="s">
        <v>1199</v>
      </c>
      <c r="D1164" s="230" t="s">
        <v>241</v>
      </c>
      <c r="E1164" s="234" t="str">
        <f>+VLOOKUP(F1164,[15]bd!A:B,2,0)</f>
        <v>BANCO CUSCATLAN DE EL SALVADOR S.A.</v>
      </c>
      <c r="F1164" s="234" t="s">
        <v>47</v>
      </c>
      <c r="G1164" s="234"/>
      <c r="H1164" s="865"/>
      <c r="I1164" s="865"/>
      <c r="J1164" s="865">
        <v>287.66000000000003</v>
      </c>
      <c r="K1164" s="235">
        <v>37.4</v>
      </c>
      <c r="L1164" s="865">
        <f t="shared" si="91"/>
        <v>325.06</v>
      </c>
      <c r="M1164" s="608">
        <v>51000200001</v>
      </c>
      <c r="O1164" s="260" t="s">
        <v>82</v>
      </c>
      <c r="P1164" s="486">
        <v>51000200002</v>
      </c>
      <c r="Q1164" s="476" t="s">
        <v>242</v>
      </c>
      <c r="R1164" s="865">
        <f t="shared" si="90"/>
        <v>527.39</v>
      </c>
      <c r="X1164" s="304">
        <v>0</v>
      </c>
      <c r="Y1164" s="304"/>
      <c r="Z1164" s="300">
        <v>0</v>
      </c>
    </row>
    <row r="1165" spans="2:26" x14ac:dyDescent="0.2">
      <c r="B1165" s="1034">
        <v>43881</v>
      </c>
      <c r="C1165" s="230" t="s">
        <v>1200</v>
      </c>
      <c r="D1165" s="230" t="s">
        <v>241</v>
      </c>
      <c r="E1165" s="234" t="str">
        <f>+VLOOKUP(F1165,[15]bd!A:B,2,0)</f>
        <v>BANCO CUSCATLAN DE EL SALVADOR S.A.</v>
      </c>
      <c r="F1165" s="234" t="s">
        <v>47</v>
      </c>
      <c r="G1165" s="234"/>
      <c r="H1165" s="865"/>
      <c r="I1165" s="865"/>
      <c r="J1165" s="865">
        <v>2353.11</v>
      </c>
      <c r="K1165" s="235">
        <v>305.89999999999998</v>
      </c>
      <c r="L1165" s="865">
        <f t="shared" si="91"/>
        <v>2659.01</v>
      </c>
      <c r="M1165" s="608">
        <v>51220200001</v>
      </c>
      <c r="O1165" s="260" t="s">
        <v>82</v>
      </c>
      <c r="P1165" s="96">
        <v>51000200002</v>
      </c>
      <c r="Q1165" s="234" t="s">
        <v>187</v>
      </c>
      <c r="R1165" s="865">
        <f t="shared" si="90"/>
        <v>0</v>
      </c>
      <c r="X1165" s="290">
        <f>SUM(X1155:X1163)</f>
        <v>-18525.57</v>
      </c>
      <c r="Y1165" s="290">
        <f>SUM(Y1155:Y1164)</f>
        <v>2807.46</v>
      </c>
      <c r="Z1165" s="290">
        <f>SUM(Z1155:Z1164)</f>
        <v>2807.46</v>
      </c>
    </row>
    <row r="1166" spans="2:26" x14ac:dyDescent="0.2">
      <c r="B1166" s="233">
        <v>43881</v>
      </c>
      <c r="C1166" s="230" t="s">
        <v>1201</v>
      </c>
      <c r="D1166" s="230" t="s">
        <v>241</v>
      </c>
      <c r="E1166" s="234" t="str">
        <f>+VLOOKUP(F1166,[15]bd!A:B,2,0)</f>
        <v>INVERSIONES FINANCIERAS IMPERIA CUSCATLAN, SA</v>
      </c>
      <c r="F1166" s="234" t="s">
        <v>270</v>
      </c>
      <c r="G1166" s="234"/>
      <c r="H1166" s="865"/>
      <c r="I1166" s="865"/>
      <c r="J1166" s="865">
        <v>454.35</v>
      </c>
      <c r="K1166" s="235">
        <v>59.07</v>
      </c>
      <c r="L1166" s="865">
        <f t="shared" si="91"/>
        <v>513.42000000000007</v>
      </c>
      <c r="M1166" s="608">
        <v>51220200001</v>
      </c>
      <c r="O1166" s="260" t="s">
        <v>82</v>
      </c>
      <c r="P1166" s="96">
        <v>51000200002</v>
      </c>
      <c r="Q1166" s="234" t="s">
        <v>22</v>
      </c>
      <c r="R1166" s="865">
        <f t="shared" si="90"/>
        <v>0</v>
      </c>
      <c r="U1166" s="156"/>
      <c r="Z1166" s="236"/>
    </row>
    <row r="1167" spans="2:26" x14ac:dyDescent="0.2">
      <c r="B1167" s="233">
        <v>43881</v>
      </c>
      <c r="C1167" s="230" t="s">
        <v>600</v>
      </c>
      <c r="D1167" s="230" t="s">
        <v>241</v>
      </c>
      <c r="E1167" s="476" t="str">
        <f>+VLOOKUP(F1167,[15]bd!A:B,2,0)</f>
        <v>CITIBANK, N.A. SUCURSAL EL SALVADOR</v>
      </c>
      <c r="F1167" s="476" t="s">
        <v>179</v>
      </c>
      <c r="G1167" s="476"/>
      <c r="H1167" s="478"/>
      <c r="I1167" s="478"/>
      <c r="J1167" s="478">
        <v>340.96</v>
      </c>
      <c r="K1167" s="609">
        <v>44.32</v>
      </c>
      <c r="L1167" s="478">
        <f t="shared" si="91"/>
        <v>385.28</v>
      </c>
      <c r="O1167" s="260" t="s">
        <v>82</v>
      </c>
      <c r="P1167" s="486">
        <v>51220200001</v>
      </c>
      <c r="Q1167" s="476" t="s">
        <v>242</v>
      </c>
      <c r="R1167" s="865">
        <f t="shared" si="90"/>
        <v>2353.11</v>
      </c>
      <c r="U1167" s="156"/>
    </row>
    <row r="1168" spans="2:26" x14ac:dyDescent="0.2">
      <c r="O1168" s="260" t="s">
        <v>82</v>
      </c>
      <c r="P1168" s="96">
        <v>51220200001</v>
      </c>
      <c r="Q1168" s="234" t="s">
        <v>187</v>
      </c>
      <c r="R1168" s="865">
        <f t="shared" si="90"/>
        <v>0</v>
      </c>
    </row>
    <row r="1169" spans="2:25" x14ac:dyDescent="0.2">
      <c r="B1169" s="233"/>
      <c r="C1169" s="230" t="s">
        <v>18</v>
      </c>
      <c r="D1169" s="230"/>
      <c r="E1169" s="234" t="s">
        <v>321</v>
      </c>
      <c r="F1169" s="206"/>
      <c r="G1169" s="289"/>
      <c r="H1169" s="289"/>
      <c r="I1169" s="289"/>
      <c r="J1169" s="289"/>
      <c r="K1169" s="601">
        <v>-1457.19</v>
      </c>
      <c r="L1169" s="865">
        <f>+J1169+K1169</f>
        <v>-1457.19</v>
      </c>
      <c r="O1169" s="260" t="s">
        <v>82</v>
      </c>
      <c r="P1169" s="96">
        <v>51220200001</v>
      </c>
      <c r="Q1169" s="234" t="s">
        <v>22</v>
      </c>
      <c r="R1169" s="865">
        <f t="shared" si="90"/>
        <v>0</v>
      </c>
    </row>
    <row r="1170" spans="2:25" x14ac:dyDescent="0.2">
      <c r="B1170" s="233"/>
      <c r="C1170" s="230"/>
      <c r="D1170" s="230"/>
      <c r="E1170" s="234"/>
      <c r="F1170" s="206"/>
      <c r="G1170" s="289"/>
      <c r="H1170" s="289"/>
      <c r="I1170" s="289"/>
      <c r="J1170" s="289"/>
      <c r="K1170" s="235"/>
      <c r="L1170" s="865">
        <f>+J1170+K1170</f>
        <v>0</v>
      </c>
      <c r="O1170" s="260" t="s">
        <v>82</v>
      </c>
      <c r="P1170" s="96">
        <v>52200000001</v>
      </c>
      <c r="Q1170" s="234" t="s">
        <v>242</v>
      </c>
      <c r="R1170" s="865">
        <f t="shared" si="90"/>
        <v>0</v>
      </c>
      <c r="W1170" s="153" t="s">
        <v>255</v>
      </c>
      <c r="X1170" s="236">
        <f>+X1155+X1156+X1157+X1158+X1159</f>
        <v>-18525.57</v>
      </c>
    </row>
    <row r="1171" spans="2:25" x14ac:dyDescent="0.2">
      <c r="B1171" s="233"/>
      <c r="C1171" s="230"/>
      <c r="D1171" s="230"/>
      <c r="E1171" s="234"/>
      <c r="F1171" s="206"/>
      <c r="G1171" s="289"/>
      <c r="H1171" s="289"/>
      <c r="I1171" s="289"/>
      <c r="J1171" s="289"/>
      <c r="K1171" s="235"/>
      <c r="L1171" s="865"/>
      <c r="O1171" s="260" t="s">
        <v>82</v>
      </c>
      <c r="P1171" s="96">
        <v>52200000001</v>
      </c>
      <c r="Q1171" s="234" t="s">
        <v>187</v>
      </c>
      <c r="R1171" s="865">
        <f t="shared" si="90"/>
        <v>0</v>
      </c>
      <c r="W1171" s="144" t="s">
        <v>257</v>
      </c>
      <c r="X1171" s="236">
        <f>+R1175</f>
        <v>3862.2400000000002</v>
      </c>
    </row>
    <row r="1172" spans="2:25" x14ac:dyDescent="0.2">
      <c r="B1172" s="233"/>
      <c r="C1172" s="230"/>
      <c r="D1172" s="230"/>
      <c r="E1172" s="234"/>
      <c r="F1172" s="206"/>
      <c r="G1172" s="289"/>
      <c r="H1172" s="289"/>
      <c r="I1172" s="289"/>
      <c r="J1172" s="289"/>
      <c r="K1172" s="235"/>
      <c r="L1172" s="865"/>
      <c r="O1172" s="260" t="s">
        <v>82</v>
      </c>
      <c r="P1172" s="96">
        <v>52200000001</v>
      </c>
      <c r="Q1172" s="234" t="s">
        <v>22</v>
      </c>
      <c r="R1172" s="865">
        <f t="shared" si="90"/>
        <v>0</v>
      </c>
      <c r="W1172" s="144" t="s">
        <v>260</v>
      </c>
      <c r="X1172" s="300">
        <f>+J1157+J1158+J1159+J1160+J1167</f>
        <v>14661.640000000001</v>
      </c>
    </row>
    <row r="1173" spans="2:25" x14ac:dyDescent="0.2">
      <c r="B1173" s="206"/>
      <c r="C1173" s="207"/>
      <c r="D1173" s="207"/>
      <c r="E1173" s="234"/>
      <c r="F1173" s="206"/>
      <c r="G1173" s="289"/>
      <c r="H1173" s="289"/>
      <c r="I1173" s="289"/>
      <c r="J1173" s="289"/>
      <c r="K1173" s="289"/>
      <c r="L1173" s="289"/>
      <c r="O1173" s="260" t="s">
        <v>82</v>
      </c>
      <c r="P1173" s="96">
        <v>52200000001</v>
      </c>
      <c r="Q1173" s="234" t="s">
        <v>242</v>
      </c>
      <c r="R1173" s="865">
        <f t="shared" si="90"/>
        <v>0</v>
      </c>
      <c r="X1173" s="704">
        <f>X1170+X1171+X1172</f>
        <v>-1.6899999999986903</v>
      </c>
      <c r="Y1173" s="144" t="s">
        <v>275</v>
      </c>
    </row>
    <row r="1174" spans="2:25" x14ac:dyDescent="0.2">
      <c r="B1174" s="295"/>
      <c r="C1174" s="296"/>
      <c r="D1174" s="296"/>
      <c r="E1174" s="234"/>
      <c r="F1174" s="295"/>
      <c r="G1174" s="297"/>
      <c r="H1174" s="297"/>
      <c r="I1174" s="297"/>
      <c r="J1174" s="297"/>
      <c r="K1174" s="297"/>
      <c r="L1174" s="297"/>
      <c r="O1174" s="260" t="s">
        <v>82</v>
      </c>
      <c r="P1174" s="486">
        <v>51220200001</v>
      </c>
      <c r="Q1174" s="476" t="s">
        <v>269</v>
      </c>
      <c r="R1174" s="865">
        <f t="shared" si="90"/>
        <v>454.35</v>
      </c>
    </row>
    <row r="1175" spans="2:25" ht="13.5" thickBot="1" x14ac:dyDescent="0.25">
      <c r="B1175" s="206"/>
      <c r="C1175" s="207"/>
      <c r="D1175" s="207"/>
      <c r="E1175" s="206"/>
      <c r="F1175" s="206"/>
      <c r="G1175" s="298" t="e">
        <f t="shared" ref="G1175:I1175" si="92">SUM(G1128:G1174)</f>
        <v>#REF!</v>
      </c>
      <c r="H1175" s="298">
        <f t="shared" si="92"/>
        <v>0</v>
      </c>
      <c r="I1175" s="298">
        <f t="shared" si="92"/>
        <v>0</v>
      </c>
      <c r="J1175" s="298">
        <f t="shared" ref="J1175:K1175" si="93">SUM(J1157:J1174)</f>
        <v>18523.879999999997</v>
      </c>
      <c r="K1175" s="298">
        <f t="shared" si="93"/>
        <v>950.90000000000055</v>
      </c>
      <c r="L1175" s="298">
        <f>SUM(L1157:L1174)</f>
        <v>19474.780000000002</v>
      </c>
      <c r="O1175" s="863"/>
      <c r="P1175" s="863"/>
      <c r="R1175" s="607">
        <f>SUM(R1155:R1174)</f>
        <v>3862.2400000000002</v>
      </c>
      <c r="X1175" s="236"/>
    </row>
    <row r="1176" spans="2:25" ht="13.5" thickTop="1" x14ac:dyDescent="0.2">
      <c r="B1176" s="206"/>
      <c r="C1176" s="207"/>
      <c r="D1176" s="207"/>
      <c r="E1176" s="206"/>
      <c r="F1176" s="206"/>
      <c r="G1176" s="366"/>
      <c r="H1176" s="366"/>
      <c r="I1176" s="366"/>
      <c r="J1176" s="366"/>
      <c r="K1176" s="366"/>
      <c r="L1176" s="366"/>
      <c r="O1176" s="863"/>
      <c r="P1176" s="863"/>
      <c r="W1176" s="156"/>
    </row>
    <row r="1177" spans="2:25" x14ac:dyDescent="0.2">
      <c r="B1177" s="206"/>
      <c r="C1177" s="207"/>
      <c r="D1177" s="207"/>
      <c r="E1177" s="206"/>
      <c r="F1177" s="206"/>
      <c r="G1177" s="366"/>
      <c r="H1177" s="366"/>
      <c r="I1177" s="366"/>
      <c r="J1177" s="366"/>
      <c r="K1177" s="366"/>
      <c r="L1177" s="366"/>
    </row>
    <row r="1178" spans="2:25" x14ac:dyDescent="0.2">
      <c r="B1178" s="206"/>
      <c r="C1178" s="207"/>
      <c r="D1178" s="207"/>
      <c r="E1178" s="206"/>
      <c r="F1178" s="206"/>
      <c r="G1178" s="366"/>
      <c r="H1178" s="366"/>
      <c r="I1178" s="366"/>
      <c r="J1178" s="366"/>
      <c r="K1178" s="366"/>
      <c r="L1178" s="366"/>
    </row>
    <row r="1179" spans="2:25" x14ac:dyDescent="0.2">
      <c r="B1179" s="206"/>
      <c r="C1179" s="207"/>
      <c r="D1179" s="207"/>
      <c r="E1179" s="206"/>
      <c r="F1179" s="206"/>
      <c r="G1179" s="366"/>
      <c r="H1179" s="366"/>
      <c r="I1179" s="366"/>
      <c r="J1179" s="366"/>
      <c r="K1179" s="366"/>
      <c r="L1179" s="366"/>
    </row>
    <row r="1180" spans="2:25" x14ac:dyDescent="0.2">
      <c r="B1180" s="206"/>
      <c r="C1180" s="207"/>
      <c r="D1180" s="207"/>
      <c r="E1180" s="206"/>
      <c r="F1180" s="206"/>
      <c r="G1180" s="366"/>
      <c r="H1180" s="366"/>
      <c r="I1180" s="366"/>
      <c r="J1180" s="366"/>
      <c r="K1180" s="366"/>
      <c r="L1180" s="366"/>
    </row>
    <row r="1181" spans="2:25" x14ac:dyDescent="0.2">
      <c r="B1181" s="206"/>
      <c r="C1181" s="207"/>
      <c r="D1181" s="207"/>
      <c r="E1181" s="206"/>
      <c r="F1181" s="206"/>
      <c r="G1181" s="206"/>
      <c r="H1181" s="206"/>
      <c r="I1181" s="206"/>
      <c r="J1181" s="206"/>
      <c r="K1181" s="206"/>
      <c r="L1181" s="206"/>
    </row>
    <row r="1182" spans="2:25" x14ac:dyDescent="0.2">
      <c r="B1182" s="206"/>
      <c r="C1182" s="209" t="s">
        <v>445</v>
      </c>
      <c r="D1182" s="207"/>
      <c r="E1182" s="207"/>
      <c r="F1182" s="206"/>
      <c r="G1182" s="206"/>
      <c r="H1182" s="206"/>
      <c r="I1182" s="209" t="s">
        <v>446</v>
      </c>
      <c r="J1182" s="206"/>
      <c r="K1182" s="206"/>
      <c r="L1182" s="206"/>
    </row>
    <row r="1183" spans="2:25" x14ac:dyDescent="0.2">
      <c r="B1183" s="206"/>
      <c r="C1183" s="209"/>
      <c r="D1183" s="207"/>
      <c r="E1183" s="207"/>
      <c r="F1183" s="206"/>
      <c r="G1183" s="206"/>
      <c r="H1183" s="206"/>
      <c r="I1183" s="209"/>
      <c r="J1183" s="206"/>
      <c r="K1183" s="206"/>
      <c r="L1183" s="206"/>
    </row>
    <row r="1184" spans="2:25" x14ac:dyDescent="0.2">
      <c r="B1184" s="206"/>
      <c r="C1184" s="206" t="s">
        <v>79</v>
      </c>
      <c r="D1184" s="207"/>
      <c r="E1184" s="207"/>
      <c r="F1184" s="206"/>
      <c r="G1184" s="467">
        <v>0</v>
      </c>
      <c r="H1184" s="206"/>
      <c r="I1184" s="206" t="s">
        <v>79</v>
      </c>
      <c r="J1184" s="206"/>
      <c r="K1184" s="206"/>
      <c r="L1184" s="467">
        <v>0</v>
      </c>
    </row>
    <row r="1185" spans="2:12" x14ac:dyDescent="0.2">
      <c r="B1185" s="206"/>
      <c r="C1185" s="206"/>
      <c r="D1185" s="207"/>
      <c r="E1185" s="207"/>
      <c r="F1185" s="206"/>
      <c r="G1185" s="206"/>
      <c r="H1185" s="206"/>
      <c r="I1185" s="206"/>
      <c r="J1185" s="206"/>
      <c r="K1185" s="206"/>
      <c r="L1185" s="206"/>
    </row>
    <row r="1186" spans="2:12" x14ac:dyDescent="0.2">
      <c r="B1186" s="206"/>
      <c r="C1186" s="206" t="s">
        <v>447</v>
      </c>
      <c r="D1186" s="207"/>
      <c r="E1186" s="207"/>
      <c r="F1186" s="206"/>
      <c r="G1186" s="467">
        <v>0</v>
      </c>
      <c r="H1186" s="206"/>
      <c r="I1186" s="206" t="s">
        <v>447</v>
      </c>
      <c r="J1186" s="206"/>
      <c r="K1186" s="206"/>
      <c r="L1186" s="467">
        <v>0</v>
      </c>
    </row>
    <row r="1187" spans="2:12" x14ac:dyDescent="0.2">
      <c r="B1187" s="206"/>
      <c r="C1187" s="206"/>
      <c r="D1187" s="207"/>
      <c r="E1187" s="207"/>
      <c r="F1187" s="206"/>
      <c r="G1187" s="467"/>
      <c r="H1187" s="206"/>
      <c r="I1187" s="206"/>
      <c r="J1187" s="206"/>
      <c r="K1187" s="206"/>
      <c r="L1187" s="467"/>
    </row>
    <row r="1188" spans="2:12" x14ac:dyDescent="0.2">
      <c r="B1188" s="206"/>
      <c r="C1188" s="206"/>
      <c r="D1188" s="207"/>
      <c r="E1188" s="207"/>
      <c r="F1188" s="206"/>
      <c r="G1188" s="467"/>
      <c r="H1188" s="206"/>
      <c r="I1188" s="206"/>
      <c r="J1188" s="206"/>
      <c r="K1188" s="206"/>
      <c r="L1188" s="467"/>
    </row>
    <row r="1189" spans="2:12" x14ac:dyDescent="0.2">
      <c r="B1189" s="206"/>
      <c r="C1189" s="206" t="s">
        <v>448</v>
      </c>
      <c r="D1189" s="207"/>
      <c r="E1189" s="207"/>
      <c r="F1189" s="206"/>
      <c r="G1189" s="467"/>
      <c r="H1189" s="206"/>
      <c r="I1189" s="206" t="s">
        <v>448</v>
      </c>
      <c r="J1189" s="206"/>
      <c r="K1189" s="206"/>
      <c r="L1189" s="467"/>
    </row>
    <row r="1190" spans="2:12" x14ac:dyDescent="0.2">
      <c r="B1190" s="206"/>
      <c r="C1190" s="206" t="s">
        <v>80</v>
      </c>
      <c r="D1190" s="207"/>
      <c r="E1190" s="207"/>
      <c r="F1190" s="206"/>
      <c r="G1190" s="467">
        <f>+'[15]reportes consumidor final'!I1152</f>
        <v>0</v>
      </c>
      <c r="H1190" s="206"/>
      <c r="I1190" s="206" t="s">
        <v>80</v>
      </c>
      <c r="J1190" s="206"/>
      <c r="K1190" s="206"/>
      <c r="L1190" s="467">
        <f>+J1175</f>
        <v>18523.879999999997</v>
      </c>
    </row>
    <row r="1191" spans="2:12" x14ac:dyDescent="0.2">
      <c r="B1191" s="206"/>
      <c r="C1191" s="206" t="s">
        <v>449</v>
      </c>
      <c r="D1191" s="207"/>
      <c r="E1191" s="207"/>
      <c r="F1191" s="206"/>
      <c r="G1191" s="468">
        <f>+G1190*0.13</f>
        <v>0</v>
      </c>
      <c r="H1191" s="206"/>
      <c r="I1191" s="206" t="s">
        <v>449</v>
      </c>
      <c r="J1191" s="206"/>
      <c r="K1191" s="206"/>
      <c r="L1191" s="468">
        <f>+K1175</f>
        <v>950.90000000000055</v>
      </c>
    </row>
    <row r="1192" spans="2:12" x14ac:dyDescent="0.2">
      <c r="B1192" s="206"/>
      <c r="C1192" s="206"/>
      <c r="D1192" s="207"/>
      <c r="E1192" s="207"/>
      <c r="F1192" s="206"/>
      <c r="G1192" s="467"/>
      <c r="H1192" s="206"/>
      <c r="I1192" s="206"/>
      <c r="J1192" s="206"/>
      <c r="K1192" s="206"/>
      <c r="L1192" s="467"/>
    </row>
    <row r="1193" spans="2:12" ht="13.5" thickBot="1" x14ac:dyDescent="0.25">
      <c r="B1193" s="206"/>
      <c r="C1193" s="206" t="s">
        <v>450</v>
      </c>
      <c r="D1193" s="207"/>
      <c r="E1193" s="207"/>
      <c r="F1193" s="206"/>
      <c r="G1193" s="469">
        <f>SUM(G1184:G1191)</f>
        <v>0</v>
      </c>
      <c r="H1193" s="206"/>
      <c r="I1193" s="206" t="s">
        <v>450</v>
      </c>
      <c r="J1193" s="206"/>
      <c r="K1193" s="206"/>
      <c r="L1193" s="469">
        <f>SUM(L1190:L1192)</f>
        <v>19474.78</v>
      </c>
    </row>
    <row r="1194" spans="2:12" ht="13.5" thickTop="1" x14ac:dyDescent="0.2"/>
  </sheetData>
  <sortState ref="V662:Z668">
    <sortCondition ref="V662"/>
  </sortState>
  <mergeCells count="2">
    <mergeCell ref="O1114:R1114"/>
    <mergeCell ref="O1154:R1154"/>
  </mergeCells>
  <pageMargins left="0.08" right="0.08" top="1.07" bottom="0.23622047244094491" header="0" footer="0"/>
  <pageSetup scale="29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729"/>
  <sheetViews>
    <sheetView showGridLines="0" topLeftCell="A697" zoomScale="70" zoomScaleNormal="70" workbookViewId="0">
      <selection activeCell="G720" sqref="G720"/>
    </sheetView>
  </sheetViews>
  <sheetFormatPr baseColWidth="10" defaultRowHeight="12.75" x14ac:dyDescent="0.2"/>
  <cols>
    <col min="1" max="1" width="17.28515625" customWidth="1"/>
    <col min="2" max="2" width="16.28515625" customWidth="1"/>
    <col min="5" max="5" width="16.140625" customWidth="1"/>
  </cols>
  <sheetData>
    <row r="1" spans="1:16" ht="20.25" x14ac:dyDescent="0.3">
      <c r="A1" s="614" t="s">
        <v>560</v>
      </c>
      <c r="B1" s="615"/>
      <c r="C1" s="616"/>
      <c r="D1" s="616"/>
      <c r="E1" s="616"/>
      <c r="F1" s="617"/>
      <c r="G1" s="618"/>
      <c r="H1" s="618"/>
      <c r="I1" s="618"/>
      <c r="J1" s="618"/>
      <c r="K1" s="618"/>
      <c r="L1" s="618"/>
      <c r="M1" s="619"/>
      <c r="N1" s="620"/>
      <c r="O1" s="620"/>
      <c r="P1" s="620"/>
    </row>
    <row r="2" spans="1:16" ht="15.75" x14ac:dyDescent="0.25">
      <c r="A2" s="616" t="s">
        <v>134</v>
      </c>
      <c r="B2" s="616"/>
      <c r="C2" s="616"/>
      <c r="D2" s="616"/>
      <c r="E2" s="616"/>
      <c r="F2" s="617"/>
      <c r="G2" s="618"/>
      <c r="H2" s="618"/>
      <c r="I2" s="618"/>
      <c r="J2" s="618"/>
      <c r="K2" s="618"/>
      <c r="L2" s="618"/>
      <c r="M2" s="619"/>
      <c r="N2" s="620"/>
      <c r="O2" s="620"/>
      <c r="P2" s="620"/>
    </row>
    <row r="3" spans="1:16" ht="15.75" x14ac:dyDescent="0.25">
      <c r="A3" s="615" t="s">
        <v>135</v>
      </c>
      <c r="B3" s="616"/>
      <c r="C3" s="616"/>
      <c r="D3" s="616"/>
      <c r="E3" s="616"/>
      <c r="F3" s="617"/>
      <c r="G3" s="621"/>
      <c r="H3" s="621"/>
      <c r="I3" s="618"/>
      <c r="J3" s="618"/>
      <c r="K3" s="618"/>
      <c r="L3" s="618"/>
      <c r="M3" s="619"/>
      <c r="N3" s="620"/>
      <c r="O3" s="620"/>
      <c r="P3" s="620"/>
    </row>
    <row r="4" spans="1:16" ht="15.75" x14ac:dyDescent="0.25">
      <c r="A4" s="616" t="s">
        <v>190</v>
      </c>
      <c r="B4" s="616"/>
      <c r="C4" s="616"/>
      <c r="D4" s="616"/>
      <c r="E4" s="616"/>
      <c r="F4" s="617"/>
      <c r="G4" s="618"/>
      <c r="H4" s="618"/>
      <c r="I4" s="618"/>
      <c r="J4" s="618"/>
      <c r="K4" s="618"/>
      <c r="L4" s="618"/>
      <c r="M4" s="619"/>
      <c r="N4" s="620"/>
      <c r="O4" s="620"/>
      <c r="P4" s="620"/>
    </row>
    <row r="5" spans="1:16" ht="15.75" x14ac:dyDescent="0.25">
      <c r="A5" s="622" t="s">
        <v>219</v>
      </c>
      <c r="B5" s="623" t="str">
        <f>'[3]Compras '!B5</f>
        <v>MES</v>
      </c>
      <c r="C5" s="624"/>
      <c r="D5" s="625">
        <v>2018</v>
      </c>
      <c r="E5" s="616"/>
      <c r="F5" s="617"/>
      <c r="G5" s="618"/>
      <c r="H5" s="626"/>
      <c r="I5" s="626"/>
      <c r="J5" s="626"/>
      <c r="K5" s="626"/>
      <c r="L5" s="626"/>
      <c r="M5" s="619"/>
      <c r="N5" s="620"/>
      <c r="O5" s="620"/>
      <c r="P5" s="620"/>
    </row>
    <row r="6" spans="1:16" ht="15.75" x14ac:dyDescent="0.25">
      <c r="A6" s="619"/>
      <c r="B6" s="619"/>
      <c r="C6" s="616"/>
      <c r="D6" s="616"/>
      <c r="E6" s="616"/>
      <c r="F6" s="617"/>
      <c r="G6" s="618"/>
      <c r="H6" s="618"/>
      <c r="I6" s="618"/>
      <c r="J6" s="618"/>
      <c r="K6" s="618"/>
      <c r="L6" s="618"/>
      <c r="M6" s="619"/>
      <c r="N6" s="620"/>
      <c r="O6" s="620"/>
      <c r="P6" s="620"/>
    </row>
    <row r="7" spans="1:16" ht="15.75" x14ac:dyDescent="0.25">
      <c r="A7" s="619"/>
      <c r="B7" s="619"/>
      <c r="C7" s="616"/>
      <c r="D7" s="616"/>
      <c r="E7" s="616"/>
      <c r="F7" s="617"/>
      <c r="G7" s="618"/>
      <c r="H7" s="618"/>
      <c r="I7" s="618"/>
      <c r="J7" s="618"/>
      <c r="K7" s="618"/>
      <c r="L7" s="618"/>
      <c r="M7" s="619"/>
      <c r="N7" s="620"/>
      <c r="O7" s="620"/>
      <c r="P7" s="620"/>
    </row>
    <row r="8" spans="1:16" ht="15.75" x14ac:dyDescent="0.25">
      <c r="A8" s="619"/>
      <c r="B8" s="619"/>
      <c r="C8" s="616"/>
      <c r="D8" s="616"/>
      <c r="E8" s="616"/>
      <c r="F8" s="617"/>
      <c r="G8" s="627" t="s">
        <v>48</v>
      </c>
      <c r="H8" s="627" t="s">
        <v>48</v>
      </c>
      <c r="I8" s="627" t="s">
        <v>561</v>
      </c>
      <c r="J8" s="627" t="s">
        <v>562</v>
      </c>
      <c r="K8" s="627" t="s">
        <v>48</v>
      </c>
      <c r="L8" s="627" t="s">
        <v>140</v>
      </c>
      <c r="M8" s="619"/>
      <c r="N8" s="620"/>
      <c r="O8" s="620"/>
      <c r="P8" s="620"/>
    </row>
    <row r="9" spans="1:16" ht="16.5" thickBot="1" x14ac:dyDescent="0.3">
      <c r="A9" s="628" t="s">
        <v>76</v>
      </c>
      <c r="B9" s="628"/>
      <c r="C9" s="628" t="s">
        <v>563</v>
      </c>
      <c r="D9" s="628"/>
      <c r="E9" s="628" t="s">
        <v>564</v>
      </c>
      <c r="F9" s="629" t="s">
        <v>79</v>
      </c>
      <c r="G9" s="630" t="s">
        <v>177</v>
      </c>
      <c r="H9" s="631" t="s">
        <v>565</v>
      </c>
      <c r="I9" s="630" t="s">
        <v>566</v>
      </c>
      <c r="J9" s="630" t="s">
        <v>567</v>
      </c>
      <c r="K9" s="630" t="s">
        <v>176</v>
      </c>
      <c r="L9" s="630" t="s">
        <v>48</v>
      </c>
      <c r="M9" s="619"/>
      <c r="N9" s="620"/>
      <c r="O9" s="620"/>
      <c r="P9" s="620"/>
    </row>
    <row r="10" spans="1:16" ht="16.5" thickTop="1" x14ac:dyDescent="0.25">
      <c r="A10" s="632"/>
      <c r="B10" s="633"/>
      <c r="C10" s="634"/>
      <c r="D10" s="634"/>
      <c r="E10" s="634"/>
      <c r="F10" s="635"/>
      <c r="G10" s="635"/>
      <c r="H10" s="636"/>
      <c r="I10" s="636"/>
      <c r="J10" s="636"/>
      <c r="K10" s="636"/>
      <c r="L10" s="637"/>
      <c r="M10" s="619"/>
      <c r="N10" s="620"/>
      <c r="O10" s="620"/>
      <c r="P10" s="620"/>
    </row>
    <row r="11" spans="1:16" ht="15.75" x14ac:dyDescent="0.25">
      <c r="A11" s="638">
        <v>43388</v>
      </c>
      <c r="B11" s="639"/>
      <c r="C11" s="640" t="s">
        <v>568</v>
      </c>
      <c r="D11" s="639"/>
      <c r="E11" s="641" t="str">
        <f t="shared" ref="E11:E20" si="0">C11</f>
        <v>01987</v>
      </c>
      <c r="F11" s="642">
        <v>0</v>
      </c>
      <c r="G11" s="642">
        <v>0</v>
      </c>
      <c r="H11" s="643">
        <v>1.85</v>
      </c>
      <c r="I11" s="636"/>
      <c r="J11" s="636"/>
      <c r="K11" s="643">
        <v>0</v>
      </c>
      <c r="L11" s="644"/>
      <c r="M11" s="643"/>
      <c r="N11" s="645"/>
      <c r="O11" s="645"/>
      <c r="P11" s="645"/>
    </row>
    <row r="12" spans="1:16" ht="15.75" x14ac:dyDescent="0.25">
      <c r="A12" s="638">
        <v>43390</v>
      </c>
      <c r="B12" s="639"/>
      <c r="C12" s="640" t="s">
        <v>569</v>
      </c>
      <c r="D12" s="639"/>
      <c r="E12" s="641" t="str">
        <f t="shared" si="0"/>
        <v>01982</v>
      </c>
      <c r="F12" s="642">
        <v>0</v>
      </c>
      <c r="G12" s="642">
        <v>25.95</v>
      </c>
      <c r="H12" s="643">
        <v>0</v>
      </c>
      <c r="I12" s="636"/>
      <c r="J12" s="636"/>
      <c r="K12" s="643">
        <v>0</v>
      </c>
      <c r="L12" s="644"/>
      <c r="M12" s="643"/>
      <c r="N12" s="645"/>
      <c r="O12" s="645"/>
      <c r="P12" s="645"/>
    </row>
    <row r="13" spans="1:16" ht="15.75" x14ac:dyDescent="0.25">
      <c r="A13" s="638">
        <v>43403</v>
      </c>
      <c r="B13" s="639"/>
      <c r="C13" s="640" t="s">
        <v>570</v>
      </c>
      <c r="D13" s="639"/>
      <c r="E13" s="641" t="str">
        <f t="shared" si="0"/>
        <v>1983</v>
      </c>
      <c r="F13" s="642">
        <v>0</v>
      </c>
      <c r="G13" s="642">
        <v>22.09</v>
      </c>
      <c r="H13" s="643">
        <v>0</v>
      </c>
      <c r="I13" s="636"/>
      <c r="J13" s="636"/>
      <c r="K13" s="643">
        <v>0</v>
      </c>
      <c r="L13" s="644"/>
      <c r="M13" s="643"/>
      <c r="N13" s="645"/>
      <c r="O13" s="645"/>
      <c r="P13" s="645"/>
    </row>
    <row r="14" spans="1:16" ht="15.75" x14ac:dyDescent="0.25">
      <c r="A14" s="638">
        <v>43403</v>
      </c>
      <c r="B14" s="639"/>
      <c r="C14" s="640" t="s">
        <v>571</v>
      </c>
      <c r="D14" s="639"/>
      <c r="E14" s="641" t="str">
        <f t="shared" si="0"/>
        <v>1984</v>
      </c>
      <c r="F14" s="642">
        <v>0</v>
      </c>
      <c r="G14" s="642">
        <v>13.78</v>
      </c>
      <c r="H14" s="643">
        <v>0</v>
      </c>
      <c r="I14" s="636"/>
      <c r="J14" s="636"/>
      <c r="K14" s="643">
        <v>0</v>
      </c>
      <c r="L14" s="644"/>
      <c r="M14" s="643"/>
      <c r="N14" s="645"/>
      <c r="O14" s="645"/>
      <c r="P14" s="645"/>
    </row>
    <row r="15" spans="1:16" ht="15.75" x14ac:dyDescent="0.25">
      <c r="A15" s="638">
        <v>43403</v>
      </c>
      <c r="B15" s="639"/>
      <c r="C15" s="640" t="s">
        <v>572</v>
      </c>
      <c r="D15" s="639"/>
      <c r="E15" s="641" t="str">
        <f t="shared" si="0"/>
        <v>1991</v>
      </c>
      <c r="F15" s="642">
        <v>0</v>
      </c>
      <c r="G15" s="642">
        <v>110.37</v>
      </c>
      <c r="H15" s="643">
        <v>0</v>
      </c>
      <c r="I15" s="636"/>
      <c r="J15" s="636"/>
      <c r="K15" s="643">
        <v>0</v>
      </c>
      <c r="L15" s="637"/>
      <c r="M15" s="619"/>
      <c r="N15" s="620"/>
      <c r="O15" s="620"/>
      <c r="P15" s="620"/>
    </row>
    <row r="16" spans="1:16" ht="15.75" x14ac:dyDescent="0.25">
      <c r="A16" s="638"/>
      <c r="B16" s="639"/>
      <c r="C16" s="640" t="s">
        <v>409</v>
      </c>
      <c r="D16" s="639"/>
      <c r="E16" s="641" t="str">
        <f t="shared" si="0"/>
        <v>0</v>
      </c>
      <c r="F16" s="642">
        <v>0</v>
      </c>
      <c r="G16" s="642">
        <v>0</v>
      </c>
      <c r="H16" s="643">
        <v>0</v>
      </c>
      <c r="I16" s="636"/>
      <c r="J16" s="636"/>
      <c r="K16" s="643">
        <v>0</v>
      </c>
      <c r="L16" s="644"/>
      <c r="M16" s="643"/>
      <c r="N16" s="645"/>
      <c r="O16" s="645"/>
      <c r="P16" s="645"/>
    </row>
    <row r="17" spans="1:16" ht="15.75" x14ac:dyDescent="0.25">
      <c r="A17" s="638"/>
      <c r="B17" s="639"/>
      <c r="C17" s="640" t="s">
        <v>409</v>
      </c>
      <c r="D17" s="646"/>
      <c r="E17" s="641" t="str">
        <f t="shared" si="0"/>
        <v>0</v>
      </c>
      <c r="F17" s="642">
        <v>0</v>
      </c>
      <c r="G17" s="642">
        <v>0</v>
      </c>
      <c r="H17" s="643">
        <v>0</v>
      </c>
      <c r="I17" s="636"/>
      <c r="J17" s="636"/>
      <c r="K17" s="643">
        <v>0</v>
      </c>
      <c r="L17" s="637"/>
      <c r="M17" s="619"/>
      <c r="N17" s="620"/>
      <c r="O17" s="620"/>
      <c r="P17" s="620"/>
    </row>
    <row r="18" spans="1:16" ht="15.75" x14ac:dyDescent="0.25">
      <c r="A18" s="638"/>
      <c r="B18" s="639"/>
      <c r="C18" s="640" t="s">
        <v>409</v>
      </c>
      <c r="D18" s="646"/>
      <c r="E18" s="641" t="str">
        <f t="shared" si="0"/>
        <v>0</v>
      </c>
      <c r="F18" s="642">
        <v>0</v>
      </c>
      <c r="G18" s="642">
        <v>0</v>
      </c>
      <c r="H18" s="643">
        <v>0</v>
      </c>
      <c r="I18" s="636"/>
      <c r="J18" s="636"/>
      <c r="K18" s="643">
        <v>0</v>
      </c>
      <c r="L18" s="637"/>
      <c r="M18" s="619"/>
      <c r="N18" s="620"/>
      <c r="O18" s="620"/>
      <c r="P18" s="620"/>
    </row>
    <row r="19" spans="1:16" ht="15.75" x14ac:dyDescent="0.25">
      <c r="A19" s="638"/>
      <c r="B19" s="639"/>
      <c r="C19" s="640" t="s">
        <v>409</v>
      </c>
      <c r="D19" s="646"/>
      <c r="E19" s="641" t="str">
        <f t="shared" si="0"/>
        <v>0</v>
      </c>
      <c r="F19" s="642">
        <v>0</v>
      </c>
      <c r="G19" s="642">
        <v>0</v>
      </c>
      <c r="H19" s="643">
        <v>0</v>
      </c>
      <c r="I19" s="636"/>
      <c r="J19" s="636"/>
      <c r="K19" s="643">
        <v>0</v>
      </c>
      <c r="L19" s="637"/>
      <c r="M19" s="619"/>
      <c r="N19" s="620"/>
      <c r="O19" s="620"/>
      <c r="P19" s="620"/>
    </row>
    <row r="20" spans="1:16" ht="15.75" x14ac:dyDescent="0.25">
      <c r="A20" s="638"/>
      <c r="B20" s="639"/>
      <c r="C20" s="640" t="s">
        <v>409</v>
      </c>
      <c r="D20" s="646"/>
      <c r="E20" s="641" t="str">
        <f t="shared" si="0"/>
        <v>0</v>
      </c>
      <c r="F20" s="642">
        <v>0</v>
      </c>
      <c r="G20" s="642">
        <v>0</v>
      </c>
      <c r="H20" s="643">
        <v>0</v>
      </c>
      <c r="I20" s="636"/>
      <c r="J20" s="636"/>
      <c r="K20" s="643">
        <v>0</v>
      </c>
      <c r="L20" s="637"/>
      <c r="M20" s="619"/>
      <c r="N20" s="620"/>
      <c r="O20" s="620"/>
      <c r="P20" s="620"/>
    </row>
    <row r="21" spans="1:16" ht="15.75" x14ac:dyDescent="0.25">
      <c r="A21" s="638"/>
      <c r="B21" s="639"/>
      <c r="C21" s="640"/>
      <c r="D21" s="646"/>
      <c r="E21" s="641"/>
      <c r="F21" s="642"/>
      <c r="G21" s="647"/>
      <c r="H21" s="643"/>
      <c r="I21" s="636"/>
      <c r="J21" s="636"/>
      <c r="K21" s="636"/>
      <c r="L21" s="637"/>
      <c r="M21" s="619"/>
      <c r="N21" s="620"/>
      <c r="O21" s="620"/>
      <c r="P21" s="620"/>
    </row>
    <row r="22" spans="1:16" ht="15.75" x14ac:dyDescent="0.25">
      <c r="A22" s="638"/>
      <c r="B22" s="639"/>
      <c r="C22" s="640"/>
      <c r="D22" s="646"/>
      <c r="E22" s="641"/>
      <c r="F22" s="642"/>
      <c r="G22" s="647"/>
      <c r="H22" s="643"/>
      <c r="I22" s="636"/>
      <c r="J22" s="636"/>
      <c r="K22" s="636"/>
      <c r="L22" s="637"/>
      <c r="M22" s="619"/>
      <c r="N22" s="620"/>
      <c r="O22" s="620"/>
      <c r="P22" s="620"/>
    </row>
    <row r="23" spans="1:16" ht="15.75" x14ac:dyDescent="0.25">
      <c r="A23" s="638"/>
      <c r="B23" s="639"/>
      <c r="C23" s="640"/>
      <c r="D23" s="646"/>
      <c r="E23" s="641"/>
      <c r="F23" s="642"/>
      <c r="G23" s="647"/>
      <c r="H23" s="643"/>
      <c r="I23" s="636"/>
      <c r="J23" s="636"/>
      <c r="K23" s="636"/>
      <c r="L23" s="637"/>
      <c r="M23" s="619"/>
      <c r="N23" s="620"/>
      <c r="O23" s="620"/>
      <c r="P23" s="620"/>
    </row>
    <row r="24" spans="1:16" ht="15.75" x14ac:dyDescent="0.25">
      <c r="A24" s="638"/>
      <c r="B24" s="639"/>
      <c r="C24" s="640"/>
      <c r="D24" s="646"/>
      <c r="E24" s="641"/>
      <c r="F24" s="642"/>
      <c r="G24" s="647"/>
      <c r="H24" s="645"/>
      <c r="I24" s="636"/>
      <c r="J24" s="636"/>
      <c r="K24" s="636"/>
      <c r="L24" s="637"/>
      <c r="M24" s="619"/>
      <c r="N24" s="620"/>
      <c r="O24" s="620"/>
      <c r="P24" s="620"/>
    </row>
    <row r="25" spans="1:16" ht="15.75" x14ac:dyDescent="0.25">
      <c r="A25" s="638"/>
      <c r="B25" s="639"/>
      <c r="C25" s="640"/>
      <c r="D25" s="646"/>
      <c r="E25" s="641"/>
      <c r="F25" s="642"/>
      <c r="G25" s="647"/>
      <c r="H25" s="645"/>
      <c r="I25" s="636"/>
      <c r="J25" s="636"/>
      <c r="K25" s="636"/>
      <c r="L25" s="637"/>
      <c r="M25" s="619"/>
      <c r="N25" s="620"/>
      <c r="O25" s="620"/>
      <c r="P25" s="620"/>
    </row>
    <row r="26" spans="1:16" ht="15.75" x14ac:dyDescent="0.25">
      <c r="A26" s="648"/>
      <c r="B26" s="649"/>
      <c r="C26" s="640"/>
      <c r="D26" s="650"/>
      <c r="E26" s="641"/>
      <c r="F26" s="617"/>
      <c r="G26" s="647"/>
      <c r="H26" s="645"/>
      <c r="I26" s="636"/>
      <c r="J26" s="636"/>
      <c r="K26" s="636"/>
      <c r="L26" s="637"/>
      <c r="M26" s="619"/>
      <c r="N26" s="620"/>
      <c r="O26" s="620"/>
      <c r="P26" s="620"/>
    </row>
    <row r="27" spans="1:16" ht="15.75" x14ac:dyDescent="0.25">
      <c r="A27" s="648"/>
      <c r="B27" s="651"/>
      <c r="C27" s="652"/>
      <c r="D27" s="653"/>
      <c r="E27" s="641"/>
      <c r="F27" s="654"/>
      <c r="G27" s="647"/>
      <c r="H27" s="645"/>
      <c r="I27" s="636"/>
      <c r="J27" s="636"/>
      <c r="K27" s="636"/>
      <c r="L27" s="637"/>
      <c r="M27" s="619"/>
      <c r="N27" s="620"/>
      <c r="O27" s="620"/>
      <c r="P27" s="620">
        <f>+L27/1.13</f>
        <v>0</v>
      </c>
    </row>
    <row r="28" spans="1:16" ht="15.75" x14ac:dyDescent="0.25">
      <c r="A28" s="648"/>
      <c r="B28" s="649"/>
      <c r="C28" s="652"/>
      <c r="D28" s="650"/>
      <c r="E28" s="641"/>
      <c r="F28" s="617"/>
      <c r="G28" s="647"/>
      <c r="H28" s="645"/>
      <c r="I28" s="636"/>
      <c r="J28" s="636"/>
      <c r="K28" s="636"/>
      <c r="L28" s="637"/>
      <c r="M28" s="619"/>
      <c r="N28" s="620"/>
      <c r="O28" s="620"/>
      <c r="P28" s="620"/>
    </row>
    <row r="29" spans="1:16" ht="15.75" x14ac:dyDescent="0.25">
      <c r="A29" s="648"/>
      <c r="B29" s="649"/>
      <c r="C29" s="655"/>
      <c r="D29" s="650"/>
      <c r="E29" s="641"/>
      <c r="F29" s="617"/>
      <c r="G29" s="647"/>
      <c r="H29" s="636"/>
      <c r="I29" s="636"/>
      <c r="J29" s="636"/>
      <c r="K29" s="636"/>
      <c r="L29" s="637"/>
      <c r="M29" s="619"/>
      <c r="N29" s="620"/>
      <c r="O29" s="620"/>
      <c r="P29" s="620"/>
    </row>
    <row r="30" spans="1:16" ht="16.5" thickBot="1" x14ac:dyDescent="0.3">
      <c r="A30" s="656"/>
      <c r="B30" s="656"/>
      <c r="C30" s="657"/>
      <c r="D30" s="657"/>
      <c r="E30" s="657"/>
      <c r="F30" s="629"/>
      <c r="G30" s="629"/>
      <c r="H30" s="658"/>
      <c r="I30" s="658"/>
      <c r="J30" s="658"/>
      <c r="K30" s="658"/>
      <c r="L30" s="659"/>
      <c r="M30" s="619"/>
      <c r="N30" s="620"/>
      <c r="O30" s="620"/>
      <c r="P30" s="620"/>
    </row>
    <row r="31" spans="1:16" ht="16.5" thickTop="1" x14ac:dyDescent="0.25">
      <c r="A31" s="660"/>
      <c r="B31" s="660"/>
      <c r="C31" s="650"/>
      <c r="D31" s="650"/>
      <c r="E31" s="650"/>
      <c r="F31" s="644">
        <f>SUM(F10:F30)</f>
        <v>0</v>
      </c>
      <c r="G31" s="644">
        <f t="shared" ref="G31:L31" si="1">SUM(G10:G30)</f>
        <v>172.19</v>
      </c>
      <c r="H31" s="644">
        <f>SUM(H10:H30)</f>
        <v>1.85</v>
      </c>
      <c r="I31" s="644">
        <f t="shared" si="1"/>
        <v>0</v>
      </c>
      <c r="J31" s="644">
        <f t="shared" si="1"/>
        <v>0</v>
      </c>
      <c r="K31" s="644">
        <f t="shared" si="1"/>
        <v>0</v>
      </c>
      <c r="L31" s="644">
        <f t="shared" si="1"/>
        <v>0</v>
      </c>
      <c r="M31" s="619"/>
      <c r="N31" s="620"/>
      <c r="O31" s="620"/>
      <c r="P31" s="620"/>
    </row>
    <row r="32" spans="1:16" ht="15.75" x14ac:dyDescent="0.25">
      <c r="A32" s="660"/>
      <c r="B32" s="660"/>
      <c r="C32" s="650"/>
      <c r="D32" s="650"/>
      <c r="E32" s="650"/>
      <c r="F32" s="617"/>
      <c r="G32" s="644"/>
      <c r="H32" s="644"/>
      <c r="I32" s="644"/>
      <c r="J32" s="644"/>
      <c r="K32" s="644"/>
      <c r="L32" s="644"/>
      <c r="M32" s="619"/>
      <c r="N32" s="620"/>
      <c r="O32" s="620"/>
      <c r="P32" s="620"/>
    </row>
    <row r="33" spans="1:16" ht="15.75" x14ac:dyDescent="0.25">
      <c r="A33" s="660"/>
      <c r="B33" s="660"/>
      <c r="C33" s="650" t="s">
        <v>573</v>
      </c>
      <c r="D33" s="650"/>
      <c r="E33" s="650"/>
      <c r="F33" s="617"/>
      <c r="G33" s="644"/>
      <c r="H33" s="644">
        <f>+F31</f>
        <v>0</v>
      </c>
      <c r="I33" s="644"/>
      <c r="J33" s="644"/>
      <c r="K33" s="644"/>
      <c r="L33" s="644"/>
      <c r="M33" s="619"/>
      <c r="N33" s="620"/>
      <c r="O33" s="620"/>
      <c r="P33" s="620"/>
    </row>
    <row r="34" spans="1:16" ht="15.75" x14ac:dyDescent="0.25">
      <c r="A34" s="660"/>
      <c r="B34" s="660"/>
      <c r="C34" s="650"/>
      <c r="D34" s="650"/>
      <c r="E34" s="650"/>
      <c r="F34" s="617"/>
      <c r="G34" s="644"/>
      <c r="H34" s="644"/>
      <c r="I34" s="644"/>
      <c r="J34" s="644"/>
      <c r="K34" s="644"/>
      <c r="L34" s="644"/>
      <c r="M34" s="619"/>
      <c r="N34" s="620"/>
      <c r="O34" s="620"/>
      <c r="P34" s="620"/>
    </row>
    <row r="35" spans="1:16" ht="15.75" x14ac:dyDescent="0.25">
      <c r="A35" s="660"/>
      <c r="B35" s="660"/>
      <c r="C35" s="650" t="s">
        <v>574</v>
      </c>
      <c r="D35" s="650"/>
      <c r="E35" s="650"/>
      <c r="F35" s="617"/>
      <c r="G35" s="644"/>
      <c r="H35" s="644">
        <f>+G31</f>
        <v>172.19</v>
      </c>
      <c r="I35" s="644"/>
      <c r="J35" s="644"/>
      <c r="K35" s="644"/>
      <c r="L35" s="644"/>
      <c r="M35" s="619"/>
      <c r="N35" s="620"/>
      <c r="O35" s="620"/>
      <c r="P35" s="620"/>
    </row>
    <row r="36" spans="1:16" ht="15.75" x14ac:dyDescent="0.25">
      <c r="A36" s="660"/>
      <c r="B36" s="660"/>
      <c r="C36" s="650"/>
      <c r="D36" s="650"/>
      <c r="E36" s="650"/>
      <c r="F36" s="617"/>
      <c r="G36" s="644"/>
      <c r="H36" s="644"/>
      <c r="I36" s="644"/>
      <c r="J36" s="644"/>
      <c r="K36" s="644"/>
      <c r="L36" s="644"/>
      <c r="M36" s="619"/>
      <c r="N36" s="620"/>
      <c r="O36" s="620"/>
      <c r="P36" s="620"/>
    </row>
    <row r="37" spans="1:16" ht="15.75" x14ac:dyDescent="0.25">
      <c r="A37" s="660"/>
      <c r="B37" s="660"/>
      <c r="C37" s="650"/>
      <c r="D37" s="650"/>
      <c r="E37" s="650"/>
      <c r="F37" s="617"/>
      <c r="G37" s="661"/>
      <c r="H37" s="618"/>
      <c r="I37" s="618"/>
      <c r="J37" s="618"/>
      <c r="K37" s="618"/>
      <c r="L37" s="618"/>
      <c r="M37" s="619"/>
      <c r="N37" s="620"/>
      <c r="O37" s="620"/>
      <c r="P37" s="620"/>
    </row>
    <row r="38" spans="1:16" ht="15.75" x14ac:dyDescent="0.25">
      <c r="A38" s="660"/>
      <c r="B38" s="660"/>
      <c r="C38" s="650" t="s">
        <v>448</v>
      </c>
      <c r="D38" s="650"/>
      <c r="E38" s="650"/>
      <c r="F38" s="617"/>
      <c r="G38" s="618"/>
      <c r="H38" s="621"/>
      <c r="I38" s="621"/>
      <c r="J38" s="621"/>
      <c r="K38" s="621"/>
      <c r="L38" s="618"/>
      <c r="M38" s="619"/>
      <c r="N38" s="620"/>
      <c r="O38" s="620"/>
      <c r="P38" s="620"/>
    </row>
    <row r="39" spans="1:16" ht="15.75" x14ac:dyDescent="0.25">
      <c r="A39" s="660"/>
      <c r="B39" s="660"/>
      <c r="C39" s="650" t="s">
        <v>80</v>
      </c>
      <c r="D39" s="650"/>
      <c r="E39" s="650"/>
      <c r="F39" s="617"/>
      <c r="G39" s="618"/>
      <c r="H39" s="662">
        <f>H31/1.13</f>
        <v>1.6371681415929207</v>
      </c>
      <c r="I39" s="644"/>
      <c r="J39" s="644"/>
      <c r="K39" s="644"/>
      <c r="L39" s="663"/>
      <c r="M39" s="619"/>
      <c r="N39" s="620"/>
      <c r="O39" s="620"/>
      <c r="P39" s="620"/>
    </row>
    <row r="40" spans="1:16" ht="15.75" x14ac:dyDescent="0.25">
      <c r="A40" s="660"/>
      <c r="B40" s="660"/>
      <c r="C40" s="650" t="s">
        <v>449</v>
      </c>
      <c r="D40" s="650"/>
      <c r="E40" s="650"/>
      <c r="F40" s="617"/>
      <c r="G40" s="618"/>
      <c r="H40" s="664">
        <f>(H39*0.13)</f>
        <v>0.21283185840707969</v>
      </c>
      <c r="I40" s="664"/>
      <c r="J40" s="664"/>
      <c r="K40" s="664"/>
      <c r="L40" s="663"/>
      <c r="M40" s="619"/>
      <c r="N40" s="620"/>
      <c r="O40" s="620"/>
      <c r="P40" s="620"/>
    </row>
    <row r="41" spans="1:16" ht="16.5" thickBot="1" x14ac:dyDescent="0.3">
      <c r="A41" s="660"/>
      <c r="B41" s="660"/>
      <c r="C41" s="650"/>
      <c r="D41" s="650"/>
      <c r="E41" s="650"/>
      <c r="F41" s="617"/>
      <c r="G41" s="618"/>
      <c r="H41" s="665"/>
      <c r="I41" s="666"/>
      <c r="J41" s="666"/>
      <c r="K41" s="666"/>
      <c r="L41" s="663"/>
      <c r="M41" s="619"/>
      <c r="N41" s="620"/>
      <c r="O41" s="620"/>
      <c r="P41" s="620"/>
    </row>
    <row r="42" spans="1:16" ht="16.5" thickTop="1" x14ac:dyDescent="0.25">
      <c r="A42" s="660"/>
      <c r="B42" s="660"/>
      <c r="C42" s="650" t="s">
        <v>450</v>
      </c>
      <c r="D42" s="650"/>
      <c r="E42" s="650"/>
      <c r="F42" s="617"/>
      <c r="G42" s="618"/>
      <c r="H42" s="637">
        <f>SUM(H39:H41)</f>
        <v>1.8500000000000003</v>
      </c>
      <c r="I42" s="637"/>
      <c r="J42" s="637"/>
      <c r="K42" s="637"/>
      <c r="L42" s="618"/>
      <c r="M42" s="619"/>
      <c r="N42" s="620"/>
      <c r="O42" s="620"/>
      <c r="P42" s="620"/>
    </row>
    <row r="43" spans="1:16" ht="16.5" thickBot="1" x14ac:dyDescent="0.3">
      <c r="A43" s="660"/>
      <c r="B43" s="660"/>
      <c r="C43" s="650"/>
      <c r="D43" s="650"/>
      <c r="E43" s="650"/>
      <c r="F43" s="617"/>
      <c r="G43" s="618"/>
      <c r="H43" s="665"/>
      <c r="I43" s="666"/>
      <c r="J43" s="666"/>
      <c r="K43" s="666"/>
      <c r="L43" s="618"/>
      <c r="M43" s="619"/>
      <c r="N43" s="620"/>
      <c r="O43" s="620"/>
      <c r="P43" s="620"/>
    </row>
    <row r="44" spans="1:16" ht="16.5" thickTop="1" x14ac:dyDescent="0.25">
      <c r="A44" s="660"/>
      <c r="B44" s="660"/>
      <c r="C44" s="650"/>
      <c r="D44" s="650"/>
      <c r="E44" s="650"/>
      <c r="F44" s="617"/>
      <c r="G44" s="618"/>
      <c r="H44" s="667"/>
      <c r="I44" s="667"/>
      <c r="J44" s="667"/>
      <c r="K44" s="667"/>
      <c r="L44" s="618"/>
      <c r="M44" s="619"/>
      <c r="N44" s="620"/>
      <c r="O44" s="620"/>
      <c r="P44" s="620"/>
    </row>
    <row r="45" spans="1:16" ht="15.75" x14ac:dyDescent="0.25">
      <c r="A45" s="660"/>
      <c r="B45" s="660"/>
      <c r="C45" s="650"/>
      <c r="D45" s="650"/>
      <c r="E45" s="650"/>
      <c r="F45" s="617"/>
      <c r="G45" s="618"/>
      <c r="H45" s="627"/>
      <c r="I45" s="627"/>
      <c r="J45" s="627"/>
      <c r="K45" s="627"/>
      <c r="L45" s="618"/>
      <c r="M45" s="619"/>
      <c r="N45" s="620"/>
      <c r="O45" s="620"/>
      <c r="P45" s="620"/>
    </row>
    <row r="46" spans="1:16" ht="15.75" x14ac:dyDescent="0.25">
      <c r="A46" s="660"/>
      <c r="B46" s="660"/>
      <c r="C46" s="650"/>
      <c r="D46" s="650"/>
      <c r="E46" s="650"/>
      <c r="F46" s="668"/>
      <c r="G46" s="618" t="s">
        <v>575</v>
      </c>
      <c r="H46" s="627"/>
      <c r="I46" s="627"/>
      <c r="J46" s="627"/>
      <c r="K46" s="627"/>
      <c r="L46" s="618"/>
      <c r="M46" s="619"/>
      <c r="N46" s="620"/>
      <c r="O46" s="620"/>
      <c r="P46" s="620"/>
    </row>
    <row r="47" spans="1:16" ht="15.75" x14ac:dyDescent="0.25">
      <c r="A47" s="660"/>
      <c r="B47" s="660"/>
      <c r="C47" s="650"/>
      <c r="D47" s="650"/>
      <c r="E47" s="650"/>
      <c r="F47" s="617"/>
      <c r="G47" s="669" t="s">
        <v>576</v>
      </c>
      <c r="H47" s="670">
        <f>+H40+H46</f>
        <v>0.21283185840707969</v>
      </c>
      <c r="I47" s="627"/>
      <c r="J47" s="627"/>
      <c r="K47" s="627"/>
      <c r="L47" s="618"/>
      <c r="M47" s="619"/>
      <c r="N47" s="620"/>
      <c r="O47" s="620"/>
      <c r="P47" s="620"/>
    </row>
    <row r="48" spans="1:16" ht="15.75" x14ac:dyDescent="0.25">
      <c r="A48" s="660"/>
      <c r="B48" s="660"/>
      <c r="C48" s="650"/>
      <c r="D48" s="650"/>
      <c r="E48" s="650"/>
      <c r="F48" s="617"/>
      <c r="G48" s="618"/>
      <c r="H48" s="627"/>
      <c r="I48" s="627"/>
      <c r="J48" s="627"/>
      <c r="K48" s="627"/>
      <c r="L48" s="618"/>
      <c r="M48" s="619"/>
      <c r="N48" s="620"/>
      <c r="O48" s="620"/>
      <c r="P48" s="620"/>
    </row>
    <row r="49" spans="1:18" ht="15.75" x14ac:dyDescent="0.25">
      <c r="A49" s="660"/>
      <c r="B49" s="660"/>
      <c r="C49" s="650"/>
      <c r="D49" s="650"/>
      <c r="E49" s="650"/>
      <c r="F49" s="617"/>
      <c r="G49" s="618"/>
      <c r="H49" s="627"/>
      <c r="I49" s="627"/>
      <c r="J49" s="627"/>
      <c r="K49" s="627"/>
      <c r="L49" s="618"/>
      <c r="M49" s="619"/>
      <c r="N49" s="620"/>
      <c r="O49" s="620"/>
      <c r="P49" s="620"/>
    </row>
    <row r="50" spans="1:18" ht="15.75" x14ac:dyDescent="0.25">
      <c r="A50" s="660"/>
      <c r="B50" s="660"/>
      <c r="C50" s="650"/>
      <c r="D50" s="650"/>
      <c r="E50" s="650"/>
      <c r="F50" s="617"/>
      <c r="G50" s="618"/>
      <c r="H50" s="671"/>
      <c r="I50" s="671"/>
      <c r="J50" s="671"/>
      <c r="K50" s="671"/>
      <c r="L50" s="618"/>
      <c r="M50" s="619"/>
      <c r="N50" s="620"/>
      <c r="O50" s="620"/>
      <c r="P50" s="620"/>
    </row>
    <row r="51" spans="1:18" ht="15.75" x14ac:dyDescent="0.25">
      <c r="A51" s="660"/>
      <c r="B51" s="660"/>
      <c r="C51" s="650"/>
      <c r="D51" s="650"/>
      <c r="E51" s="650"/>
      <c r="F51" s="617"/>
      <c r="G51" s="618"/>
      <c r="H51" s="671"/>
      <c r="I51" s="671"/>
      <c r="J51" s="671"/>
      <c r="K51" s="671"/>
      <c r="L51" s="618"/>
      <c r="M51" s="619"/>
      <c r="N51" s="620"/>
      <c r="O51" s="620"/>
      <c r="P51" s="620"/>
    </row>
    <row r="52" spans="1:18" ht="15.75" x14ac:dyDescent="0.25">
      <c r="A52" s="660"/>
      <c r="B52" s="660"/>
      <c r="C52" s="650"/>
      <c r="D52" s="650"/>
      <c r="E52" s="650"/>
      <c r="F52" s="617"/>
      <c r="G52" s="618"/>
      <c r="H52" s="667"/>
      <c r="I52" s="667"/>
      <c r="J52" s="667"/>
      <c r="K52" s="667"/>
      <c r="L52" s="618"/>
      <c r="M52" s="619"/>
      <c r="N52" s="620"/>
      <c r="O52" s="620"/>
      <c r="P52" s="620"/>
    </row>
    <row r="53" spans="1:18" ht="15.75" x14ac:dyDescent="0.25">
      <c r="A53" s="660"/>
      <c r="B53" s="660"/>
      <c r="C53" s="650"/>
      <c r="D53" s="650"/>
      <c r="E53" s="650"/>
      <c r="F53" s="617"/>
      <c r="G53" s="618"/>
      <c r="H53" s="667"/>
      <c r="I53" s="667"/>
      <c r="J53" s="667"/>
      <c r="K53" s="667"/>
      <c r="L53" s="618"/>
      <c r="M53" s="619"/>
      <c r="N53" s="620"/>
      <c r="O53" s="620"/>
      <c r="P53" s="620"/>
    </row>
    <row r="54" spans="1:18" ht="15.75" x14ac:dyDescent="0.25">
      <c r="A54" s="660"/>
      <c r="B54" s="660"/>
      <c r="C54" s="650"/>
      <c r="D54" s="650"/>
      <c r="E54" s="650"/>
      <c r="F54" s="617"/>
      <c r="G54" s="618"/>
      <c r="H54" s="671"/>
      <c r="I54" s="671"/>
      <c r="J54" s="671"/>
      <c r="K54" s="671"/>
      <c r="L54" s="618"/>
      <c r="M54" s="619"/>
      <c r="N54" s="620"/>
      <c r="O54" s="620"/>
      <c r="P54" s="620"/>
    </row>
    <row r="55" spans="1:18" ht="15.75" x14ac:dyDescent="0.25">
      <c r="A55" s="660"/>
      <c r="B55" s="660"/>
      <c r="C55" s="650"/>
      <c r="D55" s="650"/>
      <c r="E55" s="650"/>
      <c r="F55" s="617"/>
      <c r="G55" s="618"/>
      <c r="H55" s="618"/>
      <c r="I55" s="618"/>
      <c r="J55" s="618"/>
      <c r="K55" s="618"/>
      <c r="L55" s="618"/>
      <c r="M55" s="619"/>
      <c r="N55" s="620"/>
      <c r="O55" s="620"/>
      <c r="P55" s="620"/>
    </row>
    <row r="56" spans="1:18" ht="18.75" thickBot="1" x14ac:dyDescent="0.3">
      <c r="A56" s="660"/>
      <c r="B56" s="660"/>
      <c r="C56" s="650"/>
      <c r="D56" s="650"/>
      <c r="E56" s="650"/>
      <c r="F56" s="617"/>
      <c r="G56" s="618"/>
      <c r="H56" s="672" t="s">
        <v>577</v>
      </c>
      <c r="I56" s="672"/>
      <c r="J56" s="672"/>
      <c r="K56" s="672"/>
      <c r="L56" s="672"/>
      <c r="M56" s="619"/>
      <c r="N56" s="620"/>
      <c r="O56" s="620"/>
      <c r="P56" s="620"/>
    </row>
    <row r="57" spans="1:18" ht="18" x14ac:dyDescent="0.25">
      <c r="A57" s="660"/>
      <c r="B57" s="660"/>
      <c r="C57" s="650"/>
      <c r="D57" s="650"/>
      <c r="E57" s="650"/>
      <c r="F57" s="617"/>
      <c r="G57" s="618"/>
      <c r="H57" s="673"/>
      <c r="I57" s="673"/>
      <c r="J57" s="673"/>
      <c r="K57" s="673"/>
      <c r="L57" s="674"/>
      <c r="M57" s="619"/>
      <c r="N57" s="620"/>
      <c r="O57" s="620"/>
      <c r="P57" s="620"/>
    </row>
    <row r="58" spans="1:18" ht="18" x14ac:dyDescent="0.25">
      <c r="A58" s="660"/>
      <c r="B58" s="660"/>
      <c r="C58" s="650"/>
      <c r="D58" s="650"/>
      <c r="E58" s="650"/>
      <c r="F58" s="617"/>
      <c r="G58" s="618"/>
      <c r="H58" s="674" t="s">
        <v>578</v>
      </c>
      <c r="I58" s="674"/>
      <c r="J58" s="674"/>
      <c r="K58" s="674"/>
      <c r="L58" s="674"/>
      <c r="M58" s="619"/>
      <c r="N58" s="620"/>
      <c r="O58" s="620"/>
      <c r="P58" s="620"/>
    </row>
    <row r="59" spans="1:18" ht="15.75" x14ac:dyDescent="0.25">
      <c r="A59" s="675"/>
      <c r="B59" s="675"/>
      <c r="C59" s="676"/>
      <c r="D59" s="676"/>
      <c r="E59" s="676"/>
      <c r="F59" s="677"/>
      <c r="G59" s="626"/>
      <c r="H59" s="626"/>
      <c r="I59" s="626"/>
      <c r="J59" s="626"/>
      <c r="K59" s="626"/>
      <c r="L59" s="626"/>
      <c r="M59" s="619"/>
      <c r="N59" s="620"/>
      <c r="O59" s="620"/>
      <c r="P59" s="620"/>
    </row>
    <row r="60" spans="1:18" ht="15.75" x14ac:dyDescent="0.25">
      <c r="A60" s="675"/>
      <c r="B60" s="675"/>
      <c r="C60" s="676"/>
      <c r="D60" s="676"/>
      <c r="E60" s="676"/>
      <c r="F60" s="677"/>
      <c r="G60" s="626"/>
      <c r="H60" s="626"/>
      <c r="I60" s="626"/>
      <c r="J60" s="626"/>
      <c r="K60" s="626"/>
      <c r="L60" s="626"/>
      <c r="M60" s="619"/>
      <c r="N60" s="620"/>
      <c r="O60" s="620"/>
      <c r="P60" s="620"/>
    </row>
    <row r="62" spans="1:18" ht="20.25" x14ac:dyDescent="0.3">
      <c r="A62" s="620"/>
      <c r="B62" s="614" t="s">
        <v>560</v>
      </c>
      <c r="C62" s="615"/>
      <c r="D62" s="616"/>
      <c r="E62" s="616"/>
      <c r="F62" s="616"/>
      <c r="G62" s="617"/>
      <c r="H62" s="618"/>
      <c r="I62" s="618"/>
      <c r="J62" s="618"/>
      <c r="K62" s="618"/>
      <c r="L62" s="618"/>
      <c r="M62" s="618"/>
      <c r="N62" s="619"/>
      <c r="O62" s="620"/>
      <c r="P62" s="620"/>
      <c r="Q62" s="620"/>
      <c r="R62" s="620"/>
    </row>
    <row r="63" spans="1:18" ht="15.75" x14ac:dyDescent="0.25">
      <c r="A63" s="620"/>
      <c r="B63" s="616" t="s">
        <v>134</v>
      </c>
      <c r="C63" s="616"/>
      <c r="D63" s="616"/>
      <c r="E63" s="616"/>
      <c r="F63" s="616"/>
      <c r="G63" s="617"/>
      <c r="H63" s="618"/>
      <c r="I63" s="618"/>
      <c r="J63" s="618"/>
      <c r="K63" s="618"/>
      <c r="L63" s="618"/>
      <c r="M63" s="618"/>
      <c r="N63" s="619"/>
      <c r="O63" s="620"/>
      <c r="P63" s="620"/>
      <c r="Q63" s="620"/>
      <c r="R63" s="620"/>
    </row>
    <row r="64" spans="1:18" ht="15.75" x14ac:dyDescent="0.25">
      <c r="A64" s="620"/>
      <c r="B64" s="615" t="s">
        <v>135</v>
      </c>
      <c r="C64" s="616"/>
      <c r="D64" s="616"/>
      <c r="E64" s="616"/>
      <c r="F64" s="616"/>
      <c r="G64" s="617"/>
      <c r="H64" s="621"/>
      <c r="I64" s="621"/>
      <c r="J64" s="618"/>
      <c r="K64" s="618"/>
      <c r="L64" s="618"/>
      <c r="M64" s="618"/>
      <c r="N64" s="619"/>
      <c r="O64" s="620"/>
      <c r="P64" s="620"/>
      <c r="Q64" s="620"/>
      <c r="R64" s="620"/>
    </row>
    <row r="65" spans="1:18" ht="15.75" x14ac:dyDescent="0.25">
      <c r="A65" s="620"/>
      <c r="B65" s="616" t="s">
        <v>190</v>
      </c>
      <c r="C65" s="616"/>
      <c r="D65" s="616"/>
      <c r="E65" s="616"/>
      <c r="F65" s="616"/>
      <c r="G65" s="617"/>
      <c r="H65" s="618"/>
      <c r="I65" s="618"/>
      <c r="J65" s="618"/>
      <c r="K65" s="618"/>
      <c r="L65" s="618"/>
      <c r="M65" s="618"/>
      <c r="N65" s="619"/>
      <c r="O65" s="620"/>
      <c r="P65" s="620"/>
      <c r="Q65" s="620"/>
      <c r="R65" s="620"/>
    </row>
    <row r="66" spans="1:18" ht="15.75" x14ac:dyDescent="0.25">
      <c r="A66" s="620"/>
      <c r="B66" s="622" t="s">
        <v>219</v>
      </c>
      <c r="C66" s="623"/>
      <c r="D66" s="624"/>
      <c r="E66" s="625" t="s">
        <v>595</v>
      </c>
      <c r="F66" s="616"/>
      <c r="G66" s="617"/>
      <c r="H66" s="618"/>
      <c r="I66" s="626"/>
      <c r="J66" s="626"/>
      <c r="K66" s="626"/>
      <c r="L66" s="626"/>
      <c r="M66" s="626"/>
      <c r="N66" s="619"/>
      <c r="O66" s="620"/>
      <c r="P66" s="620"/>
      <c r="Q66" s="620"/>
      <c r="R66" s="620"/>
    </row>
    <row r="67" spans="1:18" ht="15.75" x14ac:dyDescent="0.25">
      <c r="A67" s="620"/>
      <c r="B67" s="619"/>
      <c r="C67" s="619"/>
      <c r="D67" s="616"/>
      <c r="E67" s="616"/>
      <c r="F67" s="616"/>
      <c r="G67" s="617"/>
      <c r="H67" s="618"/>
      <c r="I67" s="618"/>
      <c r="J67" s="618"/>
      <c r="K67" s="618"/>
      <c r="L67" s="618"/>
      <c r="M67" s="618"/>
      <c r="N67" s="619"/>
      <c r="O67" s="620"/>
      <c r="P67" s="620"/>
      <c r="Q67" s="620"/>
      <c r="R67" s="620"/>
    </row>
    <row r="68" spans="1:18" ht="15.75" x14ac:dyDescent="0.25">
      <c r="A68" s="620"/>
      <c r="B68" s="619"/>
      <c r="C68" s="619"/>
      <c r="D68" s="616"/>
      <c r="E68" s="616"/>
      <c r="F68" s="616"/>
      <c r="G68" s="617"/>
      <c r="H68" s="618"/>
      <c r="I68" s="618"/>
      <c r="J68" s="618"/>
      <c r="K68" s="618"/>
      <c r="L68" s="618"/>
      <c r="M68" s="618"/>
      <c r="N68" s="619"/>
      <c r="O68" s="620"/>
      <c r="P68" s="620"/>
      <c r="Q68" s="620"/>
      <c r="R68" s="620"/>
    </row>
    <row r="69" spans="1:18" ht="15.75" x14ac:dyDescent="0.25">
      <c r="A69" s="620"/>
      <c r="B69" s="619"/>
      <c r="C69" s="619"/>
      <c r="D69" s="616"/>
      <c r="E69" s="616"/>
      <c r="F69" s="616"/>
      <c r="G69" s="617"/>
      <c r="H69" s="627" t="s">
        <v>48</v>
      </c>
      <c r="I69" s="627" t="s">
        <v>48</v>
      </c>
      <c r="J69" s="627" t="s">
        <v>561</v>
      </c>
      <c r="K69" s="627" t="s">
        <v>562</v>
      </c>
      <c r="L69" s="627" t="s">
        <v>48</v>
      </c>
      <c r="M69" s="627" t="s">
        <v>140</v>
      </c>
      <c r="N69" s="619"/>
      <c r="O69" s="620"/>
      <c r="P69" s="620"/>
      <c r="Q69" s="620"/>
      <c r="R69" s="620"/>
    </row>
    <row r="70" spans="1:18" ht="16.5" thickBot="1" x14ac:dyDescent="0.3">
      <c r="A70" s="679"/>
      <c r="B70" s="628" t="s">
        <v>76</v>
      </c>
      <c r="C70" s="628"/>
      <c r="D70" s="628" t="s">
        <v>563</v>
      </c>
      <c r="E70" s="628"/>
      <c r="F70" s="628" t="s">
        <v>564</v>
      </c>
      <c r="G70" s="629" t="s">
        <v>79</v>
      </c>
      <c r="H70" s="630" t="s">
        <v>177</v>
      </c>
      <c r="I70" s="631" t="s">
        <v>565</v>
      </c>
      <c r="J70" s="630" t="s">
        <v>566</v>
      </c>
      <c r="K70" s="630" t="s">
        <v>567</v>
      </c>
      <c r="L70" s="630" t="s">
        <v>176</v>
      </c>
      <c r="M70" s="630" t="s">
        <v>48</v>
      </c>
      <c r="N70" s="619"/>
      <c r="O70" s="620"/>
      <c r="P70" s="620"/>
      <c r="Q70" s="620"/>
      <c r="R70" s="620"/>
    </row>
    <row r="71" spans="1:18" ht="16.5" thickTop="1" x14ac:dyDescent="0.25">
      <c r="A71" s="620"/>
      <c r="B71" s="632"/>
      <c r="C71" s="633"/>
      <c r="D71" s="634"/>
      <c r="E71" s="634"/>
      <c r="F71" s="634"/>
      <c r="G71" s="635"/>
      <c r="H71" s="635"/>
      <c r="I71" s="636"/>
      <c r="J71" s="636"/>
      <c r="K71" s="636"/>
      <c r="L71" s="636"/>
      <c r="M71" s="637"/>
      <c r="N71" s="619"/>
      <c r="O71" s="620"/>
      <c r="P71" s="620"/>
      <c r="Q71" s="620"/>
      <c r="R71" s="620"/>
    </row>
    <row r="72" spans="1:18" ht="15.75" x14ac:dyDescent="0.25">
      <c r="A72" s="645"/>
      <c r="B72" s="638">
        <v>43419</v>
      </c>
      <c r="C72" s="639"/>
      <c r="D72" s="640" t="s">
        <v>596</v>
      </c>
      <c r="E72" s="639"/>
      <c r="F72" s="641" t="str">
        <f t="shared" ref="F72:F74" si="2">D72</f>
        <v>1993</v>
      </c>
      <c r="G72" s="642">
        <v>0</v>
      </c>
      <c r="H72" s="642">
        <v>0</v>
      </c>
      <c r="I72" s="643">
        <v>25.97</v>
      </c>
      <c r="J72" s="636"/>
      <c r="K72" s="636"/>
      <c r="L72" s="643">
        <v>0</v>
      </c>
      <c r="M72" s="644"/>
      <c r="N72" s="643"/>
      <c r="O72" s="645"/>
      <c r="P72" s="645"/>
      <c r="Q72" s="645"/>
      <c r="R72" s="645"/>
    </row>
    <row r="73" spans="1:18" ht="15.75" x14ac:dyDescent="0.25">
      <c r="A73" s="645"/>
      <c r="B73" s="638">
        <v>43432</v>
      </c>
      <c r="C73" s="639"/>
      <c r="D73" s="640" t="s">
        <v>597</v>
      </c>
      <c r="E73" s="639"/>
      <c r="F73" s="641" t="str">
        <f t="shared" si="2"/>
        <v>1992</v>
      </c>
      <c r="G73" s="642">
        <v>0</v>
      </c>
      <c r="H73" s="642">
        <v>4.6500000000000004</v>
      </c>
      <c r="I73" s="643">
        <v>0</v>
      </c>
      <c r="J73" s="636"/>
      <c r="K73" s="636"/>
      <c r="L73" s="643">
        <v>0</v>
      </c>
      <c r="M73" s="644"/>
      <c r="N73" s="643"/>
      <c r="O73" s="645"/>
      <c r="P73" s="645"/>
      <c r="Q73" s="645"/>
      <c r="R73" s="645"/>
    </row>
    <row r="74" spans="1:18" ht="15.75" x14ac:dyDescent="0.25">
      <c r="A74" s="645"/>
      <c r="B74" s="638"/>
      <c r="C74" s="639"/>
      <c r="D74" s="640" t="s">
        <v>409</v>
      </c>
      <c r="E74" s="639"/>
      <c r="F74" s="641" t="str">
        <f t="shared" si="2"/>
        <v>0</v>
      </c>
      <c r="G74" s="642">
        <v>0</v>
      </c>
      <c r="H74" s="642">
        <v>0</v>
      </c>
      <c r="I74" s="643">
        <v>0</v>
      </c>
      <c r="J74" s="636"/>
      <c r="K74" s="636"/>
      <c r="L74" s="643">
        <v>0</v>
      </c>
      <c r="M74" s="644"/>
      <c r="N74" s="643"/>
      <c r="O74" s="645"/>
      <c r="P74" s="645"/>
      <c r="Q74" s="645"/>
      <c r="R74" s="645"/>
    </row>
    <row r="75" spans="1:18" ht="15.75" x14ac:dyDescent="0.25">
      <c r="A75" s="619"/>
      <c r="B75" s="648"/>
      <c r="C75" s="649"/>
      <c r="D75" s="640"/>
      <c r="E75" s="650"/>
      <c r="F75" s="641"/>
      <c r="G75" s="617"/>
      <c r="H75" s="647"/>
      <c r="I75" s="645"/>
      <c r="J75" s="636"/>
      <c r="K75" s="636"/>
      <c r="L75" s="636"/>
      <c r="M75" s="637"/>
      <c r="N75" s="619"/>
      <c r="O75" s="620"/>
      <c r="P75" s="620"/>
      <c r="Q75" s="620"/>
      <c r="R75" s="620"/>
    </row>
    <row r="76" spans="1:18" ht="15.75" x14ac:dyDescent="0.25">
      <c r="A76" s="619"/>
      <c r="B76" s="648"/>
      <c r="C76" s="651"/>
      <c r="D76" s="652"/>
      <c r="E76" s="653"/>
      <c r="F76" s="641"/>
      <c r="G76" s="654"/>
      <c r="H76" s="647"/>
      <c r="I76" s="645"/>
      <c r="J76" s="636"/>
      <c r="K76" s="636"/>
      <c r="L76" s="636"/>
      <c r="M76" s="637"/>
      <c r="N76" s="619"/>
      <c r="O76" s="620"/>
      <c r="P76" s="620"/>
      <c r="Q76" s="620">
        <f>+M76/1.13</f>
        <v>0</v>
      </c>
      <c r="R76" s="620">
        <f>+Q76*0.13</f>
        <v>0</v>
      </c>
    </row>
    <row r="77" spans="1:18" ht="15.75" x14ac:dyDescent="0.25">
      <c r="A77" s="619"/>
      <c r="B77" s="648"/>
      <c r="C77" s="649"/>
      <c r="D77" s="652"/>
      <c r="E77" s="650"/>
      <c r="F77" s="641"/>
      <c r="G77" s="617"/>
      <c r="H77" s="647"/>
      <c r="I77" s="645"/>
      <c r="J77" s="636"/>
      <c r="K77" s="636"/>
      <c r="L77" s="636"/>
      <c r="M77" s="637"/>
      <c r="N77" s="619"/>
      <c r="O77" s="620"/>
      <c r="P77" s="620"/>
      <c r="Q77" s="620"/>
      <c r="R77" s="620"/>
    </row>
    <row r="78" spans="1:18" ht="15.75" x14ac:dyDescent="0.25">
      <c r="A78" s="619"/>
      <c r="B78" s="648"/>
      <c r="C78" s="649"/>
      <c r="D78" s="655"/>
      <c r="E78" s="650"/>
      <c r="F78" s="641"/>
      <c r="G78" s="617"/>
      <c r="H78" s="647"/>
      <c r="I78" s="636"/>
      <c r="J78" s="636"/>
      <c r="K78" s="636"/>
      <c r="L78" s="636"/>
      <c r="M78" s="637"/>
      <c r="N78" s="619"/>
      <c r="O78" s="620"/>
      <c r="P78" s="620"/>
      <c r="Q78" s="620"/>
      <c r="R78" s="620"/>
    </row>
    <row r="79" spans="1:18" ht="16.5" thickBot="1" x14ac:dyDescent="0.3">
      <c r="A79" s="619"/>
      <c r="B79" s="656"/>
      <c r="C79" s="656"/>
      <c r="D79" s="657"/>
      <c r="E79" s="657"/>
      <c r="F79" s="657"/>
      <c r="G79" s="629"/>
      <c r="H79" s="629"/>
      <c r="I79" s="658"/>
      <c r="J79" s="658"/>
      <c r="K79" s="658"/>
      <c r="L79" s="658"/>
      <c r="M79" s="659"/>
      <c r="N79" s="619"/>
      <c r="O79" s="620"/>
      <c r="P79" s="620"/>
      <c r="Q79" s="620"/>
      <c r="R79" s="620"/>
    </row>
    <row r="80" spans="1:18" ht="16.5" thickTop="1" x14ac:dyDescent="0.25">
      <c r="A80" s="619"/>
      <c r="B80" s="660"/>
      <c r="C80" s="660"/>
      <c r="D80" s="650"/>
      <c r="E80" s="650"/>
      <c r="F80" s="650"/>
      <c r="G80" s="644">
        <f>SUM(G71:G79)</f>
        <v>0</v>
      </c>
      <c r="H80" s="644">
        <f t="shared" ref="H80:M80" si="3">SUM(H71:H79)</f>
        <v>4.6500000000000004</v>
      </c>
      <c r="I80" s="644">
        <f>SUM(I71:I79)</f>
        <v>25.97</v>
      </c>
      <c r="J80" s="644">
        <f t="shared" si="3"/>
        <v>0</v>
      </c>
      <c r="K80" s="644">
        <f t="shared" si="3"/>
        <v>0</v>
      </c>
      <c r="L80" s="644">
        <f t="shared" si="3"/>
        <v>0</v>
      </c>
      <c r="M80" s="644">
        <f t="shared" si="3"/>
        <v>0</v>
      </c>
      <c r="N80" s="619"/>
      <c r="O80" s="620"/>
      <c r="P80" s="620"/>
      <c r="Q80" s="620"/>
      <c r="R80" s="620"/>
    </row>
    <row r="81" spans="1:18" ht="15.75" x14ac:dyDescent="0.25">
      <c r="A81" s="619"/>
      <c r="B81" s="660"/>
      <c r="C81" s="660"/>
      <c r="D81" s="650"/>
      <c r="E81" s="650"/>
      <c r="F81" s="650"/>
      <c r="G81" s="617"/>
      <c r="H81" s="644"/>
      <c r="I81" s="644"/>
      <c r="J81" s="644"/>
      <c r="K81" s="644"/>
      <c r="L81" s="644"/>
      <c r="M81" s="644"/>
      <c r="N81" s="619"/>
      <c r="O81" s="620"/>
      <c r="P81" s="620"/>
      <c r="Q81" s="620"/>
      <c r="R81" s="620"/>
    </row>
    <row r="82" spans="1:18" ht="15.75" x14ac:dyDescent="0.25">
      <c r="A82" s="619"/>
      <c r="B82" s="660"/>
      <c r="C82" s="660"/>
      <c r="D82" s="650" t="s">
        <v>573</v>
      </c>
      <c r="E82" s="650"/>
      <c r="F82" s="650"/>
      <c r="G82" s="617"/>
      <c r="H82" s="644"/>
      <c r="I82" s="644">
        <f>+G80</f>
        <v>0</v>
      </c>
      <c r="J82" s="644"/>
      <c r="K82" s="644"/>
      <c r="L82" s="644"/>
      <c r="M82" s="644"/>
      <c r="N82" s="619"/>
      <c r="O82" s="620"/>
      <c r="P82" s="620"/>
      <c r="Q82" s="620"/>
      <c r="R82" s="620"/>
    </row>
    <row r="83" spans="1:18" ht="15.75" x14ac:dyDescent="0.25">
      <c r="A83" s="619"/>
      <c r="B83" s="660"/>
      <c r="C83" s="660"/>
      <c r="D83" s="650"/>
      <c r="E83" s="650"/>
      <c r="F83" s="650"/>
      <c r="G83" s="617"/>
      <c r="H83" s="644"/>
      <c r="I83" s="644"/>
      <c r="J83" s="644"/>
      <c r="K83" s="644"/>
      <c r="L83" s="644"/>
      <c r="M83" s="644"/>
      <c r="N83" s="619"/>
      <c r="O83" s="620"/>
      <c r="P83" s="620"/>
      <c r="Q83" s="620"/>
      <c r="R83" s="620"/>
    </row>
    <row r="84" spans="1:18" ht="15.75" x14ac:dyDescent="0.25">
      <c r="A84" s="619"/>
      <c r="B84" s="660"/>
      <c r="C84" s="660"/>
      <c r="D84" s="650" t="s">
        <v>574</v>
      </c>
      <c r="E84" s="650"/>
      <c r="F84" s="650"/>
      <c r="G84" s="617"/>
      <c r="H84" s="644"/>
      <c r="I84" s="644">
        <f>+H80</f>
        <v>4.6500000000000004</v>
      </c>
      <c r="J84" s="644"/>
      <c r="K84" s="644"/>
      <c r="L84" s="644"/>
      <c r="M84" s="644"/>
      <c r="N84" s="619"/>
      <c r="O84" s="620"/>
      <c r="P84" s="620"/>
      <c r="Q84" s="620"/>
      <c r="R84" s="620"/>
    </row>
    <row r="85" spans="1:18" ht="15.75" x14ac:dyDescent="0.25">
      <c r="A85" s="619"/>
      <c r="B85" s="660"/>
      <c r="C85" s="660"/>
      <c r="D85" s="650"/>
      <c r="E85" s="650"/>
      <c r="F85" s="650"/>
      <c r="G85" s="617"/>
      <c r="H85" s="644"/>
      <c r="I85" s="644"/>
      <c r="J85" s="644"/>
      <c r="K85" s="644"/>
      <c r="L85" s="644"/>
      <c r="M85" s="644"/>
      <c r="N85" s="619"/>
      <c r="O85" s="620"/>
      <c r="P85" s="620"/>
      <c r="Q85" s="620"/>
      <c r="R85" s="620"/>
    </row>
    <row r="86" spans="1:18" ht="15.75" x14ac:dyDescent="0.25">
      <c r="A86" s="619"/>
      <c r="B86" s="660"/>
      <c r="C86" s="660"/>
      <c r="D86" s="650"/>
      <c r="E86" s="650"/>
      <c r="F86" s="650"/>
      <c r="G86" s="617"/>
      <c r="H86" s="661"/>
      <c r="I86" s="618"/>
      <c r="J86" s="618"/>
      <c r="K86" s="618"/>
      <c r="L86" s="618"/>
      <c r="M86" s="618"/>
      <c r="N86" s="619"/>
      <c r="O86" s="620"/>
      <c r="P86" s="620"/>
      <c r="Q86" s="620"/>
      <c r="R86" s="620"/>
    </row>
    <row r="87" spans="1:18" ht="15.75" x14ac:dyDescent="0.25">
      <c r="A87" s="619"/>
      <c r="B87" s="660"/>
      <c r="C87" s="660"/>
      <c r="D87" s="650" t="s">
        <v>448</v>
      </c>
      <c r="E87" s="650"/>
      <c r="F87" s="650"/>
      <c r="G87" s="617"/>
      <c r="H87" s="618"/>
      <c r="I87" s="621"/>
      <c r="J87" s="621"/>
      <c r="K87" s="621"/>
      <c r="L87" s="621"/>
      <c r="M87" s="618"/>
      <c r="N87" s="619"/>
      <c r="O87" s="620"/>
      <c r="P87" s="620"/>
      <c r="Q87" s="620"/>
      <c r="R87" s="620"/>
    </row>
    <row r="88" spans="1:18" ht="15.75" x14ac:dyDescent="0.25">
      <c r="A88" s="619"/>
      <c r="B88" s="660"/>
      <c r="C88" s="660"/>
      <c r="D88" s="650" t="s">
        <v>80</v>
      </c>
      <c r="E88" s="650"/>
      <c r="F88" s="650"/>
      <c r="G88" s="617"/>
      <c r="H88" s="618"/>
      <c r="I88" s="662">
        <f>I80/1.13</f>
        <v>22.982300884955752</v>
      </c>
      <c r="J88" s="644"/>
      <c r="K88" s="644"/>
      <c r="L88" s="644"/>
      <c r="M88" s="663"/>
      <c r="N88" s="619"/>
      <c r="O88" s="620"/>
      <c r="P88" s="620"/>
      <c r="Q88" s="620"/>
      <c r="R88" s="620"/>
    </row>
    <row r="89" spans="1:18" ht="15.75" x14ac:dyDescent="0.25">
      <c r="A89" s="619"/>
      <c r="B89" s="660"/>
      <c r="C89" s="660"/>
      <c r="D89" s="650" t="s">
        <v>449</v>
      </c>
      <c r="E89" s="650"/>
      <c r="F89" s="650"/>
      <c r="G89" s="617"/>
      <c r="H89" s="618"/>
      <c r="I89" s="664">
        <f>(I88*0.13)</f>
        <v>2.987699115044248</v>
      </c>
      <c r="J89" s="664"/>
      <c r="K89" s="664"/>
      <c r="L89" s="664"/>
      <c r="M89" s="663"/>
      <c r="N89" s="619"/>
      <c r="O89" s="620"/>
      <c r="P89" s="620"/>
      <c r="Q89" s="620"/>
      <c r="R89" s="620"/>
    </row>
    <row r="90" spans="1:18" ht="16.5" thickBot="1" x14ac:dyDescent="0.3">
      <c r="A90" s="619"/>
      <c r="B90" s="660"/>
      <c r="C90" s="660"/>
      <c r="D90" s="650"/>
      <c r="E90" s="650"/>
      <c r="F90" s="650"/>
      <c r="G90" s="617"/>
      <c r="H90" s="618"/>
      <c r="I90" s="665"/>
      <c r="J90" s="666"/>
      <c r="K90" s="666"/>
      <c r="L90" s="666"/>
      <c r="M90" s="663"/>
      <c r="N90" s="619"/>
      <c r="O90" s="620"/>
      <c r="P90" s="620"/>
      <c r="Q90" s="620"/>
      <c r="R90" s="620"/>
    </row>
    <row r="91" spans="1:18" ht="16.5" thickTop="1" x14ac:dyDescent="0.25">
      <c r="A91" s="619"/>
      <c r="B91" s="660"/>
      <c r="C91" s="660"/>
      <c r="D91" s="650" t="s">
        <v>450</v>
      </c>
      <c r="E91" s="650"/>
      <c r="F91" s="650"/>
      <c r="G91" s="617"/>
      <c r="H91" s="618"/>
      <c r="I91" s="637">
        <f>SUM(I88:I90)</f>
        <v>25.97</v>
      </c>
      <c r="J91" s="637"/>
      <c r="K91" s="637"/>
      <c r="L91" s="637"/>
      <c r="M91" s="618"/>
      <c r="N91" s="619"/>
      <c r="O91" s="620"/>
      <c r="P91" s="620"/>
      <c r="Q91" s="620"/>
      <c r="R91" s="620"/>
    </row>
    <row r="92" spans="1:18" ht="16.5" thickBot="1" x14ac:dyDescent="0.3">
      <c r="A92" s="619"/>
      <c r="B92" s="660"/>
      <c r="C92" s="660"/>
      <c r="D92" s="650"/>
      <c r="E92" s="650"/>
      <c r="F92" s="650"/>
      <c r="G92" s="617"/>
      <c r="H92" s="618"/>
      <c r="I92" s="665"/>
      <c r="J92" s="666"/>
      <c r="K92" s="666"/>
      <c r="L92" s="666"/>
      <c r="M92" s="618"/>
      <c r="N92" s="619"/>
      <c r="O92" s="620"/>
      <c r="P92" s="620"/>
      <c r="Q92" s="620"/>
      <c r="R92" s="620"/>
    </row>
    <row r="93" spans="1:18" ht="16.5" thickTop="1" x14ac:dyDescent="0.25">
      <c r="A93" s="619"/>
      <c r="B93" s="660"/>
      <c r="C93" s="660"/>
      <c r="D93" s="650"/>
      <c r="E93" s="650"/>
      <c r="F93" s="650"/>
      <c r="G93" s="617"/>
      <c r="H93" s="618"/>
      <c r="I93" s="667"/>
      <c r="J93" s="667"/>
      <c r="K93" s="667"/>
      <c r="L93" s="667"/>
      <c r="M93" s="618"/>
      <c r="N93" s="619"/>
      <c r="O93" s="620"/>
      <c r="P93" s="620"/>
      <c r="Q93" s="620"/>
      <c r="R93" s="620"/>
    </row>
    <row r="94" spans="1:18" ht="15.75" x14ac:dyDescent="0.25">
      <c r="A94" s="619"/>
      <c r="B94" s="660"/>
      <c r="C94" s="660"/>
      <c r="D94" s="650"/>
      <c r="E94" s="650"/>
      <c r="F94" s="650"/>
      <c r="G94" s="617"/>
      <c r="H94" s="618"/>
      <c r="I94" s="627"/>
      <c r="J94" s="627"/>
      <c r="K94" s="627"/>
      <c r="L94" s="627"/>
      <c r="M94" s="618"/>
      <c r="N94" s="619"/>
      <c r="O94" s="620"/>
      <c r="P94" s="620"/>
      <c r="Q94" s="620"/>
      <c r="R94" s="620"/>
    </row>
    <row r="95" spans="1:18" ht="15.75" x14ac:dyDescent="0.25">
      <c r="A95" s="619"/>
      <c r="B95" s="660"/>
      <c r="C95" s="660"/>
      <c r="D95" s="650"/>
      <c r="E95" s="650"/>
      <c r="F95" s="650"/>
      <c r="G95" s="668"/>
      <c r="H95" s="618" t="s">
        <v>575</v>
      </c>
      <c r="I95" s="627">
        <v>-2.99</v>
      </c>
      <c r="J95" s="627"/>
      <c r="K95" s="627"/>
      <c r="L95" s="627"/>
      <c r="M95" s="618"/>
      <c r="N95" s="619"/>
      <c r="O95" s="620"/>
      <c r="P95" s="620"/>
      <c r="Q95" s="620"/>
      <c r="R95" s="620"/>
    </row>
    <row r="96" spans="1:18" ht="15.75" x14ac:dyDescent="0.25">
      <c r="A96" s="619"/>
      <c r="B96" s="660"/>
      <c r="C96" s="660"/>
      <c r="D96" s="650"/>
      <c r="E96" s="650"/>
      <c r="F96" s="650"/>
      <c r="G96" s="617"/>
      <c r="H96" s="669" t="s">
        <v>576</v>
      </c>
      <c r="I96" s="670">
        <f>+I89+I95</f>
        <v>-2.3008849557522026E-3</v>
      </c>
      <c r="J96" s="627"/>
      <c r="K96" s="627"/>
      <c r="L96" s="627"/>
      <c r="M96" s="618"/>
      <c r="N96" s="619"/>
      <c r="O96" s="620"/>
      <c r="P96" s="620"/>
      <c r="Q96" s="620"/>
      <c r="R96" s="620"/>
    </row>
    <row r="102" spans="1:18" ht="20.25" x14ac:dyDescent="0.3">
      <c r="A102" s="620"/>
      <c r="B102" s="614" t="s">
        <v>560</v>
      </c>
      <c r="C102" s="615"/>
      <c r="D102" s="616"/>
      <c r="E102" s="616"/>
      <c r="F102" s="616"/>
      <c r="G102" s="617"/>
      <c r="H102" s="618"/>
      <c r="I102" s="618"/>
      <c r="J102" s="618"/>
      <c r="K102" s="618"/>
      <c r="L102" s="618"/>
      <c r="M102" s="618"/>
      <c r="N102" s="619"/>
      <c r="O102" s="620"/>
      <c r="P102" s="620"/>
      <c r="Q102" s="620"/>
      <c r="R102" s="620"/>
    </row>
    <row r="103" spans="1:18" ht="15.75" x14ac:dyDescent="0.25">
      <c r="A103" s="620"/>
      <c r="B103" s="616" t="s">
        <v>134</v>
      </c>
      <c r="C103" s="616"/>
      <c r="D103" s="616"/>
      <c r="E103" s="616"/>
      <c r="F103" s="616"/>
      <c r="G103" s="617"/>
      <c r="H103" s="618"/>
      <c r="I103" s="618"/>
      <c r="J103" s="618"/>
      <c r="K103" s="618"/>
      <c r="L103" s="618"/>
      <c r="M103" s="618"/>
      <c r="N103" s="619"/>
      <c r="O103" s="620"/>
      <c r="P103" s="620"/>
      <c r="Q103" s="620"/>
      <c r="R103" s="620"/>
    </row>
    <row r="104" spans="1:18" ht="15.75" x14ac:dyDescent="0.25">
      <c r="A104" s="620"/>
      <c r="B104" s="615" t="s">
        <v>135</v>
      </c>
      <c r="C104" s="616"/>
      <c r="D104" s="616"/>
      <c r="E104" s="616"/>
      <c r="F104" s="616"/>
      <c r="G104" s="617"/>
      <c r="H104" s="621"/>
      <c r="I104" s="621"/>
      <c r="J104" s="618"/>
      <c r="K104" s="618"/>
      <c r="L104" s="618"/>
      <c r="M104" s="618"/>
      <c r="N104" s="619"/>
      <c r="O104" s="620"/>
      <c r="P104" s="620"/>
      <c r="Q104" s="620"/>
      <c r="R104" s="620"/>
    </row>
    <row r="105" spans="1:18" ht="15.75" x14ac:dyDescent="0.25">
      <c r="A105" s="620"/>
      <c r="B105" s="616" t="s">
        <v>190</v>
      </c>
      <c r="C105" s="616"/>
      <c r="D105" s="616"/>
      <c r="E105" s="616"/>
      <c r="F105" s="616"/>
      <c r="G105" s="617"/>
      <c r="H105" s="618"/>
      <c r="I105" s="618"/>
      <c r="J105" s="618"/>
      <c r="K105" s="618"/>
      <c r="L105" s="618"/>
      <c r="M105" s="618"/>
      <c r="N105" s="619"/>
      <c r="O105" s="620"/>
      <c r="P105" s="620"/>
      <c r="Q105" s="620"/>
      <c r="R105" s="620"/>
    </row>
    <row r="106" spans="1:18" ht="15.75" x14ac:dyDescent="0.25">
      <c r="A106" s="620"/>
      <c r="B106" s="622" t="s">
        <v>219</v>
      </c>
      <c r="C106" s="623"/>
      <c r="D106" s="624"/>
      <c r="E106" s="625" t="s">
        <v>608</v>
      </c>
      <c r="F106" s="616"/>
      <c r="G106" s="617"/>
      <c r="H106" s="618"/>
      <c r="I106" s="626"/>
      <c r="J106" s="626"/>
      <c r="K106" s="626"/>
      <c r="L106" s="626"/>
      <c r="M106" s="626"/>
      <c r="N106" s="619"/>
      <c r="O106" s="620"/>
      <c r="P106" s="620"/>
      <c r="Q106" s="620"/>
      <c r="R106" s="620"/>
    </row>
    <row r="107" spans="1:18" ht="15.75" x14ac:dyDescent="0.25">
      <c r="A107" s="620"/>
      <c r="B107" s="619"/>
      <c r="C107" s="619"/>
      <c r="D107" s="616"/>
      <c r="E107" s="616"/>
      <c r="F107" s="616"/>
      <c r="G107" s="617"/>
      <c r="H107" s="618"/>
      <c r="I107" s="618"/>
      <c r="J107" s="618"/>
      <c r="K107" s="618"/>
      <c r="L107" s="618"/>
      <c r="M107" s="618"/>
      <c r="N107" s="619"/>
      <c r="O107" s="620"/>
      <c r="P107" s="620"/>
      <c r="Q107" s="620"/>
      <c r="R107" s="620"/>
    </row>
    <row r="108" spans="1:18" ht="15.75" x14ac:dyDescent="0.25">
      <c r="A108" s="620"/>
      <c r="B108" s="619"/>
      <c r="C108" s="619"/>
      <c r="D108" s="616"/>
      <c r="E108" s="616"/>
      <c r="F108" s="616"/>
      <c r="G108" s="617"/>
      <c r="H108" s="618"/>
      <c r="I108" s="618"/>
      <c r="J108" s="618"/>
      <c r="K108" s="618"/>
      <c r="L108" s="618"/>
      <c r="M108" s="618"/>
      <c r="N108" s="619"/>
      <c r="O108" s="620"/>
      <c r="P108" s="620"/>
      <c r="Q108" s="620"/>
      <c r="R108" s="620"/>
    </row>
    <row r="109" spans="1:18" ht="15.75" x14ac:dyDescent="0.25">
      <c r="A109" s="620"/>
      <c r="B109" s="619"/>
      <c r="C109" s="619"/>
      <c r="D109" s="616"/>
      <c r="E109" s="616"/>
      <c r="F109" s="616"/>
      <c r="G109" s="617"/>
      <c r="H109" s="627" t="s">
        <v>48</v>
      </c>
      <c r="I109" s="627" t="s">
        <v>48</v>
      </c>
      <c r="J109" s="627" t="s">
        <v>561</v>
      </c>
      <c r="K109" s="627" t="s">
        <v>562</v>
      </c>
      <c r="L109" s="627" t="s">
        <v>48</v>
      </c>
      <c r="M109" s="627" t="s">
        <v>140</v>
      </c>
      <c r="N109" s="619"/>
      <c r="O109" s="620"/>
      <c r="P109" s="620"/>
      <c r="Q109" s="620"/>
      <c r="R109" s="620"/>
    </row>
    <row r="110" spans="1:18" ht="16.5" thickBot="1" x14ac:dyDescent="0.3">
      <c r="A110" s="679"/>
      <c r="B110" s="628" t="s">
        <v>76</v>
      </c>
      <c r="C110" s="628"/>
      <c r="D110" s="628" t="s">
        <v>563</v>
      </c>
      <c r="E110" s="628"/>
      <c r="F110" s="628" t="s">
        <v>564</v>
      </c>
      <c r="G110" s="629" t="s">
        <v>79</v>
      </c>
      <c r="H110" s="630" t="s">
        <v>177</v>
      </c>
      <c r="I110" s="631" t="s">
        <v>565</v>
      </c>
      <c r="J110" s="630" t="s">
        <v>566</v>
      </c>
      <c r="K110" s="630" t="s">
        <v>567</v>
      </c>
      <c r="L110" s="630" t="s">
        <v>176</v>
      </c>
      <c r="M110" s="630" t="s">
        <v>48</v>
      </c>
      <c r="N110" s="619"/>
      <c r="O110" s="620"/>
      <c r="P110" s="620"/>
      <c r="Q110" s="620"/>
      <c r="R110" s="620"/>
    </row>
    <row r="111" spans="1:18" ht="16.5" thickTop="1" x14ac:dyDescent="0.25">
      <c r="A111" s="620"/>
      <c r="B111" s="632"/>
      <c r="C111" s="633"/>
      <c r="D111" s="634"/>
      <c r="E111" s="634"/>
      <c r="F111" s="634"/>
      <c r="G111" s="635"/>
      <c r="H111" s="635"/>
      <c r="I111" s="636"/>
      <c r="J111" s="636"/>
      <c r="K111" s="636"/>
      <c r="L111" s="636"/>
      <c r="M111" s="637"/>
      <c r="N111" s="619"/>
      <c r="O111" s="620"/>
      <c r="P111" s="620"/>
      <c r="Q111" s="620"/>
      <c r="R111" s="620"/>
    </row>
    <row r="112" spans="1:18" ht="15.75" x14ac:dyDescent="0.25">
      <c r="A112" s="645"/>
      <c r="B112" s="638">
        <v>43451</v>
      </c>
      <c r="C112" s="639"/>
      <c r="D112" s="640" t="s">
        <v>384</v>
      </c>
      <c r="E112" s="639"/>
      <c r="F112" s="641" t="str">
        <f t="shared" ref="F112:F121" si="4">D112</f>
        <v>1994</v>
      </c>
      <c r="G112" s="642">
        <v>0</v>
      </c>
      <c r="H112" s="642">
        <v>0</v>
      </c>
      <c r="I112" s="643">
        <v>1.8</v>
      </c>
      <c r="J112" s="636"/>
      <c r="K112" s="636"/>
      <c r="L112" s="643">
        <v>0</v>
      </c>
      <c r="M112" s="644"/>
      <c r="N112" s="643"/>
      <c r="O112" s="645"/>
      <c r="P112" s="645"/>
      <c r="Q112" s="645"/>
      <c r="R112" s="645"/>
    </row>
    <row r="113" spans="1:18" ht="15.75" x14ac:dyDescent="0.25">
      <c r="A113" s="645"/>
      <c r="B113" s="638">
        <v>43465</v>
      </c>
      <c r="C113" s="639"/>
      <c r="D113" s="640" t="s">
        <v>609</v>
      </c>
      <c r="E113" s="639"/>
      <c r="F113" s="641" t="str">
        <f t="shared" si="4"/>
        <v>1995</v>
      </c>
      <c r="G113" s="642">
        <v>0</v>
      </c>
      <c r="H113" s="642">
        <v>22.08</v>
      </c>
      <c r="I113" s="643">
        <v>0</v>
      </c>
      <c r="J113" s="636"/>
      <c r="K113" s="636"/>
      <c r="L113" s="643">
        <v>0</v>
      </c>
      <c r="M113" s="644"/>
      <c r="N113" s="643"/>
      <c r="O113" s="645"/>
      <c r="P113" s="645"/>
      <c r="Q113" s="645"/>
      <c r="R113" s="645"/>
    </row>
    <row r="114" spans="1:18" ht="15.75" x14ac:dyDescent="0.25">
      <c r="A114" s="645"/>
      <c r="B114" s="638">
        <v>43465</v>
      </c>
      <c r="C114" s="639"/>
      <c r="D114" s="640" t="s">
        <v>610</v>
      </c>
      <c r="E114" s="639"/>
      <c r="F114" s="641" t="str">
        <f t="shared" si="4"/>
        <v>1996</v>
      </c>
      <c r="G114" s="642">
        <v>0</v>
      </c>
      <c r="H114" s="698">
        <v>111.38</v>
      </c>
      <c r="I114" s="643">
        <v>0</v>
      </c>
      <c r="J114" s="636"/>
      <c r="K114" s="636"/>
      <c r="L114" s="643">
        <v>0</v>
      </c>
      <c r="M114" s="644"/>
      <c r="N114" s="643"/>
      <c r="O114" s="645"/>
      <c r="P114" s="645"/>
      <c r="Q114" s="645"/>
      <c r="R114" s="645"/>
    </row>
    <row r="115" spans="1:18" ht="15.75" x14ac:dyDescent="0.25">
      <c r="A115" s="645"/>
      <c r="B115" s="638">
        <v>43465</v>
      </c>
      <c r="C115" s="639"/>
      <c r="D115" s="640" t="s">
        <v>611</v>
      </c>
      <c r="E115" s="639"/>
      <c r="F115" s="641" t="str">
        <f t="shared" si="4"/>
        <v>1997</v>
      </c>
      <c r="G115" s="642">
        <v>0</v>
      </c>
      <c r="H115" s="642">
        <v>1191.96</v>
      </c>
      <c r="I115" s="643">
        <v>0</v>
      </c>
      <c r="J115" s="636"/>
      <c r="K115" s="636"/>
      <c r="L115" s="643">
        <v>0</v>
      </c>
      <c r="M115" s="644"/>
      <c r="N115" s="643"/>
      <c r="O115" s="645"/>
      <c r="P115" s="645"/>
      <c r="Q115" s="645"/>
      <c r="R115" s="645"/>
    </row>
    <row r="116" spans="1:18" ht="15.75" x14ac:dyDescent="0.25">
      <c r="A116" s="619"/>
      <c r="B116" s="638">
        <v>43465</v>
      </c>
      <c r="C116" s="639"/>
      <c r="D116" s="640" t="s">
        <v>612</v>
      </c>
      <c r="E116" s="639"/>
      <c r="F116" s="641" t="str">
        <f t="shared" si="4"/>
        <v>1998</v>
      </c>
      <c r="G116" s="642">
        <v>0</v>
      </c>
      <c r="H116" s="642">
        <v>9.15</v>
      </c>
      <c r="I116" s="643">
        <v>0</v>
      </c>
      <c r="J116" s="636"/>
      <c r="K116" s="636"/>
      <c r="L116" s="643">
        <v>0</v>
      </c>
      <c r="M116" s="637"/>
      <c r="N116" s="619"/>
      <c r="O116" s="620"/>
      <c r="P116" s="620"/>
      <c r="Q116" s="620"/>
      <c r="R116" s="620"/>
    </row>
    <row r="117" spans="1:18" ht="15.75" x14ac:dyDescent="0.25">
      <c r="A117" s="645"/>
      <c r="B117" s="638"/>
      <c r="C117" s="639"/>
      <c r="D117" s="640" t="s">
        <v>409</v>
      </c>
      <c r="E117" s="639"/>
      <c r="F117" s="641" t="str">
        <f t="shared" si="4"/>
        <v>0</v>
      </c>
      <c r="G117" s="642">
        <v>0</v>
      </c>
      <c r="H117" s="642">
        <v>0</v>
      </c>
      <c r="I117" s="643">
        <v>0</v>
      </c>
      <c r="J117" s="636"/>
      <c r="K117" s="636"/>
      <c r="L117" s="643">
        <v>0</v>
      </c>
      <c r="M117" s="644"/>
      <c r="N117" s="643"/>
      <c r="O117" s="645"/>
      <c r="P117" s="645"/>
      <c r="Q117" s="645"/>
      <c r="R117" s="645"/>
    </row>
    <row r="118" spans="1:18" ht="15.75" x14ac:dyDescent="0.25">
      <c r="A118" s="620"/>
      <c r="B118" s="638"/>
      <c r="C118" s="639"/>
      <c r="D118" s="640" t="s">
        <v>409</v>
      </c>
      <c r="E118" s="646"/>
      <c r="F118" s="641" t="str">
        <f t="shared" si="4"/>
        <v>0</v>
      </c>
      <c r="G118" s="642">
        <v>0</v>
      </c>
      <c r="H118" s="642">
        <v>0</v>
      </c>
      <c r="I118" s="643">
        <v>0</v>
      </c>
      <c r="J118" s="636"/>
      <c r="K118" s="636"/>
      <c r="L118" s="643">
        <v>0</v>
      </c>
      <c r="M118" s="637"/>
      <c r="N118" s="619"/>
      <c r="O118" s="620"/>
      <c r="P118" s="620"/>
      <c r="Q118" s="620"/>
      <c r="R118" s="620"/>
    </row>
    <row r="119" spans="1:18" ht="15.75" x14ac:dyDescent="0.25">
      <c r="A119" s="620"/>
      <c r="B119" s="638"/>
      <c r="C119" s="639"/>
      <c r="D119" s="640" t="s">
        <v>409</v>
      </c>
      <c r="E119" s="646"/>
      <c r="F119" s="641" t="str">
        <f t="shared" si="4"/>
        <v>0</v>
      </c>
      <c r="G119" s="642">
        <v>0</v>
      </c>
      <c r="H119" s="642">
        <v>0</v>
      </c>
      <c r="I119" s="643">
        <v>0</v>
      </c>
      <c r="J119" s="636"/>
      <c r="K119" s="636"/>
      <c r="L119" s="643">
        <v>0</v>
      </c>
      <c r="M119" s="637"/>
      <c r="N119" s="619"/>
      <c r="O119" s="620"/>
      <c r="P119" s="620"/>
      <c r="Q119" s="620"/>
      <c r="R119" s="620"/>
    </row>
    <row r="120" spans="1:18" ht="15.75" x14ac:dyDescent="0.25">
      <c r="A120" s="620"/>
      <c r="B120" s="638"/>
      <c r="C120" s="639"/>
      <c r="D120" s="640" t="s">
        <v>409</v>
      </c>
      <c r="E120" s="646"/>
      <c r="F120" s="641" t="str">
        <f t="shared" si="4"/>
        <v>0</v>
      </c>
      <c r="G120" s="642">
        <v>0</v>
      </c>
      <c r="H120" s="642">
        <v>0</v>
      </c>
      <c r="I120" s="643">
        <v>0</v>
      </c>
      <c r="J120" s="636"/>
      <c r="K120" s="636"/>
      <c r="L120" s="643">
        <v>0</v>
      </c>
      <c r="M120" s="637"/>
      <c r="N120" s="619"/>
      <c r="O120" s="620"/>
      <c r="P120" s="620"/>
      <c r="Q120" s="620"/>
      <c r="R120" s="620"/>
    </row>
    <row r="121" spans="1:18" ht="15.75" x14ac:dyDescent="0.25">
      <c r="A121" s="620"/>
      <c r="B121" s="638"/>
      <c r="C121" s="639"/>
      <c r="D121" s="640" t="s">
        <v>409</v>
      </c>
      <c r="E121" s="646"/>
      <c r="F121" s="641" t="str">
        <f t="shared" si="4"/>
        <v>0</v>
      </c>
      <c r="G121" s="642">
        <v>0</v>
      </c>
      <c r="H121" s="642">
        <v>0</v>
      </c>
      <c r="I121" s="643">
        <v>0</v>
      </c>
      <c r="J121" s="636"/>
      <c r="K121" s="636"/>
      <c r="L121" s="643">
        <v>0</v>
      </c>
      <c r="M121" s="637"/>
      <c r="N121" s="619"/>
      <c r="O121" s="620"/>
      <c r="P121" s="620"/>
      <c r="Q121" s="620"/>
      <c r="R121" s="620"/>
    </row>
    <row r="122" spans="1:18" ht="15.75" x14ac:dyDescent="0.25">
      <c r="A122" s="620"/>
      <c r="B122" s="638"/>
      <c r="C122" s="639"/>
      <c r="D122" s="640"/>
      <c r="E122" s="646"/>
      <c r="F122" s="641"/>
      <c r="G122" s="642"/>
      <c r="H122" s="647"/>
      <c r="I122" s="643"/>
      <c r="J122" s="636"/>
      <c r="K122" s="636"/>
      <c r="L122" s="636"/>
      <c r="M122" s="637"/>
      <c r="N122" s="619"/>
      <c r="O122" s="620"/>
      <c r="P122" s="620"/>
      <c r="Q122" s="620"/>
      <c r="R122" s="620"/>
    </row>
    <row r="123" spans="1:18" ht="15.75" x14ac:dyDescent="0.25">
      <c r="A123" s="620"/>
      <c r="B123" s="638"/>
      <c r="C123" s="639"/>
      <c r="D123" s="640"/>
      <c r="E123" s="646"/>
      <c r="F123" s="641"/>
      <c r="G123" s="642"/>
      <c r="H123" s="647"/>
      <c r="I123" s="643"/>
      <c r="J123" s="636"/>
      <c r="K123" s="636"/>
      <c r="L123" s="636"/>
      <c r="N123" s="619"/>
      <c r="O123" s="620"/>
      <c r="P123" s="620"/>
      <c r="Q123" s="620"/>
      <c r="R123" s="620"/>
    </row>
    <row r="124" spans="1:18" ht="15.75" x14ac:dyDescent="0.25">
      <c r="A124" s="620"/>
      <c r="B124" s="638"/>
      <c r="C124" s="639"/>
      <c r="D124" s="640"/>
      <c r="E124" s="646"/>
      <c r="F124" s="641"/>
      <c r="G124" s="642"/>
      <c r="H124" s="647"/>
      <c r="I124" s="643"/>
      <c r="J124" s="636"/>
      <c r="K124" s="636"/>
      <c r="L124" s="636"/>
      <c r="M124" s="637"/>
      <c r="N124" s="619"/>
      <c r="O124" s="620"/>
      <c r="P124" s="620"/>
      <c r="Q124" s="620"/>
      <c r="R124" s="620"/>
    </row>
    <row r="125" spans="1:18" ht="15.75" x14ac:dyDescent="0.25">
      <c r="A125" s="620"/>
      <c r="B125" s="638"/>
      <c r="C125" s="639"/>
      <c r="D125" s="640"/>
      <c r="E125" s="646"/>
      <c r="F125" s="641"/>
      <c r="G125" s="642"/>
      <c r="H125" s="647"/>
      <c r="I125" s="645"/>
      <c r="J125" s="636"/>
      <c r="K125" s="636"/>
      <c r="L125" s="636"/>
      <c r="M125" s="637"/>
      <c r="N125" s="619"/>
      <c r="O125" s="620"/>
      <c r="P125" s="620"/>
      <c r="Q125" s="620"/>
      <c r="R125" s="620"/>
    </row>
    <row r="126" spans="1:18" ht="15.75" x14ac:dyDescent="0.25">
      <c r="A126" s="620"/>
      <c r="B126" s="638"/>
      <c r="C126" s="639"/>
      <c r="D126" s="640"/>
      <c r="E126" s="646"/>
      <c r="F126" s="641"/>
      <c r="G126" s="642"/>
      <c r="H126" s="647"/>
      <c r="I126" s="645"/>
      <c r="J126" s="636"/>
      <c r="K126" s="636"/>
      <c r="L126" s="636"/>
      <c r="M126" s="637"/>
      <c r="N126" s="619"/>
      <c r="O126" s="620"/>
      <c r="P126" s="620"/>
      <c r="Q126" s="620"/>
      <c r="R126" s="620"/>
    </row>
    <row r="127" spans="1:18" ht="15.75" x14ac:dyDescent="0.25">
      <c r="A127" s="619"/>
      <c r="B127" s="648"/>
      <c r="C127" s="649"/>
      <c r="D127" s="640"/>
      <c r="E127" s="650"/>
      <c r="F127" s="641"/>
      <c r="G127" s="617"/>
      <c r="H127" s="647"/>
      <c r="I127" s="645"/>
      <c r="J127" s="636"/>
      <c r="K127" s="636"/>
      <c r="L127" s="636"/>
      <c r="M127" s="637"/>
      <c r="N127" s="619"/>
      <c r="O127" s="620"/>
      <c r="P127" s="620"/>
      <c r="Q127" s="620"/>
      <c r="R127" s="620"/>
    </row>
    <row r="128" spans="1:18" ht="15.75" x14ac:dyDescent="0.25">
      <c r="A128" s="619"/>
      <c r="B128" s="648"/>
      <c r="C128" s="651"/>
      <c r="D128" s="652"/>
      <c r="E128" s="653"/>
      <c r="F128" s="641"/>
      <c r="G128" s="654"/>
      <c r="H128" s="647"/>
      <c r="I128" s="645"/>
      <c r="J128" s="636"/>
      <c r="K128" s="636"/>
      <c r="L128" s="636"/>
      <c r="M128" s="637"/>
      <c r="N128" s="619"/>
      <c r="O128" s="620"/>
      <c r="P128" s="620"/>
      <c r="Q128" s="620">
        <f>+M128/1.13</f>
        <v>0</v>
      </c>
      <c r="R128" s="620">
        <f>+Q128*0.13</f>
        <v>0</v>
      </c>
    </row>
    <row r="129" spans="1:18" ht="15.75" x14ac:dyDescent="0.25">
      <c r="A129" s="619"/>
      <c r="B129" s="648"/>
      <c r="C129" s="649"/>
      <c r="D129" s="652"/>
      <c r="E129" s="650"/>
      <c r="F129" s="641"/>
      <c r="G129" s="617"/>
      <c r="H129" s="647"/>
      <c r="I129" s="645"/>
      <c r="J129" s="636"/>
      <c r="K129" s="636"/>
      <c r="L129" s="636"/>
      <c r="M129" s="637"/>
      <c r="N129" s="619"/>
      <c r="O129" s="620"/>
      <c r="P129" s="620"/>
      <c r="Q129" s="620"/>
      <c r="R129" s="620"/>
    </row>
    <row r="130" spans="1:18" ht="15.75" x14ac:dyDescent="0.25">
      <c r="A130" s="619"/>
      <c r="B130" s="648"/>
      <c r="C130" s="649"/>
      <c r="D130" s="655"/>
      <c r="E130" s="650"/>
      <c r="F130" s="641"/>
      <c r="G130" s="617"/>
      <c r="H130" s="647"/>
      <c r="I130" s="636"/>
      <c r="J130" s="636"/>
      <c r="K130" s="636"/>
      <c r="L130" s="636"/>
      <c r="M130" s="637"/>
      <c r="N130" s="619"/>
      <c r="O130" s="620"/>
      <c r="P130" s="620"/>
      <c r="Q130" s="620"/>
      <c r="R130" s="620"/>
    </row>
    <row r="131" spans="1:18" ht="16.5" thickBot="1" x14ac:dyDescent="0.3">
      <c r="A131" s="619"/>
      <c r="B131" s="656"/>
      <c r="C131" s="656"/>
      <c r="D131" s="657"/>
      <c r="E131" s="657"/>
      <c r="F131" s="657"/>
      <c r="G131" s="629"/>
      <c r="H131" s="629"/>
      <c r="I131" s="658"/>
      <c r="J131" s="658"/>
      <c r="K131" s="658"/>
      <c r="L131" s="658"/>
      <c r="M131" s="659"/>
      <c r="N131" s="619"/>
      <c r="O131" s="620"/>
      <c r="P131" s="620"/>
      <c r="Q131" s="620"/>
      <c r="R131" s="620"/>
    </row>
    <row r="132" spans="1:18" ht="16.5" thickTop="1" x14ac:dyDescent="0.25">
      <c r="A132" s="619"/>
      <c r="B132" s="660"/>
      <c r="C132" s="660"/>
      <c r="D132" s="650"/>
      <c r="E132" s="650"/>
      <c r="F132" s="650"/>
      <c r="G132" s="644">
        <f>SUM(G111:G131)</f>
        <v>0</v>
      </c>
      <c r="H132" s="644">
        <f t="shared" ref="H132:M132" si="5">SUM(H111:H131)</f>
        <v>1334.5700000000002</v>
      </c>
      <c r="I132" s="644">
        <f>SUM(I111:I131)</f>
        <v>1.8</v>
      </c>
      <c r="J132" s="644">
        <f t="shared" si="5"/>
        <v>0</v>
      </c>
      <c r="K132" s="644">
        <f t="shared" si="5"/>
        <v>0</v>
      </c>
      <c r="L132" s="644">
        <f t="shared" si="5"/>
        <v>0</v>
      </c>
      <c r="M132" s="644">
        <f t="shared" si="5"/>
        <v>0</v>
      </c>
      <c r="N132" s="619"/>
      <c r="O132" s="620"/>
      <c r="P132" s="620"/>
      <c r="Q132" s="620"/>
      <c r="R132" s="620"/>
    </row>
    <row r="133" spans="1:18" ht="15.75" x14ac:dyDescent="0.25">
      <c r="A133" s="619"/>
      <c r="B133" s="660"/>
      <c r="C133" s="660"/>
      <c r="D133" s="650"/>
      <c r="E133" s="650"/>
      <c r="F133" s="650"/>
      <c r="G133" s="617"/>
      <c r="H133" s="644"/>
      <c r="I133" s="644"/>
      <c r="J133" s="644"/>
      <c r="K133" s="644"/>
      <c r="L133" s="644"/>
      <c r="M133" s="644"/>
      <c r="N133" s="619"/>
      <c r="O133" s="620"/>
      <c r="P133" s="620"/>
      <c r="Q133" s="620"/>
      <c r="R133" s="620"/>
    </row>
    <row r="134" spans="1:18" ht="15.75" x14ac:dyDescent="0.25">
      <c r="A134" s="619"/>
      <c r="B134" s="660"/>
      <c r="C134" s="660"/>
      <c r="D134" s="650" t="s">
        <v>573</v>
      </c>
      <c r="E134" s="650"/>
      <c r="F134" s="650"/>
      <c r="G134" s="617"/>
      <c r="H134" s="644"/>
      <c r="I134" s="644">
        <f>+G132</f>
        <v>0</v>
      </c>
      <c r="J134" s="644"/>
      <c r="K134" s="644"/>
      <c r="L134" s="644"/>
      <c r="M134" s="644"/>
      <c r="N134" s="619"/>
      <c r="O134" s="620"/>
      <c r="P134" s="620"/>
      <c r="Q134" s="620"/>
      <c r="R134" s="620"/>
    </row>
    <row r="135" spans="1:18" ht="15.75" x14ac:dyDescent="0.25">
      <c r="A135" s="619"/>
      <c r="B135" s="660"/>
      <c r="C135" s="660"/>
      <c r="D135" s="650"/>
      <c r="E135" s="650"/>
      <c r="F135" s="650"/>
      <c r="G135" s="617"/>
      <c r="H135" s="644"/>
      <c r="I135" s="644"/>
      <c r="J135" s="644"/>
      <c r="K135" s="644"/>
      <c r="L135" s="644"/>
      <c r="M135" s="644"/>
      <c r="N135" s="619"/>
      <c r="O135" s="620"/>
      <c r="P135" s="620"/>
      <c r="Q135" s="620"/>
      <c r="R135" s="620"/>
    </row>
    <row r="136" spans="1:18" ht="15.75" x14ac:dyDescent="0.25">
      <c r="A136" s="619"/>
      <c r="B136" s="660"/>
      <c r="C136" s="660"/>
      <c r="D136" s="650" t="s">
        <v>574</v>
      </c>
      <c r="E136" s="650"/>
      <c r="F136" s="650"/>
      <c r="G136" s="617"/>
      <c r="H136" s="644"/>
      <c r="I136" s="644">
        <f>+H132</f>
        <v>1334.5700000000002</v>
      </c>
      <c r="J136" s="644"/>
      <c r="K136" s="644"/>
      <c r="L136" s="644"/>
      <c r="M136" s="644"/>
      <c r="N136" s="619"/>
      <c r="O136" s="620"/>
      <c r="P136" s="620"/>
      <c r="Q136" s="620"/>
      <c r="R136" s="620"/>
    </row>
    <row r="137" spans="1:18" ht="15.75" x14ac:dyDescent="0.25">
      <c r="A137" s="619"/>
      <c r="B137" s="660"/>
      <c r="C137" s="660"/>
      <c r="D137" s="650"/>
      <c r="E137" s="650"/>
      <c r="F137" s="650"/>
      <c r="G137" s="617"/>
      <c r="H137" s="644"/>
      <c r="I137" s="644"/>
      <c r="J137" s="644"/>
      <c r="K137" s="644"/>
      <c r="L137" s="644"/>
      <c r="M137" s="644"/>
      <c r="N137" s="619"/>
      <c r="O137" s="620"/>
      <c r="P137" s="620"/>
      <c r="Q137" s="620"/>
      <c r="R137" s="620"/>
    </row>
    <row r="138" spans="1:18" ht="15.75" x14ac:dyDescent="0.25">
      <c r="A138" s="619"/>
      <c r="B138" s="660"/>
      <c r="C138" s="660"/>
      <c r="D138" s="650"/>
      <c r="E138" s="650"/>
      <c r="F138" s="650"/>
      <c r="G138" s="617"/>
      <c r="H138" s="661"/>
      <c r="I138" s="618"/>
      <c r="J138" s="618"/>
      <c r="K138" s="618"/>
      <c r="L138" s="618"/>
      <c r="M138" s="618"/>
      <c r="N138" s="619"/>
      <c r="O138" s="620"/>
      <c r="P138" s="620"/>
      <c r="Q138" s="620"/>
      <c r="R138" s="620"/>
    </row>
    <row r="139" spans="1:18" ht="15.75" x14ac:dyDescent="0.25">
      <c r="A139" s="619"/>
      <c r="B139" s="660"/>
      <c r="C139" s="660"/>
      <c r="D139" s="650" t="s">
        <v>448</v>
      </c>
      <c r="E139" s="650"/>
      <c r="F139" s="650"/>
      <c r="G139" s="617"/>
      <c r="H139" s="618"/>
      <c r="I139" s="621"/>
      <c r="J139" s="621"/>
      <c r="K139" s="621"/>
      <c r="L139" s="621"/>
      <c r="M139" s="618"/>
      <c r="N139" s="619"/>
      <c r="O139" s="620"/>
      <c r="P139" s="620"/>
      <c r="Q139" s="620"/>
      <c r="R139" s="620"/>
    </row>
    <row r="140" spans="1:18" ht="15.75" x14ac:dyDescent="0.25">
      <c r="A140" s="619"/>
      <c r="B140" s="660"/>
      <c r="C140" s="660"/>
      <c r="D140" s="650" t="s">
        <v>80</v>
      </c>
      <c r="E140" s="650"/>
      <c r="F140" s="650"/>
      <c r="G140" s="617"/>
      <c r="H140" s="618"/>
      <c r="I140" s="700">
        <f>ROUND(I132/1.13,2)</f>
        <v>1.59</v>
      </c>
      <c r="J140" s="644"/>
      <c r="K140" s="644"/>
      <c r="L140" s="644"/>
      <c r="M140" s="663"/>
      <c r="N140" s="619"/>
      <c r="O140" s="620"/>
      <c r="P140" s="620"/>
      <c r="Q140" s="620"/>
      <c r="R140" s="620"/>
    </row>
    <row r="141" spans="1:18" ht="15.75" x14ac:dyDescent="0.25">
      <c r="A141" s="619"/>
      <c r="B141" s="660"/>
      <c r="C141" s="660"/>
      <c r="D141" s="650" t="s">
        <v>449</v>
      </c>
      <c r="E141" s="650"/>
      <c r="F141" s="650"/>
      <c r="G141" s="617"/>
      <c r="H141" s="618"/>
      <c r="I141" s="699">
        <f>(I140*0.13)</f>
        <v>0.20670000000000002</v>
      </c>
      <c r="J141" s="664"/>
      <c r="K141" s="664"/>
      <c r="L141" s="664"/>
      <c r="M141" s="663"/>
      <c r="N141" s="619"/>
      <c r="O141" s="620"/>
      <c r="P141" s="620"/>
      <c r="Q141" s="620"/>
      <c r="R141" s="620"/>
    </row>
    <row r="142" spans="1:18" ht="16.5" thickBot="1" x14ac:dyDescent="0.3">
      <c r="A142" s="619"/>
      <c r="B142" s="660"/>
      <c r="C142" s="660"/>
      <c r="D142" s="650"/>
      <c r="E142" s="650"/>
      <c r="F142" s="650"/>
      <c r="G142" s="617"/>
      <c r="H142" s="618"/>
      <c r="I142" s="665"/>
      <c r="J142" s="666"/>
      <c r="K142" s="666"/>
      <c r="L142" s="666"/>
      <c r="M142" s="663"/>
      <c r="N142" s="619"/>
      <c r="O142" s="620"/>
      <c r="P142" s="620"/>
      <c r="Q142" s="620"/>
      <c r="R142" s="620"/>
    </row>
    <row r="143" spans="1:18" ht="16.5" thickTop="1" x14ac:dyDescent="0.25">
      <c r="A143" s="619"/>
      <c r="B143" s="660"/>
      <c r="C143" s="660"/>
      <c r="D143" s="650" t="s">
        <v>450</v>
      </c>
      <c r="E143" s="650"/>
      <c r="F143" s="650"/>
      <c r="G143" s="617"/>
      <c r="H143" s="618"/>
      <c r="I143" s="637">
        <f>SUM(I140:I142)</f>
        <v>1.7967000000000002</v>
      </c>
      <c r="J143" s="637"/>
      <c r="K143" s="637"/>
      <c r="L143" s="637"/>
      <c r="M143" s="618"/>
      <c r="N143" s="619"/>
      <c r="O143" s="620"/>
      <c r="P143" s="620"/>
      <c r="Q143" s="620"/>
      <c r="R143" s="620"/>
    </row>
    <row r="144" spans="1:18" ht="16.5" thickBot="1" x14ac:dyDescent="0.3">
      <c r="A144" s="619"/>
      <c r="B144" s="660"/>
      <c r="C144" s="660"/>
      <c r="D144" s="650"/>
      <c r="E144" s="650"/>
      <c r="F144" s="650"/>
      <c r="G144" s="617"/>
      <c r="H144" s="618"/>
      <c r="I144" s="665"/>
      <c r="J144" s="666"/>
      <c r="K144" s="666"/>
      <c r="L144" s="666"/>
      <c r="M144" s="618"/>
      <c r="N144" s="619"/>
      <c r="O144" s="620"/>
      <c r="P144" s="620"/>
      <c r="Q144" s="620"/>
      <c r="R144" s="620"/>
    </row>
    <row r="145" spans="1:18" ht="16.5" thickTop="1" x14ac:dyDescent="0.25">
      <c r="A145" s="619"/>
      <c r="B145" s="660"/>
      <c r="C145" s="660"/>
      <c r="D145" s="650"/>
      <c r="E145" s="650"/>
      <c r="F145" s="650"/>
      <c r="G145" s="617"/>
      <c r="H145" s="618"/>
      <c r="I145" s="667"/>
      <c r="J145" s="667"/>
      <c r="K145" s="667"/>
      <c r="L145" s="667"/>
      <c r="M145" s="618"/>
      <c r="N145" s="619"/>
      <c r="O145" s="620"/>
      <c r="P145" s="620"/>
      <c r="Q145" s="620"/>
      <c r="R145" s="620"/>
    </row>
    <row r="146" spans="1:18" ht="15.75" x14ac:dyDescent="0.25">
      <c r="A146" s="619"/>
      <c r="B146" s="660"/>
      <c r="C146" s="660"/>
      <c r="D146" s="650"/>
      <c r="E146" s="650"/>
      <c r="F146" s="650"/>
      <c r="G146" s="617"/>
      <c r="H146" s="618"/>
      <c r="I146" s="627"/>
      <c r="J146" s="627"/>
      <c r="K146" s="627"/>
      <c r="L146" s="627"/>
      <c r="M146" s="618"/>
      <c r="N146" s="619"/>
      <c r="O146" s="620"/>
      <c r="P146" s="620"/>
      <c r="Q146" s="620"/>
      <c r="R146" s="620"/>
    </row>
    <row r="147" spans="1:18" ht="15.75" x14ac:dyDescent="0.25">
      <c r="A147" s="619"/>
      <c r="B147" s="660"/>
      <c r="C147" s="660"/>
      <c r="D147" s="650"/>
      <c r="E147" s="650"/>
      <c r="F147" s="650"/>
      <c r="G147" s="668"/>
      <c r="H147" s="618" t="s">
        <v>575</v>
      </c>
      <c r="I147" s="627">
        <v>-0.21</v>
      </c>
      <c r="J147" s="627"/>
      <c r="K147" s="627"/>
      <c r="L147" s="627"/>
      <c r="M147" s="618"/>
      <c r="N147" s="619"/>
      <c r="O147" s="620"/>
      <c r="P147" s="620"/>
      <c r="Q147" s="620"/>
      <c r="R147" s="620"/>
    </row>
    <row r="148" spans="1:18" ht="15.75" x14ac:dyDescent="0.25">
      <c r="A148" s="619"/>
      <c r="B148" s="660"/>
      <c r="C148" s="660"/>
      <c r="D148" s="650"/>
      <c r="E148" s="650"/>
      <c r="F148" s="650"/>
      <c r="G148" s="617"/>
      <c r="H148" s="669" t="s">
        <v>576</v>
      </c>
      <c r="I148" s="670">
        <f>+I141+I147</f>
        <v>-3.2999999999999696E-3</v>
      </c>
      <c r="J148" s="627"/>
      <c r="K148" s="627"/>
      <c r="L148" s="627"/>
      <c r="M148" s="618"/>
      <c r="N148" s="619"/>
      <c r="O148" s="620"/>
      <c r="P148" s="620"/>
      <c r="Q148" s="620"/>
      <c r="R148" s="620"/>
    </row>
    <row r="149" spans="1:18" ht="15.75" x14ac:dyDescent="0.25">
      <c r="A149" s="619"/>
      <c r="B149" s="660"/>
      <c r="C149" s="660"/>
      <c r="D149" s="650"/>
      <c r="E149" s="650"/>
      <c r="F149" s="650"/>
      <c r="G149" s="617"/>
      <c r="H149" s="618"/>
      <c r="I149" s="627"/>
      <c r="J149" s="627"/>
      <c r="K149" s="627"/>
      <c r="L149" s="627"/>
      <c r="M149" s="618"/>
      <c r="N149" s="619"/>
      <c r="O149" s="620"/>
      <c r="P149" s="620"/>
      <c r="Q149" s="620"/>
      <c r="R149" s="620"/>
    </row>
    <row r="150" spans="1:18" ht="15.75" x14ac:dyDescent="0.25">
      <c r="A150" s="619"/>
      <c r="B150" s="660"/>
      <c r="C150" s="660"/>
      <c r="D150" s="650"/>
      <c r="E150" s="650"/>
      <c r="F150" s="650"/>
      <c r="G150" s="617"/>
      <c r="H150" s="618"/>
      <c r="I150" s="627"/>
      <c r="J150" s="627"/>
      <c r="K150" s="627"/>
      <c r="L150" s="627"/>
      <c r="M150" s="618"/>
      <c r="N150" s="619"/>
      <c r="O150" s="620"/>
      <c r="P150" s="620"/>
      <c r="Q150" s="620"/>
      <c r="R150" s="620"/>
    </row>
    <row r="151" spans="1:18" ht="15.75" x14ac:dyDescent="0.25">
      <c r="A151" s="619"/>
      <c r="B151" s="660"/>
      <c r="C151" s="660"/>
      <c r="D151" s="650"/>
      <c r="E151" s="650"/>
      <c r="F151" s="650"/>
      <c r="G151" s="617"/>
      <c r="H151" s="618"/>
      <c r="I151" s="671"/>
      <c r="J151" s="671"/>
      <c r="K151" s="671"/>
      <c r="L151" s="671"/>
      <c r="M151" s="618"/>
      <c r="N151" s="619"/>
      <c r="O151" s="620"/>
      <c r="P151" s="620"/>
      <c r="Q151" s="620"/>
      <c r="R151" s="620"/>
    </row>
    <row r="152" spans="1:18" ht="20.25" x14ac:dyDescent="0.3">
      <c r="B152" s="614" t="s">
        <v>560</v>
      </c>
      <c r="C152" s="615"/>
      <c r="D152" s="616"/>
      <c r="E152" s="616"/>
      <c r="F152" s="616"/>
      <c r="G152" s="617"/>
      <c r="H152" s="618"/>
      <c r="I152" s="618"/>
      <c r="J152" s="618"/>
      <c r="K152" s="618"/>
      <c r="L152" s="618"/>
      <c r="M152" s="618"/>
    </row>
    <row r="153" spans="1:18" ht="15.75" x14ac:dyDescent="0.25">
      <c r="B153" s="616" t="s">
        <v>134</v>
      </c>
      <c r="C153" s="616"/>
      <c r="D153" s="616"/>
      <c r="E153" s="616"/>
      <c r="F153" s="616"/>
      <c r="G153" s="617"/>
      <c r="H153" s="618"/>
      <c r="I153" s="618"/>
      <c r="J153" s="618"/>
      <c r="K153" s="618"/>
      <c r="L153" s="618"/>
      <c r="M153" s="618"/>
    </row>
    <row r="154" spans="1:18" ht="15.75" x14ac:dyDescent="0.25">
      <c r="B154" s="615" t="s">
        <v>135</v>
      </c>
      <c r="C154" s="616"/>
      <c r="D154" s="616"/>
      <c r="E154" s="616"/>
      <c r="F154" s="616"/>
      <c r="G154" s="617"/>
      <c r="H154" s="621"/>
      <c r="I154" s="621"/>
      <c r="J154" s="618"/>
      <c r="K154" s="618"/>
      <c r="L154" s="618"/>
      <c r="M154" s="618"/>
    </row>
    <row r="155" spans="1:18" ht="15.75" x14ac:dyDescent="0.25">
      <c r="B155" s="616" t="s">
        <v>190</v>
      </c>
      <c r="C155" s="616"/>
      <c r="D155" s="616"/>
      <c r="E155" s="616"/>
      <c r="F155" s="616"/>
      <c r="G155" s="617"/>
      <c r="H155" s="618"/>
      <c r="I155" s="618"/>
      <c r="J155" s="618"/>
      <c r="K155" s="618"/>
      <c r="L155" s="618"/>
      <c r="M155" s="618"/>
    </row>
    <row r="156" spans="1:18" ht="15.75" x14ac:dyDescent="0.25">
      <c r="B156" s="622" t="s">
        <v>219</v>
      </c>
      <c r="C156" s="623" t="s">
        <v>81</v>
      </c>
      <c r="D156" s="624"/>
      <c r="E156" s="712">
        <v>2019</v>
      </c>
      <c r="F156" s="616"/>
      <c r="G156" s="617"/>
      <c r="H156" s="618"/>
      <c r="I156" s="626"/>
      <c r="J156" s="626"/>
      <c r="K156" s="626"/>
      <c r="L156" s="626"/>
      <c r="M156" s="626"/>
    </row>
    <row r="157" spans="1:18" ht="15.75" x14ac:dyDescent="0.25">
      <c r="B157" s="619"/>
      <c r="C157" s="619"/>
      <c r="D157" s="616"/>
      <c r="E157" s="616"/>
      <c r="F157" s="616"/>
      <c r="G157" s="617"/>
      <c r="H157" s="618"/>
      <c r="I157" s="618"/>
      <c r="J157" s="618"/>
      <c r="K157" s="618"/>
      <c r="L157" s="618"/>
      <c r="M157" s="618"/>
    </row>
    <row r="158" spans="1:18" ht="15.75" x14ac:dyDescent="0.25">
      <c r="B158" s="619"/>
      <c r="C158" s="619"/>
      <c r="D158" s="616"/>
      <c r="E158" s="616"/>
      <c r="F158" s="616"/>
      <c r="G158" s="617"/>
      <c r="H158" s="618"/>
      <c r="I158" s="618"/>
      <c r="J158" s="618"/>
      <c r="K158" s="618"/>
      <c r="L158" s="618"/>
      <c r="M158" s="618"/>
    </row>
    <row r="159" spans="1:18" ht="15.75" x14ac:dyDescent="0.25">
      <c r="B159" s="619"/>
      <c r="C159" s="619"/>
      <c r="D159" s="616"/>
      <c r="E159" s="616"/>
      <c r="F159" s="616"/>
      <c r="G159" s="617"/>
      <c r="H159" s="627" t="s">
        <v>48</v>
      </c>
      <c r="I159" s="627" t="s">
        <v>48</v>
      </c>
      <c r="J159" s="627" t="s">
        <v>561</v>
      </c>
      <c r="K159" s="627" t="s">
        <v>562</v>
      </c>
      <c r="L159" s="627" t="s">
        <v>48</v>
      </c>
      <c r="M159" s="627" t="s">
        <v>140</v>
      </c>
    </row>
    <row r="160" spans="1:18" ht="16.5" thickBot="1" x14ac:dyDescent="0.3">
      <c r="B160" s="628" t="s">
        <v>76</v>
      </c>
      <c r="C160" s="628"/>
      <c r="D160" s="628" t="s">
        <v>563</v>
      </c>
      <c r="E160" s="628"/>
      <c r="F160" s="628" t="s">
        <v>564</v>
      </c>
      <c r="G160" s="629" t="s">
        <v>79</v>
      </c>
      <c r="H160" s="630" t="s">
        <v>177</v>
      </c>
      <c r="I160" s="631" t="s">
        <v>565</v>
      </c>
      <c r="J160" s="630" t="s">
        <v>566</v>
      </c>
      <c r="K160" s="630" t="s">
        <v>567</v>
      </c>
      <c r="L160" s="630" t="s">
        <v>176</v>
      </c>
      <c r="M160" s="630" t="s">
        <v>48</v>
      </c>
    </row>
    <row r="161" spans="2:13" ht="16.5" thickTop="1" x14ac:dyDescent="0.25">
      <c r="B161" s="632"/>
      <c r="C161" s="633"/>
      <c r="D161" s="634"/>
      <c r="E161" s="634"/>
      <c r="F161" s="634"/>
      <c r="G161" s="635"/>
      <c r="H161" s="635"/>
      <c r="I161" s="636"/>
      <c r="J161" s="636"/>
      <c r="K161" s="636"/>
      <c r="L161" s="636"/>
      <c r="M161" s="637"/>
    </row>
    <row r="162" spans="2:13" ht="15.75" x14ac:dyDescent="0.25">
      <c r="B162" s="638">
        <v>43481</v>
      </c>
      <c r="C162" s="639"/>
      <c r="D162" s="640" t="s">
        <v>660</v>
      </c>
      <c r="E162" s="639"/>
      <c r="F162" s="641" t="str">
        <f t="shared" ref="F162:F171" si="6">D162</f>
        <v>02005</v>
      </c>
      <c r="G162" s="642">
        <v>0</v>
      </c>
      <c r="H162" s="642">
        <v>0</v>
      </c>
      <c r="I162" s="643">
        <v>24.85</v>
      </c>
      <c r="J162" s="636"/>
      <c r="K162" s="636"/>
      <c r="L162" s="643">
        <v>0</v>
      </c>
      <c r="M162" s="644"/>
    </row>
    <row r="163" spans="2:13" ht="15.75" x14ac:dyDescent="0.25">
      <c r="B163" s="638"/>
      <c r="C163" s="639"/>
      <c r="D163" s="640"/>
      <c r="E163" s="639"/>
      <c r="F163" s="641">
        <f t="shared" si="6"/>
        <v>0</v>
      </c>
      <c r="G163" s="642">
        <v>0</v>
      </c>
      <c r="H163" s="642">
        <v>0</v>
      </c>
      <c r="I163" s="643">
        <v>0</v>
      </c>
      <c r="J163" s="636"/>
      <c r="K163" s="636"/>
      <c r="L163" s="643">
        <v>0</v>
      </c>
      <c r="M163" s="644"/>
    </row>
    <row r="164" spans="2:13" ht="15.75" x14ac:dyDescent="0.25">
      <c r="B164" s="638"/>
      <c r="C164" s="639"/>
      <c r="D164" s="640"/>
      <c r="E164" s="639"/>
      <c r="F164" s="641">
        <f t="shared" si="6"/>
        <v>0</v>
      </c>
      <c r="G164" s="642">
        <v>0</v>
      </c>
      <c r="H164" s="698">
        <v>0</v>
      </c>
      <c r="I164" s="643">
        <v>0</v>
      </c>
      <c r="J164" s="636"/>
      <c r="K164" s="636"/>
      <c r="L164" s="643">
        <v>0</v>
      </c>
      <c r="M164" s="644"/>
    </row>
    <row r="165" spans="2:13" ht="15.75" x14ac:dyDescent="0.25">
      <c r="B165" s="638"/>
      <c r="C165" s="639"/>
      <c r="D165" s="640"/>
      <c r="E165" s="639"/>
      <c r="F165" s="641">
        <f t="shared" si="6"/>
        <v>0</v>
      </c>
      <c r="G165" s="642">
        <v>0</v>
      </c>
      <c r="H165" s="642">
        <v>0</v>
      </c>
      <c r="I165" s="643">
        <v>0</v>
      </c>
      <c r="J165" s="636"/>
      <c r="K165" s="636"/>
      <c r="L165" s="643">
        <v>0</v>
      </c>
      <c r="M165" s="644"/>
    </row>
    <row r="166" spans="2:13" ht="15.75" x14ac:dyDescent="0.25">
      <c r="B166" s="638"/>
      <c r="C166" s="639"/>
      <c r="D166" s="640"/>
      <c r="E166" s="639"/>
      <c r="F166" s="641">
        <f t="shared" si="6"/>
        <v>0</v>
      </c>
      <c r="G166" s="642">
        <v>0</v>
      </c>
      <c r="H166" s="642">
        <v>0</v>
      </c>
      <c r="I166" s="643">
        <v>0</v>
      </c>
      <c r="J166" s="636"/>
      <c r="K166" s="636"/>
      <c r="L166" s="643">
        <v>0</v>
      </c>
      <c r="M166" s="637"/>
    </row>
    <row r="167" spans="2:13" ht="15.75" x14ac:dyDescent="0.25">
      <c r="B167" s="638"/>
      <c r="C167" s="639"/>
      <c r="D167" s="640" t="s">
        <v>409</v>
      </c>
      <c r="E167" s="639"/>
      <c r="F167" s="641" t="str">
        <f t="shared" si="6"/>
        <v>0</v>
      </c>
      <c r="G167" s="642">
        <v>0</v>
      </c>
      <c r="H167" s="642">
        <v>0</v>
      </c>
      <c r="I167" s="643">
        <v>0</v>
      </c>
      <c r="J167" s="636"/>
      <c r="K167" s="636"/>
      <c r="L167" s="643">
        <v>0</v>
      </c>
      <c r="M167" s="644"/>
    </row>
    <row r="168" spans="2:13" ht="15.75" x14ac:dyDescent="0.25">
      <c r="B168" s="638"/>
      <c r="C168" s="639"/>
      <c r="D168" s="640" t="s">
        <v>409</v>
      </c>
      <c r="E168" s="646"/>
      <c r="F168" s="641" t="str">
        <f t="shared" si="6"/>
        <v>0</v>
      </c>
      <c r="G168" s="642">
        <v>0</v>
      </c>
      <c r="H168" s="642">
        <v>0</v>
      </c>
      <c r="I168" s="643">
        <v>0</v>
      </c>
      <c r="J168" s="636"/>
      <c r="K168" s="636"/>
      <c r="L168" s="643">
        <v>0</v>
      </c>
      <c r="M168" s="637"/>
    </row>
    <row r="169" spans="2:13" ht="15.75" x14ac:dyDescent="0.25">
      <c r="B169" s="638"/>
      <c r="C169" s="639"/>
      <c r="D169" s="640" t="s">
        <v>409</v>
      </c>
      <c r="E169" s="646"/>
      <c r="F169" s="641" t="str">
        <f t="shared" si="6"/>
        <v>0</v>
      </c>
      <c r="G169" s="642">
        <v>0</v>
      </c>
      <c r="H169" s="642">
        <v>0</v>
      </c>
      <c r="I169" s="643">
        <v>0</v>
      </c>
      <c r="J169" s="636"/>
      <c r="K169" s="636"/>
      <c r="L169" s="643">
        <v>0</v>
      </c>
      <c r="M169" s="637"/>
    </row>
    <row r="170" spans="2:13" ht="15.75" x14ac:dyDescent="0.25">
      <c r="B170" s="638"/>
      <c r="C170" s="639"/>
      <c r="D170" s="640" t="s">
        <v>409</v>
      </c>
      <c r="E170" s="646"/>
      <c r="F170" s="641" t="str">
        <f t="shared" si="6"/>
        <v>0</v>
      </c>
      <c r="G170" s="642">
        <v>0</v>
      </c>
      <c r="H170" s="642">
        <v>0</v>
      </c>
      <c r="I170" s="643">
        <v>0</v>
      </c>
      <c r="J170" s="636"/>
      <c r="K170" s="636"/>
      <c r="L170" s="643">
        <v>0</v>
      </c>
      <c r="M170" s="637"/>
    </row>
    <row r="171" spans="2:13" ht="15.75" x14ac:dyDescent="0.25">
      <c r="B171" s="638"/>
      <c r="C171" s="639"/>
      <c r="D171" s="640" t="s">
        <v>409</v>
      </c>
      <c r="E171" s="646"/>
      <c r="F171" s="641" t="str">
        <f t="shared" si="6"/>
        <v>0</v>
      </c>
      <c r="G171" s="642">
        <v>0</v>
      </c>
      <c r="H171" s="642">
        <v>0</v>
      </c>
      <c r="I171" s="643">
        <v>0</v>
      </c>
      <c r="J171" s="636"/>
      <c r="K171" s="636"/>
      <c r="L171" s="643">
        <v>0</v>
      </c>
      <c r="M171" s="637"/>
    </row>
    <row r="172" spans="2:13" ht="15.75" x14ac:dyDescent="0.25">
      <c r="B172" s="638"/>
      <c r="C172" s="639"/>
      <c r="D172" s="640"/>
      <c r="E172" s="646"/>
      <c r="F172" s="641"/>
      <c r="G172" s="642"/>
      <c r="H172" s="647"/>
      <c r="I172" s="643"/>
      <c r="J172" s="636"/>
      <c r="K172" s="636"/>
      <c r="L172" s="636"/>
      <c r="M172" s="637"/>
    </row>
    <row r="173" spans="2:13" ht="15.75" x14ac:dyDescent="0.25">
      <c r="B173" s="638"/>
      <c r="C173" s="639"/>
      <c r="D173" s="640"/>
      <c r="E173" s="646"/>
      <c r="F173" s="641"/>
      <c r="G173" s="642"/>
      <c r="H173" s="647"/>
      <c r="I173" s="643"/>
      <c r="J173" s="636"/>
      <c r="K173" s="636"/>
      <c r="L173" s="636"/>
      <c r="M173" s="637"/>
    </row>
    <row r="174" spans="2:13" ht="15.75" x14ac:dyDescent="0.25">
      <c r="B174" s="638"/>
      <c r="C174" s="639"/>
      <c r="D174" s="640"/>
      <c r="E174" s="646"/>
      <c r="F174" s="641"/>
      <c r="G174" s="642"/>
      <c r="H174" s="647"/>
      <c r="I174" s="643"/>
      <c r="J174" s="636"/>
      <c r="K174" s="636"/>
      <c r="L174" s="636"/>
      <c r="M174" s="637"/>
    </row>
    <row r="175" spans="2:13" ht="15.75" x14ac:dyDescent="0.25">
      <c r="B175" s="638"/>
      <c r="C175" s="639"/>
      <c r="D175" s="640"/>
      <c r="E175" s="646"/>
      <c r="F175" s="641"/>
      <c r="G175" s="642"/>
      <c r="H175" s="647"/>
      <c r="I175" s="645"/>
      <c r="J175" s="636"/>
      <c r="K175" s="636"/>
      <c r="L175" s="636"/>
      <c r="M175" s="637"/>
    </row>
    <row r="176" spans="2:13" ht="15.75" x14ac:dyDescent="0.25">
      <c r="B176" s="638"/>
      <c r="C176" s="639"/>
      <c r="D176" s="640"/>
      <c r="E176" s="646"/>
      <c r="F176" s="641"/>
      <c r="G176" s="642"/>
      <c r="H176" s="647"/>
      <c r="I176" s="645"/>
      <c r="J176" s="636"/>
      <c r="K176" s="636"/>
      <c r="L176" s="636"/>
      <c r="M176" s="637"/>
    </row>
    <row r="177" spans="2:13" ht="15.75" x14ac:dyDescent="0.25">
      <c r="B177" s="648"/>
      <c r="C177" s="649"/>
      <c r="D177" s="640"/>
      <c r="E177" s="650"/>
      <c r="F177" s="641"/>
      <c r="G177" s="617"/>
      <c r="H177" s="647"/>
      <c r="I177" s="645"/>
      <c r="J177" s="636"/>
      <c r="K177" s="636"/>
      <c r="L177" s="636"/>
      <c r="M177" s="637"/>
    </row>
    <row r="178" spans="2:13" ht="15.75" x14ac:dyDescent="0.25">
      <c r="B178" s="648"/>
      <c r="C178" s="651"/>
      <c r="D178" s="652"/>
      <c r="E178" s="653"/>
      <c r="F178" s="641"/>
      <c r="G178" s="654"/>
      <c r="H178" s="647"/>
      <c r="I178" s="645"/>
      <c r="J178" s="636"/>
      <c r="K178" s="636"/>
      <c r="L178" s="636"/>
      <c r="M178" s="637"/>
    </row>
    <row r="179" spans="2:13" ht="15.75" x14ac:dyDescent="0.25">
      <c r="B179" s="648"/>
      <c r="C179" s="649"/>
      <c r="D179" s="652"/>
      <c r="E179" s="650"/>
      <c r="F179" s="641"/>
      <c r="G179" s="617"/>
      <c r="H179" s="647"/>
      <c r="I179" s="645"/>
      <c r="J179" s="636"/>
      <c r="K179" s="636"/>
      <c r="L179" s="636"/>
      <c r="M179" s="637"/>
    </row>
    <row r="180" spans="2:13" ht="15.75" x14ac:dyDescent="0.25">
      <c r="B180" s="648"/>
      <c r="C180" s="649"/>
      <c r="D180" s="655"/>
      <c r="E180" s="650"/>
      <c r="F180" s="641"/>
      <c r="G180" s="617"/>
      <c r="H180" s="647"/>
      <c r="I180" s="636"/>
      <c r="J180" s="636"/>
      <c r="K180" s="636"/>
      <c r="L180" s="636"/>
      <c r="M180" s="637"/>
    </row>
    <row r="181" spans="2:13" ht="16.5" thickBot="1" x14ac:dyDescent="0.3">
      <c r="B181" s="656"/>
      <c r="C181" s="656"/>
      <c r="D181" s="657"/>
      <c r="E181" s="657"/>
      <c r="F181" s="657"/>
      <c r="G181" s="629"/>
      <c r="H181" s="629"/>
      <c r="I181" s="658"/>
      <c r="J181" s="658"/>
      <c r="K181" s="658"/>
      <c r="L181" s="658"/>
      <c r="M181" s="659"/>
    </row>
    <row r="182" spans="2:13" ht="16.5" thickTop="1" x14ac:dyDescent="0.25">
      <c r="B182" s="660"/>
      <c r="C182" s="660"/>
      <c r="D182" s="650"/>
      <c r="E182" s="650"/>
      <c r="F182" s="650"/>
      <c r="G182" s="644">
        <f>SUM(G161:G181)</f>
        <v>0</v>
      </c>
      <c r="H182" s="644">
        <f t="shared" ref="H182:M182" si="7">SUM(H161:H181)</f>
        <v>0</v>
      </c>
      <c r="I182" s="644">
        <f>SUM(I161:I181)</f>
        <v>24.85</v>
      </c>
      <c r="J182" s="644">
        <f t="shared" si="7"/>
        <v>0</v>
      </c>
      <c r="K182" s="644">
        <f t="shared" si="7"/>
        <v>0</v>
      </c>
      <c r="L182" s="644">
        <f t="shared" si="7"/>
        <v>0</v>
      </c>
      <c r="M182" s="644">
        <f t="shared" si="7"/>
        <v>0</v>
      </c>
    </row>
    <row r="183" spans="2:13" ht="15.75" x14ac:dyDescent="0.25">
      <c r="B183" s="660"/>
      <c r="C183" s="660"/>
      <c r="D183" s="650"/>
      <c r="E183" s="650"/>
      <c r="F183" s="650"/>
      <c r="G183" s="617"/>
      <c r="H183" s="644"/>
      <c r="I183" s="644"/>
      <c r="J183" s="644"/>
      <c r="K183" s="644"/>
      <c r="L183" s="644"/>
      <c r="M183" s="644"/>
    </row>
    <row r="184" spans="2:13" ht="15.75" x14ac:dyDescent="0.25">
      <c r="B184" s="660"/>
      <c r="C184" s="660"/>
      <c r="D184" s="650" t="s">
        <v>573</v>
      </c>
      <c r="E184" s="650"/>
      <c r="F184" s="650"/>
      <c r="G184" s="617"/>
      <c r="H184" s="644"/>
      <c r="I184" s="644">
        <f>+G182</f>
        <v>0</v>
      </c>
      <c r="J184" s="644"/>
      <c r="K184" s="644"/>
      <c r="L184" s="644"/>
      <c r="M184" s="644"/>
    </row>
    <row r="185" spans="2:13" ht="15.75" x14ac:dyDescent="0.25">
      <c r="B185" s="660"/>
      <c r="C185" s="660"/>
      <c r="D185" s="650"/>
      <c r="E185" s="650"/>
      <c r="F185" s="650"/>
      <c r="G185" s="617"/>
      <c r="H185" s="644"/>
      <c r="I185" s="644"/>
      <c r="J185" s="644"/>
      <c r="K185" s="644"/>
      <c r="L185" s="644"/>
      <c r="M185" s="644"/>
    </row>
    <row r="186" spans="2:13" ht="15.75" x14ac:dyDescent="0.25">
      <c r="B186" s="660"/>
      <c r="C186" s="660"/>
      <c r="D186" s="650" t="s">
        <v>574</v>
      </c>
      <c r="E186" s="650"/>
      <c r="F186" s="650"/>
      <c r="G186" s="617"/>
      <c r="H186" s="644"/>
      <c r="I186" s="644">
        <f>+H182</f>
        <v>0</v>
      </c>
      <c r="J186" s="644"/>
      <c r="K186" s="644"/>
      <c r="L186" s="644"/>
      <c r="M186" s="644"/>
    </row>
    <row r="187" spans="2:13" ht="15.75" x14ac:dyDescent="0.25">
      <c r="B187" s="660"/>
      <c r="C187" s="660"/>
      <c r="D187" s="650"/>
      <c r="E187" s="650"/>
      <c r="F187" s="650"/>
      <c r="G187" s="617"/>
      <c r="H187" s="644"/>
      <c r="I187" s="644"/>
      <c r="J187" s="644"/>
      <c r="K187" s="644"/>
      <c r="L187" s="644"/>
      <c r="M187" s="644"/>
    </row>
    <row r="188" spans="2:13" ht="15.75" x14ac:dyDescent="0.25">
      <c r="B188" s="660"/>
      <c r="C188" s="660"/>
      <c r="D188" s="650"/>
      <c r="E188" s="650"/>
      <c r="F188" s="650"/>
      <c r="G188" s="617"/>
      <c r="H188" s="661"/>
      <c r="I188" s="618"/>
      <c r="J188" s="618"/>
      <c r="K188" s="618"/>
      <c r="L188" s="618"/>
      <c r="M188" s="618"/>
    </row>
    <row r="189" spans="2:13" ht="15.75" x14ac:dyDescent="0.25">
      <c r="B189" s="660"/>
      <c r="C189" s="660"/>
      <c r="D189" s="650" t="s">
        <v>448</v>
      </c>
      <c r="E189" s="650"/>
      <c r="F189" s="650"/>
      <c r="G189" s="617"/>
      <c r="H189" s="618"/>
      <c r="I189" s="621"/>
      <c r="J189" s="621"/>
      <c r="K189" s="621"/>
      <c r="L189" s="621"/>
      <c r="M189" s="618"/>
    </row>
    <row r="190" spans="2:13" ht="15.75" x14ac:dyDescent="0.25">
      <c r="B190" s="660"/>
      <c r="C190" s="660"/>
      <c r="D190" s="650" t="s">
        <v>80</v>
      </c>
      <c r="E190" s="650"/>
      <c r="F190" s="650"/>
      <c r="G190" s="617"/>
      <c r="H190" s="618"/>
      <c r="I190" s="713">
        <f>ROUND(I182/1.13,2)</f>
        <v>21.99</v>
      </c>
      <c r="J190" s="644"/>
      <c r="K190" s="644"/>
      <c r="L190" s="644"/>
      <c r="M190" s="663"/>
    </row>
    <row r="191" spans="2:13" ht="15.75" x14ac:dyDescent="0.25">
      <c r="B191" s="660"/>
      <c r="C191" s="660"/>
      <c r="D191" s="650" t="s">
        <v>449</v>
      </c>
      <c r="E191" s="650"/>
      <c r="F191" s="650"/>
      <c r="G191" s="617"/>
      <c r="H191" s="618"/>
      <c r="I191" s="699">
        <f>(I190*0.13)</f>
        <v>2.8586999999999998</v>
      </c>
      <c r="J191" s="664"/>
      <c r="K191" s="664"/>
      <c r="L191" s="664"/>
      <c r="M191" s="663"/>
    </row>
    <row r="192" spans="2:13" ht="16.5" thickBot="1" x14ac:dyDescent="0.3">
      <c r="B192" s="660"/>
      <c r="C192" s="660"/>
      <c r="D192" s="650"/>
      <c r="E192" s="650"/>
      <c r="F192" s="650"/>
      <c r="G192" s="617"/>
      <c r="H192" s="618"/>
      <c r="I192" s="665"/>
      <c r="J192" s="666"/>
      <c r="K192" s="666"/>
      <c r="L192" s="666"/>
      <c r="M192" s="663"/>
    </row>
    <row r="193" spans="2:13" ht="16.5" thickTop="1" x14ac:dyDescent="0.25">
      <c r="B193" s="660"/>
      <c r="C193" s="660"/>
      <c r="D193" s="650" t="s">
        <v>450</v>
      </c>
      <c r="E193" s="650"/>
      <c r="F193" s="650"/>
      <c r="G193" s="617"/>
      <c r="H193" s="618"/>
      <c r="I193" s="637">
        <f>SUM(I190:I192)</f>
        <v>24.848699999999997</v>
      </c>
      <c r="J193" s="637"/>
      <c r="K193" s="637"/>
      <c r="L193" s="637"/>
      <c r="M193" s="618"/>
    </row>
    <row r="194" spans="2:13" ht="16.5" thickBot="1" x14ac:dyDescent="0.3">
      <c r="B194" s="660"/>
      <c r="C194" s="660"/>
      <c r="D194" s="650"/>
      <c r="E194" s="650"/>
      <c r="F194" s="650"/>
      <c r="G194" s="617"/>
      <c r="H194" s="618"/>
      <c r="I194" s="665"/>
      <c r="J194" s="666"/>
      <c r="K194" s="666"/>
      <c r="L194" s="666"/>
      <c r="M194" s="618"/>
    </row>
    <row r="195" spans="2:13" ht="16.5" thickTop="1" x14ac:dyDescent="0.25">
      <c r="B195" s="660"/>
      <c r="C195" s="660"/>
      <c r="D195" s="650"/>
      <c r="E195" s="650"/>
      <c r="F195" s="650"/>
      <c r="G195" s="617"/>
      <c r="H195" s="618"/>
      <c r="I195" s="667"/>
      <c r="J195" s="667"/>
      <c r="K195" s="667"/>
      <c r="L195" s="667"/>
      <c r="M195" s="618"/>
    </row>
    <row r="196" spans="2:13" ht="15.75" x14ac:dyDescent="0.25">
      <c r="B196" s="660"/>
      <c r="C196" s="660"/>
      <c r="D196" s="650"/>
      <c r="E196" s="650"/>
      <c r="F196" s="650"/>
      <c r="G196" s="617"/>
      <c r="H196" s="618"/>
      <c r="I196" s="627"/>
      <c r="J196" s="627"/>
      <c r="K196" s="627"/>
      <c r="L196" s="627"/>
      <c r="M196" s="618"/>
    </row>
    <row r="197" spans="2:13" ht="15.75" x14ac:dyDescent="0.25">
      <c r="B197" s="660"/>
      <c r="C197" s="660"/>
      <c r="D197" s="650"/>
      <c r="E197" s="650"/>
      <c r="F197" s="650"/>
      <c r="G197" s="668"/>
      <c r="H197" s="618" t="s">
        <v>575</v>
      </c>
      <c r="I197" s="627">
        <v>-2.86</v>
      </c>
      <c r="J197" s="627"/>
      <c r="K197" s="627"/>
      <c r="L197" s="627"/>
      <c r="M197" s="618"/>
    </row>
    <row r="198" spans="2:13" ht="15.75" x14ac:dyDescent="0.25">
      <c r="B198" s="660"/>
      <c r="C198" s="660"/>
      <c r="D198" s="650"/>
      <c r="E198" s="650"/>
      <c r="F198" s="650"/>
      <c r="G198" s="617"/>
      <c r="H198" s="669" t="s">
        <v>576</v>
      </c>
      <c r="I198" s="670">
        <f>+I191+I197</f>
        <v>-1.3000000000000789E-3</v>
      </c>
      <c r="J198" s="627"/>
      <c r="K198" s="627"/>
      <c r="L198" s="627"/>
      <c r="M198" s="618"/>
    </row>
    <row r="202" spans="2:13" ht="20.25" x14ac:dyDescent="0.3">
      <c r="B202" s="614" t="s">
        <v>560</v>
      </c>
      <c r="C202" s="615"/>
      <c r="D202" s="616"/>
      <c r="E202" s="616"/>
      <c r="F202" s="616"/>
      <c r="G202" s="617"/>
      <c r="H202" s="618"/>
      <c r="I202" s="618"/>
      <c r="J202" s="618"/>
      <c r="K202" s="618"/>
      <c r="L202" s="618"/>
      <c r="M202" s="618"/>
    </row>
    <row r="203" spans="2:13" ht="15.75" x14ac:dyDescent="0.25">
      <c r="B203" s="616" t="s">
        <v>134</v>
      </c>
      <c r="C203" s="616"/>
      <c r="D203" s="616"/>
      <c r="E203" s="616"/>
      <c r="F203" s="616"/>
      <c r="G203" s="617"/>
      <c r="H203" s="618"/>
      <c r="I203" s="618"/>
      <c r="J203" s="618"/>
      <c r="K203" s="618"/>
      <c r="L203" s="618"/>
      <c r="M203" s="618"/>
    </row>
    <row r="204" spans="2:13" ht="15.75" x14ac:dyDescent="0.25">
      <c r="B204" s="615" t="s">
        <v>135</v>
      </c>
      <c r="C204" s="616"/>
      <c r="D204" s="616"/>
      <c r="E204" s="616"/>
      <c r="F204" s="616"/>
      <c r="G204" s="617"/>
      <c r="H204" s="621"/>
      <c r="I204" s="621"/>
      <c r="J204" s="618"/>
      <c r="K204" s="618"/>
      <c r="L204" s="618"/>
      <c r="M204" s="618"/>
    </row>
    <row r="205" spans="2:13" ht="15.75" x14ac:dyDescent="0.25">
      <c r="B205" s="616" t="s">
        <v>190</v>
      </c>
      <c r="C205" s="616"/>
      <c r="D205" s="616"/>
      <c r="E205" s="616"/>
      <c r="F205" s="616"/>
      <c r="G205" s="617"/>
      <c r="H205" s="618"/>
      <c r="I205" s="618"/>
      <c r="J205" s="618"/>
      <c r="K205" s="618"/>
      <c r="L205" s="618"/>
      <c r="M205" s="618"/>
    </row>
    <row r="206" spans="2:13" ht="15.75" x14ac:dyDescent="0.25">
      <c r="B206" s="622" t="s">
        <v>219</v>
      </c>
      <c r="C206" s="623" t="s">
        <v>82</v>
      </c>
      <c r="D206" s="624"/>
      <c r="E206" s="712">
        <v>2019</v>
      </c>
      <c r="F206" s="616"/>
      <c r="G206" s="617"/>
      <c r="H206" s="618"/>
      <c r="I206" s="626"/>
      <c r="J206" s="626"/>
      <c r="K206" s="626"/>
      <c r="L206" s="626"/>
      <c r="M206" s="626"/>
    </row>
    <row r="207" spans="2:13" ht="15.75" x14ac:dyDescent="0.25">
      <c r="B207" s="619"/>
      <c r="C207" s="619"/>
      <c r="D207" s="616"/>
      <c r="E207" s="616"/>
      <c r="F207" s="616"/>
      <c r="G207" s="617"/>
      <c r="H207" s="618"/>
      <c r="I207" s="618"/>
      <c r="J207" s="618"/>
      <c r="K207" s="618"/>
      <c r="L207" s="618"/>
      <c r="M207" s="618"/>
    </row>
    <row r="208" spans="2:13" ht="15.75" x14ac:dyDescent="0.25">
      <c r="B208" s="619"/>
      <c r="C208" s="619"/>
      <c r="D208" s="616"/>
      <c r="E208" s="616"/>
      <c r="F208" s="616"/>
      <c r="G208" s="617"/>
      <c r="H208" s="618"/>
      <c r="I208" s="618"/>
      <c r="J208" s="618"/>
      <c r="K208" s="618"/>
      <c r="L208" s="618"/>
      <c r="M208" s="618"/>
    </row>
    <row r="209" spans="2:13" ht="15.75" x14ac:dyDescent="0.25">
      <c r="B209" s="619"/>
      <c r="C209" s="619"/>
      <c r="D209" s="616"/>
      <c r="E209" s="616"/>
      <c r="F209" s="616"/>
      <c r="G209" s="617"/>
      <c r="H209" s="627" t="s">
        <v>48</v>
      </c>
      <c r="I209" s="627" t="s">
        <v>48</v>
      </c>
      <c r="J209" s="627" t="s">
        <v>561</v>
      </c>
      <c r="K209" s="627" t="s">
        <v>562</v>
      </c>
      <c r="L209" s="627" t="s">
        <v>48</v>
      </c>
      <c r="M209" s="627" t="s">
        <v>140</v>
      </c>
    </row>
    <row r="210" spans="2:13" ht="16.5" thickBot="1" x14ac:dyDescent="0.3">
      <c r="B210" s="628" t="s">
        <v>76</v>
      </c>
      <c r="C210" s="628"/>
      <c r="D210" s="628" t="s">
        <v>563</v>
      </c>
      <c r="E210" s="628"/>
      <c r="F210" s="628" t="s">
        <v>564</v>
      </c>
      <c r="G210" s="629" t="s">
        <v>79</v>
      </c>
      <c r="H210" s="630" t="s">
        <v>177</v>
      </c>
      <c r="I210" s="631" t="s">
        <v>565</v>
      </c>
      <c r="J210" s="630" t="s">
        <v>566</v>
      </c>
      <c r="K210" s="630" t="s">
        <v>567</v>
      </c>
      <c r="L210" s="630" t="s">
        <v>176</v>
      </c>
      <c r="M210" s="630" t="s">
        <v>48</v>
      </c>
    </row>
    <row r="211" spans="2:13" ht="16.5" thickTop="1" x14ac:dyDescent="0.25">
      <c r="B211" s="632"/>
      <c r="C211" s="633"/>
      <c r="D211" s="634"/>
      <c r="E211" s="634"/>
      <c r="F211" s="634"/>
      <c r="G211" s="635"/>
      <c r="H211" s="635"/>
      <c r="I211" s="636"/>
      <c r="J211" s="636"/>
      <c r="K211" s="636"/>
      <c r="L211" s="636"/>
      <c r="M211" s="637"/>
    </row>
    <row r="212" spans="2:13" ht="15.75" x14ac:dyDescent="0.25">
      <c r="B212" s="638">
        <v>43511</v>
      </c>
      <c r="C212" s="639"/>
      <c r="D212" s="640" t="s">
        <v>731</v>
      </c>
      <c r="E212" s="639"/>
      <c r="F212" s="641" t="str">
        <f t="shared" ref="F212:F221" si="8">D212</f>
        <v>02006</v>
      </c>
      <c r="G212" s="642">
        <v>0</v>
      </c>
      <c r="H212" s="642">
        <v>0</v>
      </c>
      <c r="I212" s="643">
        <v>1.88</v>
      </c>
      <c r="J212" s="636"/>
      <c r="K212" s="636"/>
      <c r="L212" s="643">
        <v>0</v>
      </c>
      <c r="M212" s="644"/>
    </row>
    <row r="213" spans="2:13" ht="15.75" x14ac:dyDescent="0.25">
      <c r="B213" s="638"/>
      <c r="C213" s="639"/>
      <c r="D213" s="640"/>
      <c r="E213" s="639"/>
      <c r="F213" s="641">
        <f t="shared" si="8"/>
        <v>0</v>
      </c>
      <c r="G213" s="642">
        <v>0</v>
      </c>
      <c r="H213" s="642">
        <v>0</v>
      </c>
      <c r="I213" s="643">
        <v>0</v>
      </c>
      <c r="J213" s="636"/>
      <c r="K213" s="636"/>
      <c r="L213" s="643">
        <v>0</v>
      </c>
      <c r="M213" s="644"/>
    </row>
    <row r="214" spans="2:13" ht="15.75" x14ac:dyDescent="0.25">
      <c r="B214" s="638"/>
      <c r="C214" s="639"/>
      <c r="D214" s="640"/>
      <c r="E214" s="639"/>
      <c r="F214" s="641">
        <f t="shared" si="8"/>
        <v>0</v>
      </c>
      <c r="G214" s="642">
        <v>0</v>
      </c>
      <c r="H214" s="698">
        <v>0</v>
      </c>
      <c r="I214" s="643">
        <v>0</v>
      </c>
      <c r="J214" s="636"/>
      <c r="K214" s="636"/>
      <c r="L214" s="643">
        <v>0</v>
      </c>
      <c r="M214" s="644"/>
    </row>
    <row r="215" spans="2:13" ht="15.75" x14ac:dyDescent="0.25">
      <c r="B215" s="638"/>
      <c r="C215" s="639"/>
      <c r="D215" s="640"/>
      <c r="E215" s="639"/>
      <c r="F215" s="641">
        <f t="shared" si="8"/>
        <v>0</v>
      </c>
      <c r="G215" s="642">
        <v>0</v>
      </c>
      <c r="H215" s="642">
        <v>0</v>
      </c>
      <c r="I215" s="643">
        <v>0</v>
      </c>
      <c r="J215" s="636"/>
      <c r="K215" s="636"/>
      <c r="L215" s="643">
        <v>0</v>
      </c>
      <c r="M215" s="644"/>
    </row>
    <row r="216" spans="2:13" ht="15.75" x14ac:dyDescent="0.25">
      <c r="B216" s="638"/>
      <c r="C216" s="639"/>
      <c r="D216" s="640"/>
      <c r="E216" s="639"/>
      <c r="F216" s="641">
        <f t="shared" si="8"/>
        <v>0</v>
      </c>
      <c r="G216" s="642">
        <v>0</v>
      </c>
      <c r="H216" s="642">
        <v>0</v>
      </c>
      <c r="I216" s="643">
        <v>0</v>
      </c>
      <c r="J216" s="636"/>
      <c r="K216" s="636"/>
      <c r="L216" s="643">
        <v>0</v>
      </c>
      <c r="M216" s="637"/>
    </row>
    <row r="217" spans="2:13" ht="15.75" x14ac:dyDescent="0.25">
      <c r="B217" s="638"/>
      <c r="C217" s="639"/>
      <c r="D217" s="640"/>
      <c r="E217" s="639"/>
      <c r="F217" s="641">
        <f t="shared" si="8"/>
        <v>0</v>
      </c>
      <c r="G217" s="642">
        <v>0</v>
      </c>
      <c r="H217" s="642">
        <v>0</v>
      </c>
      <c r="I217" s="643">
        <v>0</v>
      </c>
      <c r="J217" s="636"/>
      <c r="K217" s="636"/>
      <c r="L217" s="643">
        <v>0</v>
      </c>
      <c r="M217" s="644"/>
    </row>
    <row r="218" spans="2:13" ht="15.75" x14ac:dyDescent="0.25">
      <c r="B218" s="638"/>
      <c r="C218" s="639"/>
      <c r="D218" s="640"/>
      <c r="E218" s="646"/>
      <c r="F218" s="641">
        <f t="shared" si="8"/>
        <v>0</v>
      </c>
      <c r="G218" s="642">
        <v>0</v>
      </c>
      <c r="H218" s="642">
        <v>0</v>
      </c>
      <c r="I218" s="643">
        <v>0</v>
      </c>
      <c r="J218" s="636"/>
      <c r="K218" s="636"/>
      <c r="L218" s="643">
        <v>0</v>
      </c>
      <c r="M218" s="637"/>
    </row>
    <row r="219" spans="2:13" ht="15.75" x14ac:dyDescent="0.25">
      <c r="B219" s="638"/>
      <c r="C219" s="639"/>
      <c r="D219" s="640"/>
      <c r="E219" s="646"/>
      <c r="F219" s="641">
        <f t="shared" si="8"/>
        <v>0</v>
      </c>
      <c r="G219" s="642">
        <v>0</v>
      </c>
      <c r="H219" s="642">
        <v>0</v>
      </c>
      <c r="I219" s="643">
        <v>0</v>
      </c>
      <c r="J219" s="636"/>
      <c r="K219" s="636"/>
      <c r="L219" s="643">
        <v>0</v>
      </c>
      <c r="M219" s="637"/>
    </row>
    <row r="220" spans="2:13" ht="15.75" x14ac:dyDescent="0.25">
      <c r="B220" s="638"/>
      <c r="C220" s="639"/>
      <c r="D220" s="640"/>
      <c r="E220" s="646"/>
      <c r="F220" s="641">
        <f t="shared" si="8"/>
        <v>0</v>
      </c>
      <c r="G220" s="642">
        <v>0</v>
      </c>
      <c r="H220" s="642">
        <v>0</v>
      </c>
      <c r="I220" s="643">
        <v>0</v>
      </c>
      <c r="J220" s="636"/>
      <c r="K220" s="636"/>
      <c r="L220" s="643">
        <v>0</v>
      </c>
      <c r="M220" s="637"/>
    </row>
    <row r="221" spans="2:13" ht="15.75" x14ac:dyDescent="0.25">
      <c r="B221" s="638"/>
      <c r="C221" s="639"/>
      <c r="D221" s="640"/>
      <c r="E221" s="646"/>
      <c r="F221" s="641">
        <f t="shared" si="8"/>
        <v>0</v>
      </c>
      <c r="G221" s="642">
        <v>0</v>
      </c>
      <c r="H221" s="642">
        <v>0</v>
      </c>
      <c r="I221" s="643">
        <v>0</v>
      </c>
      <c r="J221" s="636"/>
      <c r="K221" s="636"/>
      <c r="L221" s="643">
        <v>0</v>
      </c>
      <c r="M221" s="637"/>
    </row>
    <row r="222" spans="2:13" ht="15.75" x14ac:dyDescent="0.25">
      <c r="B222" s="638"/>
      <c r="C222" s="639"/>
      <c r="D222" s="640"/>
      <c r="E222" s="646"/>
      <c r="F222" s="641"/>
      <c r="G222" s="642"/>
      <c r="H222" s="647"/>
      <c r="I222" s="643"/>
      <c r="J222" s="636"/>
      <c r="K222" s="636"/>
      <c r="L222" s="636"/>
      <c r="M222" s="637"/>
    </row>
    <row r="223" spans="2:13" ht="15.75" x14ac:dyDescent="0.25">
      <c r="B223" s="638"/>
      <c r="C223" s="639"/>
      <c r="D223" s="640"/>
      <c r="E223" s="646"/>
      <c r="F223" s="641"/>
      <c r="G223" s="642"/>
      <c r="H223" s="647"/>
      <c r="I223" s="643"/>
      <c r="J223" s="636"/>
      <c r="K223" s="636"/>
      <c r="L223" s="636"/>
      <c r="M223" s="637"/>
    </row>
    <row r="224" spans="2:13" ht="15.75" x14ac:dyDescent="0.25">
      <c r="B224" s="638"/>
      <c r="C224" s="639"/>
      <c r="D224" s="640"/>
      <c r="E224" s="646"/>
      <c r="F224" s="641"/>
      <c r="G224" s="642"/>
      <c r="H224" s="647"/>
      <c r="I224" s="643"/>
      <c r="J224" s="636"/>
      <c r="K224" s="636"/>
      <c r="L224" s="636"/>
      <c r="M224" s="637"/>
    </row>
    <row r="225" spans="2:13" ht="15.75" x14ac:dyDescent="0.25">
      <c r="B225" s="638"/>
      <c r="C225" s="639"/>
      <c r="D225" s="640"/>
      <c r="E225" s="646"/>
      <c r="F225" s="641"/>
      <c r="G225" s="642"/>
      <c r="H225" s="647"/>
      <c r="I225" s="645"/>
      <c r="J225" s="636"/>
      <c r="K225" s="636"/>
      <c r="L225" s="636"/>
      <c r="M225" s="637"/>
    </row>
    <row r="226" spans="2:13" ht="15.75" x14ac:dyDescent="0.25">
      <c r="B226" s="638"/>
      <c r="C226" s="639"/>
      <c r="D226" s="640"/>
      <c r="E226" s="646"/>
      <c r="F226" s="641"/>
      <c r="G226" s="642"/>
      <c r="H226" s="647"/>
      <c r="I226" s="645"/>
      <c r="J226" s="636"/>
      <c r="K226" s="636"/>
      <c r="L226" s="636"/>
      <c r="M226" s="637"/>
    </row>
    <row r="227" spans="2:13" ht="15.75" x14ac:dyDescent="0.25">
      <c r="B227" s="648"/>
      <c r="C227" s="649"/>
      <c r="D227" s="640"/>
      <c r="E227" s="650"/>
      <c r="F227" s="641"/>
      <c r="G227" s="617"/>
      <c r="H227" s="647"/>
      <c r="I227" s="645"/>
      <c r="J227" s="636"/>
      <c r="K227" s="636"/>
      <c r="L227" s="636"/>
      <c r="M227" s="637"/>
    </row>
    <row r="228" spans="2:13" ht="15.75" x14ac:dyDescent="0.25">
      <c r="B228" s="648"/>
      <c r="C228" s="651"/>
      <c r="D228" s="652"/>
      <c r="E228" s="653"/>
      <c r="F228" s="641"/>
      <c r="G228" s="654"/>
      <c r="H228" s="647"/>
      <c r="I228" s="645"/>
      <c r="J228" s="636"/>
      <c r="K228" s="636"/>
      <c r="L228" s="636"/>
      <c r="M228" s="637"/>
    </row>
    <row r="229" spans="2:13" ht="15.75" x14ac:dyDescent="0.25">
      <c r="B229" s="648"/>
      <c r="C229" s="649"/>
      <c r="D229" s="652"/>
      <c r="E229" s="650"/>
      <c r="F229" s="641"/>
      <c r="G229" s="617"/>
      <c r="H229" s="647"/>
      <c r="I229" s="645"/>
      <c r="J229" s="636"/>
      <c r="K229" s="636"/>
      <c r="L229" s="636"/>
      <c r="M229" s="637"/>
    </row>
    <row r="230" spans="2:13" ht="15.75" x14ac:dyDescent="0.25">
      <c r="B230" s="648"/>
      <c r="C230" s="649"/>
      <c r="D230" s="655"/>
      <c r="E230" s="650"/>
      <c r="F230" s="641"/>
      <c r="G230" s="617"/>
      <c r="H230" s="647"/>
      <c r="I230" s="636"/>
      <c r="J230" s="636"/>
      <c r="K230" s="636"/>
      <c r="L230" s="636"/>
      <c r="M230" s="637"/>
    </row>
    <row r="231" spans="2:13" ht="16.5" thickBot="1" x14ac:dyDescent="0.3">
      <c r="B231" s="656"/>
      <c r="C231" s="656"/>
      <c r="D231" s="657"/>
      <c r="E231" s="657"/>
      <c r="F231" s="657"/>
      <c r="G231" s="629"/>
      <c r="H231" s="629"/>
      <c r="I231" s="658"/>
      <c r="J231" s="658"/>
      <c r="K231" s="658"/>
      <c r="L231" s="658"/>
      <c r="M231" s="659"/>
    </row>
    <row r="232" spans="2:13" ht="16.5" thickTop="1" x14ac:dyDescent="0.25">
      <c r="B232" s="660"/>
      <c r="C232" s="660"/>
      <c r="D232" s="650"/>
      <c r="E232" s="650"/>
      <c r="F232" s="650"/>
      <c r="G232" s="644">
        <f>SUM(G211:G231)</f>
        <v>0</v>
      </c>
      <c r="H232" s="644">
        <f t="shared" ref="H232:M232" si="9">SUM(H211:H231)</f>
        <v>0</v>
      </c>
      <c r="I232" s="644">
        <f>SUM(I211:I231)</f>
        <v>1.88</v>
      </c>
      <c r="J232" s="644">
        <f t="shared" si="9"/>
        <v>0</v>
      </c>
      <c r="K232" s="644">
        <f t="shared" si="9"/>
        <v>0</v>
      </c>
      <c r="L232" s="644">
        <f t="shared" si="9"/>
        <v>0</v>
      </c>
      <c r="M232" s="644">
        <f t="shared" si="9"/>
        <v>0</v>
      </c>
    </row>
    <row r="233" spans="2:13" ht="15.75" x14ac:dyDescent="0.25">
      <c r="B233" s="660"/>
      <c r="C233" s="660"/>
      <c r="D233" s="650"/>
      <c r="E233" s="650"/>
      <c r="F233" s="650"/>
      <c r="G233" s="617"/>
      <c r="H233" s="644"/>
      <c r="I233" s="644"/>
      <c r="J233" s="644"/>
      <c r="K233" s="644"/>
      <c r="L233" s="644"/>
      <c r="M233" s="644"/>
    </row>
    <row r="234" spans="2:13" ht="15.75" x14ac:dyDescent="0.25">
      <c r="B234" s="660"/>
      <c r="C234" s="660"/>
      <c r="D234" s="650" t="s">
        <v>573</v>
      </c>
      <c r="E234" s="650"/>
      <c r="F234" s="650"/>
      <c r="G234" s="617"/>
      <c r="H234" s="644"/>
      <c r="I234" s="644">
        <f>+G232</f>
        <v>0</v>
      </c>
      <c r="J234" s="644"/>
      <c r="K234" s="644"/>
      <c r="L234" s="644"/>
      <c r="M234" s="644"/>
    </row>
    <row r="235" spans="2:13" ht="15.75" x14ac:dyDescent="0.25">
      <c r="B235" s="660"/>
      <c r="C235" s="660"/>
      <c r="D235" s="650"/>
      <c r="E235" s="650"/>
      <c r="F235" s="650"/>
      <c r="G235" s="617"/>
      <c r="H235" s="644"/>
      <c r="I235" s="644"/>
      <c r="J235" s="644"/>
      <c r="K235" s="644"/>
      <c r="L235" s="644"/>
      <c r="M235" s="644"/>
    </row>
    <row r="236" spans="2:13" ht="15.75" x14ac:dyDescent="0.25">
      <c r="B236" s="660"/>
      <c r="C236" s="660"/>
      <c r="D236" s="650" t="s">
        <v>574</v>
      </c>
      <c r="E236" s="650"/>
      <c r="F236" s="650"/>
      <c r="G236" s="617"/>
      <c r="H236" s="644"/>
      <c r="I236" s="644">
        <f>+H232</f>
        <v>0</v>
      </c>
      <c r="J236" s="644"/>
      <c r="K236" s="644"/>
      <c r="L236" s="644"/>
      <c r="M236" s="644"/>
    </row>
    <row r="237" spans="2:13" ht="15.75" x14ac:dyDescent="0.25">
      <c r="B237" s="660"/>
      <c r="C237" s="660"/>
      <c r="D237" s="650"/>
      <c r="E237" s="650"/>
      <c r="F237" s="650"/>
      <c r="G237" s="617"/>
      <c r="H237" s="644"/>
      <c r="I237" s="644"/>
      <c r="J237" s="644"/>
      <c r="K237" s="644"/>
      <c r="L237" s="644"/>
      <c r="M237" s="644"/>
    </row>
    <row r="238" spans="2:13" ht="15.75" x14ac:dyDescent="0.25">
      <c r="B238" s="660"/>
      <c r="C238" s="660"/>
      <c r="D238" s="650"/>
      <c r="E238" s="650"/>
      <c r="F238" s="650"/>
      <c r="G238" s="617"/>
      <c r="H238" s="661"/>
      <c r="I238" s="618"/>
      <c r="J238" s="618"/>
      <c r="K238" s="618"/>
      <c r="L238" s="618"/>
      <c r="M238" s="618"/>
    </row>
    <row r="239" spans="2:13" ht="15.75" x14ac:dyDescent="0.25">
      <c r="B239" s="660"/>
      <c r="C239" s="660"/>
      <c r="D239" s="650" t="s">
        <v>448</v>
      </c>
      <c r="E239" s="650"/>
      <c r="F239" s="650"/>
      <c r="G239" s="617"/>
      <c r="H239" s="618"/>
      <c r="I239" s="621"/>
      <c r="J239" s="621"/>
      <c r="K239" s="621"/>
      <c r="L239" s="621"/>
      <c r="M239" s="618"/>
    </row>
    <row r="240" spans="2:13" ht="15.75" x14ac:dyDescent="0.25">
      <c r="B240" s="660"/>
      <c r="C240" s="660"/>
      <c r="D240" s="650" t="s">
        <v>80</v>
      </c>
      <c r="E240" s="650"/>
      <c r="F240" s="650"/>
      <c r="G240" s="617"/>
      <c r="H240" s="618"/>
      <c r="I240" s="700">
        <f>ROUND(I232/1.13,2)</f>
        <v>1.66</v>
      </c>
      <c r="J240" s="722">
        <v>-4983.1899999999996</v>
      </c>
      <c r="K240" s="644">
        <v>4984.55</v>
      </c>
      <c r="L240" s="644"/>
      <c r="M240" s="663"/>
    </row>
    <row r="241" spans="2:13" ht="15.75" x14ac:dyDescent="0.25">
      <c r="B241" s="660"/>
      <c r="C241" s="660"/>
      <c r="D241" s="650" t="s">
        <v>449</v>
      </c>
      <c r="E241" s="650"/>
      <c r="F241" s="650"/>
      <c r="G241" s="617"/>
      <c r="H241" s="618"/>
      <c r="I241" s="699">
        <f>(I240*0.13)</f>
        <v>0.21579999999999999</v>
      </c>
      <c r="J241" s="664"/>
      <c r="K241" s="664"/>
      <c r="L241" s="664"/>
      <c r="M241" s="663"/>
    </row>
    <row r="242" spans="2:13" ht="16.5" thickBot="1" x14ac:dyDescent="0.3">
      <c r="B242" s="660"/>
      <c r="C242" s="660"/>
      <c r="D242" s="650"/>
      <c r="E242" s="650"/>
      <c r="F242" s="650"/>
      <c r="G242" s="617"/>
      <c r="H242" s="618"/>
      <c r="I242" s="665"/>
      <c r="J242" s="666"/>
      <c r="K242" s="666"/>
      <c r="L242" s="666"/>
      <c r="M242" s="663"/>
    </row>
    <row r="243" spans="2:13" ht="16.5" thickTop="1" x14ac:dyDescent="0.25">
      <c r="B243" s="660"/>
      <c r="C243" s="660"/>
      <c r="D243" s="650" t="s">
        <v>450</v>
      </c>
      <c r="E243" s="650"/>
      <c r="F243" s="650"/>
      <c r="G243" s="617"/>
      <c r="H243" s="618"/>
      <c r="I243" s="637">
        <f>SUM(I240:I242)</f>
        <v>1.8757999999999999</v>
      </c>
      <c r="J243" s="637"/>
      <c r="K243" s="637"/>
      <c r="L243" s="637"/>
      <c r="M243" s="618"/>
    </row>
    <row r="244" spans="2:13" ht="16.5" thickBot="1" x14ac:dyDescent="0.3">
      <c r="B244" s="660"/>
      <c r="C244" s="660"/>
      <c r="D244" s="650"/>
      <c r="E244" s="650"/>
      <c r="F244" s="650"/>
      <c r="G244" s="617"/>
      <c r="H244" s="618"/>
      <c r="I244" s="665"/>
      <c r="J244" s="666"/>
      <c r="K244" s="666"/>
      <c r="L244" s="666"/>
      <c r="M244" s="618"/>
    </row>
    <row r="245" spans="2:13" ht="16.5" thickTop="1" x14ac:dyDescent="0.25">
      <c r="B245" s="660"/>
      <c r="C245" s="660"/>
      <c r="D245" s="650"/>
      <c r="E245" s="650"/>
      <c r="F245" s="650"/>
      <c r="G245" s="617"/>
      <c r="H245" s="618"/>
      <c r="I245" s="667"/>
      <c r="J245" s="667"/>
      <c r="K245" s="667"/>
      <c r="L245" s="667"/>
      <c r="M245" s="618"/>
    </row>
    <row r="246" spans="2:13" ht="15.75" x14ac:dyDescent="0.25">
      <c r="B246" s="660"/>
      <c r="C246" s="660"/>
      <c r="D246" s="650"/>
      <c r="E246" s="650"/>
      <c r="F246" s="650"/>
      <c r="G246" s="617"/>
      <c r="H246" s="618"/>
      <c r="I246" s="627"/>
      <c r="J246" s="627"/>
      <c r="K246" s="627"/>
      <c r="L246" s="627"/>
      <c r="M246" s="618"/>
    </row>
    <row r="247" spans="2:13" ht="15.75" x14ac:dyDescent="0.25">
      <c r="B247" s="660"/>
      <c r="C247" s="660"/>
      <c r="D247" s="650"/>
      <c r="E247" s="650"/>
      <c r="F247" s="650"/>
      <c r="G247" s="668"/>
      <c r="H247" s="618" t="s">
        <v>575</v>
      </c>
      <c r="I247" s="627">
        <v>-0.22</v>
      </c>
      <c r="J247" s="627"/>
      <c r="K247" s="627"/>
      <c r="L247" s="627"/>
      <c r="M247" s="618"/>
    </row>
    <row r="248" spans="2:13" ht="15.75" x14ac:dyDescent="0.25">
      <c r="B248" s="660"/>
      <c r="C248" s="660"/>
      <c r="D248" s="650"/>
      <c r="E248" s="650"/>
      <c r="F248" s="650"/>
      <c r="G248" s="617"/>
      <c r="H248" s="669" t="s">
        <v>576</v>
      </c>
      <c r="I248" s="670">
        <f>+I241+I247</f>
        <v>-4.2000000000000093E-3</v>
      </c>
      <c r="J248" s="627"/>
      <c r="K248" s="627"/>
      <c r="L248" s="627"/>
      <c r="M248" s="618"/>
    </row>
    <row r="253" spans="2:13" ht="20.25" x14ac:dyDescent="0.3">
      <c r="B253" s="614" t="s">
        <v>560</v>
      </c>
      <c r="C253" s="615"/>
      <c r="D253" s="616"/>
      <c r="E253" s="616"/>
      <c r="F253" s="616"/>
      <c r="G253" s="617"/>
      <c r="H253" s="618"/>
      <c r="I253" s="618"/>
      <c r="J253" s="618"/>
      <c r="K253" s="618"/>
      <c r="L253" s="618"/>
      <c r="M253" s="618"/>
    </row>
    <row r="254" spans="2:13" ht="15.75" x14ac:dyDescent="0.25">
      <c r="B254" s="616" t="s">
        <v>134</v>
      </c>
      <c r="C254" s="616"/>
      <c r="D254" s="616"/>
      <c r="E254" s="616"/>
      <c r="F254" s="616"/>
      <c r="G254" s="617"/>
      <c r="H254" s="618"/>
      <c r="I254" s="618"/>
      <c r="J254" s="618"/>
      <c r="K254" s="618"/>
      <c r="L254" s="618"/>
      <c r="M254" s="618"/>
    </row>
    <row r="255" spans="2:13" ht="15.75" x14ac:dyDescent="0.25">
      <c r="B255" s="615" t="s">
        <v>135</v>
      </c>
      <c r="C255" s="616"/>
      <c r="D255" s="616"/>
      <c r="E255" s="616"/>
      <c r="F255" s="616"/>
      <c r="G255" s="617"/>
      <c r="H255" s="621"/>
      <c r="I255" s="621"/>
      <c r="J255" s="618"/>
      <c r="K255" s="618"/>
      <c r="L255" s="618"/>
      <c r="M255" s="618"/>
    </row>
    <row r="256" spans="2:13" ht="15.75" x14ac:dyDescent="0.25">
      <c r="B256" s="616" t="s">
        <v>190</v>
      </c>
      <c r="C256" s="616"/>
      <c r="D256" s="616"/>
      <c r="E256" s="616"/>
      <c r="F256" s="616"/>
      <c r="G256" s="617"/>
      <c r="H256" s="618"/>
      <c r="I256" s="618"/>
      <c r="J256" s="618"/>
      <c r="K256" s="618"/>
      <c r="L256" s="618"/>
      <c r="M256" s="618"/>
    </row>
    <row r="257" spans="2:13" ht="15.75" x14ac:dyDescent="0.25">
      <c r="B257" s="622" t="s">
        <v>219</v>
      </c>
      <c r="C257" s="623" t="s">
        <v>83</v>
      </c>
      <c r="D257" s="624"/>
      <c r="E257" s="712">
        <v>2019</v>
      </c>
      <c r="F257" s="616"/>
      <c r="G257" s="617"/>
      <c r="H257" s="618"/>
      <c r="I257" s="626"/>
      <c r="J257" s="626"/>
      <c r="K257" s="626"/>
      <c r="L257" s="626"/>
      <c r="M257" s="626"/>
    </row>
    <row r="258" spans="2:13" ht="15.75" x14ac:dyDescent="0.25">
      <c r="B258" s="619"/>
      <c r="C258" s="619"/>
      <c r="D258" s="616"/>
      <c r="E258" s="616"/>
      <c r="F258" s="616"/>
      <c r="G258" s="617"/>
      <c r="H258" s="618"/>
      <c r="I258" s="618"/>
      <c r="J258" s="618"/>
      <c r="K258" s="618"/>
      <c r="L258" s="618"/>
      <c r="M258" s="618"/>
    </row>
    <row r="259" spans="2:13" ht="15.75" x14ac:dyDescent="0.25">
      <c r="B259" s="619"/>
      <c r="C259" s="619"/>
      <c r="D259" s="616"/>
      <c r="E259" s="616"/>
      <c r="F259" s="616"/>
      <c r="G259" s="617"/>
      <c r="H259" s="618"/>
      <c r="I259" s="618"/>
      <c r="J259" s="618"/>
      <c r="K259" s="618"/>
      <c r="L259" s="618"/>
      <c r="M259" s="618"/>
    </row>
    <row r="260" spans="2:13" ht="15.75" x14ac:dyDescent="0.25">
      <c r="B260" s="619"/>
      <c r="C260" s="619"/>
      <c r="D260" s="616"/>
      <c r="E260" s="616"/>
      <c r="F260" s="616"/>
      <c r="G260" s="617"/>
      <c r="H260" s="627" t="s">
        <v>48</v>
      </c>
      <c r="I260" s="627" t="s">
        <v>48</v>
      </c>
      <c r="J260" s="627" t="s">
        <v>561</v>
      </c>
      <c r="K260" s="627" t="s">
        <v>562</v>
      </c>
      <c r="L260" s="627" t="s">
        <v>48</v>
      </c>
      <c r="M260" s="627" t="s">
        <v>140</v>
      </c>
    </row>
    <row r="261" spans="2:13" ht="16.5" thickBot="1" x14ac:dyDescent="0.3">
      <c r="B261" s="628" t="s">
        <v>76</v>
      </c>
      <c r="C261" s="628"/>
      <c r="D261" s="628" t="s">
        <v>563</v>
      </c>
      <c r="E261" s="628"/>
      <c r="F261" s="628" t="s">
        <v>564</v>
      </c>
      <c r="G261" s="629" t="s">
        <v>79</v>
      </c>
      <c r="H261" s="630" t="s">
        <v>177</v>
      </c>
      <c r="I261" s="631" t="s">
        <v>565</v>
      </c>
      <c r="J261" s="630" t="s">
        <v>566</v>
      </c>
      <c r="K261" s="630" t="s">
        <v>567</v>
      </c>
      <c r="L261" s="630" t="s">
        <v>176</v>
      </c>
      <c r="M261" s="630" t="s">
        <v>48</v>
      </c>
    </row>
    <row r="262" spans="2:13" ht="16.5" thickTop="1" x14ac:dyDescent="0.25">
      <c r="B262" s="632"/>
      <c r="C262" s="633"/>
      <c r="D262" s="634"/>
      <c r="E262" s="634"/>
      <c r="F262" s="634"/>
      <c r="G262" s="635"/>
      <c r="H262" s="635"/>
      <c r="I262" s="636"/>
      <c r="J262" s="636"/>
      <c r="K262" s="636"/>
      <c r="L262" s="636"/>
      <c r="M262" s="637"/>
    </row>
    <row r="263" spans="2:13" ht="15.75" x14ac:dyDescent="0.25">
      <c r="B263" s="638">
        <v>43545</v>
      </c>
      <c r="C263" s="639"/>
      <c r="D263" s="640" t="s">
        <v>791</v>
      </c>
      <c r="E263" s="639"/>
      <c r="F263" s="641">
        <v>2007</v>
      </c>
      <c r="G263" s="642">
        <v>0</v>
      </c>
      <c r="H263" s="642">
        <v>0</v>
      </c>
      <c r="I263" s="643">
        <v>1.92</v>
      </c>
      <c r="J263" s="636"/>
      <c r="K263" s="636"/>
      <c r="L263" s="643">
        <v>0</v>
      </c>
      <c r="M263" s="644"/>
    </row>
    <row r="264" spans="2:13" ht="15.75" x14ac:dyDescent="0.25">
      <c r="B264" s="638"/>
      <c r="C264" s="639"/>
      <c r="D264" s="640"/>
      <c r="E264" s="639"/>
      <c r="F264" s="641">
        <f t="shared" ref="F264" si="10">D264</f>
        <v>0</v>
      </c>
      <c r="G264" s="642">
        <v>0</v>
      </c>
      <c r="H264" s="642">
        <v>0</v>
      </c>
      <c r="I264" s="643">
        <v>0</v>
      </c>
      <c r="J264" s="636"/>
      <c r="K264" s="636"/>
      <c r="L264" s="643">
        <v>0</v>
      </c>
      <c r="M264" s="644"/>
    </row>
    <row r="265" spans="2:13" ht="15.75" x14ac:dyDescent="0.25">
      <c r="B265" s="648"/>
      <c r="C265" s="649"/>
      <c r="D265" s="652"/>
      <c r="E265" s="650"/>
      <c r="F265" s="641"/>
      <c r="G265" s="617"/>
      <c r="H265" s="647"/>
      <c r="I265" s="645"/>
      <c r="J265" s="636"/>
      <c r="K265" s="636"/>
      <c r="L265" s="636"/>
      <c r="M265" s="637"/>
    </row>
    <row r="266" spans="2:13" ht="15.75" x14ac:dyDescent="0.25">
      <c r="B266" s="648"/>
      <c r="C266" s="649"/>
      <c r="D266" s="655"/>
      <c r="E266" s="650"/>
      <c r="F266" s="641"/>
      <c r="G266" s="617"/>
      <c r="H266" s="647"/>
      <c r="I266" s="636"/>
      <c r="J266" s="636"/>
      <c r="K266" s="636"/>
      <c r="L266" s="636"/>
      <c r="M266" s="637"/>
    </row>
    <row r="267" spans="2:13" ht="16.5" thickBot="1" x14ac:dyDescent="0.3">
      <c r="B267" s="656"/>
      <c r="C267" s="656"/>
      <c r="D267" s="657"/>
      <c r="E267" s="657"/>
      <c r="F267" s="657"/>
      <c r="G267" s="629"/>
      <c r="H267" s="629"/>
      <c r="I267" s="658"/>
      <c r="J267" s="658"/>
      <c r="K267" s="658"/>
      <c r="L267" s="658"/>
      <c r="M267" s="659"/>
    </row>
    <row r="268" spans="2:13" ht="16.5" thickTop="1" x14ac:dyDescent="0.25">
      <c r="B268" s="660"/>
      <c r="C268" s="660"/>
      <c r="D268" s="650"/>
      <c r="E268" s="650"/>
      <c r="F268" s="650"/>
      <c r="G268" s="644">
        <f t="shared" ref="G268:M268" si="11">SUM(G262:G267)</f>
        <v>0</v>
      </c>
      <c r="H268" s="644">
        <f t="shared" si="11"/>
        <v>0</v>
      </c>
      <c r="I268" s="644">
        <f t="shared" si="11"/>
        <v>1.92</v>
      </c>
      <c r="J268" s="644">
        <f t="shared" si="11"/>
        <v>0</v>
      </c>
      <c r="K268" s="644">
        <f t="shared" si="11"/>
        <v>0</v>
      </c>
      <c r="L268" s="644">
        <f t="shared" si="11"/>
        <v>0</v>
      </c>
      <c r="M268" s="644">
        <f t="shared" si="11"/>
        <v>0</v>
      </c>
    </row>
    <row r="269" spans="2:13" ht="15.75" x14ac:dyDescent="0.25">
      <c r="B269" s="660"/>
      <c r="C269" s="660"/>
      <c r="D269" s="650"/>
      <c r="E269" s="650"/>
      <c r="F269" s="650"/>
      <c r="G269" s="617"/>
      <c r="H269" s="644"/>
      <c r="I269" s="644"/>
      <c r="J269" s="644"/>
      <c r="K269" s="644"/>
      <c r="L269" s="644"/>
      <c r="M269" s="644"/>
    </row>
    <row r="270" spans="2:13" ht="15.75" x14ac:dyDescent="0.25">
      <c r="B270" s="660"/>
      <c r="C270" s="660"/>
      <c r="D270" s="650" t="s">
        <v>573</v>
      </c>
      <c r="E270" s="650"/>
      <c r="F270" s="650"/>
      <c r="G270" s="617"/>
      <c r="H270" s="644"/>
      <c r="I270" s="644">
        <f>+G268</f>
        <v>0</v>
      </c>
      <c r="J270" s="644"/>
      <c r="K270" s="644"/>
      <c r="L270" s="644"/>
      <c r="M270" s="644"/>
    </row>
    <row r="271" spans="2:13" ht="15.75" x14ac:dyDescent="0.25">
      <c r="B271" s="660"/>
      <c r="C271" s="660"/>
      <c r="D271" s="650"/>
      <c r="E271" s="650"/>
      <c r="F271" s="650"/>
      <c r="G271" s="617"/>
      <c r="H271" s="644"/>
      <c r="I271" s="644"/>
      <c r="J271" s="644"/>
      <c r="K271" s="644"/>
      <c r="L271" s="644"/>
      <c r="M271" s="644"/>
    </row>
    <row r="272" spans="2:13" ht="15.75" x14ac:dyDescent="0.25">
      <c r="B272" s="660"/>
      <c r="C272" s="660"/>
      <c r="D272" s="650" t="s">
        <v>574</v>
      </c>
      <c r="E272" s="650"/>
      <c r="F272" s="650"/>
      <c r="G272" s="617"/>
      <c r="H272" s="644"/>
      <c r="I272" s="644">
        <f>+H268</f>
        <v>0</v>
      </c>
      <c r="J272" s="644"/>
      <c r="K272" s="644"/>
      <c r="L272" s="644"/>
      <c r="M272" s="644"/>
    </row>
    <row r="273" spans="2:13" ht="15.75" x14ac:dyDescent="0.25">
      <c r="B273" s="660"/>
      <c r="C273" s="660"/>
      <c r="D273" s="650"/>
      <c r="E273" s="650"/>
      <c r="F273" s="650"/>
      <c r="G273" s="617"/>
      <c r="H273" s="644"/>
      <c r="I273" s="644"/>
      <c r="J273" s="644"/>
      <c r="K273" s="644"/>
      <c r="L273" s="644"/>
      <c r="M273" s="644"/>
    </row>
    <row r="274" spans="2:13" ht="15.75" x14ac:dyDescent="0.25">
      <c r="B274" s="660"/>
      <c r="C274" s="660"/>
      <c r="D274" s="650"/>
      <c r="E274" s="650"/>
      <c r="F274" s="650"/>
      <c r="G274" s="617"/>
      <c r="H274" s="661"/>
      <c r="I274" s="618"/>
      <c r="J274" s="618"/>
      <c r="K274" s="618"/>
      <c r="L274" s="618"/>
      <c r="M274" s="618"/>
    </row>
    <row r="275" spans="2:13" ht="15.75" x14ac:dyDescent="0.25">
      <c r="B275" s="660"/>
      <c r="C275" s="660"/>
      <c r="D275" s="650" t="s">
        <v>448</v>
      </c>
      <c r="E275" s="650"/>
      <c r="F275" s="650"/>
      <c r="G275" s="617"/>
      <c r="H275" s="618"/>
      <c r="I275" s="621"/>
      <c r="J275" s="621"/>
      <c r="K275" s="621"/>
      <c r="L275" s="621"/>
      <c r="M275" s="618"/>
    </row>
    <row r="276" spans="2:13" ht="15.75" x14ac:dyDescent="0.25">
      <c r="B276" s="660"/>
      <c r="C276" s="660"/>
      <c r="D276" s="650" t="s">
        <v>80</v>
      </c>
      <c r="E276" s="650"/>
      <c r="F276" s="650"/>
      <c r="G276" s="617"/>
      <c r="H276" s="618"/>
      <c r="I276" s="700">
        <f>ROUND(I268/1.13,2)</f>
        <v>1.7</v>
      </c>
      <c r="J276" s="644"/>
      <c r="K276" s="644"/>
      <c r="L276" s="644"/>
      <c r="M276" s="663"/>
    </row>
    <row r="277" spans="2:13" ht="15.75" x14ac:dyDescent="0.25">
      <c r="B277" s="660"/>
      <c r="C277" s="660"/>
      <c r="D277" s="650" t="s">
        <v>449</v>
      </c>
      <c r="E277" s="650"/>
      <c r="F277" s="650"/>
      <c r="G277" s="617"/>
      <c r="H277" s="618"/>
      <c r="I277" s="699">
        <f>(I276*0.13)</f>
        <v>0.221</v>
      </c>
      <c r="J277" s="664"/>
      <c r="K277" s="664"/>
      <c r="L277" s="664"/>
      <c r="M277" s="663"/>
    </row>
    <row r="278" spans="2:13" ht="16.5" thickBot="1" x14ac:dyDescent="0.3">
      <c r="B278" s="660"/>
      <c r="C278" s="660"/>
      <c r="D278" s="650"/>
      <c r="E278" s="650"/>
      <c r="F278" s="650"/>
      <c r="G278" s="617"/>
      <c r="H278" s="618"/>
      <c r="I278" s="665"/>
      <c r="J278" s="666"/>
      <c r="K278" s="666"/>
      <c r="L278" s="666"/>
      <c r="M278" s="663"/>
    </row>
    <row r="279" spans="2:13" ht="16.5" thickTop="1" x14ac:dyDescent="0.25">
      <c r="B279" s="660"/>
      <c r="C279" s="660"/>
      <c r="D279" s="650" t="s">
        <v>450</v>
      </c>
      <c r="E279" s="650"/>
      <c r="F279" s="650"/>
      <c r="G279" s="617"/>
      <c r="H279" s="618"/>
      <c r="I279" s="637">
        <f>SUM(I276:I278)</f>
        <v>1.921</v>
      </c>
      <c r="J279" s="637"/>
      <c r="K279" s="637"/>
      <c r="L279" s="637"/>
      <c r="M279" s="618"/>
    </row>
    <row r="280" spans="2:13" ht="16.5" thickBot="1" x14ac:dyDescent="0.3">
      <c r="B280" s="660"/>
      <c r="C280" s="660"/>
      <c r="D280" s="650"/>
      <c r="E280" s="650"/>
      <c r="F280" s="650"/>
      <c r="G280" s="617"/>
      <c r="H280" s="618"/>
      <c r="I280" s="665"/>
      <c r="J280" s="666"/>
      <c r="K280" s="666"/>
      <c r="L280" s="666"/>
      <c r="M280" s="618"/>
    </row>
    <row r="281" spans="2:13" ht="16.5" thickTop="1" x14ac:dyDescent="0.25">
      <c r="B281" s="660"/>
      <c r="C281" s="660"/>
      <c r="D281" s="650"/>
      <c r="E281" s="650"/>
      <c r="F281" s="650"/>
      <c r="G281" s="617"/>
      <c r="H281" s="618"/>
      <c r="I281" s="667"/>
      <c r="J281" s="667"/>
      <c r="K281" s="667"/>
      <c r="L281" s="667"/>
      <c r="M281" s="618"/>
    </row>
    <row r="282" spans="2:13" ht="15.75" x14ac:dyDescent="0.25">
      <c r="B282" s="660"/>
      <c r="C282" s="660"/>
      <c r="D282" s="650"/>
      <c r="E282" s="650"/>
      <c r="F282" s="650"/>
      <c r="G282" s="617"/>
      <c r="H282" s="618"/>
      <c r="I282" s="627"/>
      <c r="J282" s="627"/>
      <c r="K282" s="627"/>
      <c r="L282" s="627"/>
      <c r="M282" s="618"/>
    </row>
    <row r="283" spans="2:13" ht="15.75" x14ac:dyDescent="0.25">
      <c r="B283" s="660"/>
      <c r="C283" s="660"/>
      <c r="D283" s="650"/>
      <c r="E283" s="650"/>
      <c r="F283" s="650"/>
      <c r="G283" s="668"/>
      <c r="H283" s="618" t="s">
        <v>575</v>
      </c>
      <c r="I283" s="627">
        <v>-0.22</v>
      </c>
      <c r="J283" s="627"/>
      <c r="K283" s="627"/>
      <c r="L283" s="627"/>
      <c r="M283" s="618"/>
    </row>
    <row r="284" spans="2:13" ht="15.75" x14ac:dyDescent="0.25">
      <c r="B284" s="660"/>
      <c r="C284" s="660"/>
      <c r="D284" s="650"/>
      <c r="E284" s="650"/>
      <c r="F284" s="650"/>
      <c r="G284" s="617"/>
      <c r="H284" s="669" t="s">
        <v>576</v>
      </c>
      <c r="I284" s="670">
        <f>+I277+I283</f>
        <v>1.0000000000000009E-3</v>
      </c>
      <c r="J284" s="627"/>
      <c r="K284" s="627"/>
      <c r="L284" s="627"/>
      <c r="M284" s="618"/>
    </row>
    <row r="291" spans="1:12" ht="20.25" x14ac:dyDescent="0.3">
      <c r="A291" s="614" t="s">
        <v>560</v>
      </c>
      <c r="B291" s="615"/>
      <c r="C291" s="616"/>
      <c r="D291" s="616"/>
      <c r="E291" s="616"/>
      <c r="F291" s="617"/>
      <c r="G291" s="618"/>
      <c r="H291" s="618"/>
      <c r="I291" s="618"/>
      <c r="J291" s="618"/>
      <c r="K291" s="618"/>
      <c r="L291" s="618"/>
    </row>
    <row r="292" spans="1:12" ht="15.75" x14ac:dyDescent="0.25">
      <c r="A292" s="616" t="s">
        <v>134</v>
      </c>
      <c r="B292" s="616"/>
      <c r="C292" s="616"/>
      <c r="D292" s="616"/>
      <c r="E292" s="616"/>
      <c r="F292" s="617"/>
      <c r="G292" s="618"/>
      <c r="H292" s="618"/>
      <c r="I292" s="618"/>
      <c r="J292" s="618"/>
      <c r="K292" s="618"/>
      <c r="L292" s="618"/>
    </row>
    <row r="293" spans="1:12" ht="15.75" x14ac:dyDescent="0.25">
      <c r="A293" s="615" t="s">
        <v>135</v>
      </c>
      <c r="B293" s="616"/>
      <c r="C293" s="616"/>
      <c r="D293" s="616"/>
      <c r="E293" s="616"/>
      <c r="F293" s="617"/>
      <c r="G293" s="621"/>
      <c r="H293" s="621"/>
      <c r="I293" s="618"/>
      <c r="J293" s="618"/>
      <c r="K293" s="618"/>
      <c r="L293" s="618"/>
    </row>
    <row r="294" spans="1:12" ht="15.75" x14ac:dyDescent="0.25">
      <c r="A294" s="616" t="s">
        <v>190</v>
      </c>
      <c r="B294" s="616"/>
      <c r="C294" s="616"/>
      <c r="D294" s="616"/>
      <c r="E294" s="616"/>
      <c r="F294" s="617"/>
      <c r="G294" s="618"/>
      <c r="H294" s="618"/>
      <c r="I294" s="618"/>
      <c r="J294" s="618"/>
      <c r="K294" s="618"/>
      <c r="L294" s="618"/>
    </row>
    <row r="295" spans="1:12" ht="15.75" x14ac:dyDescent="0.25">
      <c r="A295" s="622" t="s">
        <v>219</v>
      </c>
      <c r="B295" s="623" t="s">
        <v>84</v>
      </c>
      <c r="C295" s="624"/>
      <c r="D295" s="712">
        <v>2019</v>
      </c>
      <c r="E295" s="616"/>
      <c r="F295" s="617"/>
      <c r="G295" s="618"/>
      <c r="H295" s="626"/>
      <c r="I295" s="626"/>
      <c r="J295" s="626"/>
      <c r="K295" s="626"/>
      <c r="L295" s="626"/>
    </row>
    <row r="296" spans="1:12" ht="15.75" x14ac:dyDescent="0.25">
      <c r="A296" s="619"/>
      <c r="B296" s="619"/>
      <c r="C296" s="616"/>
      <c r="D296" s="616"/>
      <c r="E296" s="616"/>
      <c r="F296" s="617"/>
      <c r="G296" s="618"/>
      <c r="H296" s="618"/>
      <c r="I296" s="618"/>
      <c r="J296" s="618"/>
      <c r="K296" s="618"/>
      <c r="L296" s="618"/>
    </row>
    <row r="297" spans="1:12" ht="15.75" x14ac:dyDescent="0.25">
      <c r="A297" s="619"/>
      <c r="B297" s="619"/>
      <c r="C297" s="616"/>
      <c r="D297" s="616"/>
      <c r="E297" s="616"/>
      <c r="F297" s="617"/>
      <c r="G297" s="618"/>
      <c r="H297" s="618"/>
      <c r="I297" s="618"/>
      <c r="J297" s="618"/>
      <c r="K297" s="618"/>
      <c r="L297" s="618"/>
    </row>
    <row r="298" spans="1:12" ht="15.75" x14ac:dyDescent="0.25">
      <c r="A298" s="619"/>
      <c r="B298" s="619"/>
      <c r="C298" s="616"/>
      <c r="D298" s="616"/>
      <c r="E298" s="616"/>
      <c r="F298" s="617"/>
      <c r="G298" s="627" t="s">
        <v>48</v>
      </c>
      <c r="H298" s="627" t="s">
        <v>48</v>
      </c>
      <c r="I298" s="627" t="s">
        <v>561</v>
      </c>
      <c r="J298" s="627" t="s">
        <v>562</v>
      </c>
      <c r="K298" s="627" t="s">
        <v>48</v>
      </c>
      <c r="L298" s="627" t="s">
        <v>140</v>
      </c>
    </row>
    <row r="299" spans="1:12" ht="16.5" thickBot="1" x14ac:dyDescent="0.3">
      <c r="A299" s="628" t="s">
        <v>76</v>
      </c>
      <c r="B299" s="628"/>
      <c r="C299" s="628" t="s">
        <v>563</v>
      </c>
      <c r="D299" s="628"/>
      <c r="E299" s="628" t="s">
        <v>564</v>
      </c>
      <c r="F299" s="629" t="s">
        <v>79</v>
      </c>
      <c r="G299" s="630" t="s">
        <v>177</v>
      </c>
      <c r="H299" s="631" t="s">
        <v>565</v>
      </c>
      <c r="I299" s="630" t="s">
        <v>566</v>
      </c>
      <c r="J299" s="630" t="s">
        <v>567</v>
      </c>
      <c r="K299" s="630" t="s">
        <v>176</v>
      </c>
      <c r="L299" s="630" t="s">
        <v>48</v>
      </c>
    </row>
    <row r="300" spans="1:12" ht="16.5" thickTop="1" x14ac:dyDescent="0.25">
      <c r="A300" s="632"/>
      <c r="B300" s="633"/>
      <c r="C300" s="634"/>
      <c r="D300" s="634"/>
      <c r="E300" s="634"/>
      <c r="F300" s="635"/>
      <c r="G300" s="635"/>
      <c r="H300" s="636"/>
      <c r="I300" s="636"/>
      <c r="J300" s="636"/>
      <c r="K300" s="636"/>
      <c r="L300" s="637"/>
    </row>
    <row r="301" spans="1:12" ht="15.75" x14ac:dyDescent="0.25">
      <c r="A301" s="638">
        <v>43570</v>
      </c>
      <c r="B301" s="639"/>
      <c r="C301" s="640" t="s">
        <v>358</v>
      </c>
      <c r="D301" s="639"/>
      <c r="E301" s="640" t="s">
        <v>358</v>
      </c>
      <c r="F301" s="642">
        <v>0</v>
      </c>
      <c r="G301" s="642">
        <v>0</v>
      </c>
      <c r="H301" s="643">
        <v>1.95</v>
      </c>
      <c r="I301" s="636"/>
      <c r="J301" s="636"/>
      <c r="K301" s="643">
        <v>0</v>
      </c>
      <c r="L301" s="644"/>
    </row>
    <row r="302" spans="1:12" ht="15.75" x14ac:dyDescent="0.25">
      <c r="A302" s="638"/>
      <c r="B302" s="639"/>
      <c r="C302" s="640"/>
      <c r="D302" s="639"/>
      <c r="E302" s="641">
        <f t="shared" ref="E302:E303" si="12">C302</f>
        <v>0</v>
      </c>
      <c r="F302" s="642">
        <v>0</v>
      </c>
      <c r="G302" s="642">
        <v>0</v>
      </c>
      <c r="H302" s="643">
        <v>0</v>
      </c>
      <c r="I302" s="636"/>
      <c r="J302" s="636"/>
      <c r="K302" s="643">
        <v>0</v>
      </c>
      <c r="L302" s="644"/>
    </row>
    <row r="303" spans="1:12" ht="15.75" x14ac:dyDescent="0.25">
      <c r="A303" s="638"/>
      <c r="B303" s="639"/>
      <c r="C303" s="640"/>
      <c r="D303" s="646"/>
      <c r="E303" s="641">
        <f t="shared" si="12"/>
        <v>0</v>
      </c>
      <c r="F303" s="642">
        <v>0</v>
      </c>
      <c r="G303" s="642">
        <v>0</v>
      </c>
      <c r="H303" s="643">
        <v>0</v>
      </c>
      <c r="I303" s="636"/>
      <c r="J303" s="636"/>
      <c r="K303" s="643">
        <v>0</v>
      </c>
      <c r="L303" s="637"/>
    </row>
    <row r="304" spans="1:12" ht="15.75" x14ac:dyDescent="0.25">
      <c r="A304" s="648"/>
      <c r="B304" s="649"/>
      <c r="C304" s="655"/>
      <c r="D304" s="650"/>
      <c r="E304" s="641"/>
      <c r="F304" s="617"/>
      <c r="G304" s="647"/>
      <c r="H304" s="636"/>
      <c r="I304" s="636"/>
      <c r="J304" s="636"/>
      <c r="K304" s="636"/>
      <c r="L304" s="637"/>
    </row>
    <row r="305" spans="1:12" ht="16.5" thickBot="1" x14ac:dyDescent="0.3">
      <c r="A305" s="656"/>
      <c r="B305" s="656"/>
      <c r="C305" s="657"/>
      <c r="D305" s="657"/>
      <c r="E305" s="657"/>
      <c r="F305" s="629"/>
      <c r="G305" s="629"/>
      <c r="H305" s="658"/>
      <c r="I305" s="658"/>
      <c r="J305" s="658"/>
      <c r="K305" s="658"/>
      <c r="L305" s="659"/>
    </row>
    <row r="306" spans="1:12" ht="16.5" thickTop="1" x14ac:dyDescent="0.25">
      <c r="A306" s="660"/>
      <c r="B306" s="660"/>
      <c r="C306" s="650"/>
      <c r="D306" s="650"/>
      <c r="E306" s="650"/>
      <c r="F306" s="644">
        <f t="shared" ref="F306:L306" si="13">SUM(F300:F305)</f>
        <v>0</v>
      </c>
      <c r="G306" s="644">
        <f t="shared" si="13"/>
        <v>0</v>
      </c>
      <c r="H306" s="644">
        <f t="shared" si="13"/>
        <v>1.95</v>
      </c>
      <c r="I306" s="644">
        <f t="shared" si="13"/>
        <v>0</v>
      </c>
      <c r="J306" s="644">
        <f t="shared" si="13"/>
        <v>0</v>
      </c>
      <c r="K306" s="644">
        <f t="shared" si="13"/>
        <v>0</v>
      </c>
      <c r="L306" s="644">
        <f t="shared" si="13"/>
        <v>0</v>
      </c>
    </row>
    <row r="307" spans="1:12" ht="15.75" x14ac:dyDescent="0.25">
      <c r="A307" s="660"/>
      <c r="B307" s="660"/>
      <c r="C307" s="650"/>
      <c r="D307" s="650"/>
      <c r="E307" s="650"/>
      <c r="F307" s="617"/>
      <c r="G307" s="644"/>
      <c r="H307" s="644"/>
      <c r="I307" s="644"/>
      <c r="J307" s="644"/>
      <c r="K307" s="644"/>
      <c r="L307" s="644"/>
    </row>
    <row r="308" spans="1:12" ht="15.75" x14ac:dyDescent="0.25">
      <c r="A308" s="660"/>
      <c r="B308" s="660"/>
      <c r="C308" s="650" t="s">
        <v>573</v>
      </c>
      <c r="D308" s="650"/>
      <c r="E308" s="650"/>
      <c r="F308" s="617"/>
      <c r="G308" s="644"/>
      <c r="H308" s="644">
        <f>+F306</f>
        <v>0</v>
      </c>
      <c r="I308" s="644"/>
      <c r="J308" s="644"/>
      <c r="K308" s="644"/>
      <c r="L308" s="644"/>
    </row>
    <row r="309" spans="1:12" ht="15.75" x14ac:dyDescent="0.25">
      <c r="A309" s="660"/>
      <c r="B309" s="660"/>
      <c r="C309" s="650"/>
      <c r="D309" s="650"/>
      <c r="E309" s="650"/>
      <c r="F309" s="617"/>
      <c r="G309" s="644"/>
      <c r="H309" s="644"/>
      <c r="I309" s="644"/>
      <c r="J309" s="644"/>
      <c r="K309" s="644"/>
      <c r="L309" s="644"/>
    </row>
    <row r="310" spans="1:12" ht="15.75" x14ac:dyDescent="0.25">
      <c r="A310" s="660"/>
      <c r="B310" s="660"/>
      <c r="C310" s="650" t="s">
        <v>574</v>
      </c>
      <c r="D310" s="650"/>
      <c r="E310" s="650"/>
      <c r="F310" s="617"/>
      <c r="G310" s="644"/>
      <c r="H310" s="644">
        <f>+G306</f>
        <v>0</v>
      </c>
      <c r="I310" s="644"/>
      <c r="J310" s="644"/>
      <c r="K310" s="644"/>
      <c r="L310" s="644"/>
    </row>
    <row r="311" spans="1:12" ht="15.75" x14ac:dyDescent="0.25">
      <c r="A311" s="660"/>
      <c r="B311" s="660"/>
      <c r="C311" s="650"/>
      <c r="D311" s="650"/>
      <c r="E311" s="650"/>
      <c r="F311" s="617"/>
      <c r="G311" s="644"/>
      <c r="H311" s="644"/>
      <c r="I311" s="644"/>
      <c r="J311" s="644"/>
      <c r="K311" s="644"/>
      <c r="L311" s="644"/>
    </row>
    <row r="312" spans="1:12" ht="15.75" x14ac:dyDescent="0.25">
      <c r="A312" s="660"/>
      <c r="B312" s="660"/>
      <c r="C312" s="650"/>
      <c r="D312" s="650"/>
      <c r="E312" s="650"/>
      <c r="F312" s="617"/>
      <c r="G312" s="661"/>
      <c r="H312" s="618"/>
      <c r="I312" s="618"/>
      <c r="J312" s="618"/>
      <c r="K312" s="618"/>
      <c r="L312" s="618"/>
    </row>
    <row r="313" spans="1:12" ht="15.75" x14ac:dyDescent="0.25">
      <c r="A313" s="660"/>
      <c r="B313" s="660"/>
      <c r="C313" s="650" t="s">
        <v>448</v>
      </c>
      <c r="D313" s="650"/>
      <c r="E313" s="650"/>
      <c r="F313" s="617"/>
      <c r="G313" s="618"/>
      <c r="H313" s="621"/>
      <c r="I313" s="621"/>
      <c r="J313" s="621"/>
      <c r="K313" s="621"/>
      <c r="L313" s="618"/>
    </row>
    <row r="314" spans="1:12" ht="15.75" x14ac:dyDescent="0.25">
      <c r="A314" s="660"/>
      <c r="B314" s="660"/>
      <c r="C314" s="650" t="s">
        <v>80</v>
      </c>
      <c r="D314" s="650"/>
      <c r="E314" s="650"/>
      <c r="F314" s="617"/>
      <c r="G314" s="618"/>
      <c r="H314" s="700">
        <f>ROUND(H306/1.13,2)</f>
        <v>1.73</v>
      </c>
      <c r="I314" s="644"/>
      <c r="J314" s="644"/>
      <c r="K314" s="644"/>
      <c r="L314" s="663"/>
    </row>
    <row r="315" spans="1:12" ht="15.75" x14ac:dyDescent="0.25">
      <c r="A315" s="660"/>
      <c r="B315" s="660"/>
      <c r="C315" s="650" t="s">
        <v>449</v>
      </c>
      <c r="D315" s="650"/>
      <c r="E315" s="650"/>
      <c r="F315" s="617"/>
      <c r="G315" s="618"/>
      <c r="H315" s="699">
        <f>(H314*0.13)</f>
        <v>0.22490000000000002</v>
      </c>
      <c r="I315" s="664"/>
      <c r="J315" s="664"/>
      <c r="K315" s="664"/>
      <c r="L315" s="663"/>
    </row>
    <row r="316" spans="1:12" ht="16.5" thickBot="1" x14ac:dyDescent="0.3">
      <c r="A316" s="660"/>
      <c r="B316" s="660"/>
      <c r="C316" s="650"/>
      <c r="D316" s="650"/>
      <c r="E316" s="650"/>
      <c r="F316" s="617"/>
      <c r="G316" s="618"/>
      <c r="H316" s="665"/>
      <c r="I316" s="666"/>
      <c r="J316" s="666"/>
      <c r="K316" s="666"/>
      <c r="L316" s="663"/>
    </row>
    <row r="317" spans="1:12" ht="16.5" thickTop="1" x14ac:dyDescent="0.25">
      <c r="A317" s="660"/>
      <c r="B317" s="660"/>
      <c r="C317" s="650" t="s">
        <v>450</v>
      </c>
      <c r="D317" s="650"/>
      <c r="E317" s="650"/>
      <c r="F317" s="617"/>
      <c r="G317" s="618"/>
      <c r="H317" s="637">
        <f>SUM(H314:H316)</f>
        <v>1.9549000000000001</v>
      </c>
      <c r="I317" s="637"/>
      <c r="J317" s="637"/>
      <c r="K317" s="637"/>
      <c r="L317" s="618"/>
    </row>
    <row r="318" spans="1:12" ht="16.5" thickBot="1" x14ac:dyDescent="0.3">
      <c r="A318" s="660"/>
      <c r="B318" s="660"/>
      <c r="C318" s="650"/>
      <c r="D318" s="650"/>
      <c r="E318" s="650"/>
      <c r="F318" s="617"/>
      <c r="G318" s="618"/>
      <c r="H318" s="665"/>
      <c r="I318" s="666"/>
      <c r="J318" s="666"/>
      <c r="K318" s="666"/>
      <c r="L318" s="618"/>
    </row>
    <row r="319" spans="1:12" ht="16.5" thickTop="1" x14ac:dyDescent="0.25">
      <c r="A319" s="660"/>
      <c r="B319" s="660"/>
      <c r="C319" s="650"/>
      <c r="D319" s="650"/>
      <c r="E319" s="650"/>
      <c r="F319" s="617"/>
      <c r="G319" s="618"/>
      <c r="H319" s="667"/>
      <c r="I319" s="667"/>
      <c r="J319" s="667"/>
      <c r="K319" s="667"/>
      <c r="L319" s="618"/>
    </row>
    <row r="320" spans="1:12" ht="15.75" x14ac:dyDescent="0.25">
      <c r="A320" s="660"/>
      <c r="B320" s="660"/>
      <c r="C320" s="650"/>
      <c r="D320" s="650"/>
      <c r="E320" s="650"/>
      <c r="F320" s="617"/>
      <c r="G320" s="618"/>
      <c r="H320" s="627"/>
      <c r="I320" s="627"/>
      <c r="J320" s="627"/>
      <c r="K320" s="627"/>
      <c r="L320" s="618"/>
    </row>
    <row r="321" spans="1:14" ht="15.75" x14ac:dyDescent="0.25">
      <c r="A321" s="660"/>
      <c r="B321" s="660"/>
      <c r="C321" s="650"/>
      <c r="D321" s="650"/>
      <c r="E321" s="650"/>
      <c r="F321" s="668"/>
      <c r="G321" s="618" t="s">
        <v>575</v>
      </c>
      <c r="H321" s="627">
        <v>-0.22</v>
      </c>
      <c r="I321" s="627"/>
      <c r="J321" s="627"/>
      <c r="K321" s="627"/>
      <c r="L321" s="618"/>
    </row>
    <row r="322" spans="1:14" ht="15.75" x14ac:dyDescent="0.25">
      <c r="A322" s="660"/>
      <c r="B322" s="660"/>
      <c r="C322" s="650"/>
      <c r="D322" s="650"/>
      <c r="E322" s="650"/>
      <c r="F322" s="617"/>
      <c r="G322" s="669" t="s">
        <v>576</v>
      </c>
      <c r="H322" s="670">
        <f>+H315+H321</f>
        <v>4.9000000000000155E-3</v>
      </c>
      <c r="I322" s="627"/>
      <c r="J322" s="627"/>
      <c r="K322" s="627"/>
      <c r="L322" s="618"/>
    </row>
    <row r="325" spans="1:14" s="620" customFormat="1" ht="20.25" x14ac:dyDescent="0.3">
      <c r="B325" s="614" t="s">
        <v>560</v>
      </c>
      <c r="C325" s="615"/>
      <c r="D325" s="616"/>
      <c r="E325" s="616"/>
      <c r="F325" s="616"/>
      <c r="G325" s="617"/>
      <c r="H325" s="618"/>
      <c r="I325" s="618"/>
      <c r="J325" s="618"/>
      <c r="K325" s="618"/>
      <c r="L325" s="618"/>
      <c r="M325" s="618"/>
      <c r="N325" s="619"/>
    </row>
    <row r="326" spans="1:14" s="620" customFormat="1" ht="15.75" x14ac:dyDescent="0.25">
      <c r="B326" s="616" t="s">
        <v>134</v>
      </c>
      <c r="C326" s="616"/>
      <c r="D326" s="616"/>
      <c r="E326" s="616"/>
      <c r="F326" s="616"/>
      <c r="G326" s="617"/>
      <c r="H326" s="618"/>
      <c r="I326" s="618"/>
      <c r="J326" s="618"/>
      <c r="K326" s="618"/>
      <c r="L326" s="618"/>
      <c r="M326" s="618"/>
      <c r="N326" s="619"/>
    </row>
    <row r="327" spans="1:14" s="620" customFormat="1" ht="15.75" x14ac:dyDescent="0.25">
      <c r="B327" s="615" t="s">
        <v>135</v>
      </c>
      <c r="C327" s="616"/>
      <c r="D327" s="616"/>
      <c r="E327" s="616"/>
      <c r="F327" s="616"/>
      <c r="G327" s="617"/>
      <c r="H327" s="621"/>
      <c r="I327" s="621"/>
      <c r="J327" s="618"/>
      <c r="K327" s="618"/>
      <c r="L327" s="618"/>
      <c r="M327" s="618"/>
      <c r="N327" s="619"/>
    </row>
    <row r="328" spans="1:14" s="620" customFormat="1" ht="15.75" x14ac:dyDescent="0.25">
      <c r="B328" s="616" t="s">
        <v>190</v>
      </c>
      <c r="C328" s="616"/>
      <c r="D328" s="616"/>
      <c r="E328" s="616"/>
      <c r="F328" s="616"/>
      <c r="G328" s="617"/>
      <c r="H328" s="618"/>
      <c r="I328" s="618"/>
      <c r="J328" s="618"/>
      <c r="K328" s="618"/>
      <c r="L328" s="618"/>
      <c r="M328" s="618"/>
      <c r="N328" s="619"/>
    </row>
    <row r="329" spans="1:14" s="620" customFormat="1" ht="15.75" x14ac:dyDescent="0.25">
      <c r="B329" s="622" t="s">
        <v>219</v>
      </c>
      <c r="C329" s="623">
        <f>'[16]Compras '!C329</f>
        <v>0</v>
      </c>
      <c r="D329" s="624"/>
      <c r="E329" s="712">
        <v>2019</v>
      </c>
      <c r="F329" s="616"/>
      <c r="G329" s="617"/>
      <c r="H329" s="618"/>
      <c r="I329" s="626"/>
      <c r="J329" s="626"/>
      <c r="K329" s="626"/>
      <c r="L329" s="626"/>
      <c r="M329" s="626"/>
      <c r="N329" s="619"/>
    </row>
    <row r="330" spans="1:14" s="620" customFormat="1" ht="15.75" x14ac:dyDescent="0.25">
      <c r="B330" s="619"/>
      <c r="C330" s="619"/>
      <c r="D330" s="616"/>
      <c r="E330" s="616"/>
      <c r="F330" s="616"/>
      <c r="G330" s="617"/>
      <c r="H330" s="618"/>
      <c r="I330" s="618"/>
      <c r="J330" s="618"/>
      <c r="K330" s="618"/>
      <c r="L330" s="618"/>
      <c r="M330" s="618"/>
      <c r="N330" s="619"/>
    </row>
    <row r="331" spans="1:14" s="620" customFormat="1" ht="15.75" x14ac:dyDescent="0.25">
      <c r="B331" s="619"/>
      <c r="C331" s="619"/>
      <c r="D331" s="616"/>
      <c r="E331" s="616"/>
      <c r="F331" s="616"/>
      <c r="G331" s="617"/>
      <c r="H331" s="618"/>
      <c r="I331" s="618"/>
      <c r="J331" s="618"/>
      <c r="K331" s="618"/>
      <c r="L331" s="618"/>
      <c r="M331" s="618"/>
      <c r="N331" s="619"/>
    </row>
    <row r="332" spans="1:14" s="620" customFormat="1" ht="15.75" x14ac:dyDescent="0.25">
      <c r="B332" s="619"/>
      <c r="C332" s="619"/>
      <c r="D332" s="616"/>
      <c r="E332" s="616"/>
      <c r="F332" s="616"/>
      <c r="G332" s="617"/>
      <c r="H332" s="627" t="s">
        <v>48</v>
      </c>
      <c r="I332" s="627" t="s">
        <v>48</v>
      </c>
      <c r="J332" s="627" t="s">
        <v>561</v>
      </c>
      <c r="K332" s="627" t="s">
        <v>562</v>
      </c>
      <c r="L332" s="627" t="s">
        <v>48</v>
      </c>
      <c r="M332" s="627" t="s">
        <v>140</v>
      </c>
      <c r="N332" s="619"/>
    </row>
    <row r="333" spans="1:14" s="620" customFormat="1" ht="16.5" thickBot="1" x14ac:dyDescent="0.3">
      <c r="A333" s="679"/>
      <c r="B333" s="628" t="s">
        <v>76</v>
      </c>
      <c r="C333" s="628"/>
      <c r="D333" s="628" t="s">
        <v>563</v>
      </c>
      <c r="E333" s="628"/>
      <c r="F333" s="628" t="s">
        <v>564</v>
      </c>
      <c r="G333" s="629" t="s">
        <v>79</v>
      </c>
      <c r="H333" s="630" t="s">
        <v>177</v>
      </c>
      <c r="I333" s="631" t="s">
        <v>565</v>
      </c>
      <c r="J333" s="630" t="s">
        <v>566</v>
      </c>
      <c r="K333" s="630" t="s">
        <v>567</v>
      </c>
      <c r="L333" s="630" t="s">
        <v>176</v>
      </c>
      <c r="M333" s="630" t="s">
        <v>48</v>
      </c>
      <c r="N333" s="619"/>
    </row>
    <row r="334" spans="1:14" s="620" customFormat="1" ht="16.5" thickTop="1" x14ac:dyDescent="0.25">
      <c r="B334" s="632"/>
      <c r="C334" s="633"/>
      <c r="D334" s="634"/>
      <c r="E334" s="634"/>
      <c r="F334" s="634"/>
      <c r="G334" s="635"/>
      <c r="H334" s="635"/>
      <c r="I334" s="636"/>
      <c r="J334" s="636"/>
      <c r="K334" s="636"/>
      <c r="L334" s="636"/>
      <c r="M334" s="637"/>
      <c r="N334" s="619"/>
    </row>
    <row r="335" spans="1:14" s="645" customFormat="1" ht="15.75" x14ac:dyDescent="0.25">
      <c r="B335" s="638">
        <v>43588</v>
      </c>
      <c r="C335" s="639"/>
      <c r="D335" s="640" t="s">
        <v>902</v>
      </c>
      <c r="E335" s="639"/>
      <c r="F335" s="640" t="s">
        <v>902</v>
      </c>
      <c r="G335" s="642">
        <v>0</v>
      </c>
      <c r="H335" s="642">
        <v>21.61</v>
      </c>
      <c r="I335" s="643">
        <v>0</v>
      </c>
      <c r="J335" s="636"/>
      <c r="K335" s="636"/>
      <c r="L335" s="643">
        <v>0</v>
      </c>
      <c r="M335" s="644"/>
      <c r="N335" s="643"/>
    </row>
    <row r="336" spans="1:14" s="645" customFormat="1" ht="15.75" x14ac:dyDescent="0.25">
      <c r="B336" s="638">
        <v>43588</v>
      </c>
      <c r="C336" s="639"/>
      <c r="D336" s="640" t="s">
        <v>903</v>
      </c>
      <c r="E336" s="639"/>
      <c r="F336" s="641" t="str">
        <f t="shared" ref="F336:F343" si="14">D336</f>
        <v>02003</v>
      </c>
      <c r="G336" s="642">
        <v>0</v>
      </c>
      <c r="H336" s="642">
        <v>109.94</v>
      </c>
      <c r="I336" s="643">
        <v>0</v>
      </c>
      <c r="J336" s="636"/>
      <c r="K336" s="636"/>
      <c r="L336" s="643">
        <v>0</v>
      </c>
      <c r="M336" s="644"/>
      <c r="N336" s="643"/>
    </row>
    <row r="337" spans="1:14" s="645" customFormat="1" ht="15.75" x14ac:dyDescent="0.25">
      <c r="B337" s="638">
        <v>43588</v>
      </c>
      <c r="C337" s="639"/>
      <c r="D337" s="640" t="s">
        <v>904</v>
      </c>
      <c r="E337" s="639"/>
      <c r="F337" s="641" t="str">
        <f t="shared" si="14"/>
        <v>02004</v>
      </c>
      <c r="G337" s="642">
        <v>0</v>
      </c>
      <c r="H337" s="698">
        <v>18</v>
      </c>
      <c r="I337" s="643">
        <v>0</v>
      </c>
      <c r="J337" s="636"/>
      <c r="K337" s="636"/>
      <c r="L337" s="643">
        <v>0</v>
      </c>
      <c r="M337" s="644"/>
      <c r="N337" s="643"/>
    </row>
    <row r="338" spans="1:14" s="620" customFormat="1" ht="15.75" x14ac:dyDescent="0.25">
      <c r="A338" s="619"/>
      <c r="B338" s="638">
        <v>43607</v>
      </c>
      <c r="C338" s="639"/>
      <c r="D338" s="640" t="s">
        <v>905</v>
      </c>
      <c r="E338" s="639"/>
      <c r="F338" s="640" t="s">
        <v>905</v>
      </c>
      <c r="G338" s="642">
        <v>0</v>
      </c>
      <c r="H338" s="642">
        <v>0</v>
      </c>
      <c r="I338" s="643">
        <v>1.95</v>
      </c>
      <c r="J338" s="636"/>
      <c r="K338" s="636"/>
      <c r="L338" s="643">
        <v>0</v>
      </c>
      <c r="M338" s="637"/>
      <c r="N338" s="619"/>
    </row>
    <row r="339" spans="1:14" s="645" customFormat="1" ht="15.75" x14ac:dyDescent="0.25">
      <c r="B339" s="638"/>
      <c r="C339" s="639"/>
      <c r="D339" s="640"/>
      <c r="E339" s="639"/>
      <c r="F339" s="641">
        <f t="shared" si="14"/>
        <v>0</v>
      </c>
      <c r="G339" s="642">
        <v>0</v>
      </c>
      <c r="H339" s="642">
        <v>0</v>
      </c>
      <c r="I339" s="643">
        <v>0</v>
      </c>
      <c r="J339" s="636"/>
      <c r="K339" s="636"/>
      <c r="L339" s="643">
        <v>0</v>
      </c>
      <c r="M339" s="644"/>
      <c r="N339" s="643"/>
    </row>
    <row r="340" spans="1:14" s="620" customFormat="1" ht="15.75" x14ac:dyDescent="0.25">
      <c r="B340" s="638"/>
      <c r="C340" s="639"/>
      <c r="D340" s="640"/>
      <c r="E340" s="646"/>
      <c r="F340" s="641">
        <f t="shared" si="14"/>
        <v>0</v>
      </c>
      <c r="G340" s="642">
        <v>0</v>
      </c>
      <c r="H340" s="642">
        <v>0</v>
      </c>
      <c r="I340" s="643">
        <v>0</v>
      </c>
      <c r="J340" s="636"/>
      <c r="K340" s="636"/>
      <c r="L340" s="643">
        <v>0</v>
      </c>
      <c r="M340" s="637"/>
      <c r="N340" s="619"/>
    </row>
    <row r="341" spans="1:14" s="620" customFormat="1" ht="15.75" x14ac:dyDescent="0.25">
      <c r="B341" s="638"/>
      <c r="C341" s="639"/>
      <c r="D341" s="640"/>
      <c r="E341" s="646"/>
      <c r="F341" s="641">
        <f t="shared" si="14"/>
        <v>0</v>
      </c>
      <c r="G341" s="642">
        <v>0</v>
      </c>
      <c r="H341" s="642">
        <v>0</v>
      </c>
      <c r="I341" s="643">
        <v>0</v>
      </c>
      <c r="J341" s="636"/>
      <c r="K341" s="636"/>
      <c r="L341" s="643">
        <v>0</v>
      </c>
      <c r="M341" s="637"/>
      <c r="N341" s="619"/>
    </row>
    <row r="342" spans="1:14" s="620" customFormat="1" ht="15.75" x14ac:dyDescent="0.25">
      <c r="B342" s="638"/>
      <c r="C342" s="639"/>
      <c r="D342" s="640"/>
      <c r="E342" s="646"/>
      <c r="F342" s="641">
        <f t="shared" si="14"/>
        <v>0</v>
      </c>
      <c r="G342" s="642">
        <v>0</v>
      </c>
      <c r="H342" s="642">
        <v>0</v>
      </c>
      <c r="I342" s="643">
        <v>0</v>
      </c>
      <c r="J342" s="636"/>
      <c r="K342" s="636"/>
      <c r="L342" s="643">
        <v>0</v>
      </c>
      <c r="M342" s="637"/>
      <c r="N342" s="619"/>
    </row>
    <row r="343" spans="1:14" s="620" customFormat="1" ht="15.75" x14ac:dyDescent="0.25">
      <c r="B343" s="638"/>
      <c r="C343" s="639"/>
      <c r="D343" s="640"/>
      <c r="E343" s="646"/>
      <c r="F343" s="641">
        <f t="shared" si="14"/>
        <v>0</v>
      </c>
      <c r="G343" s="642">
        <v>0</v>
      </c>
      <c r="H343" s="642">
        <v>0</v>
      </c>
      <c r="I343" s="643">
        <v>0</v>
      </c>
      <c r="J343" s="636"/>
      <c r="K343" s="636"/>
      <c r="L343" s="643">
        <v>0</v>
      </c>
      <c r="M343" s="637"/>
      <c r="N343" s="619"/>
    </row>
    <row r="344" spans="1:14" s="620" customFormat="1" ht="15.75" x14ac:dyDescent="0.25">
      <c r="B344" s="638"/>
      <c r="C344" s="639"/>
      <c r="D344" s="640"/>
      <c r="E344" s="646"/>
      <c r="F344" s="641"/>
      <c r="G344" s="642"/>
      <c r="H344" s="647"/>
      <c r="I344" s="643"/>
      <c r="J344" s="636"/>
      <c r="K344" s="636"/>
      <c r="L344" s="636"/>
      <c r="M344" s="637"/>
      <c r="N344" s="619"/>
    </row>
    <row r="345" spans="1:14" s="620" customFormat="1" ht="15.75" x14ac:dyDescent="0.25">
      <c r="A345" s="619"/>
      <c r="B345" s="648"/>
      <c r="C345" s="649"/>
      <c r="D345" s="652"/>
      <c r="E345" s="650"/>
      <c r="F345" s="641"/>
      <c r="G345" s="617"/>
      <c r="H345" s="647"/>
      <c r="I345" s="645"/>
      <c r="J345" s="636"/>
      <c r="K345" s="636"/>
      <c r="L345" s="636"/>
      <c r="M345" s="637"/>
      <c r="N345" s="619"/>
    </row>
    <row r="346" spans="1:14" s="620" customFormat="1" ht="15.75" x14ac:dyDescent="0.25">
      <c r="A346" s="619"/>
      <c r="B346" s="648"/>
      <c r="C346" s="649"/>
      <c r="D346" s="655"/>
      <c r="E346" s="650"/>
      <c r="F346" s="641"/>
      <c r="G346" s="617"/>
      <c r="H346" s="647"/>
      <c r="I346" s="636"/>
      <c r="J346" s="636"/>
      <c r="K346" s="636"/>
      <c r="L346" s="636"/>
      <c r="M346" s="637"/>
      <c r="N346" s="619"/>
    </row>
    <row r="347" spans="1:14" s="620" customFormat="1" ht="16.5" thickBot="1" x14ac:dyDescent="0.3">
      <c r="A347" s="619"/>
      <c r="B347" s="656"/>
      <c r="C347" s="656"/>
      <c r="D347" s="657"/>
      <c r="E347" s="657"/>
      <c r="F347" s="657"/>
      <c r="G347" s="629"/>
      <c r="H347" s="629"/>
      <c r="I347" s="658"/>
      <c r="J347" s="658"/>
      <c r="K347" s="658"/>
      <c r="L347" s="658"/>
      <c r="M347" s="659"/>
      <c r="N347" s="619"/>
    </row>
    <row r="348" spans="1:14" s="620" customFormat="1" ht="16.5" thickTop="1" x14ac:dyDescent="0.25">
      <c r="A348" s="619"/>
      <c r="B348" s="660"/>
      <c r="C348" s="660"/>
      <c r="D348" s="650"/>
      <c r="E348" s="650"/>
      <c r="F348" s="650"/>
      <c r="G348" s="644">
        <f>SUM(G334:G347)</f>
        <v>0</v>
      </c>
      <c r="H348" s="644">
        <f t="shared" ref="H348:M348" si="15">SUM(H334:H347)</f>
        <v>149.55000000000001</v>
      </c>
      <c r="I348" s="644">
        <f>SUM(I334:I347)</f>
        <v>1.95</v>
      </c>
      <c r="J348" s="644">
        <f t="shared" si="15"/>
        <v>0</v>
      </c>
      <c r="K348" s="644">
        <f t="shared" si="15"/>
        <v>0</v>
      </c>
      <c r="L348" s="644">
        <f t="shared" si="15"/>
        <v>0</v>
      </c>
      <c r="M348" s="644">
        <f t="shared" si="15"/>
        <v>0</v>
      </c>
      <c r="N348" s="619"/>
    </row>
    <row r="349" spans="1:14" s="620" customFormat="1" ht="15.75" x14ac:dyDescent="0.25">
      <c r="A349" s="619"/>
      <c r="B349" s="660"/>
      <c r="C349" s="660"/>
      <c r="D349" s="650"/>
      <c r="E349" s="650"/>
      <c r="F349" s="650"/>
      <c r="G349" s="617"/>
      <c r="H349" s="644"/>
      <c r="I349" s="644"/>
      <c r="J349" s="644"/>
      <c r="K349" s="644"/>
      <c r="L349" s="644"/>
      <c r="M349" s="644"/>
      <c r="N349" s="619"/>
    </row>
    <row r="350" spans="1:14" s="620" customFormat="1" ht="15.75" x14ac:dyDescent="0.25">
      <c r="A350" s="619"/>
      <c r="B350" s="660"/>
      <c r="C350" s="660"/>
      <c r="D350" s="650" t="s">
        <v>573</v>
      </c>
      <c r="E350" s="650"/>
      <c r="F350" s="650"/>
      <c r="G350" s="617"/>
      <c r="H350" s="644"/>
      <c r="I350" s="644">
        <f>+G348</f>
        <v>0</v>
      </c>
      <c r="J350" s="644"/>
      <c r="K350" s="644"/>
      <c r="L350" s="644"/>
      <c r="M350" s="644"/>
      <c r="N350" s="619"/>
    </row>
    <row r="351" spans="1:14" s="620" customFormat="1" ht="15.75" x14ac:dyDescent="0.25">
      <c r="A351" s="619"/>
      <c r="B351" s="660"/>
      <c r="C351" s="660"/>
      <c r="D351" s="650"/>
      <c r="E351" s="650"/>
      <c r="F351" s="650"/>
      <c r="G351" s="617"/>
      <c r="H351" s="644"/>
      <c r="I351" s="644"/>
      <c r="J351" s="644"/>
      <c r="K351" s="644"/>
      <c r="L351" s="644"/>
      <c r="M351" s="644"/>
      <c r="N351" s="619"/>
    </row>
    <row r="352" spans="1:14" s="620" customFormat="1" ht="15.75" x14ac:dyDescent="0.25">
      <c r="A352" s="619"/>
      <c r="B352" s="660"/>
      <c r="C352" s="660"/>
      <c r="D352" s="650" t="s">
        <v>574</v>
      </c>
      <c r="E352" s="650"/>
      <c r="F352" s="650"/>
      <c r="G352" s="617"/>
      <c r="H352" s="644"/>
      <c r="I352" s="644">
        <f>+H348</f>
        <v>149.55000000000001</v>
      </c>
      <c r="J352" s="644"/>
      <c r="K352" s="644"/>
      <c r="L352" s="644"/>
      <c r="M352" s="644"/>
      <c r="N352" s="619"/>
    </row>
    <row r="353" spans="1:14" s="620" customFormat="1" ht="15.75" x14ac:dyDescent="0.25">
      <c r="A353" s="619"/>
      <c r="B353" s="660"/>
      <c r="C353" s="660"/>
      <c r="D353" s="650"/>
      <c r="E353" s="650"/>
      <c r="F353" s="650"/>
      <c r="G353" s="617"/>
      <c r="H353" s="644"/>
      <c r="I353" s="644"/>
      <c r="J353" s="644"/>
      <c r="K353" s="644"/>
      <c r="L353" s="644"/>
      <c r="M353" s="644"/>
      <c r="N353" s="619"/>
    </row>
    <row r="354" spans="1:14" s="620" customFormat="1" ht="15.75" x14ac:dyDescent="0.25">
      <c r="A354" s="619"/>
      <c r="B354" s="660"/>
      <c r="C354" s="660"/>
      <c r="D354" s="650"/>
      <c r="E354" s="650"/>
      <c r="F354" s="650"/>
      <c r="G354" s="617"/>
      <c r="H354" s="661"/>
      <c r="I354" s="618"/>
      <c r="J354" s="618"/>
      <c r="K354" s="618"/>
      <c r="L354" s="618"/>
      <c r="M354" s="618"/>
      <c r="N354" s="619"/>
    </row>
    <row r="355" spans="1:14" s="620" customFormat="1" ht="15.75" x14ac:dyDescent="0.25">
      <c r="A355" s="619"/>
      <c r="B355" s="660"/>
      <c r="C355" s="660"/>
      <c r="D355" s="650" t="s">
        <v>448</v>
      </c>
      <c r="E355" s="650"/>
      <c r="F355" s="650"/>
      <c r="G355" s="617"/>
      <c r="H355" s="618"/>
      <c r="I355" s="621"/>
      <c r="J355" s="621"/>
      <c r="K355" s="621"/>
      <c r="L355" s="621"/>
      <c r="M355" s="618"/>
      <c r="N355" s="619"/>
    </row>
    <row r="356" spans="1:14" s="620" customFormat="1" ht="15.75" x14ac:dyDescent="0.25">
      <c r="A356" s="619"/>
      <c r="B356" s="660"/>
      <c r="C356" s="660"/>
      <c r="D356" s="650" t="s">
        <v>80</v>
      </c>
      <c r="E356" s="650"/>
      <c r="F356" s="650"/>
      <c r="G356" s="617"/>
      <c r="H356" s="618"/>
      <c r="I356" s="700">
        <f>ROUND(I348/1.13,2)</f>
        <v>1.73</v>
      </c>
      <c r="J356" s="644"/>
      <c r="K356" s="644"/>
      <c r="L356" s="644"/>
      <c r="M356" s="663"/>
      <c r="N356" s="619"/>
    </row>
    <row r="357" spans="1:14" s="620" customFormat="1" ht="15.75" x14ac:dyDescent="0.25">
      <c r="A357" s="619"/>
      <c r="B357" s="660"/>
      <c r="C357" s="660"/>
      <c r="D357" s="650" t="s">
        <v>449</v>
      </c>
      <c r="E357" s="650"/>
      <c r="F357" s="650"/>
      <c r="G357" s="617"/>
      <c r="H357" s="618"/>
      <c r="I357" s="699">
        <f>(I356*0.13)</f>
        <v>0.22490000000000002</v>
      </c>
      <c r="J357" s="664"/>
      <c r="K357" s="664"/>
      <c r="L357" s="664"/>
      <c r="M357" s="663"/>
      <c r="N357" s="619"/>
    </row>
    <row r="358" spans="1:14" s="620" customFormat="1" ht="16.5" thickBot="1" x14ac:dyDescent="0.3">
      <c r="A358" s="619"/>
      <c r="B358" s="660"/>
      <c r="C358" s="660"/>
      <c r="D358" s="650"/>
      <c r="E358" s="650"/>
      <c r="F358" s="650"/>
      <c r="G358" s="617"/>
      <c r="H358" s="618"/>
      <c r="I358" s="665"/>
      <c r="J358" s="666"/>
      <c r="K358" s="666"/>
      <c r="L358" s="666"/>
      <c r="M358" s="663"/>
      <c r="N358" s="619"/>
    </row>
    <row r="359" spans="1:14" s="620" customFormat="1" ht="16.5" thickTop="1" x14ac:dyDescent="0.25">
      <c r="A359" s="619"/>
      <c r="B359" s="660"/>
      <c r="C359" s="660"/>
      <c r="D359" s="650" t="s">
        <v>450</v>
      </c>
      <c r="E359" s="650"/>
      <c r="F359" s="650"/>
      <c r="G359" s="617"/>
      <c r="H359" s="618"/>
      <c r="I359" s="637">
        <f>SUM(I356:I358)</f>
        <v>1.9549000000000001</v>
      </c>
      <c r="J359" s="637"/>
      <c r="K359" s="637"/>
      <c r="L359" s="637"/>
      <c r="M359" s="618"/>
      <c r="N359" s="619"/>
    </row>
    <row r="360" spans="1:14" s="620" customFormat="1" ht="16.5" thickBot="1" x14ac:dyDescent="0.3">
      <c r="A360" s="619"/>
      <c r="B360" s="660"/>
      <c r="C360" s="660"/>
      <c r="D360" s="650"/>
      <c r="E360" s="650"/>
      <c r="F360" s="650"/>
      <c r="G360" s="617"/>
      <c r="H360" s="618"/>
      <c r="I360" s="665"/>
      <c r="J360" s="666"/>
      <c r="K360" s="666"/>
      <c r="L360" s="666"/>
      <c r="M360" s="618"/>
      <c r="N360" s="619"/>
    </row>
    <row r="361" spans="1:14" ht="13.5" thickTop="1" x14ac:dyDescent="0.2"/>
    <row r="363" spans="1:14" ht="20.25" x14ac:dyDescent="0.3">
      <c r="A363" s="614" t="s">
        <v>560</v>
      </c>
      <c r="B363" s="615"/>
      <c r="C363" s="616"/>
      <c r="D363" s="616"/>
      <c r="E363" s="616"/>
      <c r="F363" s="617"/>
      <c r="G363" s="618"/>
      <c r="H363" s="618"/>
      <c r="I363" s="618"/>
      <c r="J363" s="618"/>
      <c r="K363" s="618"/>
      <c r="L363" s="618"/>
    </row>
    <row r="364" spans="1:14" ht="15.75" x14ac:dyDescent="0.25">
      <c r="A364" s="616" t="s">
        <v>134</v>
      </c>
      <c r="B364" s="616"/>
      <c r="C364" s="616"/>
      <c r="D364" s="616"/>
      <c r="E364" s="616"/>
      <c r="F364" s="617"/>
      <c r="G364" s="618"/>
      <c r="H364" s="618"/>
      <c r="I364" s="618"/>
      <c r="J364" s="618"/>
      <c r="K364" s="618"/>
      <c r="L364" s="618"/>
    </row>
    <row r="365" spans="1:14" ht="15.75" x14ac:dyDescent="0.25">
      <c r="A365" s="615" t="s">
        <v>135</v>
      </c>
      <c r="B365" s="616"/>
      <c r="C365" s="616"/>
      <c r="D365" s="616"/>
      <c r="E365" s="616"/>
      <c r="F365" s="617"/>
      <c r="G365" s="621"/>
      <c r="H365" s="621"/>
      <c r="I365" s="618"/>
      <c r="J365" s="618"/>
      <c r="K365" s="618"/>
      <c r="L365" s="618"/>
    </row>
    <row r="366" spans="1:14" ht="15.75" x14ac:dyDescent="0.25">
      <c r="A366" s="616" t="s">
        <v>190</v>
      </c>
      <c r="B366" s="616"/>
      <c r="C366" s="616"/>
      <c r="D366" s="616"/>
      <c r="E366" s="616"/>
      <c r="F366" s="617"/>
      <c r="G366" s="618"/>
      <c r="H366" s="618"/>
      <c r="I366" s="618"/>
      <c r="J366" s="618"/>
      <c r="K366" s="618"/>
      <c r="L366" s="618"/>
    </row>
    <row r="367" spans="1:14" ht="15.75" x14ac:dyDescent="0.25">
      <c r="A367" s="622" t="s">
        <v>219</v>
      </c>
      <c r="B367" s="623" t="s">
        <v>86</v>
      </c>
      <c r="C367" s="624"/>
      <c r="D367" s="712">
        <v>2019</v>
      </c>
      <c r="E367" s="616"/>
      <c r="F367" s="617"/>
      <c r="G367" s="618"/>
      <c r="H367" s="626"/>
      <c r="I367" s="626"/>
      <c r="J367" s="626"/>
      <c r="K367" s="626"/>
      <c r="L367" s="626"/>
    </row>
    <row r="368" spans="1:14" ht="15.75" x14ac:dyDescent="0.25">
      <c r="A368" s="619"/>
      <c r="B368" s="619"/>
      <c r="C368" s="616"/>
      <c r="D368" s="616"/>
      <c r="E368" s="616"/>
      <c r="F368" s="617"/>
      <c r="G368" s="618"/>
      <c r="H368" s="618"/>
      <c r="I368" s="618"/>
      <c r="J368" s="618"/>
      <c r="K368" s="618"/>
      <c r="L368" s="618"/>
    </row>
    <row r="369" spans="1:12" ht="15.75" x14ac:dyDescent="0.25">
      <c r="A369" s="619"/>
      <c r="B369" s="619"/>
      <c r="C369" s="616"/>
      <c r="D369" s="616"/>
      <c r="E369" s="616"/>
      <c r="F369" s="617"/>
      <c r="G369" s="618"/>
      <c r="H369" s="618"/>
      <c r="I369" s="618"/>
      <c r="J369" s="618"/>
      <c r="K369" s="618"/>
      <c r="L369" s="618"/>
    </row>
    <row r="370" spans="1:12" ht="15.75" x14ac:dyDescent="0.25">
      <c r="A370" s="619"/>
      <c r="B370" s="619"/>
      <c r="C370" s="616"/>
      <c r="D370" s="616"/>
      <c r="E370" s="616"/>
      <c r="F370" s="617"/>
      <c r="G370" s="627" t="s">
        <v>48</v>
      </c>
      <c r="H370" s="627" t="s">
        <v>48</v>
      </c>
      <c r="I370" s="627" t="s">
        <v>561</v>
      </c>
      <c r="J370" s="627" t="s">
        <v>562</v>
      </c>
      <c r="K370" s="627" t="s">
        <v>48</v>
      </c>
      <c r="L370" s="627" t="s">
        <v>140</v>
      </c>
    </row>
    <row r="371" spans="1:12" ht="16.5" thickBot="1" x14ac:dyDescent="0.3">
      <c r="A371" s="628" t="s">
        <v>76</v>
      </c>
      <c r="B371" s="628"/>
      <c r="C371" s="628" t="s">
        <v>563</v>
      </c>
      <c r="D371" s="628"/>
      <c r="E371" s="628" t="s">
        <v>564</v>
      </c>
      <c r="F371" s="629" t="s">
        <v>79</v>
      </c>
      <c r="G371" s="630" t="s">
        <v>177</v>
      </c>
      <c r="H371" s="631" t="s">
        <v>565</v>
      </c>
      <c r="I371" s="630" t="s">
        <v>566</v>
      </c>
      <c r="J371" s="630" t="s">
        <v>567</v>
      </c>
      <c r="K371" s="630" t="s">
        <v>176</v>
      </c>
      <c r="L371" s="630" t="s">
        <v>48</v>
      </c>
    </row>
    <row r="372" spans="1:12" ht="16.5" thickTop="1" x14ac:dyDescent="0.25">
      <c r="A372" s="632"/>
      <c r="B372" s="633"/>
      <c r="C372" s="634"/>
      <c r="D372" s="634"/>
      <c r="E372" s="634"/>
      <c r="F372" s="635"/>
      <c r="G372" s="635"/>
      <c r="H372" s="636"/>
      <c r="I372" s="636"/>
      <c r="J372" s="636"/>
      <c r="K372" s="636"/>
      <c r="L372" s="637"/>
    </row>
    <row r="373" spans="1:12" ht="15.75" x14ac:dyDescent="0.25">
      <c r="A373" s="638">
        <v>43640</v>
      </c>
      <c r="B373" s="639"/>
      <c r="C373" s="640" t="s">
        <v>877</v>
      </c>
      <c r="D373" s="639"/>
      <c r="E373" s="640" t="s">
        <v>877</v>
      </c>
      <c r="F373" s="642">
        <v>0</v>
      </c>
      <c r="G373" s="642">
        <v>0</v>
      </c>
      <c r="H373" s="643">
        <v>1.94</v>
      </c>
      <c r="I373" s="636"/>
      <c r="J373" s="636"/>
      <c r="K373" s="643">
        <v>0</v>
      </c>
      <c r="L373" s="644"/>
    </row>
    <row r="374" spans="1:12" ht="15.75" x14ac:dyDescent="0.25">
      <c r="A374" s="638"/>
      <c r="B374" s="639"/>
      <c r="C374" s="640"/>
      <c r="D374" s="646"/>
      <c r="E374" s="641">
        <f t="shared" ref="E374" si="16">C374</f>
        <v>0</v>
      </c>
      <c r="F374" s="642">
        <v>0</v>
      </c>
      <c r="G374" s="642">
        <v>0</v>
      </c>
      <c r="H374" s="643">
        <v>0</v>
      </c>
      <c r="I374" s="636"/>
      <c r="J374" s="636"/>
      <c r="K374" s="643">
        <v>0</v>
      </c>
      <c r="L374" s="637"/>
    </row>
    <row r="375" spans="1:12" ht="15.75" x14ac:dyDescent="0.25">
      <c r="A375" s="638"/>
      <c r="B375" s="639"/>
      <c r="C375" s="640"/>
      <c r="D375" s="646"/>
      <c r="E375" s="641"/>
      <c r="F375" s="642"/>
      <c r="G375" s="647"/>
      <c r="H375" s="643"/>
      <c r="I375" s="636"/>
      <c r="J375" s="636"/>
      <c r="K375" s="636"/>
      <c r="L375" s="637"/>
    </row>
    <row r="376" spans="1:12" ht="15.75" x14ac:dyDescent="0.25">
      <c r="A376" s="648"/>
      <c r="B376" s="649"/>
      <c r="C376" s="655"/>
      <c r="D376" s="650"/>
      <c r="E376" s="641"/>
      <c r="F376" s="617"/>
      <c r="G376" s="647"/>
      <c r="H376" s="636"/>
      <c r="I376" s="636"/>
      <c r="J376" s="636"/>
      <c r="K376" s="636"/>
      <c r="L376" s="637"/>
    </row>
    <row r="377" spans="1:12" ht="16.5" thickBot="1" x14ac:dyDescent="0.3">
      <c r="A377" s="656"/>
      <c r="B377" s="656"/>
      <c r="C377" s="657"/>
      <c r="D377" s="657"/>
      <c r="E377" s="657"/>
      <c r="F377" s="629"/>
      <c r="G377" s="629"/>
      <c r="H377" s="658"/>
      <c r="I377" s="658"/>
      <c r="J377" s="658"/>
      <c r="K377" s="658"/>
      <c r="L377" s="659"/>
    </row>
    <row r="378" spans="1:12" ht="16.5" thickTop="1" x14ac:dyDescent="0.25">
      <c r="A378" s="660"/>
      <c r="B378" s="660"/>
      <c r="C378" s="650"/>
      <c r="D378" s="650"/>
      <c r="E378" s="650"/>
      <c r="F378" s="644">
        <f>SUM(F372:F377)</f>
        <v>0</v>
      </c>
      <c r="G378" s="644">
        <f t="shared" ref="G378:L378" si="17">SUM(G372:G377)</f>
        <v>0</v>
      </c>
      <c r="H378" s="644">
        <f>SUM(H372:H377)</f>
        <v>1.94</v>
      </c>
      <c r="I378" s="644">
        <f t="shared" si="17"/>
        <v>0</v>
      </c>
      <c r="J378" s="644">
        <f t="shared" si="17"/>
        <v>0</v>
      </c>
      <c r="K378" s="644">
        <f t="shared" si="17"/>
        <v>0</v>
      </c>
      <c r="L378" s="644">
        <f t="shared" si="17"/>
        <v>0</v>
      </c>
    </row>
    <row r="379" spans="1:12" ht="15.75" x14ac:dyDescent="0.25">
      <c r="A379" s="660"/>
      <c r="B379" s="660"/>
      <c r="C379" s="650"/>
      <c r="D379" s="650"/>
      <c r="E379" s="650"/>
      <c r="F379" s="617"/>
      <c r="G379" s="644"/>
      <c r="H379" s="644"/>
      <c r="I379" s="644"/>
      <c r="J379" s="644"/>
      <c r="K379" s="644"/>
      <c r="L379" s="644"/>
    </row>
    <row r="380" spans="1:12" ht="15.75" x14ac:dyDescent="0.25">
      <c r="A380" s="660"/>
      <c r="B380" s="660"/>
      <c r="C380" s="650" t="s">
        <v>573</v>
      </c>
      <c r="D380" s="650"/>
      <c r="E380" s="650"/>
      <c r="F380" s="617"/>
      <c r="G380" s="644"/>
      <c r="H380" s="644">
        <f>+F378</f>
        <v>0</v>
      </c>
      <c r="I380" s="644"/>
      <c r="J380" s="644"/>
      <c r="K380" s="644"/>
      <c r="L380" s="644"/>
    </row>
    <row r="381" spans="1:12" ht="15.75" x14ac:dyDescent="0.25">
      <c r="A381" s="660"/>
      <c r="B381" s="660"/>
      <c r="C381" s="650"/>
      <c r="D381" s="650"/>
      <c r="E381" s="650"/>
      <c r="F381" s="617"/>
      <c r="G381" s="644"/>
      <c r="H381" s="644"/>
      <c r="I381" s="644"/>
      <c r="J381" s="644"/>
      <c r="K381" s="644"/>
      <c r="L381" s="644"/>
    </row>
    <row r="382" spans="1:12" ht="15.75" x14ac:dyDescent="0.25">
      <c r="A382" s="660"/>
      <c r="B382" s="660"/>
      <c r="C382" s="650" t="s">
        <v>574</v>
      </c>
      <c r="D382" s="650"/>
      <c r="E382" s="650"/>
      <c r="F382" s="617"/>
      <c r="G382" s="644"/>
      <c r="H382" s="644">
        <f>+G378</f>
        <v>0</v>
      </c>
      <c r="I382" s="644"/>
      <c r="J382" s="644"/>
      <c r="K382" s="644"/>
      <c r="L382" s="644"/>
    </row>
    <row r="383" spans="1:12" ht="15.75" x14ac:dyDescent="0.25">
      <c r="A383" s="660"/>
      <c r="B383" s="660"/>
      <c r="C383" s="650"/>
      <c r="D383" s="650"/>
      <c r="E383" s="650"/>
      <c r="F383" s="617"/>
      <c r="G383" s="644"/>
      <c r="H383" s="644"/>
      <c r="I383" s="644"/>
      <c r="J383" s="644"/>
      <c r="K383" s="644"/>
      <c r="L383" s="644"/>
    </row>
    <row r="384" spans="1:12" ht="15.75" x14ac:dyDescent="0.25">
      <c r="A384" s="660"/>
      <c r="B384" s="660"/>
      <c r="C384" s="650"/>
      <c r="D384" s="650"/>
      <c r="E384" s="650"/>
      <c r="F384" s="617"/>
      <c r="G384" s="661"/>
      <c r="H384" s="618"/>
      <c r="I384" s="618"/>
      <c r="J384" s="618"/>
      <c r="K384" s="618"/>
      <c r="L384" s="618"/>
    </row>
    <row r="385" spans="1:12" ht="15.75" x14ac:dyDescent="0.25">
      <c r="A385" s="660"/>
      <c r="B385" s="660"/>
      <c r="C385" s="650" t="s">
        <v>448</v>
      </c>
      <c r="D385" s="650"/>
      <c r="E385" s="650"/>
      <c r="F385" s="617"/>
      <c r="G385" s="618"/>
      <c r="H385" s="621"/>
      <c r="I385" s="621"/>
      <c r="J385" s="621"/>
      <c r="K385" s="621"/>
      <c r="L385" s="618"/>
    </row>
    <row r="386" spans="1:12" ht="15.75" x14ac:dyDescent="0.25">
      <c r="A386" s="660"/>
      <c r="B386" s="660"/>
      <c r="C386" s="650" t="s">
        <v>80</v>
      </c>
      <c r="D386" s="650"/>
      <c r="E386" s="650"/>
      <c r="F386" s="617"/>
      <c r="G386" s="618"/>
      <c r="H386" s="760">
        <f>ROUND(H378/1.13,2)</f>
        <v>1.72</v>
      </c>
      <c r="I386" s="644"/>
      <c r="J386" s="644"/>
      <c r="K386" s="644"/>
      <c r="L386" s="663"/>
    </row>
    <row r="387" spans="1:12" ht="15.75" x14ac:dyDescent="0.25">
      <c r="A387" s="660"/>
      <c r="B387" s="660"/>
      <c r="C387" s="650" t="s">
        <v>449</v>
      </c>
      <c r="D387" s="650"/>
      <c r="E387" s="650"/>
      <c r="F387" s="617"/>
      <c r="G387" s="618"/>
      <c r="H387" s="699">
        <f>(H386*0.13)</f>
        <v>0.22359999999999999</v>
      </c>
      <c r="I387" s="664"/>
      <c r="J387" s="664"/>
      <c r="K387" s="664"/>
      <c r="L387" s="663"/>
    </row>
    <row r="388" spans="1:12" ht="16.5" thickBot="1" x14ac:dyDescent="0.3">
      <c r="A388" s="660"/>
      <c r="B388" s="660"/>
      <c r="C388" s="650"/>
      <c r="D388" s="650"/>
      <c r="E388" s="650"/>
      <c r="F388" s="617"/>
      <c r="G388" s="618"/>
      <c r="H388" s="665"/>
      <c r="I388" s="666"/>
      <c r="J388" s="666"/>
      <c r="K388" s="666"/>
      <c r="L388" s="663"/>
    </row>
    <row r="389" spans="1:12" ht="16.5" thickTop="1" x14ac:dyDescent="0.25">
      <c r="A389" s="660"/>
      <c r="B389" s="660"/>
      <c r="C389" s="650" t="s">
        <v>450</v>
      </c>
      <c r="D389" s="650"/>
      <c r="E389" s="650"/>
      <c r="F389" s="617"/>
      <c r="G389" s="618"/>
      <c r="H389" s="637">
        <f>SUM(H386:H388)</f>
        <v>1.9436</v>
      </c>
      <c r="I389" s="637"/>
      <c r="J389" s="637"/>
      <c r="K389" s="637"/>
      <c r="L389" s="618"/>
    </row>
    <row r="390" spans="1:12" ht="16.5" thickBot="1" x14ac:dyDescent="0.3">
      <c r="A390" s="660"/>
      <c r="B390" s="660"/>
      <c r="C390" s="650"/>
      <c r="D390" s="650"/>
      <c r="E390" s="650"/>
      <c r="F390" s="617"/>
      <c r="G390" s="618"/>
      <c r="H390" s="665"/>
      <c r="I390" s="666"/>
      <c r="J390" s="666"/>
      <c r="K390" s="666"/>
      <c r="L390" s="618"/>
    </row>
    <row r="391" spans="1:12" ht="16.5" thickTop="1" x14ac:dyDescent="0.25">
      <c r="A391" s="660"/>
      <c r="B391" s="660"/>
      <c r="C391" s="650"/>
      <c r="D391" s="650"/>
      <c r="E391" s="650"/>
      <c r="F391" s="617"/>
      <c r="G391" s="618"/>
      <c r="H391" s="667"/>
      <c r="I391" s="667"/>
      <c r="J391" s="667"/>
      <c r="K391" s="667"/>
      <c r="L391" s="618"/>
    </row>
    <row r="392" spans="1:12" ht="15.75" x14ac:dyDescent="0.25">
      <c r="A392" s="660"/>
      <c r="B392" s="660"/>
      <c r="C392" s="650"/>
      <c r="D392" s="650"/>
      <c r="E392" s="650"/>
      <c r="F392" s="617"/>
      <c r="G392" s="618"/>
      <c r="H392" s="627"/>
      <c r="I392" s="627"/>
      <c r="J392" s="627"/>
      <c r="K392" s="627"/>
      <c r="L392" s="618"/>
    </row>
    <row r="393" spans="1:12" ht="15.75" x14ac:dyDescent="0.25">
      <c r="A393" s="660"/>
      <c r="B393" s="660"/>
      <c r="C393" s="650"/>
      <c r="D393" s="650"/>
      <c r="E393" s="650"/>
      <c r="F393" s="668"/>
      <c r="G393" s="618" t="s">
        <v>575</v>
      </c>
      <c r="H393" s="627">
        <v>-0.22</v>
      </c>
      <c r="I393" s="627"/>
      <c r="J393" s="627"/>
      <c r="K393" s="627"/>
      <c r="L393" s="618"/>
    </row>
    <row r="394" spans="1:12" ht="15.75" x14ac:dyDescent="0.25">
      <c r="A394" s="660"/>
      <c r="B394" s="660"/>
      <c r="C394" s="650"/>
      <c r="D394" s="650"/>
      <c r="E394" s="650"/>
      <c r="F394" s="617"/>
      <c r="G394" s="669" t="s">
        <v>576</v>
      </c>
      <c r="H394" s="670">
        <f>+H387+H393</f>
        <v>3.5999999999999921E-3</v>
      </c>
      <c r="I394" s="627"/>
      <c r="J394" s="627"/>
      <c r="K394" s="627"/>
      <c r="L394" s="618"/>
    </row>
    <row r="399" spans="1:12" ht="20.25" x14ac:dyDescent="0.3">
      <c r="A399" s="774" t="s">
        <v>560</v>
      </c>
      <c r="B399" s="775"/>
      <c r="C399" s="776"/>
      <c r="D399" s="776"/>
      <c r="E399" s="776"/>
      <c r="F399" s="777"/>
      <c r="G399" s="778"/>
      <c r="H399" s="778"/>
      <c r="I399" s="778"/>
      <c r="J399" s="778"/>
      <c r="K399" s="778"/>
      <c r="L399" s="778"/>
    </row>
    <row r="400" spans="1:12" ht="15.75" x14ac:dyDescent="0.25">
      <c r="A400" s="776" t="s">
        <v>134</v>
      </c>
      <c r="B400" s="776"/>
      <c r="C400" s="776"/>
      <c r="D400" s="776"/>
      <c r="E400" s="776"/>
      <c r="F400" s="777"/>
      <c r="G400" s="778"/>
      <c r="H400" s="778"/>
      <c r="I400" s="778"/>
      <c r="J400" s="778"/>
      <c r="K400" s="778"/>
      <c r="L400" s="778"/>
    </row>
    <row r="401" spans="1:12" ht="15.75" x14ac:dyDescent="0.25">
      <c r="A401" s="775" t="s">
        <v>135</v>
      </c>
      <c r="B401" s="776"/>
      <c r="C401" s="776"/>
      <c r="D401" s="776"/>
      <c r="E401" s="776"/>
      <c r="F401" s="777"/>
      <c r="G401" s="780"/>
      <c r="H401" s="780"/>
      <c r="I401" s="778"/>
      <c r="J401" s="778"/>
      <c r="K401" s="778"/>
      <c r="L401" s="778"/>
    </row>
    <row r="402" spans="1:12" ht="15.75" x14ac:dyDescent="0.25">
      <c r="A402" s="776" t="s">
        <v>190</v>
      </c>
      <c r="B402" s="776"/>
      <c r="C402" s="776"/>
      <c r="D402" s="776"/>
      <c r="E402" s="776"/>
      <c r="F402" s="777"/>
      <c r="G402" s="778"/>
      <c r="H402" s="778"/>
      <c r="I402" s="778"/>
      <c r="J402" s="778"/>
      <c r="K402" s="778"/>
      <c r="L402" s="778"/>
    </row>
    <row r="403" spans="1:12" ht="15.75" x14ac:dyDescent="0.25">
      <c r="A403" s="781" t="s">
        <v>219</v>
      </c>
      <c r="B403" s="782" t="s">
        <v>87</v>
      </c>
      <c r="C403" s="773"/>
      <c r="D403" s="800">
        <v>2019</v>
      </c>
      <c r="E403" s="776"/>
      <c r="F403" s="777"/>
      <c r="G403" s="778"/>
      <c r="H403" s="773"/>
      <c r="I403" s="773"/>
      <c r="J403" s="773"/>
      <c r="K403" s="773"/>
      <c r="L403" s="773"/>
    </row>
    <row r="404" spans="1:12" ht="15.75" x14ac:dyDescent="0.25">
      <c r="A404" s="779"/>
      <c r="B404" s="779"/>
      <c r="C404" s="776"/>
      <c r="D404" s="776"/>
      <c r="E404" s="776"/>
      <c r="F404" s="777"/>
      <c r="G404" s="778"/>
      <c r="H404" s="778"/>
      <c r="I404" s="778"/>
      <c r="J404" s="778"/>
      <c r="K404" s="778"/>
      <c r="L404" s="778"/>
    </row>
    <row r="405" spans="1:12" ht="15.75" x14ac:dyDescent="0.25">
      <c r="A405" s="779"/>
      <c r="B405" s="779"/>
      <c r="C405" s="776"/>
      <c r="D405" s="776"/>
      <c r="E405" s="776"/>
      <c r="F405" s="777"/>
      <c r="G405" s="778"/>
      <c r="H405" s="778"/>
      <c r="I405" s="778"/>
      <c r="J405" s="778"/>
      <c r="K405" s="778"/>
      <c r="L405" s="778"/>
    </row>
    <row r="406" spans="1:12" ht="15.75" x14ac:dyDescent="0.25">
      <c r="A406" s="779"/>
      <c r="B406" s="779"/>
      <c r="C406" s="776"/>
      <c r="D406" s="776"/>
      <c r="E406" s="776"/>
      <c r="F406" s="777"/>
      <c r="G406" s="783" t="s">
        <v>48</v>
      </c>
      <c r="H406" s="783" t="s">
        <v>48</v>
      </c>
      <c r="I406" s="783" t="s">
        <v>561</v>
      </c>
      <c r="J406" s="783" t="s">
        <v>562</v>
      </c>
      <c r="K406" s="783" t="s">
        <v>48</v>
      </c>
      <c r="L406" s="783" t="s">
        <v>140</v>
      </c>
    </row>
    <row r="407" spans="1:12" ht="16.5" thickBot="1" x14ac:dyDescent="0.3">
      <c r="A407" s="784" t="s">
        <v>76</v>
      </c>
      <c r="B407" s="784"/>
      <c r="C407" s="784" t="s">
        <v>563</v>
      </c>
      <c r="D407" s="784"/>
      <c r="E407" s="784" t="s">
        <v>564</v>
      </c>
      <c r="F407" s="785" t="s">
        <v>79</v>
      </c>
      <c r="G407" s="786" t="s">
        <v>177</v>
      </c>
      <c r="H407" s="798" t="s">
        <v>565</v>
      </c>
      <c r="I407" s="786" t="s">
        <v>566</v>
      </c>
      <c r="J407" s="786" t="s">
        <v>567</v>
      </c>
      <c r="K407" s="786" t="s">
        <v>176</v>
      </c>
      <c r="L407" s="786" t="s">
        <v>48</v>
      </c>
    </row>
    <row r="408" spans="1:12" ht="16.5" thickTop="1" x14ac:dyDescent="0.25">
      <c r="A408" s="799"/>
      <c r="B408" s="787"/>
      <c r="C408" s="788"/>
      <c r="D408" s="788"/>
      <c r="E408" s="788"/>
      <c r="F408" s="789"/>
      <c r="G408" s="789"/>
      <c r="H408" s="790"/>
      <c r="I408" s="790"/>
      <c r="J408" s="790"/>
      <c r="K408" s="790"/>
      <c r="L408" s="791"/>
    </row>
    <row r="409" spans="1:12" ht="15.75" x14ac:dyDescent="0.25">
      <c r="A409" s="792">
        <v>43675</v>
      </c>
      <c r="B409" s="793"/>
      <c r="C409" s="794" t="s">
        <v>725</v>
      </c>
      <c r="D409" s="793"/>
      <c r="E409" s="794" t="s">
        <v>725</v>
      </c>
      <c r="F409" s="795">
        <v>0</v>
      </c>
      <c r="G409" s="795">
        <v>0</v>
      </c>
      <c r="H409" s="797">
        <v>24.98</v>
      </c>
      <c r="I409" s="790"/>
      <c r="J409" s="790"/>
      <c r="K409" s="797">
        <v>0</v>
      </c>
      <c r="L409" s="796"/>
    </row>
    <row r="412" spans="1:12" ht="15.75" x14ac:dyDescent="0.25">
      <c r="A412" s="856"/>
      <c r="B412" s="856"/>
      <c r="C412" s="851"/>
      <c r="D412" s="851"/>
      <c r="E412" s="851"/>
      <c r="F412" s="848">
        <v>0</v>
      </c>
      <c r="G412" s="848">
        <v>0</v>
      </c>
      <c r="H412" s="848">
        <v>24.98</v>
      </c>
      <c r="I412" s="848">
        <v>0</v>
      </c>
      <c r="J412" s="848">
        <v>0</v>
      </c>
      <c r="K412" s="848">
        <v>0</v>
      </c>
      <c r="L412" s="848">
        <v>0</v>
      </c>
    </row>
    <row r="413" spans="1:12" ht="15.75" x14ac:dyDescent="0.25">
      <c r="A413" s="856"/>
      <c r="B413" s="856"/>
      <c r="C413" s="851"/>
      <c r="D413" s="851"/>
      <c r="E413" s="851"/>
      <c r="F413" s="826"/>
      <c r="G413" s="848"/>
      <c r="H413" s="848"/>
      <c r="I413" s="848"/>
      <c r="J413" s="848"/>
      <c r="K413" s="848"/>
      <c r="L413" s="848"/>
    </row>
    <row r="414" spans="1:12" ht="15.75" x14ac:dyDescent="0.25">
      <c r="A414" s="856"/>
      <c r="B414" s="856"/>
      <c r="C414" s="851" t="s">
        <v>573</v>
      </c>
      <c r="D414" s="851"/>
      <c r="E414" s="851"/>
      <c r="F414" s="826"/>
      <c r="G414" s="848"/>
      <c r="H414" s="848">
        <v>0</v>
      </c>
      <c r="I414" s="848"/>
      <c r="J414" s="848"/>
      <c r="K414" s="848"/>
      <c r="L414" s="848"/>
    </row>
    <row r="415" spans="1:12" ht="15.75" x14ac:dyDescent="0.25">
      <c r="A415" s="856"/>
      <c r="B415" s="856"/>
      <c r="C415" s="851"/>
      <c r="D415" s="851"/>
      <c r="E415" s="851"/>
      <c r="F415" s="826"/>
      <c r="G415" s="848"/>
      <c r="H415" s="848"/>
      <c r="I415" s="848"/>
      <c r="J415" s="848"/>
      <c r="K415" s="848"/>
      <c r="L415" s="848"/>
    </row>
    <row r="416" spans="1:12" ht="15.75" x14ac:dyDescent="0.25">
      <c r="A416" s="856"/>
      <c r="B416" s="856"/>
      <c r="C416" s="851" t="s">
        <v>574</v>
      </c>
      <c r="D416" s="851"/>
      <c r="E416" s="851"/>
      <c r="F416" s="826"/>
      <c r="G416" s="848"/>
      <c r="H416" s="848">
        <v>0</v>
      </c>
      <c r="I416" s="848"/>
      <c r="J416" s="848"/>
      <c r="K416" s="848"/>
      <c r="L416" s="848"/>
    </row>
    <row r="417" spans="1:12" ht="15.75" x14ac:dyDescent="0.25">
      <c r="A417" s="856"/>
      <c r="B417" s="856"/>
      <c r="C417" s="851"/>
      <c r="D417" s="851"/>
      <c r="E417" s="851"/>
      <c r="F417" s="826"/>
      <c r="G417" s="848"/>
      <c r="H417" s="848"/>
      <c r="I417" s="848"/>
      <c r="J417" s="848"/>
      <c r="K417" s="848"/>
      <c r="L417" s="848"/>
    </row>
    <row r="418" spans="1:12" ht="15.75" x14ac:dyDescent="0.25">
      <c r="A418" s="856"/>
      <c r="B418" s="856"/>
      <c r="C418" s="851"/>
      <c r="D418" s="851"/>
      <c r="E418" s="851"/>
      <c r="F418" s="826"/>
      <c r="G418" s="857"/>
      <c r="H418" s="827"/>
      <c r="I418" s="827"/>
      <c r="J418" s="827"/>
      <c r="K418" s="827"/>
      <c r="L418" s="827"/>
    </row>
    <row r="419" spans="1:12" ht="15.75" x14ac:dyDescent="0.25">
      <c r="A419" s="856"/>
      <c r="B419" s="856"/>
      <c r="C419" s="851" t="s">
        <v>448</v>
      </c>
      <c r="D419" s="851"/>
      <c r="E419" s="851"/>
      <c r="F419" s="826"/>
      <c r="G419" s="827"/>
      <c r="H419" s="829"/>
      <c r="I419" s="829"/>
      <c r="J419" s="829"/>
      <c r="K419" s="829"/>
      <c r="L419" s="827"/>
    </row>
    <row r="420" spans="1:12" ht="15.75" x14ac:dyDescent="0.25">
      <c r="A420" s="856"/>
      <c r="B420" s="856"/>
      <c r="C420" s="851" t="s">
        <v>80</v>
      </c>
      <c r="D420" s="851"/>
      <c r="E420" s="851"/>
      <c r="F420" s="826"/>
      <c r="G420" s="827"/>
      <c r="H420" s="760">
        <v>22.11</v>
      </c>
      <c r="I420" s="848"/>
      <c r="J420" s="848"/>
      <c r="K420" s="848"/>
      <c r="L420" s="858"/>
    </row>
    <row r="421" spans="1:12" ht="15.75" x14ac:dyDescent="0.25">
      <c r="A421" s="856"/>
      <c r="B421" s="856"/>
      <c r="C421" s="851" t="s">
        <v>449</v>
      </c>
      <c r="D421" s="851"/>
      <c r="E421" s="851"/>
      <c r="F421" s="826"/>
      <c r="G421" s="827"/>
      <c r="H421" s="873">
        <v>2.8742999999999999</v>
      </c>
      <c r="I421" s="859"/>
      <c r="J421" s="859"/>
      <c r="K421" s="859"/>
      <c r="L421" s="858"/>
    </row>
    <row r="422" spans="1:12" ht="16.5" thickBot="1" x14ac:dyDescent="0.3">
      <c r="A422" s="856"/>
      <c r="B422" s="856"/>
      <c r="C422" s="851"/>
      <c r="D422" s="851"/>
      <c r="E422" s="851"/>
      <c r="F422" s="826"/>
      <c r="G422" s="827"/>
      <c r="H422" s="860"/>
      <c r="I422" s="861"/>
      <c r="J422" s="861"/>
      <c r="K422" s="861"/>
      <c r="L422" s="858"/>
    </row>
    <row r="423" spans="1:12" ht="16.5" thickTop="1" x14ac:dyDescent="0.25">
      <c r="A423" s="856"/>
      <c r="B423" s="856"/>
      <c r="C423" s="851" t="s">
        <v>450</v>
      </c>
      <c r="D423" s="851"/>
      <c r="E423" s="851"/>
      <c r="F423" s="826"/>
      <c r="G423" s="827"/>
      <c r="H423" s="842">
        <v>24.984299999999998</v>
      </c>
      <c r="I423" s="842"/>
      <c r="J423" s="842"/>
      <c r="K423" s="842"/>
      <c r="L423" s="827"/>
    </row>
    <row r="424" spans="1:12" ht="16.5" thickBot="1" x14ac:dyDescent="0.3">
      <c r="A424" s="856"/>
      <c r="B424" s="856"/>
      <c r="C424" s="851"/>
      <c r="D424" s="851"/>
      <c r="E424" s="851"/>
      <c r="F424" s="826"/>
      <c r="G424" s="827"/>
      <c r="H424" s="860"/>
      <c r="I424" s="861"/>
      <c r="J424" s="861"/>
      <c r="K424" s="861"/>
      <c r="L424" s="827"/>
    </row>
    <row r="436" spans="1:13" s="771" customFormat="1" ht="9.75" customHeight="1" x14ac:dyDescent="0.2"/>
    <row r="438" spans="1:13" ht="20.25" x14ac:dyDescent="0.3">
      <c r="A438" s="614" t="s">
        <v>560</v>
      </c>
      <c r="B438" s="615"/>
      <c r="C438" s="616"/>
      <c r="D438" s="616"/>
      <c r="E438" s="616"/>
      <c r="F438" s="617"/>
      <c r="G438" s="618"/>
      <c r="H438" s="618"/>
      <c r="I438" s="618"/>
      <c r="J438" s="618"/>
      <c r="K438" s="618"/>
      <c r="L438" s="618"/>
      <c r="M438" s="619"/>
    </row>
    <row r="439" spans="1:13" ht="15.75" x14ac:dyDescent="0.25">
      <c r="A439" s="616" t="s">
        <v>134</v>
      </c>
      <c r="B439" s="616"/>
      <c r="C439" s="616"/>
      <c r="D439" s="616"/>
      <c r="E439" s="616"/>
      <c r="F439" s="617"/>
      <c r="G439" s="618"/>
      <c r="H439" s="618"/>
      <c r="I439" s="618"/>
      <c r="J439" s="618"/>
      <c r="K439" s="618"/>
      <c r="L439" s="618"/>
      <c r="M439" s="619"/>
    </row>
    <row r="440" spans="1:13" ht="15.75" x14ac:dyDescent="0.25">
      <c r="A440" s="615" t="s">
        <v>135</v>
      </c>
      <c r="B440" s="616"/>
      <c r="C440" s="616"/>
      <c r="D440" s="616"/>
      <c r="E440" s="616"/>
      <c r="F440" s="617"/>
      <c r="G440" s="621"/>
      <c r="H440" s="621"/>
      <c r="I440" s="618"/>
      <c r="J440" s="618"/>
      <c r="K440" s="618"/>
      <c r="L440" s="618"/>
      <c r="M440" s="619"/>
    </row>
    <row r="441" spans="1:13" ht="15.75" x14ac:dyDescent="0.25">
      <c r="A441" s="616" t="s">
        <v>190</v>
      </c>
      <c r="B441" s="616"/>
      <c r="C441" s="616"/>
      <c r="D441" s="616"/>
      <c r="E441" s="616"/>
      <c r="F441" s="617"/>
      <c r="G441" s="618"/>
      <c r="H441" s="618"/>
      <c r="I441" s="618"/>
      <c r="J441" s="618"/>
      <c r="K441" s="618"/>
      <c r="L441" s="618"/>
      <c r="M441" s="619"/>
    </row>
    <row r="442" spans="1:13" ht="15.75" x14ac:dyDescent="0.25">
      <c r="A442" s="622" t="s">
        <v>219</v>
      </c>
      <c r="B442" s="623" t="s">
        <v>88</v>
      </c>
      <c r="C442" s="624"/>
      <c r="D442" s="712">
        <v>2019</v>
      </c>
      <c r="E442" s="616"/>
      <c r="F442" s="617"/>
      <c r="G442" s="618"/>
      <c r="H442" s="626"/>
      <c r="I442" s="626"/>
      <c r="J442" s="626"/>
      <c r="K442" s="626"/>
      <c r="L442" s="626"/>
      <c r="M442" s="619"/>
    </row>
    <row r="443" spans="1:13" ht="15.75" x14ac:dyDescent="0.25">
      <c r="A443" s="619"/>
      <c r="B443" s="619"/>
      <c r="C443" s="616"/>
      <c r="D443" s="616"/>
      <c r="E443" s="616"/>
      <c r="F443" s="617"/>
      <c r="G443" s="618"/>
      <c r="H443" s="618"/>
      <c r="I443" s="618"/>
      <c r="J443" s="618"/>
      <c r="K443" s="618"/>
      <c r="L443" s="618"/>
      <c r="M443" s="619"/>
    </row>
    <row r="444" spans="1:13" ht="15.75" x14ac:dyDescent="0.25">
      <c r="A444" s="619"/>
      <c r="B444" s="619"/>
      <c r="C444" s="616"/>
      <c r="D444" s="616"/>
      <c r="E444" s="616"/>
      <c r="F444" s="617"/>
      <c r="G444" s="618"/>
      <c r="H444" s="618"/>
      <c r="I444" s="618"/>
      <c r="J444" s="618"/>
      <c r="K444" s="618"/>
      <c r="L444" s="618"/>
      <c r="M444" s="619"/>
    </row>
    <row r="445" spans="1:13" ht="15.75" x14ac:dyDescent="0.25">
      <c r="A445" s="619"/>
      <c r="B445" s="619"/>
      <c r="C445" s="616"/>
      <c r="D445" s="616"/>
      <c r="E445" s="616"/>
      <c r="F445" s="617"/>
      <c r="G445" s="627" t="s">
        <v>48</v>
      </c>
      <c r="H445" s="627" t="s">
        <v>48</v>
      </c>
      <c r="I445" s="627" t="s">
        <v>561</v>
      </c>
      <c r="J445" s="627" t="s">
        <v>562</v>
      </c>
      <c r="K445" s="627" t="s">
        <v>48</v>
      </c>
      <c r="L445" s="627" t="s">
        <v>140</v>
      </c>
      <c r="M445" s="619"/>
    </row>
    <row r="446" spans="1:13" ht="16.5" thickBot="1" x14ac:dyDescent="0.3">
      <c r="A446" s="628" t="s">
        <v>76</v>
      </c>
      <c r="B446" s="628"/>
      <c r="C446" s="628" t="s">
        <v>563</v>
      </c>
      <c r="D446" s="628"/>
      <c r="E446" s="628" t="s">
        <v>564</v>
      </c>
      <c r="F446" s="629" t="s">
        <v>79</v>
      </c>
      <c r="G446" s="630" t="s">
        <v>177</v>
      </c>
      <c r="H446" s="631" t="s">
        <v>565</v>
      </c>
      <c r="I446" s="630" t="s">
        <v>566</v>
      </c>
      <c r="J446" s="630" t="s">
        <v>567</v>
      </c>
      <c r="K446" s="630" t="s">
        <v>176</v>
      </c>
      <c r="L446" s="630" t="s">
        <v>48</v>
      </c>
      <c r="M446" s="619"/>
    </row>
    <row r="447" spans="1:13" ht="16.5" thickTop="1" x14ac:dyDescent="0.25">
      <c r="A447" s="632"/>
      <c r="B447" s="633"/>
      <c r="C447" s="634"/>
      <c r="D447" s="634"/>
      <c r="E447" s="634"/>
      <c r="F447" s="635"/>
      <c r="G447" s="635"/>
      <c r="H447" s="636"/>
      <c r="I447" s="636"/>
      <c r="J447" s="636"/>
      <c r="K447" s="636"/>
      <c r="L447" s="637"/>
      <c r="M447" s="619"/>
    </row>
    <row r="448" spans="1:13" ht="15.75" x14ac:dyDescent="0.25">
      <c r="A448" s="638">
        <v>43693</v>
      </c>
      <c r="B448" s="639"/>
      <c r="C448" s="640" t="s">
        <v>963</v>
      </c>
      <c r="D448" s="639"/>
      <c r="E448" s="640" t="s">
        <v>725</v>
      </c>
      <c r="F448" s="642">
        <v>0</v>
      </c>
      <c r="G448" s="642">
        <v>0</v>
      </c>
      <c r="H448" s="643">
        <v>2.02</v>
      </c>
      <c r="I448" s="636"/>
      <c r="J448" s="636"/>
      <c r="K448" s="643">
        <v>0</v>
      </c>
      <c r="L448" s="644"/>
      <c r="M448" s="643"/>
    </row>
    <row r="449" spans="1:13" ht="15.75" x14ac:dyDescent="0.25">
      <c r="A449" s="638"/>
      <c r="B449" s="639"/>
      <c r="C449" s="640"/>
      <c r="D449" s="639"/>
      <c r="E449" s="641">
        <f t="shared" ref="E449" si="18">C449</f>
        <v>0</v>
      </c>
      <c r="F449" s="642">
        <v>0</v>
      </c>
      <c r="G449" s="642">
        <v>0</v>
      </c>
      <c r="H449" s="643">
        <v>0</v>
      </c>
      <c r="I449" s="636"/>
      <c r="J449" s="636"/>
      <c r="K449" s="643">
        <v>0</v>
      </c>
      <c r="L449" s="644"/>
      <c r="M449" s="643"/>
    </row>
    <row r="450" spans="1:13" ht="15.75" x14ac:dyDescent="0.25">
      <c r="A450" s="648"/>
      <c r="B450" s="649"/>
      <c r="C450" s="655"/>
      <c r="D450" s="650"/>
      <c r="E450" s="641"/>
      <c r="F450" s="617"/>
      <c r="G450" s="647"/>
      <c r="H450" s="636"/>
      <c r="I450" s="636"/>
      <c r="J450" s="636"/>
      <c r="K450" s="636"/>
      <c r="L450" s="637"/>
      <c r="M450" s="619"/>
    </row>
    <row r="451" spans="1:13" ht="16.5" thickBot="1" x14ac:dyDescent="0.3">
      <c r="A451" s="656"/>
      <c r="B451" s="656"/>
      <c r="C451" s="657"/>
      <c r="D451" s="657"/>
      <c r="E451" s="657"/>
      <c r="F451" s="629"/>
      <c r="G451" s="629"/>
      <c r="H451" s="658"/>
      <c r="I451" s="658"/>
      <c r="J451" s="658"/>
      <c r="K451" s="658"/>
      <c r="L451" s="659"/>
      <c r="M451" s="619"/>
    </row>
    <row r="452" spans="1:13" ht="16.5" thickTop="1" x14ac:dyDescent="0.25">
      <c r="A452" s="660"/>
      <c r="B452" s="660"/>
      <c r="C452" s="650"/>
      <c r="D452" s="650"/>
      <c r="E452" s="650"/>
      <c r="F452" s="644">
        <f>SUM(F447:F451)</f>
        <v>0</v>
      </c>
      <c r="G452" s="644">
        <f t="shared" ref="G452:L452" si="19">SUM(G447:G451)</f>
        <v>0</v>
      </c>
      <c r="H452" s="644">
        <f>SUM(H447:H451)</f>
        <v>2.02</v>
      </c>
      <c r="I452" s="644">
        <f t="shared" si="19"/>
        <v>0</v>
      </c>
      <c r="J452" s="644">
        <f t="shared" si="19"/>
        <v>0</v>
      </c>
      <c r="K452" s="644">
        <f t="shared" si="19"/>
        <v>0</v>
      </c>
      <c r="L452" s="644">
        <f t="shared" si="19"/>
        <v>0</v>
      </c>
      <c r="M452" s="619"/>
    </row>
    <row r="453" spans="1:13" ht="15.75" x14ac:dyDescent="0.25">
      <c r="A453" s="660"/>
      <c r="B453" s="660"/>
      <c r="C453" s="650"/>
      <c r="D453" s="650"/>
      <c r="E453" s="650"/>
      <c r="F453" s="617"/>
      <c r="G453" s="644"/>
      <c r="H453" s="644"/>
      <c r="I453" s="644"/>
      <c r="J453" s="644"/>
      <c r="K453" s="644"/>
      <c r="L453" s="644"/>
      <c r="M453" s="619"/>
    </row>
    <row r="454" spans="1:13" ht="15.75" x14ac:dyDescent="0.25">
      <c r="A454" s="660"/>
      <c r="B454" s="660"/>
      <c r="C454" s="650" t="s">
        <v>573</v>
      </c>
      <c r="D454" s="650"/>
      <c r="E454" s="650"/>
      <c r="F454" s="617"/>
      <c r="G454" s="644"/>
      <c r="H454" s="644">
        <f>+F452</f>
        <v>0</v>
      </c>
      <c r="I454" s="644"/>
      <c r="J454" s="644"/>
      <c r="K454" s="644"/>
      <c r="L454" s="644"/>
      <c r="M454" s="619"/>
    </row>
    <row r="455" spans="1:13" ht="15.75" x14ac:dyDescent="0.25">
      <c r="A455" s="660"/>
      <c r="B455" s="660"/>
      <c r="C455" s="650"/>
      <c r="D455" s="650"/>
      <c r="E455" s="650"/>
      <c r="F455" s="617"/>
      <c r="G455" s="644"/>
      <c r="H455" s="644"/>
      <c r="I455" s="644"/>
      <c r="J455" s="644"/>
      <c r="K455" s="644"/>
      <c r="L455" s="644"/>
      <c r="M455" s="619"/>
    </row>
    <row r="456" spans="1:13" ht="15.75" x14ac:dyDescent="0.25">
      <c r="A456" s="660"/>
      <c r="B456" s="660"/>
      <c r="C456" s="650" t="s">
        <v>574</v>
      </c>
      <c r="D456" s="650"/>
      <c r="E456" s="650"/>
      <c r="F456" s="617"/>
      <c r="G456" s="644"/>
      <c r="H456" s="644">
        <f>+G452</f>
        <v>0</v>
      </c>
      <c r="I456" s="644"/>
      <c r="J456" s="644"/>
      <c r="K456" s="644"/>
      <c r="L456" s="644"/>
      <c r="M456" s="619"/>
    </row>
    <row r="457" spans="1:13" ht="15.75" x14ac:dyDescent="0.25">
      <c r="A457" s="660"/>
      <c r="B457" s="660"/>
      <c r="C457" s="650"/>
      <c r="D457" s="650"/>
      <c r="E457" s="650"/>
      <c r="F457" s="617"/>
      <c r="G457" s="644"/>
      <c r="H457" s="644"/>
      <c r="I457" s="644"/>
      <c r="J457" s="644"/>
      <c r="K457" s="644"/>
      <c r="L457" s="644"/>
      <c r="M457" s="619"/>
    </row>
    <row r="458" spans="1:13" ht="15.75" x14ac:dyDescent="0.25">
      <c r="A458" s="660"/>
      <c r="B458" s="660"/>
      <c r="C458" s="650"/>
      <c r="D458" s="650"/>
      <c r="E458" s="650"/>
      <c r="F458" s="617"/>
      <c r="G458" s="661"/>
      <c r="H458" s="618"/>
      <c r="I458" s="618"/>
      <c r="J458" s="618"/>
      <c r="K458" s="618"/>
      <c r="L458" s="618"/>
      <c r="M458" s="619"/>
    </row>
    <row r="459" spans="1:13" ht="15.75" x14ac:dyDescent="0.25">
      <c r="A459" s="660"/>
      <c r="B459" s="660"/>
      <c r="C459" s="650" t="s">
        <v>448</v>
      </c>
      <c r="D459" s="650"/>
      <c r="E459" s="650"/>
      <c r="F459" s="617"/>
      <c r="G459" s="618"/>
      <c r="H459" s="621"/>
      <c r="I459" s="621"/>
      <c r="J459" s="621"/>
      <c r="K459" s="621"/>
      <c r="L459" s="618"/>
      <c r="M459" s="619"/>
    </row>
    <row r="460" spans="1:13" ht="15.75" x14ac:dyDescent="0.25">
      <c r="A460" s="660"/>
      <c r="B460" s="660"/>
      <c r="C460" s="650" t="s">
        <v>80</v>
      </c>
      <c r="D460" s="650"/>
      <c r="E460" s="650"/>
      <c r="F460" s="617"/>
      <c r="G460" s="618"/>
      <c r="H460" s="760">
        <f>ROUND(H452/1.13,2)</f>
        <v>1.79</v>
      </c>
      <c r="I460" s="644"/>
      <c r="J460" s="644"/>
      <c r="K460" s="644"/>
      <c r="L460" s="663"/>
      <c r="M460" s="619"/>
    </row>
    <row r="461" spans="1:13" ht="15.75" x14ac:dyDescent="0.25">
      <c r="A461" s="660"/>
      <c r="B461" s="660"/>
      <c r="C461" s="650" t="s">
        <v>449</v>
      </c>
      <c r="D461" s="650"/>
      <c r="E461" s="650"/>
      <c r="F461" s="617"/>
      <c r="G461" s="618"/>
      <c r="H461" s="699">
        <f>(H460*0.13)</f>
        <v>0.23270000000000002</v>
      </c>
      <c r="I461" s="664"/>
      <c r="J461" s="664"/>
      <c r="K461" s="664"/>
      <c r="L461" s="663"/>
      <c r="M461" s="619"/>
    </row>
    <row r="462" spans="1:13" ht="16.5" thickBot="1" x14ac:dyDescent="0.3">
      <c r="A462" s="660"/>
      <c r="B462" s="660"/>
      <c r="C462" s="650"/>
      <c r="D462" s="650"/>
      <c r="E462" s="650"/>
      <c r="F462" s="617"/>
      <c r="G462" s="618"/>
      <c r="H462" s="665"/>
      <c r="I462" s="666"/>
      <c r="J462" s="666"/>
      <c r="K462" s="666"/>
      <c r="L462" s="663"/>
      <c r="M462" s="619"/>
    </row>
    <row r="463" spans="1:13" ht="16.5" thickTop="1" x14ac:dyDescent="0.25">
      <c r="A463" s="660"/>
      <c r="B463" s="660"/>
      <c r="C463" s="650" t="s">
        <v>450</v>
      </c>
      <c r="D463" s="650"/>
      <c r="E463" s="650"/>
      <c r="F463" s="617"/>
      <c r="G463" s="618"/>
      <c r="H463" s="637">
        <f>SUM(H460:H462)</f>
        <v>2.0226999999999999</v>
      </c>
      <c r="I463" s="637"/>
      <c r="J463" s="637"/>
      <c r="K463" s="637"/>
      <c r="L463" s="618"/>
      <c r="M463" s="619"/>
    </row>
    <row r="464" spans="1:13" ht="16.5" thickBot="1" x14ac:dyDescent="0.3">
      <c r="A464" s="660"/>
      <c r="B464" s="660"/>
      <c r="C464" s="650"/>
      <c r="D464" s="650"/>
      <c r="E464" s="650"/>
      <c r="F464" s="617"/>
      <c r="G464" s="618"/>
      <c r="H464" s="665"/>
      <c r="I464" s="666"/>
      <c r="J464" s="666"/>
      <c r="K464" s="666"/>
      <c r="L464" s="618"/>
      <c r="M464" s="619"/>
    </row>
    <row r="465" spans="1:13" ht="16.5" thickTop="1" x14ac:dyDescent="0.25">
      <c r="A465" s="660"/>
      <c r="B465" s="660"/>
      <c r="C465" s="650"/>
      <c r="D465" s="650"/>
      <c r="E465" s="650"/>
      <c r="F465" s="617"/>
      <c r="G465" s="618"/>
      <c r="H465" s="667"/>
      <c r="I465" s="667"/>
      <c r="J465" s="667"/>
      <c r="K465" s="667"/>
      <c r="L465" s="618"/>
      <c r="M465" s="619"/>
    </row>
    <row r="466" spans="1:13" ht="15.75" x14ac:dyDescent="0.25">
      <c r="A466" s="660"/>
      <c r="B466" s="660"/>
      <c r="C466" s="650"/>
      <c r="D466" s="650"/>
      <c r="E466" s="650"/>
      <c r="F466" s="617"/>
      <c r="G466" s="618"/>
      <c r="H466" s="627"/>
      <c r="I466" s="627"/>
      <c r="J466" s="627"/>
      <c r="K466" s="627"/>
      <c r="L466" s="618"/>
      <c r="M466" s="619"/>
    </row>
    <row r="467" spans="1:13" ht="15.75" x14ac:dyDescent="0.25">
      <c r="A467" s="660"/>
      <c r="B467" s="660"/>
      <c r="C467" s="650"/>
      <c r="D467" s="650"/>
      <c r="E467" s="650"/>
      <c r="F467" s="668"/>
      <c r="G467" s="618" t="s">
        <v>575</v>
      </c>
      <c r="H467" s="627">
        <v>-0.23</v>
      </c>
      <c r="I467" s="627"/>
      <c r="J467" s="627"/>
      <c r="K467" s="627"/>
      <c r="L467" s="618"/>
      <c r="M467" s="619"/>
    </row>
    <row r="468" spans="1:13" ht="15.75" x14ac:dyDescent="0.25">
      <c r="A468" s="660"/>
      <c r="B468" s="660"/>
      <c r="C468" s="650"/>
      <c r="D468" s="650"/>
      <c r="E468" s="650"/>
      <c r="F468" s="617"/>
      <c r="G468" s="669" t="s">
        <v>576</v>
      </c>
      <c r="H468" s="670">
        <f>+H461+H467</f>
        <v>2.7000000000000079E-3</v>
      </c>
      <c r="I468" s="627"/>
      <c r="J468" s="627"/>
      <c r="K468" s="627"/>
      <c r="L468" s="618"/>
      <c r="M468" s="619"/>
    </row>
    <row r="473" spans="1:13" ht="20.25" x14ac:dyDescent="0.3">
      <c r="A473" s="823" t="s">
        <v>560</v>
      </c>
      <c r="B473" s="824"/>
      <c r="C473" s="825"/>
      <c r="D473" s="825"/>
      <c r="E473" s="825"/>
      <c r="F473" s="826"/>
      <c r="G473" s="827"/>
      <c r="H473" s="827"/>
      <c r="I473" s="827"/>
      <c r="J473" s="827"/>
      <c r="K473" s="827"/>
      <c r="L473" s="827"/>
    </row>
    <row r="474" spans="1:13" ht="15.75" x14ac:dyDescent="0.25">
      <c r="A474" s="825" t="s">
        <v>134</v>
      </c>
      <c r="B474" s="825"/>
      <c r="C474" s="825"/>
      <c r="D474" s="825"/>
      <c r="E474" s="825"/>
      <c r="F474" s="826"/>
      <c r="G474" s="827"/>
      <c r="H474" s="827"/>
      <c r="I474" s="827"/>
      <c r="J474" s="827"/>
      <c r="K474" s="827"/>
      <c r="L474" s="827"/>
    </row>
    <row r="475" spans="1:13" ht="15.75" x14ac:dyDescent="0.25">
      <c r="A475" s="824" t="s">
        <v>135</v>
      </c>
      <c r="B475" s="825"/>
      <c r="C475" s="825"/>
      <c r="D475" s="825"/>
      <c r="E475" s="825"/>
      <c r="F475" s="826"/>
      <c r="G475" s="829"/>
      <c r="H475" s="829"/>
      <c r="I475" s="827"/>
      <c r="J475" s="827"/>
      <c r="K475" s="827"/>
      <c r="L475" s="827"/>
    </row>
    <row r="476" spans="1:13" ht="15.75" x14ac:dyDescent="0.25">
      <c r="A476" s="825" t="s">
        <v>190</v>
      </c>
      <c r="B476" s="825"/>
      <c r="C476" s="825"/>
      <c r="D476" s="825"/>
      <c r="E476" s="825"/>
      <c r="F476" s="826"/>
      <c r="G476" s="827"/>
      <c r="H476" s="827"/>
      <c r="I476" s="827"/>
      <c r="J476" s="827"/>
      <c r="K476" s="827"/>
      <c r="L476" s="827"/>
    </row>
    <row r="477" spans="1:13" ht="15.75" x14ac:dyDescent="0.25">
      <c r="A477" s="830" t="s">
        <v>219</v>
      </c>
      <c r="B477" s="831" t="s">
        <v>419</v>
      </c>
      <c r="C477" s="832"/>
      <c r="D477" s="875">
        <v>2019</v>
      </c>
      <c r="E477" s="825"/>
      <c r="F477" s="826"/>
      <c r="G477" s="827"/>
      <c r="H477" s="833"/>
      <c r="I477" s="833"/>
      <c r="J477" s="833"/>
      <c r="K477" s="833"/>
      <c r="L477" s="833"/>
    </row>
    <row r="478" spans="1:13" ht="15.75" x14ac:dyDescent="0.25">
      <c r="A478" s="828"/>
      <c r="B478" s="828"/>
      <c r="C478" s="825"/>
      <c r="D478" s="825"/>
      <c r="E478" s="825"/>
      <c r="F478" s="826"/>
      <c r="G478" s="827"/>
      <c r="H478" s="827"/>
      <c r="I478" s="827"/>
      <c r="J478" s="827"/>
      <c r="K478" s="827"/>
      <c r="L478" s="827"/>
    </row>
    <row r="479" spans="1:13" ht="15.75" x14ac:dyDescent="0.25">
      <c r="A479" s="828"/>
      <c r="B479" s="828"/>
      <c r="C479" s="825"/>
      <c r="D479" s="825"/>
      <c r="E479" s="825"/>
      <c r="F479" s="826"/>
      <c r="G479" s="827"/>
      <c r="H479" s="827"/>
      <c r="I479" s="827"/>
      <c r="J479" s="827"/>
      <c r="K479" s="827"/>
      <c r="L479" s="827"/>
    </row>
    <row r="480" spans="1:13" ht="15.75" x14ac:dyDescent="0.25">
      <c r="A480" s="828"/>
      <c r="B480" s="828"/>
      <c r="C480" s="825"/>
      <c r="D480" s="825"/>
      <c r="E480" s="825"/>
      <c r="F480" s="826"/>
      <c r="G480" s="834" t="s">
        <v>48</v>
      </c>
      <c r="H480" s="834" t="s">
        <v>48</v>
      </c>
      <c r="I480" s="834" t="s">
        <v>561</v>
      </c>
      <c r="J480" s="834" t="s">
        <v>562</v>
      </c>
      <c r="K480" s="834" t="s">
        <v>48</v>
      </c>
      <c r="L480" s="834" t="s">
        <v>140</v>
      </c>
    </row>
    <row r="481" spans="1:12" ht="16.5" thickBot="1" x14ac:dyDescent="0.3">
      <c r="A481" s="835" t="s">
        <v>76</v>
      </c>
      <c r="B481" s="835"/>
      <c r="C481" s="835" t="s">
        <v>563</v>
      </c>
      <c r="D481" s="835"/>
      <c r="E481" s="835" t="s">
        <v>564</v>
      </c>
      <c r="F481" s="836" t="s">
        <v>79</v>
      </c>
      <c r="G481" s="837" t="s">
        <v>177</v>
      </c>
      <c r="H481" s="867" t="s">
        <v>565</v>
      </c>
      <c r="I481" s="837" t="s">
        <v>566</v>
      </c>
      <c r="J481" s="837" t="s">
        <v>567</v>
      </c>
      <c r="K481" s="837" t="s">
        <v>176</v>
      </c>
      <c r="L481" s="837" t="s">
        <v>48</v>
      </c>
    </row>
    <row r="482" spans="1:12" ht="16.5" thickTop="1" x14ac:dyDescent="0.25">
      <c r="A482" s="868"/>
      <c r="B482" s="838"/>
      <c r="C482" s="839"/>
      <c r="D482" s="839"/>
      <c r="E482" s="839"/>
      <c r="F482" s="840"/>
      <c r="G482" s="840"/>
      <c r="H482" s="841"/>
      <c r="I482" s="841"/>
      <c r="J482" s="841"/>
      <c r="K482" s="841"/>
      <c r="L482" s="842"/>
    </row>
    <row r="483" spans="1:12" ht="15.75" x14ac:dyDescent="0.25">
      <c r="A483" s="843"/>
      <c r="B483" s="844"/>
      <c r="C483" s="845"/>
      <c r="D483" s="844"/>
      <c r="E483" s="845"/>
      <c r="F483" s="847">
        <v>0</v>
      </c>
      <c r="G483" s="847">
        <v>0</v>
      </c>
      <c r="H483" s="849"/>
      <c r="I483" s="841"/>
      <c r="J483" s="841"/>
      <c r="K483" s="849">
        <v>0</v>
      </c>
      <c r="L483" s="848"/>
    </row>
    <row r="484" spans="1:12" ht="15.75" x14ac:dyDescent="0.25">
      <c r="A484" s="843">
        <v>43731</v>
      </c>
      <c r="B484" s="844"/>
      <c r="C484" s="845" t="s">
        <v>991</v>
      </c>
      <c r="D484" s="844"/>
      <c r="E484" s="846" t="str">
        <f t="shared" ref="E484:E491" si="20">C484</f>
        <v>2019</v>
      </c>
      <c r="F484" s="847">
        <v>0</v>
      </c>
      <c r="G484" s="847">
        <v>0</v>
      </c>
      <c r="H484" s="849">
        <v>2.0099999999999998</v>
      </c>
      <c r="I484" s="841"/>
      <c r="J484" s="841"/>
      <c r="K484" s="849">
        <v>0</v>
      </c>
      <c r="L484" s="848"/>
    </row>
    <row r="485" spans="1:12" ht="15.75" x14ac:dyDescent="0.25">
      <c r="A485" s="843">
        <v>43731</v>
      </c>
      <c r="B485" s="844"/>
      <c r="C485" s="845" t="s">
        <v>992</v>
      </c>
      <c r="D485" s="844"/>
      <c r="E485" s="846" t="str">
        <f t="shared" si="20"/>
        <v>2020</v>
      </c>
      <c r="F485" s="847">
        <v>0</v>
      </c>
      <c r="G485" s="874">
        <v>0</v>
      </c>
      <c r="H485" s="849">
        <v>11.67</v>
      </c>
      <c r="I485" s="841"/>
      <c r="J485" s="841"/>
      <c r="K485" s="849">
        <v>0</v>
      </c>
      <c r="L485" s="848"/>
    </row>
    <row r="486" spans="1:12" ht="15.75" x14ac:dyDescent="0.25">
      <c r="A486" s="843">
        <v>43733</v>
      </c>
      <c r="B486" s="844"/>
      <c r="C486" s="845" t="s">
        <v>993</v>
      </c>
      <c r="D486" s="844"/>
      <c r="E486" s="846" t="str">
        <f t="shared" si="20"/>
        <v>00342</v>
      </c>
      <c r="F486" s="847">
        <v>0</v>
      </c>
      <c r="G486" s="847">
        <v>10.8</v>
      </c>
      <c r="H486" s="849">
        <v>0</v>
      </c>
      <c r="I486" s="841"/>
      <c r="J486" s="841"/>
      <c r="K486" s="849">
        <v>0</v>
      </c>
      <c r="L486" s="842"/>
    </row>
    <row r="487" spans="1:12" ht="15.75" x14ac:dyDescent="0.25">
      <c r="A487" s="843">
        <v>43733</v>
      </c>
      <c r="B487" s="844"/>
      <c r="C487" s="845" t="s">
        <v>994</v>
      </c>
      <c r="D487" s="844"/>
      <c r="E487" s="846" t="str">
        <f t="shared" si="20"/>
        <v>00343</v>
      </c>
      <c r="F487" s="847">
        <v>0</v>
      </c>
      <c r="G487" s="847">
        <v>97.74</v>
      </c>
      <c r="H487" s="849">
        <v>0</v>
      </c>
      <c r="I487" s="841"/>
      <c r="J487" s="841"/>
      <c r="K487" s="849">
        <v>0</v>
      </c>
      <c r="L487" s="848"/>
    </row>
    <row r="488" spans="1:12" ht="15.75" x14ac:dyDescent="0.25">
      <c r="A488" s="843">
        <v>43734</v>
      </c>
      <c r="B488" s="844"/>
      <c r="C488" s="845" t="s">
        <v>995</v>
      </c>
      <c r="D488" s="850"/>
      <c r="E488" s="846" t="str">
        <f t="shared" si="20"/>
        <v>00344</v>
      </c>
      <c r="F488" s="847">
        <v>0</v>
      </c>
      <c r="G488" s="847">
        <v>125.02</v>
      </c>
      <c r="H488" s="849">
        <v>0</v>
      </c>
      <c r="I488" s="841"/>
      <c r="J488" s="841"/>
      <c r="K488" s="849">
        <v>0</v>
      </c>
      <c r="L488" s="842"/>
    </row>
    <row r="489" spans="1:12" ht="15.75" x14ac:dyDescent="0.25">
      <c r="A489" s="843">
        <v>43734</v>
      </c>
      <c r="B489" s="844"/>
      <c r="C489" s="845" t="s">
        <v>996</v>
      </c>
      <c r="D489" s="850"/>
      <c r="E489" s="846" t="str">
        <f t="shared" si="20"/>
        <v>00345</v>
      </c>
      <c r="F489" s="847">
        <v>0</v>
      </c>
      <c r="G489" s="847">
        <v>4024.89</v>
      </c>
      <c r="H489" s="849">
        <v>0</v>
      </c>
      <c r="I489" s="841"/>
      <c r="J489" s="841"/>
      <c r="K489" s="849">
        <v>0</v>
      </c>
      <c r="L489" s="842"/>
    </row>
    <row r="490" spans="1:12" ht="15.75" x14ac:dyDescent="0.25">
      <c r="A490" s="843"/>
      <c r="B490" s="844"/>
      <c r="C490" s="845"/>
      <c r="D490" s="850"/>
      <c r="E490" s="846">
        <f t="shared" si="20"/>
        <v>0</v>
      </c>
      <c r="F490" s="847">
        <v>0</v>
      </c>
      <c r="G490" s="847">
        <v>0</v>
      </c>
      <c r="H490" s="849">
        <v>0</v>
      </c>
      <c r="I490" s="841"/>
      <c r="J490" s="841"/>
      <c r="K490" s="849">
        <v>0</v>
      </c>
      <c r="L490" s="842"/>
    </row>
    <row r="491" spans="1:12" ht="15.75" x14ac:dyDescent="0.25">
      <c r="A491" s="843"/>
      <c r="B491" s="844"/>
      <c r="C491" s="845"/>
      <c r="D491" s="850"/>
      <c r="E491" s="846">
        <f t="shared" si="20"/>
        <v>0</v>
      </c>
      <c r="F491" s="847">
        <v>0</v>
      </c>
      <c r="G491" s="847">
        <v>0</v>
      </c>
      <c r="H491" s="849">
        <v>0</v>
      </c>
      <c r="I491" s="841"/>
      <c r="J491" s="841"/>
      <c r="K491" s="849">
        <v>0</v>
      </c>
      <c r="L491" s="842"/>
    </row>
    <row r="492" spans="1:12" ht="16.5" thickBot="1" x14ac:dyDescent="0.3">
      <c r="A492" s="852"/>
      <c r="B492" s="852"/>
      <c r="C492" s="853"/>
      <c r="D492" s="853"/>
      <c r="E492" s="853"/>
      <c r="F492" s="836"/>
      <c r="G492" s="836"/>
      <c r="H492" s="854"/>
      <c r="I492" s="854"/>
      <c r="J492" s="854"/>
      <c r="K492" s="854"/>
      <c r="L492" s="855"/>
    </row>
    <row r="493" spans="1:12" ht="16.5" thickTop="1" x14ac:dyDescent="0.25">
      <c r="A493" s="856"/>
      <c r="B493" s="856"/>
      <c r="C493" s="851"/>
      <c r="D493" s="851"/>
      <c r="E493" s="851"/>
      <c r="F493" s="848">
        <f>SUM(F473:F492)</f>
        <v>0</v>
      </c>
      <c r="G493" s="848">
        <f t="shared" ref="G493:L493" si="21">SUM(G473:G492)</f>
        <v>4258.45</v>
      </c>
      <c r="H493" s="848">
        <f>SUM(H473:H492)</f>
        <v>13.68</v>
      </c>
      <c r="I493" s="848">
        <f t="shared" si="21"/>
        <v>0</v>
      </c>
      <c r="J493" s="848">
        <f t="shared" si="21"/>
        <v>0</v>
      </c>
      <c r="K493" s="848">
        <f t="shared" si="21"/>
        <v>0</v>
      </c>
      <c r="L493" s="848">
        <f t="shared" si="21"/>
        <v>0</v>
      </c>
    </row>
    <row r="494" spans="1:12" ht="15.75" x14ac:dyDescent="0.25">
      <c r="A494" s="856"/>
      <c r="B494" s="856"/>
      <c r="C494" s="851"/>
      <c r="D494" s="851"/>
      <c r="E494" s="851"/>
      <c r="F494" s="826"/>
      <c r="G494" s="848"/>
      <c r="H494" s="848"/>
      <c r="I494" s="848"/>
      <c r="J494" s="848"/>
      <c r="K494" s="848"/>
      <c r="L494" s="848"/>
    </row>
    <row r="495" spans="1:12" ht="15.75" x14ac:dyDescent="0.25">
      <c r="A495" s="856"/>
      <c r="B495" s="856"/>
      <c r="C495" s="851" t="s">
        <v>573</v>
      </c>
      <c r="D495" s="851"/>
      <c r="E495" s="851"/>
      <c r="F495" s="826"/>
      <c r="G495" s="848"/>
      <c r="H495" s="848">
        <f>+F493</f>
        <v>0</v>
      </c>
      <c r="I495" s="848"/>
      <c r="J495" s="848"/>
      <c r="K495" s="848"/>
      <c r="L495" s="848"/>
    </row>
    <row r="496" spans="1:12" ht="15.75" x14ac:dyDescent="0.25">
      <c r="A496" s="856"/>
      <c r="B496" s="856"/>
      <c r="C496" s="851"/>
      <c r="D496" s="851"/>
      <c r="E496" s="851"/>
      <c r="F496" s="826"/>
      <c r="G496" s="848"/>
      <c r="H496" s="848"/>
      <c r="I496" s="848"/>
      <c r="J496" s="848"/>
      <c r="K496" s="848"/>
      <c r="L496" s="848"/>
    </row>
    <row r="497" spans="1:12" ht="15.75" x14ac:dyDescent="0.25">
      <c r="A497" s="856"/>
      <c r="B497" s="856"/>
      <c r="C497" s="851" t="s">
        <v>574</v>
      </c>
      <c r="D497" s="851"/>
      <c r="E497" s="851"/>
      <c r="F497" s="826"/>
      <c r="G497" s="848"/>
      <c r="H497" s="848">
        <f>+G493</f>
        <v>4258.45</v>
      </c>
      <c r="I497" s="848"/>
      <c r="J497" s="848"/>
      <c r="K497" s="848"/>
      <c r="L497" s="848"/>
    </row>
    <row r="498" spans="1:12" ht="15.75" x14ac:dyDescent="0.25">
      <c r="A498" s="856"/>
      <c r="B498" s="856"/>
      <c r="C498" s="851"/>
      <c r="D498" s="851"/>
      <c r="E498" s="851"/>
      <c r="F498" s="826"/>
      <c r="G498" s="848"/>
      <c r="H498" s="848"/>
      <c r="I498" s="848"/>
      <c r="J498" s="848"/>
      <c r="K498" s="848"/>
      <c r="L498" s="848"/>
    </row>
    <row r="499" spans="1:12" ht="15.75" x14ac:dyDescent="0.25">
      <c r="A499" s="856"/>
      <c r="B499" s="856"/>
      <c r="C499" s="851"/>
      <c r="D499" s="851"/>
      <c r="E499" s="851"/>
      <c r="F499" s="826"/>
      <c r="G499" s="857"/>
      <c r="H499" s="827"/>
      <c r="I499" s="827"/>
      <c r="J499" s="827"/>
      <c r="K499" s="827"/>
      <c r="L499" s="827"/>
    </row>
    <row r="500" spans="1:12" ht="15.75" x14ac:dyDescent="0.25">
      <c r="A500" s="856"/>
      <c r="B500" s="856"/>
      <c r="C500" s="851" t="s">
        <v>448</v>
      </c>
      <c r="D500" s="851"/>
      <c r="E500" s="851"/>
      <c r="F500" s="826"/>
      <c r="G500" s="827"/>
      <c r="H500" s="829"/>
      <c r="I500" s="829"/>
      <c r="J500" s="829"/>
      <c r="K500" s="829"/>
      <c r="L500" s="827"/>
    </row>
    <row r="501" spans="1:12" ht="15.75" x14ac:dyDescent="0.25">
      <c r="A501" s="856"/>
      <c r="B501" s="856"/>
      <c r="C501" s="851" t="s">
        <v>80</v>
      </c>
      <c r="D501" s="851"/>
      <c r="E501" s="851"/>
      <c r="F501" s="826"/>
      <c r="G501" s="827"/>
      <c r="H501" s="760">
        <f>ROUND(H493/1.13,2)</f>
        <v>12.11</v>
      </c>
      <c r="I501" s="848"/>
      <c r="J501" s="848"/>
      <c r="K501" s="848"/>
      <c r="L501" s="858"/>
    </row>
    <row r="502" spans="1:12" ht="15.75" x14ac:dyDescent="0.25">
      <c r="A502" s="856"/>
      <c r="B502" s="856"/>
      <c r="C502" s="851" t="s">
        <v>449</v>
      </c>
      <c r="D502" s="851"/>
      <c r="E502" s="851"/>
      <c r="F502" s="826"/>
      <c r="G502" s="827"/>
      <c r="H502" s="873">
        <f>(H501*0.13)</f>
        <v>1.5743</v>
      </c>
      <c r="I502" s="859"/>
      <c r="J502" s="859"/>
      <c r="K502" s="859"/>
      <c r="L502" s="858"/>
    </row>
    <row r="503" spans="1:12" ht="16.5" thickBot="1" x14ac:dyDescent="0.3">
      <c r="A503" s="856"/>
      <c r="B503" s="856"/>
      <c r="C503" s="851"/>
      <c r="D503" s="851"/>
      <c r="E503" s="851"/>
      <c r="F503" s="826"/>
      <c r="G503" s="827"/>
      <c r="H503" s="860"/>
      <c r="I503" s="861"/>
      <c r="J503" s="861"/>
      <c r="K503" s="861"/>
      <c r="L503" s="858"/>
    </row>
    <row r="504" spans="1:12" ht="16.5" thickTop="1" x14ac:dyDescent="0.25">
      <c r="A504" s="856"/>
      <c r="B504" s="856"/>
      <c r="C504" s="851" t="s">
        <v>450</v>
      </c>
      <c r="D504" s="851"/>
      <c r="E504" s="851"/>
      <c r="F504" s="826"/>
      <c r="G504" s="827"/>
      <c r="H504" s="842">
        <f>SUM(H501:H503)</f>
        <v>13.6843</v>
      </c>
      <c r="I504" s="842"/>
      <c r="J504" s="842"/>
      <c r="K504" s="842"/>
      <c r="L504" s="827"/>
    </row>
    <row r="505" spans="1:12" ht="16.5" thickBot="1" x14ac:dyDescent="0.3">
      <c r="A505" s="856"/>
      <c r="B505" s="856"/>
      <c r="C505" s="851"/>
      <c r="D505" s="851"/>
      <c r="E505" s="851"/>
      <c r="F505" s="826"/>
      <c r="G505" s="827"/>
      <c r="H505" s="860"/>
      <c r="I505" s="861"/>
      <c r="J505" s="861"/>
      <c r="K505" s="861"/>
      <c r="L505" s="827"/>
    </row>
    <row r="506" spans="1:12" ht="16.5" thickTop="1" x14ac:dyDescent="0.25">
      <c r="A506" s="856"/>
      <c r="B506" s="856"/>
      <c r="C506" s="851"/>
      <c r="D506" s="851"/>
      <c r="E506" s="851"/>
      <c r="F506" s="826"/>
      <c r="G506" s="827"/>
      <c r="H506" s="862"/>
      <c r="I506" s="862"/>
      <c r="J506" s="862"/>
      <c r="K506" s="862"/>
      <c r="L506" s="827"/>
    </row>
    <row r="507" spans="1:12" ht="15.75" x14ac:dyDescent="0.25">
      <c r="A507" s="856"/>
      <c r="B507" s="856"/>
      <c r="C507" s="851"/>
      <c r="D507" s="851"/>
      <c r="E507" s="851"/>
      <c r="F507" s="826"/>
      <c r="G507" s="827"/>
      <c r="H507" s="834"/>
      <c r="I507" s="834"/>
      <c r="J507" s="834"/>
      <c r="K507" s="834"/>
      <c r="L507" s="827"/>
    </row>
    <row r="508" spans="1:12" ht="15.75" x14ac:dyDescent="0.25">
      <c r="A508" s="856"/>
      <c r="B508" s="856"/>
      <c r="C508" s="851"/>
      <c r="D508" s="851"/>
      <c r="E508" s="851"/>
      <c r="F508" s="872"/>
      <c r="G508" s="827" t="s">
        <v>575</v>
      </c>
      <c r="H508" s="834">
        <v>-1.57</v>
      </c>
      <c r="I508" s="834"/>
      <c r="J508" s="834"/>
      <c r="K508" s="834"/>
      <c r="L508" s="827"/>
    </row>
    <row r="509" spans="1:12" ht="15.75" x14ac:dyDescent="0.25">
      <c r="A509" s="856"/>
      <c r="B509" s="856"/>
      <c r="C509" s="851"/>
      <c r="D509" s="851"/>
      <c r="E509" s="851"/>
      <c r="F509" s="826"/>
      <c r="G509" s="870" t="s">
        <v>576</v>
      </c>
      <c r="H509" s="871">
        <f>+H502+H508</f>
        <v>4.2999999999999705E-3</v>
      </c>
      <c r="I509" s="834"/>
      <c r="J509" s="834"/>
      <c r="K509" s="834"/>
      <c r="L509" s="827"/>
    </row>
    <row r="513" spans="1:12" ht="20.25" x14ac:dyDescent="0.3">
      <c r="A513" s="823" t="s">
        <v>560</v>
      </c>
      <c r="B513" s="824"/>
      <c r="C513" s="825"/>
      <c r="D513" s="825"/>
      <c r="E513" s="825"/>
      <c r="F513" s="826"/>
      <c r="G513" s="827"/>
      <c r="H513" s="827"/>
      <c r="I513" s="827"/>
      <c r="J513" s="827"/>
      <c r="K513" s="827"/>
      <c r="L513" s="827"/>
    </row>
    <row r="514" spans="1:12" ht="15.75" x14ac:dyDescent="0.25">
      <c r="A514" s="825" t="s">
        <v>134</v>
      </c>
      <c r="B514" s="825"/>
      <c r="C514" s="825"/>
      <c r="D514" s="825"/>
      <c r="E514" s="825"/>
      <c r="F514" s="826"/>
      <c r="G514" s="827"/>
      <c r="H514" s="827"/>
      <c r="I514" s="827"/>
      <c r="J514" s="827"/>
      <c r="K514" s="827"/>
      <c r="L514" s="827"/>
    </row>
    <row r="515" spans="1:12" ht="15.75" x14ac:dyDescent="0.25">
      <c r="A515" s="824" t="s">
        <v>135</v>
      </c>
      <c r="B515" s="825"/>
      <c r="C515" s="825"/>
      <c r="D515" s="825"/>
      <c r="E515" s="825"/>
      <c r="F515" s="826"/>
      <c r="G515" s="829"/>
      <c r="H515" s="829"/>
      <c r="I515" s="827"/>
      <c r="J515" s="827"/>
      <c r="K515" s="827"/>
      <c r="L515" s="827"/>
    </row>
    <row r="516" spans="1:12" ht="15.75" x14ac:dyDescent="0.25">
      <c r="A516" s="825" t="s">
        <v>190</v>
      </c>
      <c r="B516" s="825"/>
      <c r="C516" s="825"/>
      <c r="D516" s="825"/>
      <c r="E516" s="825"/>
      <c r="F516" s="826"/>
      <c r="G516" s="827"/>
      <c r="H516" s="827"/>
      <c r="I516" s="827"/>
      <c r="J516" s="827"/>
      <c r="K516" s="827"/>
      <c r="L516" s="827"/>
    </row>
    <row r="517" spans="1:12" ht="15.75" x14ac:dyDescent="0.25">
      <c r="A517" s="830" t="s">
        <v>219</v>
      </c>
      <c r="B517" s="831" t="s">
        <v>528</v>
      </c>
      <c r="C517" s="832"/>
      <c r="D517" s="875">
        <v>2019</v>
      </c>
      <c r="E517" s="825"/>
      <c r="F517" s="826"/>
      <c r="G517" s="827"/>
      <c r="H517" s="833"/>
      <c r="I517" s="833"/>
      <c r="J517" s="833"/>
      <c r="K517" s="833"/>
      <c r="L517" s="833"/>
    </row>
    <row r="518" spans="1:12" ht="15.75" x14ac:dyDescent="0.25">
      <c r="A518" s="828"/>
      <c r="B518" s="828"/>
      <c r="C518" s="825"/>
      <c r="D518" s="825"/>
      <c r="E518" s="825"/>
      <c r="F518" s="826"/>
      <c r="G518" s="827"/>
      <c r="H518" s="827"/>
      <c r="I518" s="827"/>
      <c r="J518" s="827"/>
      <c r="K518" s="827"/>
      <c r="L518" s="827"/>
    </row>
    <row r="519" spans="1:12" ht="15.75" x14ac:dyDescent="0.25">
      <c r="A519" s="828"/>
      <c r="B519" s="828"/>
      <c r="C519" s="825"/>
      <c r="D519" s="825"/>
      <c r="E519" s="825"/>
      <c r="F519" s="826"/>
      <c r="G519" s="827"/>
      <c r="H519" s="827"/>
      <c r="I519" s="827"/>
      <c r="J519" s="827"/>
      <c r="K519" s="827"/>
      <c r="L519" s="827"/>
    </row>
    <row r="520" spans="1:12" ht="15.75" x14ac:dyDescent="0.25">
      <c r="A520" s="828"/>
      <c r="B520" s="828"/>
      <c r="C520" s="825"/>
      <c r="D520" s="825"/>
      <c r="E520" s="825"/>
      <c r="F520" s="826"/>
      <c r="G520" s="834" t="s">
        <v>48</v>
      </c>
      <c r="H520" s="834" t="s">
        <v>48</v>
      </c>
      <c r="I520" s="834" t="s">
        <v>561</v>
      </c>
      <c r="J520" s="834" t="s">
        <v>562</v>
      </c>
      <c r="K520" s="834" t="s">
        <v>48</v>
      </c>
      <c r="L520" s="834" t="s">
        <v>140</v>
      </c>
    </row>
    <row r="521" spans="1:12" ht="16.5" thickBot="1" x14ac:dyDescent="0.3">
      <c r="A521" s="835" t="s">
        <v>76</v>
      </c>
      <c r="B521" s="835"/>
      <c r="C521" s="835" t="s">
        <v>563</v>
      </c>
      <c r="D521" s="835"/>
      <c r="E521" s="835" t="s">
        <v>564</v>
      </c>
      <c r="F521" s="836" t="s">
        <v>79</v>
      </c>
      <c r="G521" s="837" t="s">
        <v>177</v>
      </c>
      <c r="H521" s="867" t="s">
        <v>565</v>
      </c>
      <c r="I521" s="837" t="s">
        <v>566</v>
      </c>
      <c r="J521" s="837" t="s">
        <v>567</v>
      </c>
      <c r="K521" s="837" t="s">
        <v>176</v>
      </c>
      <c r="L521" s="837" t="s">
        <v>48</v>
      </c>
    </row>
    <row r="522" spans="1:12" ht="16.5" thickTop="1" x14ac:dyDescent="0.25">
      <c r="A522" s="868"/>
      <c r="B522" s="838"/>
      <c r="C522" s="839"/>
      <c r="D522" s="839"/>
      <c r="E522" s="839"/>
      <c r="F522" s="840"/>
      <c r="G522" s="840"/>
      <c r="H522" s="841"/>
      <c r="I522" s="841"/>
      <c r="J522" s="841"/>
      <c r="K522" s="841"/>
      <c r="L522" s="842"/>
    </row>
    <row r="523" spans="1:12" ht="15.75" x14ac:dyDescent="0.25">
      <c r="A523" s="843"/>
      <c r="B523" s="844"/>
      <c r="C523" s="845"/>
      <c r="D523" s="844"/>
      <c r="E523" s="845"/>
      <c r="F523" s="847">
        <v>0</v>
      </c>
      <c r="G523" s="847">
        <v>0</v>
      </c>
      <c r="H523" s="849"/>
      <c r="I523" s="841"/>
      <c r="J523" s="841"/>
      <c r="K523" s="849">
        <v>0</v>
      </c>
      <c r="L523" s="848"/>
    </row>
    <row r="524" spans="1:12" ht="15.75" x14ac:dyDescent="0.25">
      <c r="A524" s="843">
        <v>43760</v>
      </c>
      <c r="B524" s="844"/>
      <c r="C524" s="845" t="s">
        <v>1110</v>
      </c>
      <c r="D524" s="844"/>
      <c r="E524" s="846" t="str">
        <f t="shared" ref="E524:E531" si="22">C524</f>
        <v>2021</v>
      </c>
      <c r="F524" s="847">
        <v>0</v>
      </c>
      <c r="G524" s="847">
        <v>0</v>
      </c>
      <c r="H524" s="849">
        <v>2.06</v>
      </c>
      <c r="I524" s="841"/>
      <c r="J524" s="841"/>
      <c r="K524" s="849">
        <v>0</v>
      </c>
      <c r="L524" s="848"/>
    </row>
    <row r="525" spans="1:12" ht="15.75" x14ac:dyDescent="0.25">
      <c r="A525" s="843">
        <v>43760</v>
      </c>
      <c r="B525" s="844"/>
      <c r="C525" s="845" t="s">
        <v>1111</v>
      </c>
      <c r="D525" s="844"/>
      <c r="E525" s="846" t="str">
        <f t="shared" si="22"/>
        <v>2022</v>
      </c>
      <c r="F525" s="847">
        <v>0</v>
      </c>
      <c r="G525" s="874">
        <v>0</v>
      </c>
      <c r="H525" s="849">
        <v>13.03</v>
      </c>
      <c r="I525" s="841"/>
      <c r="J525" s="841"/>
      <c r="K525" s="849">
        <v>0</v>
      </c>
      <c r="L525" s="848"/>
    </row>
    <row r="526" spans="1:12" ht="15.75" x14ac:dyDescent="0.25">
      <c r="A526" s="843">
        <v>43745</v>
      </c>
      <c r="B526" s="844"/>
      <c r="C526" s="845" t="s">
        <v>1112</v>
      </c>
      <c r="D526" s="844"/>
      <c r="E526" s="846" t="str">
        <f t="shared" si="22"/>
        <v>2023</v>
      </c>
      <c r="F526" s="847">
        <v>0</v>
      </c>
      <c r="G526" s="847">
        <v>22.33</v>
      </c>
      <c r="H526" s="849">
        <v>0</v>
      </c>
      <c r="I526" s="841"/>
      <c r="J526" s="841"/>
      <c r="K526" s="849">
        <v>0</v>
      </c>
      <c r="L526" s="842"/>
    </row>
    <row r="527" spans="1:12" ht="15.75" x14ac:dyDescent="0.25">
      <c r="A527" s="843">
        <v>43745</v>
      </c>
      <c r="B527" s="844"/>
      <c r="C527" s="845" t="s">
        <v>1113</v>
      </c>
      <c r="D527" s="844"/>
      <c r="E527" s="846" t="str">
        <f t="shared" si="22"/>
        <v>2024</v>
      </c>
      <c r="F527" s="847">
        <v>0</v>
      </c>
      <c r="G527" s="847">
        <v>114.41</v>
      </c>
      <c r="H527" s="849">
        <v>0</v>
      </c>
      <c r="I527" s="841"/>
      <c r="J527" s="841"/>
      <c r="K527" s="849">
        <v>0</v>
      </c>
      <c r="L527" s="848"/>
    </row>
    <row r="528" spans="1:12" ht="15.75" x14ac:dyDescent="0.25">
      <c r="A528" s="843">
        <v>43745</v>
      </c>
      <c r="B528" s="844"/>
      <c r="C528" s="845" t="s">
        <v>1114</v>
      </c>
      <c r="D528" s="850"/>
      <c r="E528" s="846" t="str">
        <f t="shared" si="22"/>
        <v>2025</v>
      </c>
      <c r="F528" s="847">
        <v>0</v>
      </c>
      <c r="G528" s="847">
        <v>784.81</v>
      </c>
      <c r="H528" s="849">
        <v>0</v>
      </c>
      <c r="I528" s="841"/>
      <c r="J528" s="841"/>
      <c r="K528" s="849">
        <v>0</v>
      </c>
      <c r="L528" s="842"/>
    </row>
    <row r="529" spans="1:12" ht="15.75" x14ac:dyDescent="0.25">
      <c r="A529" s="843">
        <v>43745</v>
      </c>
      <c r="B529" s="844"/>
      <c r="C529" s="845" t="s">
        <v>1115</v>
      </c>
      <c r="D529" s="850"/>
      <c r="E529" s="846" t="str">
        <f t="shared" si="22"/>
        <v>2026</v>
      </c>
      <c r="F529" s="847">
        <v>0</v>
      </c>
      <c r="G529" s="847">
        <v>13.79</v>
      </c>
      <c r="H529" s="849">
        <v>0</v>
      </c>
      <c r="I529" s="841"/>
      <c r="J529" s="841"/>
      <c r="K529" s="849">
        <v>0</v>
      </c>
      <c r="L529" s="842"/>
    </row>
    <row r="530" spans="1:12" ht="15.75" x14ac:dyDescent="0.25">
      <c r="A530" s="843"/>
      <c r="B530" s="844"/>
      <c r="C530" s="845"/>
      <c r="D530" s="850"/>
      <c r="E530" s="846">
        <f t="shared" si="22"/>
        <v>0</v>
      </c>
      <c r="F530" s="847">
        <v>0</v>
      </c>
      <c r="G530" s="847">
        <v>0</v>
      </c>
      <c r="H530" s="849">
        <v>0</v>
      </c>
      <c r="I530" s="841"/>
      <c r="J530" s="841"/>
      <c r="K530" s="849">
        <v>0</v>
      </c>
      <c r="L530" s="842"/>
    </row>
    <row r="531" spans="1:12" ht="15.75" x14ac:dyDescent="0.25">
      <c r="A531" s="843"/>
      <c r="B531" s="844"/>
      <c r="C531" s="845"/>
      <c r="D531" s="850"/>
      <c r="E531" s="846">
        <f t="shared" si="22"/>
        <v>0</v>
      </c>
      <c r="F531" s="847">
        <v>0</v>
      </c>
      <c r="G531" s="847">
        <v>0</v>
      </c>
      <c r="H531" s="849">
        <v>0</v>
      </c>
      <c r="I531" s="841"/>
      <c r="J531" s="841"/>
      <c r="K531" s="849">
        <v>0</v>
      </c>
      <c r="L531" s="842"/>
    </row>
    <row r="532" spans="1:12" ht="15.75" x14ac:dyDescent="0.25">
      <c r="A532" s="843"/>
      <c r="B532" s="844"/>
      <c r="C532" s="845"/>
      <c r="D532" s="850"/>
      <c r="E532" s="846"/>
      <c r="F532" s="847"/>
      <c r="G532" s="647"/>
      <c r="H532" s="849"/>
      <c r="I532" s="841"/>
      <c r="J532" s="841"/>
      <c r="K532" s="841"/>
      <c r="L532" s="842"/>
    </row>
    <row r="533" spans="1:12" ht="15.75" x14ac:dyDescent="0.25">
      <c r="A533" s="843"/>
      <c r="B533" s="844"/>
      <c r="C533" s="845"/>
      <c r="D533" s="850"/>
      <c r="E533" s="846"/>
      <c r="F533" s="847"/>
      <c r="G533" s="647"/>
      <c r="H533" s="849"/>
      <c r="I533" s="841"/>
      <c r="J533" s="841"/>
      <c r="K533" s="841"/>
      <c r="L533" s="842"/>
    </row>
    <row r="534" spans="1:12" ht="15.75" x14ac:dyDescent="0.25">
      <c r="A534" s="843"/>
      <c r="B534" s="844"/>
      <c r="C534" s="845"/>
      <c r="D534" s="850"/>
      <c r="E534" s="846"/>
      <c r="F534" s="847"/>
      <c r="G534" s="647"/>
      <c r="H534" s="849"/>
      <c r="I534" s="841"/>
      <c r="J534" s="841"/>
      <c r="K534" s="841"/>
      <c r="L534" s="842"/>
    </row>
    <row r="535" spans="1:12" ht="15.75" x14ac:dyDescent="0.25">
      <c r="A535" s="843"/>
      <c r="B535" s="844"/>
      <c r="C535" s="845"/>
      <c r="D535" s="850"/>
      <c r="E535" s="846"/>
      <c r="F535" s="847"/>
      <c r="G535" s="647"/>
      <c r="H535" s="645"/>
      <c r="I535" s="841"/>
      <c r="J535" s="841"/>
      <c r="K535" s="841"/>
      <c r="L535" s="842"/>
    </row>
    <row r="536" spans="1:12" ht="15.75" x14ac:dyDescent="0.25">
      <c r="A536" s="843"/>
      <c r="B536" s="844"/>
      <c r="C536" s="845"/>
      <c r="D536" s="850"/>
      <c r="E536" s="846"/>
      <c r="F536" s="847"/>
      <c r="G536" s="647"/>
      <c r="H536" s="645"/>
      <c r="I536" s="841"/>
      <c r="J536" s="841"/>
      <c r="K536" s="841"/>
      <c r="L536" s="842"/>
    </row>
    <row r="537" spans="1:12" ht="15.75" x14ac:dyDescent="0.25">
      <c r="A537" s="648"/>
      <c r="B537" s="649"/>
      <c r="C537" s="845"/>
      <c r="D537" s="851"/>
      <c r="E537" s="846"/>
      <c r="F537" s="826"/>
      <c r="G537" s="647"/>
      <c r="H537" s="645"/>
      <c r="I537" s="841"/>
      <c r="J537" s="841"/>
      <c r="K537" s="841"/>
      <c r="L537" s="842"/>
    </row>
    <row r="538" spans="1:12" ht="15.75" x14ac:dyDescent="0.25">
      <c r="A538" s="648"/>
      <c r="B538" s="651"/>
      <c r="C538" s="652"/>
      <c r="D538" s="653"/>
      <c r="E538" s="846"/>
      <c r="F538" s="654"/>
      <c r="G538" s="647"/>
      <c r="H538" s="645"/>
      <c r="I538" s="841"/>
      <c r="J538" s="841"/>
      <c r="K538" s="841"/>
      <c r="L538" s="842"/>
    </row>
    <row r="539" spans="1:12" ht="15.75" x14ac:dyDescent="0.25">
      <c r="A539" s="648"/>
      <c r="B539" s="649"/>
      <c r="C539" s="652"/>
      <c r="D539" s="851"/>
      <c r="E539" s="846"/>
      <c r="F539" s="826"/>
      <c r="G539" s="647"/>
      <c r="H539" s="645"/>
      <c r="I539" s="841"/>
      <c r="J539" s="841"/>
      <c r="K539" s="841"/>
      <c r="L539" s="842"/>
    </row>
    <row r="540" spans="1:12" ht="15.75" x14ac:dyDescent="0.25">
      <c r="A540" s="648"/>
      <c r="B540" s="649"/>
      <c r="C540" s="655"/>
      <c r="D540" s="851"/>
      <c r="E540" s="846"/>
      <c r="F540" s="826"/>
      <c r="G540" s="647"/>
      <c r="H540" s="841"/>
      <c r="I540" s="841"/>
      <c r="J540" s="841"/>
      <c r="K540" s="841"/>
      <c r="L540" s="842"/>
    </row>
    <row r="541" spans="1:12" ht="16.5" thickBot="1" x14ac:dyDescent="0.3">
      <c r="A541" s="852"/>
      <c r="B541" s="852"/>
      <c r="C541" s="853"/>
      <c r="D541" s="853"/>
      <c r="E541" s="853"/>
      <c r="F541" s="836"/>
      <c r="G541" s="836"/>
      <c r="H541" s="854"/>
      <c r="I541" s="854"/>
      <c r="J541" s="854"/>
      <c r="K541" s="854"/>
      <c r="L541" s="855"/>
    </row>
    <row r="542" spans="1:12" ht="16.5" thickTop="1" x14ac:dyDescent="0.25">
      <c r="A542" s="856"/>
      <c r="B542" s="856"/>
      <c r="C542" s="851"/>
      <c r="D542" s="851"/>
      <c r="E542" s="851"/>
      <c r="F542" s="848">
        <f>SUM(F522:F541)</f>
        <v>0</v>
      </c>
      <c r="G542" s="848">
        <f t="shared" ref="G542:L542" si="23">SUM(G522:G541)</f>
        <v>935.33999999999992</v>
      </c>
      <c r="H542" s="848">
        <f>SUM(H522:H541)</f>
        <v>15.09</v>
      </c>
      <c r="I542" s="848">
        <f t="shared" si="23"/>
        <v>0</v>
      </c>
      <c r="J542" s="848">
        <f t="shared" si="23"/>
        <v>0</v>
      </c>
      <c r="K542" s="848">
        <f t="shared" si="23"/>
        <v>0</v>
      </c>
      <c r="L542" s="848">
        <f t="shared" si="23"/>
        <v>0</v>
      </c>
    </row>
    <row r="543" spans="1:12" ht="15.75" x14ac:dyDescent="0.25">
      <c r="A543" s="856"/>
      <c r="B543" s="856"/>
      <c r="C543" s="851"/>
      <c r="D543" s="851"/>
      <c r="E543" s="851"/>
      <c r="F543" s="826"/>
      <c r="G543" s="848"/>
      <c r="H543" s="848"/>
      <c r="I543" s="848"/>
      <c r="J543" s="848"/>
      <c r="K543" s="848"/>
      <c r="L543" s="848"/>
    </row>
    <row r="544" spans="1:12" ht="15.75" x14ac:dyDescent="0.25">
      <c r="A544" s="856"/>
      <c r="B544" s="856"/>
      <c r="C544" s="851" t="s">
        <v>573</v>
      </c>
      <c r="D544" s="851"/>
      <c r="E544" s="851"/>
      <c r="F544" s="826"/>
      <c r="G544" s="848"/>
      <c r="H544" s="848">
        <f>+F542</f>
        <v>0</v>
      </c>
      <c r="I544" s="848"/>
      <c r="J544" s="848"/>
      <c r="K544" s="848"/>
      <c r="L544" s="848"/>
    </row>
    <row r="545" spans="1:12" ht="15.75" x14ac:dyDescent="0.25">
      <c r="A545" s="856"/>
      <c r="B545" s="856"/>
      <c r="C545" s="851"/>
      <c r="D545" s="851"/>
      <c r="E545" s="851"/>
      <c r="F545" s="826"/>
      <c r="G545" s="848"/>
      <c r="H545" s="848"/>
      <c r="I545" s="848"/>
      <c r="J545" s="848"/>
      <c r="K545" s="848"/>
      <c r="L545" s="848"/>
    </row>
    <row r="546" spans="1:12" ht="15.75" x14ac:dyDescent="0.25">
      <c r="A546" s="856"/>
      <c r="B546" s="856"/>
      <c r="C546" s="851" t="s">
        <v>574</v>
      </c>
      <c r="D546" s="851"/>
      <c r="E546" s="851"/>
      <c r="F546" s="826"/>
      <c r="G546" s="848"/>
      <c r="H546" s="848">
        <f>+G542</f>
        <v>935.33999999999992</v>
      </c>
      <c r="I546" s="848"/>
      <c r="J546" s="848"/>
      <c r="K546" s="848"/>
      <c r="L546" s="848"/>
    </row>
    <row r="547" spans="1:12" ht="15.75" x14ac:dyDescent="0.25">
      <c r="A547" s="856"/>
      <c r="B547" s="856"/>
      <c r="C547" s="851"/>
      <c r="D547" s="851"/>
      <c r="E547" s="851"/>
      <c r="F547" s="826"/>
      <c r="G547" s="848"/>
      <c r="H547" s="848"/>
      <c r="I547" s="848"/>
      <c r="J547" s="848"/>
      <c r="K547" s="848"/>
      <c r="L547" s="848"/>
    </row>
    <row r="548" spans="1:12" ht="15.75" x14ac:dyDescent="0.25">
      <c r="A548" s="856"/>
      <c r="B548" s="856"/>
      <c r="C548" s="851"/>
      <c r="D548" s="851"/>
      <c r="E548" s="851"/>
      <c r="F548" s="826"/>
      <c r="G548" s="857"/>
      <c r="H548" s="827"/>
      <c r="I548" s="827"/>
      <c r="J548" s="827"/>
      <c r="K548" s="827"/>
      <c r="L548" s="827"/>
    </row>
    <row r="549" spans="1:12" ht="15.75" x14ac:dyDescent="0.25">
      <c r="A549" s="856"/>
      <c r="B549" s="856"/>
      <c r="C549" s="851" t="s">
        <v>448</v>
      </c>
      <c r="D549" s="851"/>
      <c r="E549" s="851"/>
      <c r="F549" s="826"/>
      <c r="G549" s="827"/>
      <c r="H549" s="829"/>
      <c r="I549" s="829"/>
      <c r="J549" s="829"/>
      <c r="K549" s="829"/>
      <c r="L549" s="827"/>
    </row>
    <row r="550" spans="1:12" ht="15.75" x14ac:dyDescent="0.25">
      <c r="A550" s="856"/>
      <c r="B550" s="856"/>
      <c r="C550" s="851" t="s">
        <v>80</v>
      </c>
      <c r="D550" s="851"/>
      <c r="E550" s="851"/>
      <c r="F550" s="826"/>
      <c r="G550" s="827"/>
      <c r="H550" s="713">
        <f>ROUND(H542/1.13,2)</f>
        <v>13.35</v>
      </c>
      <c r="I550" s="848"/>
      <c r="J550" s="848"/>
      <c r="K550" s="848"/>
      <c r="L550" s="858"/>
    </row>
    <row r="551" spans="1:12" ht="15.75" x14ac:dyDescent="0.25">
      <c r="A551" s="856"/>
      <c r="B551" s="856"/>
      <c r="C551" s="851" t="s">
        <v>449</v>
      </c>
      <c r="D551" s="851"/>
      <c r="E551" s="851"/>
      <c r="F551" s="826"/>
      <c r="G551" s="827"/>
      <c r="H551" s="873">
        <f>(H550*0.13)</f>
        <v>1.7355</v>
      </c>
      <c r="I551" s="859"/>
      <c r="J551" s="859"/>
      <c r="K551" s="859"/>
      <c r="L551" s="858"/>
    </row>
    <row r="552" spans="1:12" ht="16.5" thickBot="1" x14ac:dyDescent="0.3">
      <c r="A552" s="856"/>
      <c r="B552" s="856"/>
      <c r="C552" s="851"/>
      <c r="D552" s="851"/>
      <c r="E552" s="851"/>
      <c r="F552" s="826"/>
      <c r="G552" s="827"/>
      <c r="H552" s="860"/>
      <c r="I552" s="861"/>
      <c r="J552" s="861"/>
      <c r="K552" s="861"/>
      <c r="L552" s="858"/>
    </row>
    <row r="553" spans="1:12" ht="16.5" thickTop="1" x14ac:dyDescent="0.25">
      <c r="A553" s="856"/>
      <c r="B553" s="856"/>
      <c r="C553" s="851" t="s">
        <v>450</v>
      </c>
      <c r="D553" s="851"/>
      <c r="E553" s="851"/>
      <c r="F553" s="826"/>
      <c r="G553" s="827"/>
      <c r="H553" s="842">
        <f>SUM(H550:H552)</f>
        <v>15.0855</v>
      </c>
      <c r="I553" s="842"/>
      <c r="J553" s="842"/>
      <c r="K553" s="842"/>
      <c r="L553" s="827"/>
    </row>
    <row r="554" spans="1:12" ht="16.5" thickBot="1" x14ac:dyDescent="0.3">
      <c r="A554" s="856"/>
      <c r="B554" s="856"/>
      <c r="C554" s="851"/>
      <c r="D554" s="851"/>
      <c r="E554" s="851"/>
      <c r="F554" s="826"/>
      <c r="G554" s="827"/>
      <c r="H554" s="860"/>
      <c r="I554" s="861"/>
      <c r="J554" s="861"/>
      <c r="K554" s="861"/>
      <c r="L554" s="827"/>
    </row>
    <row r="555" spans="1:12" ht="16.5" thickTop="1" x14ac:dyDescent="0.25">
      <c r="A555" s="856"/>
      <c r="B555" s="856"/>
      <c r="C555" s="851"/>
      <c r="D555" s="851"/>
      <c r="E555" s="851"/>
      <c r="F555" s="826"/>
      <c r="G555" s="827"/>
      <c r="H555" s="862"/>
      <c r="I555" s="862"/>
      <c r="J555" s="862"/>
      <c r="K555" s="862"/>
      <c r="L555" s="827"/>
    </row>
    <row r="556" spans="1:12" ht="15.75" x14ac:dyDescent="0.25">
      <c r="A556" s="856"/>
      <c r="B556" s="856"/>
      <c r="C556" s="851"/>
      <c r="D556" s="851"/>
      <c r="E556" s="851"/>
      <c r="F556" s="826"/>
      <c r="G556" s="827"/>
      <c r="H556" s="834"/>
      <c r="I556" s="834"/>
      <c r="J556" s="834"/>
      <c r="K556" s="834"/>
      <c r="L556" s="827"/>
    </row>
    <row r="557" spans="1:12" ht="15.75" x14ac:dyDescent="0.25">
      <c r="A557" s="856"/>
      <c r="B557" s="856"/>
      <c r="C557" s="851"/>
      <c r="D557" s="851"/>
      <c r="E557" s="851"/>
      <c r="F557" s="872"/>
      <c r="G557" s="827" t="s">
        <v>575</v>
      </c>
      <c r="H557" s="834">
        <v>-1.74</v>
      </c>
      <c r="I557" s="834"/>
      <c r="J557" s="834"/>
      <c r="K557" s="834"/>
      <c r="L557" s="827"/>
    </row>
    <row r="558" spans="1:12" ht="15.75" x14ac:dyDescent="0.25">
      <c r="A558" s="856"/>
      <c r="B558" s="856"/>
      <c r="C558" s="851"/>
      <c r="D558" s="851"/>
      <c r="E558" s="851"/>
      <c r="F558" s="826"/>
      <c r="G558" s="870" t="s">
        <v>576</v>
      </c>
      <c r="H558" s="871">
        <f>+H551+H557</f>
        <v>-4.4999999999999485E-3</v>
      </c>
      <c r="I558" s="834"/>
      <c r="J558" s="834"/>
      <c r="K558" s="834"/>
      <c r="L558" s="827"/>
    </row>
    <row r="564" spans="1:12" ht="20.25" x14ac:dyDescent="0.3">
      <c r="A564" s="823" t="s">
        <v>560</v>
      </c>
      <c r="B564" s="824"/>
      <c r="C564" s="825"/>
      <c r="D564" s="825"/>
      <c r="E564" s="825"/>
      <c r="F564" s="826"/>
      <c r="G564" s="827"/>
      <c r="H564" s="827"/>
      <c r="I564" s="827"/>
      <c r="J564" s="827"/>
      <c r="K564" s="827"/>
      <c r="L564" s="827"/>
    </row>
    <row r="565" spans="1:12" ht="15.75" x14ac:dyDescent="0.25">
      <c r="A565" s="825" t="s">
        <v>134</v>
      </c>
      <c r="B565" s="825"/>
      <c r="C565" s="825"/>
      <c r="D565" s="825"/>
      <c r="E565" s="825"/>
      <c r="F565" s="826"/>
      <c r="G565" s="827"/>
      <c r="H565" s="827"/>
      <c r="I565" s="827"/>
      <c r="J565" s="827"/>
      <c r="K565" s="827"/>
      <c r="L565" s="827"/>
    </row>
    <row r="566" spans="1:12" ht="15.75" x14ac:dyDescent="0.25">
      <c r="A566" s="824" t="s">
        <v>135</v>
      </c>
      <c r="B566" s="825"/>
      <c r="C566" s="825"/>
      <c r="D566" s="825"/>
      <c r="E566" s="825"/>
      <c r="F566" s="826"/>
      <c r="G566" s="829"/>
      <c r="H566" s="829"/>
      <c r="I566" s="827"/>
      <c r="J566" s="827"/>
      <c r="K566" s="827"/>
      <c r="L566" s="827"/>
    </row>
    <row r="567" spans="1:12" ht="15.75" x14ac:dyDescent="0.25">
      <c r="A567" s="825" t="s">
        <v>190</v>
      </c>
      <c r="B567" s="825"/>
      <c r="C567" s="825"/>
      <c r="D567" s="825"/>
      <c r="E567" s="825"/>
      <c r="F567" s="826"/>
      <c r="G567" s="827"/>
      <c r="H567" s="827"/>
      <c r="I567" s="827"/>
      <c r="J567" s="827"/>
      <c r="K567" s="827"/>
      <c r="L567" s="827"/>
    </row>
    <row r="568" spans="1:12" ht="15.75" x14ac:dyDescent="0.25">
      <c r="A568" s="830" t="s">
        <v>219</v>
      </c>
      <c r="B568" s="831" t="s">
        <v>1130</v>
      </c>
      <c r="C568" s="832"/>
      <c r="D568" s="875">
        <v>2019</v>
      </c>
      <c r="E568" s="825"/>
      <c r="F568" s="826"/>
      <c r="G568" s="827"/>
      <c r="H568" s="833"/>
      <c r="I568" s="833"/>
      <c r="J568" s="833"/>
      <c r="K568" s="833"/>
      <c r="L568" s="833"/>
    </row>
    <row r="569" spans="1:12" ht="15.75" x14ac:dyDescent="0.25">
      <c r="A569" s="828"/>
      <c r="B569" s="828"/>
      <c r="C569" s="825"/>
      <c r="D569" s="825"/>
      <c r="E569" s="825"/>
      <c r="F569" s="826"/>
      <c r="G569" s="827"/>
      <c r="H569" s="827"/>
      <c r="I569" s="827"/>
      <c r="J569" s="827"/>
      <c r="K569" s="827"/>
      <c r="L569" s="827"/>
    </row>
    <row r="570" spans="1:12" ht="15.75" x14ac:dyDescent="0.25">
      <c r="A570" s="828"/>
      <c r="B570" s="828"/>
      <c r="C570" s="825"/>
      <c r="D570" s="825"/>
      <c r="E570" s="825"/>
      <c r="F570" s="826"/>
      <c r="G570" s="827"/>
      <c r="H570" s="827"/>
      <c r="I570" s="827"/>
      <c r="J570" s="827"/>
      <c r="K570" s="827"/>
      <c r="L570" s="827"/>
    </row>
    <row r="571" spans="1:12" ht="15.75" x14ac:dyDescent="0.25">
      <c r="A571" s="828"/>
      <c r="B571" s="828"/>
      <c r="C571" s="825"/>
      <c r="D571" s="825"/>
      <c r="E571" s="825"/>
      <c r="F571" s="826"/>
      <c r="G571" s="834" t="s">
        <v>48</v>
      </c>
      <c r="H571" s="834" t="s">
        <v>48</v>
      </c>
      <c r="I571" s="834" t="s">
        <v>561</v>
      </c>
      <c r="J571" s="834" t="s">
        <v>562</v>
      </c>
      <c r="K571" s="834" t="s">
        <v>48</v>
      </c>
      <c r="L571" s="834" t="s">
        <v>140</v>
      </c>
    </row>
    <row r="572" spans="1:12" ht="16.5" thickBot="1" x14ac:dyDescent="0.3">
      <c r="A572" s="835" t="s">
        <v>76</v>
      </c>
      <c r="B572" s="835"/>
      <c r="C572" s="835" t="s">
        <v>563</v>
      </c>
      <c r="D572" s="835"/>
      <c r="E572" s="835" t="s">
        <v>564</v>
      </c>
      <c r="F572" s="836" t="s">
        <v>79</v>
      </c>
      <c r="G572" s="837" t="s">
        <v>177</v>
      </c>
      <c r="H572" s="867" t="s">
        <v>565</v>
      </c>
      <c r="I572" s="837" t="s">
        <v>566</v>
      </c>
      <c r="J572" s="837" t="s">
        <v>567</v>
      </c>
      <c r="K572" s="837" t="s">
        <v>176</v>
      </c>
      <c r="L572" s="837" t="s">
        <v>48</v>
      </c>
    </row>
    <row r="573" spans="1:12" ht="16.5" thickTop="1" x14ac:dyDescent="0.25">
      <c r="A573" s="868"/>
      <c r="B573" s="838"/>
      <c r="C573" s="839"/>
      <c r="D573" s="839"/>
      <c r="E573" s="839"/>
      <c r="F573" s="840"/>
      <c r="G573" s="840"/>
      <c r="H573" s="841"/>
      <c r="I573" s="841"/>
      <c r="J573" s="841"/>
      <c r="K573" s="841"/>
      <c r="L573" s="842"/>
    </row>
    <row r="574" spans="1:12" ht="15.75" x14ac:dyDescent="0.25">
      <c r="A574" s="843"/>
      <c r="B574" s="844"/>
      <c r="C574" s="845"/>
      <c r="D574" s="844"/>
      <c r="E574" s="845"/>
      <c r="F574" s="847">
        <v>0</v>
      </c>
      <c r="G574" s="847">
        <v>0</v>
      </c>
      <c r="H574" s="849"/>
      <c r="I574" s="841"/>
      <c r="J574" s="841"/>
      <c r="K574" s="849">
        <v>0</v>
      </c>
      <c r="L574" s="848"/>
    </row>
    <row r="575" spans="1:12" ht="15.75" x14ac:dyDescent="0.25">
      <c r="A575" s="843">
        <v>43784</v>
      </c>
      <c r="B575" s="844"/>
      <c r="C575" s="845" t="s">
        <v>1128</v>
      </c>
      <c r="D575" s="844"/>
      <c r="E575" s="846" t="str">
        <f t="shared" ref="E575:E582" si="24">C575</f>
        <v>2033</v>
      </c>
      <c r="F575" s="847">
        <v>0</v>
      </c>
      <c r="G575" s="847">
        <v>0</v>
      </c>
      <c r="H575" s="849">
        <v>26.24</v>
      </c>
      <c r="I575" s="841"/>
      <c r="J575" s="841"/>
      <c r="K575" s="849">
        <v>0</v>
      </c>
      <c r="L575" s="848"/>
    </row>
    <row r="576" spans="1:12" ht="15.75" x14ac:dyDescent="0.25">
      <c r="A576" s="843">
        <v>43784</v>
      </c>
      <c r="B576" s="844"/>
      <c r="C576" s="845" t="s">
        <v>1129</v>
      </c>
      <c r="D576" s="844"/>
      <c r="E576" s="846" t="str">
        <f t="shared" si="24"/>
        <v>2034</v>
      </c>
      <c r="F576" s="847">
        <v>0</v>
      </c>
      <c r="G576" s="874">
        <v>0</v>
      </c>
      <c r="H576" s="849">
        <v>13.02</v>
      </c>
      <c r="I576" s="841"/>
      <c r="J576" s="841"/>
      <c r="K576" s="849">
        <v>0</v>
      </c>
      <c r="L576" s="848"/>
    </row>
    <row r="577" spans="1:12" ht="15.75" x14ac:dyDescent="0.25">
      <c r="A577" s="843"/>
      <c r="B577" s="844"/>
      <c r="C577" s="845"/>
      <c r="D577" s="844"/>
      <c r="E577" s="846">
        <f t="shared" si="24"/>
        <v>0</v>
      </c>
      <c r="F577" s="847">
        <v>0</v>
      </c>
      <c r="G577" s="847">
        <v>0</v>
      </c>
      <c r="H577" s="849">
        <v>0</v>
      </c>
      <c r="I577" s="841"/>
      <c r="J577" s="841"/>
      <c r="K577" s="849">
        <v>0</v>
      </c>
      <c r="L577" s="842"/>
    </row>
    <row r="578" spans="1:12" ht="15.75" x14ac:dyDescent="0.25">
      <c r="A578" s="843"/>
      <c r="B578" s="844"/>
      <c r="C578" s="845"/>
      <c r="D578" s="844"/>
      <c r="E578" s="846">
        <f t="shared" si="24"/>
        <v>0</v>
      </c>
      <c r="F578" s="847">
        <v>0</v>
      </c>
      <c r="G578" s="847">
        <v>0</v>
      </c>
      <c r="H578" s="849">
        <v>0</v>
      </c>
      <c r="I578" s="841"/>
      <c r="J578" s="841"/>
      <c r="K578" s="849">
        <v>0</v>
      </c>
      <c r="L578" s="848"/>
    </row>
    <row r="579" spans="1:12" ht="15.75" x14ac:dyDescent="0.25">
      <c r="A579" s="843"/>
      <c r="B579" s="844"/>
      <c r="C579" s="845"/>
      <c r="D579" s="850"/>
      <c r="E579" s="846">
        <f t="shared" si="24"/>
        <v>0</v>
      </c>
      <c r="F579" s="847">
        <v>0</v>
      </c>
      <c r="G579" s="847">
        <v>0</v>
      </c>
      <c r="H579" s="849">
        <v>0</v>
      </c>
      <c r="I579" s="841"/>
      <c r="J579" s="841"/>
      <c r="K579" s="849">
        <v>0</v>
      </c>
      <c r="L579" s="842"/>
    </row>
    <row r="580" spans="1:12" ht="15.75" x14ac:dyDescent="0.25">
      <c r="A580" s="843"/>
      <c r="B580" s="844"/>
      <c r="C580" s="845"/>
      <c r="D580" s="850"/>
      <c r="E580" s="846">
        <f t="shared" si="24"/>
        <v>0</v>
      </c>
      <c r="F580" s="847">
        <v>0</v>
      </c>
      <c r="G580" s="847">
        <v>0</v>
      </c>
      <c r="H580" s="849">
        <v>0</v>
      </c>
      <c r="I580" s="841"/>
      <c r="J580" s="841"/>
      <c r="K580" s="849">
        <v>0</v>
      </c>
      <c r="L580" s="842"/>
    </row>
    <row r="581" spans="1:12" ht="15.75" x14ac:dyDescent="0.25">
      <c r="A581" s="843"/>
      <c r="B581" s="844"/>
      <c r="C581" s="845"/>
      <c r="D581" s="850"/>
      <c r="E581" s="846">
        <f t="shared" si="24"/>
        <v>0</v>
      </c>
      <c r="F581" s="847">
        <v>0</v>
      </c>
      <c r="G581" s="847">
        <v>0</v>
      </c>
      <c r="H581" s="849">
        <v>0</v>
      </c>
      <c r="I581" s="841"/>
      <c r="J581" s="841"/>
      <c r="K581" s="849">
        <v>0</v>
      </c>
      <c r="L581" s="842"/>
    </row>
    <row r="582" spans="1:12" ht="15.75" x14ac:dyDescent="0.25">
      <c r="A582" s="843"/>
      <c r="B582" s="844"/>
      <c r="C582" s="845"/>
      <c r="D582" s="850"/>
      <c r="E582" s="846">
        <f t="shared" si="24"/>
        <v>0</v>
      </c>
      <c r="F582" s="847">
        <v>0</v>
      </c>
      <c r="G582" s="847">
        <v>0</v>
      </c>
      <c r="H582" s="849">
        <v>0</v>
      </c>
      <c r="I582" s="841"/>
      <c r="J582" s="841"/>
      <c r="K582" s="849">
        <v>0</v>
      </c>
      <c r="L582" s="842"/>
    </row>
    <row r="583" spans="1:12" ht="15.75" x14ac:dyDescent="0.25">
      <c r="A583" s="843"/>
      <c r="B583" s="844"/>
      <c r="C583" s="845"/>
      <c r="D583" s="850"/>
      <c r="E583" s="846"/>
      <c r="F583" s="847"/>
      <c r="G583" s="647"/>
      <c r="H583" s="849"/>
      <c r="I583" s="841"/>
      <c r="J583" s="841"/>
      <c r="K583" s="841"/>
      <c r="L583" s="842"/>
    </row>
    <row r="584" spans="1:12" ht="15.75" x14ac:dyDescent="0.25">
      <c r="A584" s="648"/>
      <c r="B584" s="649"/>
      <c r="C584" s="655"/>
      <c r="D584" s="851"/>
      <c r="E584" s="846"/>
      <c r="F584" s="826"/>
      <c r="G584" s="647"/>
      <c r="H584" s="841"/>
      <c r="I584" s="841"/>
      <c r="J584" s="841"/>
      <c r="K584" s="841"/>
      <c r="L584" s="842"/>
    </row>
    <row r="585" spans="1:12" ht="16.5" thickBot="1" x14ac:dyDescent="0.3">
      <c r="A585" s="852"/>
      <c r="B585" s="852"/>
      <c r="C585" s="853"/>
      <c r="D585" s="853"/>
      <c r="E585" s="853"/>
      <c r="F585" s="836"/>
      <c r="G585" s="836"/>
      <c r="H585" s="854"/>
      <c r="I585" s="854"/>
      <c r="J585" s="854"/>
      <c r="K585" s="854"/>
      <c r="L585" s="855"/>
    </row>
    <row r="586" spans="1:12" ht="16.5" thickTop="1" x14ac:dyDescent="0.25">
      <c r="A586" s="856"/>
      <c r="B586" s="856"/>
      <c r="C586" s="851"/>
      <c r="D586" s="851"/>
      <c r="E586" s="851"/>
      <c r="F586" s="848">
        <f>SUM(F573:F585)</f>
        <v>0</v>
      </c>
      <c r="G586" s="848">
        <f t="shared" ref="G586:L586" si="25">SUM(G573:G585)</f>
        <v>0</v>
      </c>
      <c r="H586" s="848">
        <f>SUM(H573:H585)</f>
        <v>39.26</v>
      </c>
      <c r="I586" s="848">
        <f t="shared" si="25"/>
        <v>0</v>
      </c>
      <c r="J586" s="848">
        <f t="shared" si="25"/>
        <v>0</v>
      </c>
      <c r="K586" s="848">
        <f t="shared" si="25"/>
        <v>0</v>
      </c>
      <c r="L586" s="848">
        <f t="shared" si="25"/>
        <v>0</v>
      </c>
    </row>
    <row r="587" spans="1:12" ht="15.75" x14ac:dyDescent="0.25">
      <c r="A587" s="856"/>
      <c r="B587" s="856"/>
      <c r="C587" s="851"/>
      <c r="D587" s="851"/>
      <c r="E587" s="851"/>
      <c r="F587" s="826"/>
      <c r="G587" s="848"/>
      <c r="H587" s="848"/>
      <c r="I587" s="848"/>
      <c r="J587" s="848"/>
      <c r="K587" s="848"/>
      <c r="L587" s="848"/>
    </row>
    <row r="588" spans="1:12" ht="15.75" x14ac:dyDescent="0.25">
      <c r="A588" s="856"/>
      <c r="B588" s="856"/>
      <c r="C588" s="851" t="s">
        <v>573</v>
      </c>
      <c r="D588" s="851"/>
      <c r="E588" s="851"/>
      <c r="F588" s="826"/>
      <c r="G588" s="848"/>
      <c r="H588" s="848">
        <f>+F586</f>
        <v>0</v>
      </c>
      <c r="I588" s="848"/>
      <c r="J588" s="848"/>
      <c r="K588" s="848"/>
      <c r="L588" s="848"/>
    </row>
    <row r="589" spans="1:12" ht="15.75" x14ac:dyDescent="0.25">
      <c r="A589" s="856"/>
      <c r="B589" s="856"/>
      <c r="C589" s="851"/>
      <c r="D589" s="851"/>
      <c r="E589" s="851"/>
      <c r="F589" s="826"/>
      <c r="G589" s="848"/>
      <c r="H589" s="848"/>
      <c r="I589" s="848"/>
      <c r="J589" s="848"/>
      <c r="K589" s="848"/>
      <c r="L589" s="848"/>
    </row>
    <row r="590" spans="1:12" ht="15.75" x14ac:dyDescent="0.25">
      <c r="A590" s="856"/>
      <c r="B590" s="856"/>
      <c r="C590" s="851" t="s">
        <v>574</v>
      </c>
      <c r="D590" s="851"/>
      <c r="E590" s="851"/>
      <c r="F590" s="826"/>
      <c r="G590" s="848"/>
      <c r="H590" s="848">
        <f>+G586</f>
        <v>0</v>
      </c>
      <c r="I590" s="848"/>
      <c r="J590" s="848"/>
      <c r="K590" s="848"/>
      <c r="L590" s="848"/>
    </row>
    <row r="591" spans="1:12" ht="15.75" x14ac:dyDescent="0.25">
      <c r="A591" s="856"/>
      <c r="B591" s="856"/>
      <c r="C591" s="851"/>
      <c r="D591" s="851"/>
      <c r="E591" s="851"/>
      <c r="F591" s="826"/>
      <c r="G591" s="848"/>
      <c r="H591" s="848"/>
      <c r="I591" s="848"/>
      <c r="J591" s="848"/>
      <c r="K591" s="848"/>
      <c r="L591" s="848"/>
    </row>
    <row r="592" spans="1:12" ht="15.75" x14ac:dyDescent="0.25">
      <c r="A592" s="856"/>
      <c r="B592" s="856"/>
      <c r="C592" s="851"/>
      <c r="D592" s="851"/>
      <c r="E592" s="851"/>
      <c r="F592" s="826"/>
      <c r="G592" s="857"/>
      <c r="H592" s="827"/>
      <c r="I592" s="827"/>
      <c r="J592" s="827"/>
      <c r="K592" s="827"/>
      <c r="L592" s="827"/>
    </row>
    <row r="593" spans="1:12" ht="15.75" x14ac:dyDescent="0.25">
      <c r="A593" s="856"/>
      <c r="B593" s="856"/>
      <c r="C593" s="851" t="s">
        <v>448</v>
      </c>
      <c r="D593" s="851"/>
      <c r="E593" s="851"/>
      <c r="F593" s="826"/>
      <c r="G593" s="827"/>
      <c r="H593" s="829"/>
      <c r="I593" s="829"/>
      <c r="J593" s="829"/>
      <c r="K593" s="829"/>
      <c r="L593" s="827"/>
    </row>
    <row r="594" spans="1:12" ht="18" x14ac:dyDescent="0.25">
      <c r="A594" s="856"/>
      <c r="B594" s="856"/>
      <c r="C594" s="851" t="s">
        <v>80</v>
      </c>
      <c r="D594" s="851"/>
      <c r="E594" s="851"/>
      <c r="F594" s="826"/>
      <c r="G594" s="827"/>
      <c r="H594" s="984">
        <f>ROUND(H586/1.13,2)</f>
        <v>34.74</v>
      </c>
      <c r="I594" s="848"/>
      <c r="J594" s="848"/>
      <c r="K594" s="848"/>
      <c r="L594" s="858"/>
    </row>
    <row r="595" spans="1:12" ht="15.75" x14ac:dyDescent="0.25">
      <c r="A595" s="856"/>
      <c r="B595" s="856"/>
      <c r="C595" s="851" t="s">
        <v>449</v>
      </c>
      <c r="D595" s="851"/>
      <c r="E595" s="851"/>
      <c r="F595" s="826"/>
      <c r="G595" s="827"/>
      <c r="H595" s="873">
        <f>(H594*0.13)</f>
        <v>4.5162000000000004</v>
      </c>
      <c r="I595" s="859"/>
      <c r="J595" s="859"/>
      <c r="K595" s="859"/>
      <c r="L595" s="858"/>
    </row>
    <row r="596" spans="1:12" ht="16.5" thickBot="1" x14ac:dyDescent="0.3">
      <c r="A596" s="856"/>
      <c r="B596" s="856"/>
      <c r="C596" s="851"/>
      <c r="D596" s="851"/>
      <c r="E596" s="851"/>
      <c r="F596" s="826"/>
      <c r="G596" s="827"/>
      <c r="H596" s="860"/>
      <c r="I596" s="861"/>
      <c r="J596" s="861"/>
      <c r="K596" s="861"/>
      <c r="L596" s="858"/>
    </row>
    <row r="597" spans="1:12" ht="16.5" thickTop="1" x14ac:dyDescent="0.25">
      <c r="A597" s="856"/>
      <c r="B597" s="856"/>
      <c r="C597" s="851" t="s">
        <v>450</v>
      </c>
      <c r="D597" s="851"/>
      <c r="E597" s="851"/>
      <c r="F597" s="826"/>
      <c r="G597" s="827"/>
      <c r="H597" s="842">
        <f>SUM(H594:H596)</f>
        <v>39.2562</v>
      </c>
      <c r="I597" s="842"/>
      <c r="J597" s="842"/>
      <c r="K597" s="842"/>
      <c r="L597" s="827"/>
    </row>
    <row r="598" spans="1:12" ht="16.5" thickBot="1" x14ac:dyDescent="0.3">
      <c r="A598" s="856"/>
      <c r="B598" s="856"/>
      <c r="C598" s="851"/>
      <c r="D598" s="851"/>
      <c r="E598" s="851"/>
      <c r="F598" s="826"/>
      <c r="G598" s="827"/>
      <c r="H598" s="860"/>
      <c r="I598" s="861"/>
      <c r="J598" s="861"/>
      <c r="K598" s="861"/>
      <c r="L598" s="827"/>
    </row>
    <row r="599" spans="1:12" ht="16.5" thickTop="1" x14ac:dyDescent="0.25">
      <c r="A599" s="856"/>
      <c r="B599" s="856"/>
      <c r="C599" s="851"/>
      <c r="D599" s="851"/>
      <c r="E599" s="851"/>
      <c r="F599" s="826"/>
      <c r="G599" s="827"/>
      <c r="H599" s="862"/>
      <c r="I599" s="862"/>
      <c r="J599" s="862"/>
      <c r="K599" s="862"/>
      <c r="L599" s="827"/>
    </row>
    <row r="600" spans="1:12" ht="15.75" x14ac:dyDescent="0.25">
      <c r="A600" s="856"/>
      <c r="B600" s="856"/>
      <c r="C600" s="851"/>
      <c r="D600" s="851"/>
      <c r="E600" s="851"/>
      <c r="F600" s="826"/>
      <c r="G600" s="827"/>
      <c r="H600" s="834"/>
      <c r="I600" s="834"/>
      <c r="J600" s="834"/>
      <c r="K600" s="834"/>
      <c r="L600" s="827"/>
    </row>
    <row r="601" spans="1:12" ht="15.75" x14ac:dyDescent="0.25">
      <c r="A601" s="856"/>
      <c r="B601" s="856"/>
      <c r="C601" s="851"/>
      <c r="D601" s="851"/>
      <c r="E601" s="851"/>
      <c r="F601" s="872"/>
      <c r="G601" s="827" t="s">
        <v>575</v>
      </c>
      <c r="H601" s="834">
        <v>-4.5199999999999996</v>
      </c>
      <c r="I601" s="834"/>
      <c r="J601" s="834"/>
      <c r="K601" s="834"/>
      <c r="L601" s="827"/>
    </row>
    <row r="602" spans="1:12" ht="15.75" x14ac:dyDescent="0.25">
      <c r="A602" s="856"/>
      <c r="B602" s="856"/>
      <c r="C602" s="851"/>
      <c r="D602" s="851"/>
      <c r="E602" s="851"/>
      <c r="F602" s="826"/>
      <c r="G602" s="870" t="s">
        <v>576</v>
      </c>
      <c r="H602" s="871">
        <f>+H595+H601</f>
        <v>-3.7999999999991374E-3</v>
      </c>
      <c r="I602" s="834"/>
      <c r="J602" s="834"/>
      <c r="K602" s="834"/>
      <c r="L602" s="827"/>
    </row>
    <row r="606" spans="1:12" ht="20.25" x14ac:dyDescent="0.3">
      <c r="A606" s="823" t="s">
        <v>560</v>
      </c>
      <c r="B606" s="824"/>
      <c r="C606" s="825"/>
      <c r="D606" s="825"/>
      <c r="E606" s="825"/>
      <c r="F606" s="826"/>
      <c r="G606" s="827"/>
      <c r="H606" s="827"/>
      <c r="I606" s="827"/>
      <c r="J606" s="827"/>
      <c r="K606" s="827"/>
      <c r="L606" s="827"/>
    </row>
    <row r="607" spans="1:12" ht="15.75" x14ac:dyDescent="0.25">
      <c r="A607" s="825" t="s">
        <v>134</v>
      </c>
      <c r="B607" s="825"/>
      <c r="C607" s="825"/>
      <c r="D607" s="825"/>
      <c r="E607" s="825"/>
      <c r="F607" s="826"/>
      <c r="G607" s="827"/>
      <c r="H607" s="827"/>
      <c r="I607" s="827"/>
      <c r="J607" s="827"/>
      <c r="K607" s="827"/>
      <c r="L607" s="827"/>
    </row>
    <row r="608" spans="1:12" ht="15.75" x14ac:dyDescent="0.25">
      <c r="A608" s="824" t="s">
        <v>135</v>
      </c>
      <c r="B608" s="825"/>
      <c r="C608" s="825"/>
      <c r="D608" s="825"/>
      <c r="E608" s="825"/>
      <c r="F608" s="826"/>
      <c r="G608" s="829"/>
      <c r="H608" s="829"/>
      <c r="I608" s="827"/>
      <c r="J608" s="827"/>
      <c r="K608" s="827"/>
      <c r="L608" s="827"/>
    </row>
    <row r="609" spans="1:12" ht="15.75" x14ac:dyDescent="0.25">
      <c r="A609" s="825" t="s">
        <v>190</v>
      </c>
      <c r="B609" s="825"/>
      <c r="C609" s="825"/>
      <c r="D609" s="825"/>
      <c r="E609" s="825"/>
      <c r="F609" s="826"/>
      <c r="G609" s="827"/>
      <c r="H609" s="827"/>
      <c r="I609" s="827"/>
      <c r="J609" s="827"/>
      <c r="K609" s="827"/>
      <c r="L609" s="827"/>
    </row>
    <row r="610" spans="1:12" ht="15.75" x14ac:dyDescent="0.25">
      <c r="A610" s="830" t="s">
        <v>219</v>
      </c>
      <c r="B610" s="831" t="s">
        <v>608</v>
      </c>
      <c r="C610" s="832"/>
      <c r="D610" s="875">
        <v>2019</v>
      </c>
      <c r="E610" s="825"/>
      <c r="F610" s="826"/>
      <c r="G610" s="827"/>
      <c r="H610" s="833"/>
      <c r="I610" s="833"/>
      <c r="J610" s="833"/>
      <c r="K610" s="833"/>
      <c r="L610" s="833"/>
    </row>
    <row r="611" spans="1:12" ht="15.75" x14ac:dyDescent="0.25">
      <c r="A611" s="828"/>
      <c r="B611" s="828"/>
      <c r="C611" s="825"/>
      <c r="D611" s="825"/>
      <c r="E611" s="825"/>
      <c r="F611" s="826"/>
      <c r="G611" s="827"/>
      <c r="H611" s="827"/>
      <c r="I611" s="827"/>
      <c r="J611" s="827"/>
      <c r="K611" s="827"/>
      <c r="L611" s="827"/>
    </row>
    <row r="612" spans="1:12" ht="15.75" x14ac:dyDescent="0.25">
      <c r="A612" s="828"/>
      <c r="B612" s="828"/>
      <c r="C612" s="825"/>
      <c r="D612" s="825"/>
      <c r="E612" s="825"/>
      <c r="F612" s="826"/>
      <c r="G612" s="827"/>
      <c r="H612" s="827"/>
      <c r="I612" s="827"/>
      <c r="J612" s="827"/>
      <c r="K612" s="827"/>
      <c r="L612" s="827"/>
    </row>
    <row r="613" spans="1:12" ht="15.75" x14ac:dyDescent="0.25">
      <c r="A613" s="828"/>
      <c r="B613" s="828"/>
      <c r="C613" s="825"/>
      <c r="D613" s="825"/>
      <c r="E613" s="825"/>
      <c r="F613" s="826"/>
      <c r="G613" s="834" t="s">
        <v>48</v>
      </c>
      <c r="H613" s="834" t="s">
        <v>48</v>
      </c>
      <c r="I613" s="834" t="s">
        <v>561</v>
      </c>
      <c r="J613" s="834" t="s">
        <v>562</v>
      </c>
      <c r="K613" s="834" t="s">
        <v>48</v>
      </c>
      <c r="L613" s="834" t="s">
        <v>140</v>
      </c>
    </row>
    <row r="614" spans="1:12" ht="16.5" thickBot="1" x14ac:dyDescent="0.3">
      <c r="A614" s="835" t="s">
        <v>76</v>
      </c>
      <c r="B614" s="835"/>
      <c r="C614" s="835" t="s">
        <v>563</v>
      </c>
      <c r="D614" s="835"/>
      <c r="E614" s="835" t="s">
        <v>564</v>
      </c>
      <c r="F614" s="836" t="s">
        <v>79</v>
      </c>
      <c r="G614" s="837" t="s">
        <v>177</v>
      </c>
      <c r="H614" s="867" t="s">
        <v>565</v>
      </c>
      <c r="I614" s="837" t="s">
        <v>566</v>
      </c>
      <c r="J614" s="837" t="s">
        <v>567</v>
      </c>
      <c r="K614" s="837" t="s">
        <v>176</v>
      </c>
      <c r="L614" s="837" t="s">
        <v>48</v>
      </c>
    </row>
    <row r="615" spans="1:12" ht="16.5" thickTop="1" x14ac:dyDescent="0.25">
      <c r="A615" s="868"/>
      <c r="B615" s="838"/>
      <c r="C615" s="839"/>
      <c r="D615" s="839"/>
      <c r="E615" s="839"/>
      <c r="F615" s="840"/>
      <c r="G615" s="840"/>
      <c r="H615" s="841"/>
      <c r="I615" s="841"/>
      <c r="J615" s="841"/>
      <c r="K615" s="841"/>
      <c r="L615" s="842"/>
    </row>
    <row r="616" spans="1:12" ht="15.75" x14ac:dyDescent="0.25">
      <c r="A616" s="843" t="s">
        <v>1153</v>
      </c>
      <c r="B616" s="844"/>
      <c r="C616" s="845" t="s">
        <v>1163</v>
      </c>
      <c r="D616" s="844"/>
      <c r="E616" s="845" t="s">
        <v>1163</v>
      </c>
      <c r="F616" s="847">
        <v>0</v>
      </c>
      <c r="G616" s="847">
        <v>0</v>
      </c>
      <c r="H616" s="849">
        <v>2.09</v>
      </c>
      <c r="I616" s="841"/>
      <c r="J616" s="841"/>
      <c r="K616" s="849">
        <v>0</v>
      </c>
      <c r="L616" s="848"/>
    </row>
    <row r="617" spans="1:12" ht="15.75" x14ac:dyDescent="0.25">
      <c r="A617" s="843" t="s">
        <v>1153</v>
      </c>
      <c r="B617" s="844"/>
      <c r="C617" s="1018" t="s">
        <v>1164</v>
      </c>
      <c r="D617" s="844"/>
      <c r="E617" s="846">
        <v>2036</v>
      </c>
      <c r="F617" s="847">
        <v>0</v>
      </c>
      <c r="G617" s="847">
        <v>0</v>
      </c>
      <c r="H617" s="849">
        <v>13.24</v>
      </c>
      <c r="I617" s="841"/>
      <c r="J617" s="841"/>
      <c r="K617" s="849">
        <v>0</v>
      </c>
      <c r="L617" s="848"/>
    </row>
    <row r="618" spans="1:12" ht="15.75" x14ac:dyDescent="0.25">
      <c r="A618" s="843">
        <v>43830</v>
      </c>
      <c r="B618" s="844"/>
      <c r="C618" s="1018" t="s">
        <v>1165</v>
      </c>
      <c r="D618" s="844"/>
      <c r="E618" s="846">
        <v>2027</v>
      </c>
      <c r="F618" s="847">
        <v>0</v>
      </c>
      <c r="G618" s="874">
        <v>13.79</v>
      </c>
      <c r="H618" s="849">
        <v>0</v>
      </c>
      <c r="I618" s="841"/>
      <c r="J618" s="841"/>
      <c r="K618" s="849">
        <v>0</v>
      </c>
      <c r="L618" s="848"/>
    </row>
    <row r="619" spans="1:12" ht="15.75" x14ac:dyDescent="0.25">
      <c r="A619" s="843">
        <v>43830</v>
      </c>
      <c r="B619" s="844"/>
      <c r="C619" s="1018" t="s">
        <v>1166</v>
      </c>
      <c r="D619" s="844"/>
      <c r="E619" s="846" t="str">
        <f t="shared" ref="E619:E624" si="26">C619</f>
        <v>2028</v>
      </c>
      <c r="F619" s="847">
        <v>0</v>
      </c>
      <c r="G619" s="847">
        <v>457.67</v>
      </c>
      <c r="H619" s="849">
        <v>0</v>
      </c>
      <c r="I619" s="841"/>
      <c r="J619" s="841"/>
      <c r="K619" s="849">
        <v>0</v>
      </c>
      <c r="L619" s="842"/>
    </row>
    <row r="620" spans="1:12" ht="15.75" x14ac:dyDescent="0.25">
      <c r="A620" s="843">
        <v>43830</v>
      </c>
      <c r="B620" s="844"/>
      <c r="C620" s="1018" t="s">
        <v>1167</v>
      </c>
      <c r="D620" s="844"/>
      <c r="E620" s="846" t="str">
        <f t="shared" si="26"/>
        <v>2029</v>
      </c>
      <c r="F620" s="847">
        <v>0</v>
      </c>
      <c r="G620" s="847">
        <v>7745.18</v>
      </c>
      <c r="H620" s="849">
        <v>0</v>
      </c>
      <c r="I620" s="841"/>
      <c r="J620" s="841"/>
      <c r="K620" s="849">
        <v>0</v>
      </c>
      <c r="L620" s="848"/>
    </row>
    <row r="621" spans="1:12" ht="15.75" x14ac:dyDescent="0.25">
      <c r="A621" s="843">
        <v>43830</v>
      </c>
      <c r="B621" s="844"/>
      <c r="C621" s="1018" t="s">
        <v>652</v>
      </c>
      <c r="D621" s="850"/>
      <c r="E621" s="846" t="str">
        <f t="shared" si="26"/>
        <v>2030</v>
      </c>
      <c r="F621" s="847">
        <v>0</v>
      </c>
      <c r="G621" s="847">
        <v>22.82</v>
      </c>
      <c r="H621" s="849">
        <v>0</v>
      </c>
      <c r="I621" s="841"/>
      <c r="J621" s="841"/>
      <c r="K621" s="849">
        <v>0</v>
      </c>
      <c r="L621" s="842"/>
    </row>
    <row r="622" spans="1:12" ht="15.75" x14ac:dyDescent="0.25">
      <c r="A622" s="843"/>
      <c r="B622" s="844"/>
      <c r="C622" s="845"/>
      <c r="D622" s="850"/>
      <c r="E622" s="846">
        <f t="shared" si="26"/>
        <v>0</v>
      </c>
      <c r="F622" s="847">
        <v>0</v>
      </c>
      <c r="G622" s="847">
        <v>0</v>
      </c>
      <c r="H622" s="849">
        <v>0</v>
      </c>
      <c r="I622" s="841"/>
      <c r="J622" s="841"/>
      <c r="K622" s="849">
        <v>0</v>
      </c>
      <c r="L622" s="842"/>
    </row>
    <row r="623" spans="1:12" ht="15.75" x14ac:dyDescent="0.25">
      <c r="A623" s="843"/>
      <c r="B623" s="844"/>
      <c r="C623" s="845"/>
      <c r="D623" s="850"/>
      <c r="E623" s="846">
        <f t="shared" si="26"/>
        <v>0</v>
      </c>
      <c r="F623" s="847">
        <v>0</v>
      </c>
      <c r="G623" s="847">
        <v>0</v>
      </c>
      <c r="H623" s="849">
        <v>0</v>
      </c>
      <c r="I623" s="841"/>
      <c r="J623" s="841"/>
      <c r="K623" s="849">
        <v>0</v>
      </c>
      <c r="L623" s="842"/>
    </row>
    <row r="624" spans="1:12" ht="15.75" x14ac:dyDescent="0.25">
      <c r="A624" s="843"/>
      <c r="B624" s="844"/>
      <c r="C624" s="845"/>
      <c r="D624" s="850"/>
      <c r="E624" s="846">
        <f t="shared" si="26"/>
        <v>0</v>
      </c>
      <c r="F624" s="847">
        <v>0</v>
      </c>
      <c r="G624" s="847">
        <v>0</v>
      </c>
      <c r="H624" s="849">
        <v>0</v>
      </c>
      <c r="I624" s="841"/>
      <c r="J624" s="841"/>
      <c r="K624" s="849">
        <v>0</v>
      </c>
      <c r="L624" s="842"/>
    </row>
    <row r="625" spans="1:12" ht="15.75" x14ac:dyDescent="0.25">
      <c r="A625" s="843"/>
      <c r="B625" s="844"/>
      <c r="C625" s="845"/>
      <c r="D625" s="850"/>
      <c r="E625" s="846"/>
      <c r="F625" s="847"/>
      <c r="G625" s="647"/>
      <c r="H625" s="849"/>
      <c r="I625" s="841"/>
      <c r="J625" s="841"/>
      <c r="K625" s="841"/>
      <c r="L625" s="842"/>
    </row>
    <row r="626" spans="1:12" ht="15.75" x14ac:dyDescent="0.25">
      <c r="A626" s="843"/>
      <c r="B626" s="844"/>
      <c r="C626" s="845"/>
      <c r="D626" s="850"/>
      <c r="E626" s="846"/>
      <c r="F626" s="847"/>
      <c r="G626" s="647"/>
      <c r="H626" s="849"/>
      <c r="I626" s="841"/>
      <c r="J626" s="841"/>
      <c r="K626" s="841"/>
      <c r="L626" s="842"/>
    </row>
    <row r="627" spans="1:12" ht="15.75" x14ac:dyDescent="0.25">
      <c r="A627" s="843"/>
      <c r="B627" s="844"/>
      <c r="C627" s="845"/>
      <c r="D627" s="850"/>
      <c r="E627" s="846"/>
      <c r="F627" s="847"/>
      <c r="G627" s="647"/>
      <c r="H627" s="849"/>
      <c r="I627" s="841"/>
      <c r="J627" s="841"/>
      <c r="K627" s="841"/>
      <c r="L627" s="842"/>
    </row>
    <row r="628" spans="1:12" ht="15.75" x14ac:dyDescent="0.25">
      <c r="A628" s="843"/>
      <c r="B628" s="844"/>
      <c r="C628" s="845"/>
      <c r="D628" s="850"/>
      <c r="E628" s="846"/>
      <c r="F628" s="847"/>
      <c r="G628" s="647"/>
      <c r="H628" s="645"/>
      <c r="I628" s="841"/>
      <c r="J628" s="841"/>
      <c r="K628" s="841"/>
      <c r="L628" s="842"/>
    </row>
    <row r="629" spans="1:12" ht="15.75" x14ac:dyDescent="0.25">
      <c r="A629" s="843"/>
      <c r="B629" s="844"/>
      <c r="C629" s="845"/>
      <c r="D629" s="850"/>
      <c r="E629" s="846"/>
      <c r="F629" s="847"/>
      <c r="G629" s="647"/>
      <c r="H629" s="645"/>
      <c r="I629" s="841"/>
      <c r="J629" s="841"/>
      <c r="K629" s="841"/>
      <c r="L629" s="842"/>
    </row>
    <row r="630" spans="1:12" ht="15.75" x14ac:dyDescent="0.25">
      <c r="A630" s="648"/>
      <c r="B630" s="649"/>
      <c r="C630" s="845"/>
      <c r="D630" s="851"/>
      <c r="E630" s="846"/>
      <c r="F630" s="826"/>
      <c r="G630" s="647"/>
      <c r="H630" s="645"/>
      <c r="I630" s="841"/>
      <c r="J630" s="841"/>
      <c r="K630" s="841"/>
      <c r="L630" s="842"/>
    </row>
    <row r="631" spans="1:12" ht="15.75" x14ac:dyDescent="0.25">
      <c r="A631" s="648"/>
      <c r="B631" s="651"/>
      <c r="C631" s="652"/>
      <c r="D631" s="653"/>
      <c r="E631" s="846"/>
      <c r="F631" s="654"/>
      <c r="G631" s="647"/>
      <c r="H631" s="645"/>
      <c r="I631" s="841"/>
      <c r="J631" s="841"/>
      <c r="K631" s="841"/>
      <c r="L631" s="842"/>
    </row>
    <row r="632" spans="1:12" ht="15.75" x14ac:dyDescent="0.25">
      <c r="A632" s="648"/>
      <c r="B632" s="649"/>
      <c r="C632" s="652"/>
      <c r="D632" s="851"/>
      <c r="E632" s="846"/>
      <c r="F632" s="826"/>
      <c r="G632" s="647"/>
      <c r="H632" s="645"/>
      <c r="I632" s="841"/>
      <c r="J632" s="841"/>
      <c r="K632" s="841"/>
      <c r="L632" s="842"/>
    </row>
    <row r="633" spans="1:12" ht="15.75" x14ac:dyDescent="0.25">
      <c r="A633" s="648"/>
      <c r="B633" s="649"/>
      <c r="C633" s="655"/>
      <c r="D633" s="851"/>
      <c r="E633" s="846"/>
      <c r="F633" s="826"/>
      <c r="G633" s="647"/>
      <c r="H633" s="841"/>
      <c r="I633" s="841"/>
      <c r="J633" s="841"/>
      <c r="K633" s="841"/>
      <c r="L633" s="842"/>
    </row>
    <row r="634" spans="1:12" ht="16.5" thickBot="1" x14ac:dyDescent="0.3">
      <c r="A634" s="852"/>
      <c r="B634" s="852"/>
      <c r="C634" s="853"/>
      <c r="D634" s="853"/>
      <c r="E634" s="853"/>
      <c r="F634" s="836"/>
      <c r="G634" s="836"/>
      <c r="H634" s="854"/>
      <c r="I634" s="854"/>
      <c r="J634" s="854"/>
      <c r="K634" s="854"/>
      <c r="L634" s="855"/>
    </row>
    <row r="635" spans="1:12" ht="16.5" thickTop="1" x14ac:dyDescent="0.25">
      <c r="A635" s="856"/>
      <c r="B635" s="856"/>
      <c r="C635" s="851"/>
      <c r="D635" s="851"/>
      <c r="E635" s="851"/>
      <c r="F635" s="848">
        <f>SUM(F615:F634)</f>
        <v>0</v>
      </c>
      <c r="G635" s="848">
        <f t="shared" ref="G635:L635" si="27">SUM(G615:G634)</f>
        <v>8239.4599999999991</v>
      </c>
      <c r="H635" s="848">
        <f>SUM(H615:H634)</f>
        <v>15.33</v>
      </c>
      <c r="I635" s="848">
        <f t="shared" si="27"/>
        <v>0</v>
      </c>
      <c r="J635" s="848">
        <f t="shared" si="27"/>
        <v>0</v>
      </c>
      <c r="K635" s="848">
        <f t="shared" si="27"/>
        <v>0</v>
      </c>
      <c r="L635" s="848">
        <f t="shared" si="27"/>
        <v>0</v>
      </c>
    </row>
    <row r="636" spans="1:12" ht="15.75" x14ac:dyDescent="0.25">
      <c r="A636" s="856"/>
      <c r="B636" s="856"/>
      <c r="C636" s="851"/>
      <c r="D636" s="851"/>
      <c r="E636" s="851"/>
      <c r="F636" s="826"/>
      <c r="G636" s="848"/>
      <c r="H636" s="848"/>
      <c r="I636" s="848"/>
      <c r="J636" s="848"/>
      <c r="K636" s="848"/>
      <c r="L636" s="848"/>
    </row>
    <row r="637" spans="1:12" ht="15.75" x14ac:dyDescent="0.25">
      <c r="A637" s="856"/>
      <c r="B637" s="856"/>
      <c r="C637" s="851" t="s">
        <v>573</v>
      </c>
      <c r="D637" s="851"/>
      <c r="E637" s="851"/>
      <c r="F637" s="826"/>
      <c r="G637" s="848"/>
      <c r="H637" s="848">
        <f>+F635</f>
        <v>0</v>
      </c>
      <c r="I637" s="848"/>
      <c r="J637" s="848"/>
      <c r="K637" s="848"/>
      <c r="L637" s="848"/>
    </row>
    <row r="638" spans="1:12" ht="15.75" x14ac:dyDescent="0.25">
      <c r="A638" s="856"/>
      <c r="B638" s="856"/>
      <c r="C638" s="851"/>
      <c r="D638" s="851"/>
      <c r="E638" s="851"/>
      <c r="F638" s="826"/>
      <c r="G638" s="848"/>
      <c r="H638" s="848"/>
      <c r="I638" s="848"/>
      <c r="J638" s="848"/>
      <c r="K638" s="848"/>
      <c r="L638" s="848"/>
    </row>
    <row r="639" spans="1:12" ht="15.75" x14ac:dyDescent="0.25">
      <c r="A639" s="856"/>
      <c r="B639" s="856"/>
      <c r="C639" s="851" t="s">
        <v>574</v>
      </c>
      <c r="D639" s="851"/>
      <c r="E639" s="851"/>
      <c r="F639" s="826"/>
      <c r="G639" s="848"/>
      <c r="H639" s="848">
        <f>+G635</f>
        <v>8239.4599999999991</v>
      </c>
      <c r="I639" s="848"/>
      <c r="J639" s="848"/>
      <c r="K639" s="848"/>
      <c r="L639" s="848"/>
    </row>
    <row r="640" spans="1:12" ht="15.75" x14ac:dyDescent="0.25">
      <c r="A640" s="856"/>
      <c r="B640" s="856"/>
      <c r="C640" s="851"/>
      <c r="D640" s="851"/>
      <c r="E640" s="851"/>
      <c r="F640" s="826"/>
      <c r="G640" s="848"/>
      <c r="H640" s="848"/>
      <c r="I640" s="848"/>
      <c r="J640" s="848"/>
      <c r="K640" s="848"/>
      <c r="L640" s="848"/>
    </row>
    <row r="641" spans="1:12" ht="15.75" x14ac:dyDescent="0.25">
      <c r="A641" s="856"/>
      <c r="B641" s="856"/>
      <c r="C641" s="851"/>
      <c r="D641" s="851"/>
      <c r="E641" s="851"/>
      <c r="F641" s="826"/>
      <c r="G641" s="857"/>
      <c r="H641" s="827"/>
      <c r="I641" s="827"/>
      <c r="J641" s="827"/>
      <c r="K641" s="827"/>
      <c r="L641" s="827"/>
    </row>
    <row r="642" spans="1:12" ht="15.75" x14ac:dyDescent="0.25">
      <c r="A642" s="856"/>
      <c r="B642" s="856"/>
      <c r="C642" s="851" t="s">
        <v>448</v>
      </c>
      <c r="D642" s="851"/>
      <c r="E642" s="851"/>
      <c r="F642" s="826"/>
      <c r="G642" s="827"/>
      <c r="H642" s="829"/>
      <c r="I642" s="829"/>
      <c r="J642" s="829"/>
      <c r="K642" s="829"/>
      <c r="L642" s="827"/>
    </row>
    <row r="643" spans="1:12" ht="18" x14ac:dyDescent="0.25">
      <c r="A643" s="856"/>
      <c r="B643" s="856"/>
      <c r="C643" s="851" t="s">
        <v>80</v>
      </c>
      <c r="D643" s="851"/>
      <c r="E643" s="851"/>
      <c r="F643" s="826"/>
      <c r="G643" s="827"/>
      <c r="H643" s="984">
        <f>ROUND(H635/1.13,2)</f>
        <v>13.57</v>
      </c>
      <c r="I643" s="848"/>
      <c r="J643" s="848"/>
      <c r="K643" s="848"/>
      <c r="L643" s="858"/>
    </row>
    <row r="644" spans="1:12" ht="15.75" x14ac:dyDescent="0.25">
      <c r="A644" s="856"/>
      <c r="B644" s="856"/>
      <c r="C644" s="851" t="s">
        <v>449</v>
      </c>
      <c r="D644" s="851"/>
      <c r="E644" s="851"/>
      <c r="F644" s="826"/>
      <c r="G644" s="827"/>
      <c r="H644" s="873">
        <f>(H643*0.13)</f>
        <v>1.7641</v>
      </c>
      <c r="I644" s="859"/>
      <c r="J644" s="859"/>
      <c r="K644" s="859"/>
      <c r="L644" s="858"/>
    </row>
    <row r="645" spans="1:12" ht="16.5" thickBot="1" x14ac:dyDescent="0.3">
      <c r="A645" s="856"/>
      <c r="B645" s="856"/>
      <c r="C645" s="851"/>
      <c r="D645" s="851"/>
      <c r="E645" s="851"/>
      <c r="F645" s="826"/>
      <c r="G645" s="827"/>
      <c r="H645" s="860"/>
      <c r="I645" s="861"/>
      <c r="J645" s="861"/>
      <c r="K645" s="861"/>
      <c r="L645" s="858"/>
    </row>
    <row r="646" spans="1:12" ht="16.5" thickTop="1" x14ac:dyDescent="0.25">
      <c r="A646" s="856"/>
      <c r="B646" s="856"/>
      <c r="C646" s="851" t="s">
        <v>450</v>
      </c>
      <c r="D646" s="851"/>
      <c r="E646" s="851"/>
      <c r="F646" s="826"/>
      <c r="G646" s="827"/>
      <c r="H646" s="842">
        <f>SUM(H643:H645)</f>
        <v>15.334099999999999</v>
      </c>
      <c r="I646" s="842"/>
      <c r="J646" s="842"/>
      <c r="K646" s="842"/>
      <c r="L646" s="827"/>
    </row>
    <row r="647" spans="1:12" ht="16.5" thickBot="1" x14ac:dyDescent="0.3">
      <c r="A647" s="856"/>
      <c r="B647" s="856"/>
      <c r="C647" s="851"/>
      <c r="D647" s="851"/>
      <c r="E647" s="851"/>
      <c r="F647" s="826"/>
      <c r="G647" s="827"/>
      <c r="H647" s="860"/>
      <c r="I647" s="861"/>
      <c r="J647" s="861"/>
      <c r="K647" s="861"/>
      <c r="L647" s="827"/>
    </row>
    <row r="648" spans="1:12" ht="16.5" thickTop="1" x14ac:dyDescent="0.25">
      <c r="A648" s="856"/>
      <c r="B648" s="856"/>
      <c r="C648" s="851"/>
      <c r="D648" s="851"/>
      <c r="E648" s="851"/>
      <c r="F648" s="826"/>
      <c r="G648" s="827"/>
      <c r="H648" s="862"/>
      <c r="I648" s="862"/>
      <c r="J648" s="862"/>
      <c r="K648" s="862"/>
      <c r="L648" s="827"/>
    </row>
    <row r="649" spans="1:12" ht="15.75" x14ac:dyDescent="0.25">
      <c r="A649" s="856"/>
      <c r="B649" s="856"/>
      <c r="C649" s="851"/>
      <c r="D649" s="851"/>
      <c r="E649" s="851"/>
      <c r="F649" s="826"/>
      <c r="G649" s="827"/>
      <c r="H649" s="834"/>
      <c r="I649" s="834"/>
      <c r="J649" s="834"/>
      <c r="K649" s="834"/>
      <c r="L649" s="827"/>
    </row>
    <row r="650" spans="1:12" ht="15.75" x14ac:dyDescent="0.25">
      <c r="A650" s="856"/>
      <c r="B650" s="856"/>
      <c r="C650" s="851"/>
      <c r="D650" s="851"/>
      <c r="E650" s="851"/>
      <c r="F650" s="872"/>
      <c r="G650" s="827" t="s">
        <v>575</v>
      </c>
      <c r="H650" s="834">
        <v>-1.76</v>
      </c>
      <c r="I650" s="834"/>
      <c r="J650" s="834"/>
      <c r="K650" s="834"/>
      <c r="L650" s="827"/>
    </row>
    <row r="651" spans="1:12" ht="15.75" x14ac:dyDescent="0.25">
      <c r="A651" s="856"/>
      <c r="B651" s="856"/>
      <c r="C651" s="851"/>
      <c r="D651" s="851"/>
      <c r="E651" s="851"/>
      <c r="F651" s="826"/>
      <c r="G651" s="870" t="s">
        <v>576</v>
      </c>
      <c r="H651" s="871">
        <f>+H644+H650</f>
        <v>4.0999999999999925E-3</v>
      </c>
      <c r="I651" s="834"/>
      <c r="J651" s="834"/>
      <c r="K651" s="834"/>
      <c r="L651" s="827"/>
    </row>
    <row r="656" spans="1:12" ht="20.25" x14ac:dyDescent="0.3">
      <c r="A656" s="823" t="s">
        <v>560</v>
      </c>
      <c r="B656" s="824"/>
      <c r="C656" s="825"/>
      <c r="D656" s="825"/>
      <c r="E656" s="825"/>
      <c r="F656" s="826"/>
      <c r="G656" s="827"/>
      <c r="H656" s="827"/>
      <c r="I656" s="827"/>
      <c r="J656" s="827"/>
      <c r="K656" s="827"/>
      <c r="L656" s="827"/>
    </row>
    <row r="657" spans="1:12" ht="15.75" x14ac:dyDescent="0.25">
      <c r="A657" s="825" t="s">
        <v>134</v>
      </c>
      <c r="B657" s="825"/>
      <c r="C657" s="825"/>
      <c r="D657" s="825"/>
      <c r="E657" s="825"/>
      <c r="F657" s="826"/>
      <c r="G657" s="827"/>
      <c r="H657" s="827"/>
      <c r="I657" s="827"/>
      <c r="J657" s="827"/>
      <c r="K657" s="827"/>
      <c r="L657" s="827"/>
    </row>
    <row r="658" spans="1:12" ht="15.75" x14ac:dyDescent="0.25">
      <c r="A658" s="824" t="s">
        <v>135</v>
      </c>
      <c r="B658" s="825"/>
      <c r="C658" s="825"/>
      <c r="D658" s="825"/>
      <c r="E658" s="825"/>
      <c r="F658" s="826"/>
      <c r="G658" s="829"/>
      <c r="H658" s="829"/>
      <c r="I658" s="827"/>
      <c r="J658" s="827"/>
      <c r="K658" s="827"/>
      <c r="L658" s="827"/>
    </row>
    <row r="659" spans="1:12" ht="15.75" x14ac:dyDescent="0.25">
      <c r="A659" s="825" t="s">
        <v>190</v>
      </c>
      <c r="B659" s="825"/>
      <c r="C659" s="825"/>
      <c r="D659" s="825"/>
      <c r="E659" s="825"/>
      <c r="F659" s="826"/>
      <c r="G659" s="827"/>
      <c r="H659" s="827"/>
      <c r="I659" s="827"/>
      <c r="J659" s="827"/>
      <c r="K659" s="827"/>
      <c r="L659" s="827"/>
    </row>
    <row r="660" spans="1:12" ht="15.75" x14ac:dyDescent="0.25">
      <c r="A660" s="830" t="s">
        <v>219</v>
      </c>
      <c r="B660" s="831" t="s">
        <v>1186</v>
      </c>
      <c r="C660" s="832"/>
      <c r="D660" s="875">
        <v>2020</v>
      </c>
      <c r="E660" s="825"/>
      <c r="F660" s="826"/>
      <c r="G660" s="827"/>
      <c r="H660" s="833"/>
      <c r="I660" s="833"/>
      <c r="J660" s="833"/>
      <c r="K660" s="833"/>
      <c r="L660" s="833"/>
    </row>
    <row r="661" spans="1:12" ht="15.75" x14ac:dyDescent="0.25">
      <c r="A661" s="828"/>
      <c r="B661" s="828"/>
      <c r="C661" s="825"/>
      <c r="D661" s="825"/>
      <c r="E661" s="825"/>
      <c r="F661" s="826"/>
      <c r="G661" s="827"/>
      <c r="H661" s="827"/>
      <c r="I661" s="827"/>
      <c r="J661" s="827"/>
      <c r="K661" s="827"/>
      <c r="L661" s="827"/>
    </row>
    <row r="662" spans="1:12" ht="15.75" x14ac:dyDescent="0.25">
      <c r="A662" s="828"/>
      <c r="B662" s="828"/>
      <c r="C662" s="825"/>
      <c r="D662" s="825"/>
      <c r="E662" s="825"/>
      <c r="F662" s="826"/>
      <c r="G662" s="827"/>
      <c r="H662" s="827"/>
      <c r="I662" s="827"/>
      <c r="J662" s="827"/>
      <c r="K662" s="827"/>
      <c r="L662" s="827"/>
    </row>
    <row r="663" spans="1:12" ht="15.75" x14ac:dyDescent="0.25">
      <c r="A663" s="828"/>
      <c r="B663" s="828"/>
      <c r="C663" s="825"/>
      <c r="D663" s="825"/>
      <c r="E663" s="825"/>
      <c r="F663" s="826"/>
      <c r="G663" s="834" t="s">
        <v>48</v>
      </c>
      <c r="H663" s="834" t="s">
        <v>48</v>
      </c>
      <c r="I663" s="834" t="s">
        <v>561</v>
      </c>
      <c r="J663" s="834" t="s">
        <v>562</v>
      </c>
      <c r="K663" s="834" t="s">
        <v>48</v>
      </c>
      <c r="L663" s="834" t="s">
        <v>140</v>
      </c>
    </row>
    <row r="664" spans="1:12" ht="16.5" thickBot="1" x14ac:dyDescent="0.3">
      <c r="A664" s="835" t="s">
        <v>76</v>
      </c>
      <c r="B664" s="835"/>
      <c r="C664" s="835" t="s">
        <v>563</v>
      </c>
      <c r="D664" s="835"/>
      <c r="E664" s="835" t="s">
        <v>564</v>
      </c>
      <c r="F664" s="836" t="s">
        <v>79</v>
      </c>
      <c r="G664" s="837" t="s">
        <v>177</v>
      </c>
      <c r="H664" s="867" t="s">
        <v>565</v>
      </c>
      <c r="I664" s="837" t="s">
        <v>566</v>
      </c>
      <c r="J664" s="837" t="s">
        <v>567</v>
      </c>
      <c r="K664" s="837" t="s">
        <v>176</v>
      </c>
      <c r="L664" s="837" t="s">
        <v>48</v>
      </c>
    </row>
    <row r="665" spans="1:12" ht="16.5" thickTop="1" x14ac:dyDescent="0.25">
      <c r="A665" s="868"/>
      <c r="B665" s="838"/>
      <c r="C665" s="839"/>
      <c r="D665" s="839"/>
      <c r="E665" s="839"/>
      <c r="F665" s="840"/>
      <c r="G665" s="840"/>
      <c r="H665" s="841"/>
      <c r="I665" s="841"/>
      <c r="J665" s="841"/>
      <c r="K665" s="841"/>
      <c r="L665" s="842"/>
    </row>
    <row r="666" spans="1:12" ht="15.75" x14ac:dyDescent="0.25">
      <c r="A666" s="843">
        <v>43854</v>
      </c>
      <c r="B666" s="844"/>
      <c r="C666" s="1020">
        <v>2037</v>
      </c>
      <c r="D666" s="844"/>
      <c r="E666" s="846">
        <f>C666</f>
        <v>2037</v>
      </c>
      <c r="F666" s="847">
        <v>0</v>
      </c>
      <c r="G666" s="847"/>
      <c r="H666" s="849">
        <v>3.27</v>
      </c>
      <c r="I666" s="841"/>
      <c r="J666" s="841"/>
      <c r="K666" s="849">
        <v>0</v>
      </c>
      <c r="L666" s="848"/>
    </row>
    <row r="667" spans="1:12" ht="15.75" x14ac:dyDescent="0.25">
      <c r="A667" s="843">
        <v>43854</v>
      </c>
      <c r="B667" s="844"/>
      <c r="C667" s="1020">
        <v>2038</v>
      </c>
      <c r="D667" s="844" t="s">
        <v>259</v>
      </c>
      <c r="E667" s="846">
        <f t="shared" ref="E667:E668" si="28">C667</f>
        <v>2038</v>
      </c>
      <c r="F667" s="847">
        <v>0</v>
      </c>
      <c r="G667" s="847"/>
      <c r="H667" s="849">
        <v>0</v>
      </c>
      <c r="I667" s="841"/>
      <c r="J667" s="841"/>
      <c r="K667" s="849">
        <v>0</v>
      </c>
      <c r="L667" s="848"/>
    </row>
    <row r="668" spans="1:12" ht="15.75" x14ac:dyDescent="0.25">
      <c r="A668" s="843">
        <v>43854</v>
      </c>
      <c r="B668" s="844"/>
      <c r="C668" s="845" t="s">
        <v>1185</v>
      </c>
      <c r="D668" s="844"/>
      <c r="E668" s="846" t="str">
        <f t="shared" si="28"/>
        <v>2039</v>
      </c>
      <c r="F668" s="847">
        <v>0</v>
      </c>
      <c r="G668" s="874"/>
      <c r="H668" s="849">
        <v>47.79</v>
      </c>
      <c r="I668" s="841"/>
      <c r="J668" s="841"/>
      <c r="K668" s="849">
        <v>0</v>
      </c>
      <c r="L668" s="848"/>
    </row>
    <row r="672" spans="1:12" ht="15.75" x14ac:dyDescent="0.25">
      <c r="A672" s="648"/>
      <c r="B672" s="649"/>
      <c r="C672" s="655"/>
      <c r="D672" s="851"/>
      <c r="E672" s="846"/>
      <c r="F672" s="826"/>
      <c r="G672" s="647"/>
      <c r="H672" s="841"/>
      <c r="I672" s="841"/>
      <c r="J672" s="841"/>
      <c r="K672" s="841"/>
      <c r="L672" s="842"/>
    </row>
    <row r="673" spans="1:12" ht="16.5" thickBot="1" x14ac:dyDescent="0.3">
      <c r="A673" s="852"/>
      <c r="B673" s="852"/>
      <c r="C673" s="853"/>
      <c r="D673" s="853"/>
      <c r="E673" s="853"/>
      <c r="F673" s="836"/>
      <c r="G673" s="836"/>
      <c r="H673" s="854"/>
      <c r="I673" s="854"/>
      <c r="J673" s="854"/>
      <c r="K673" s="854"/>
      <c r="L673" s="855"/>
    </row>
    <row r="674" spans="1:12" ht="16.5" thickTop="1" x14ac:dyDescent="0.25">
      <c r="A674" s="856"/>
      <c r="B674" s="856"/>
      <c r="C674" s="851"/>
      <c r="D674" s="851"/>
      <c r="E674" s="851"/>
      <c r="F674" s="848">
        <f>SUM(F654:F673)</f>
        <v>0</v>
      </c>
      <c r="G674" s="848">
        <f t="shared" ref="G674:L674" si="29">SUM(G654:G673)</f>
        <v>0</v>
      </c>
      <c r="H674" s="848">
        <f>SUM(H654:H673)</f>
        <v>51.06</v>
      </c>
      <c r="I674" s="848">
        <f t="shared" si="29"/>
        <v>0</v>
      </c>
      <c r="J674" s="848">
        <f t="shared" si="29"/>
        <v>0</v>
      </c>
      <c r="K674" s="848">
        <f t="shared" si="29"/>
        <v>0</v>
      </c>
      <c r="L674" s="848">
        <f t="shared" si="29"/>
        <v>0</v>
      </c>
    </row>
    <row r="675" spans="1:12" ht="15.75" x14ac:dyDescent="0.25">
      <c r="A675" s="856"/>
      <c r="B675" s="856"/>
      <c r="C675" s="851"/>
      <c r="D675" s="851"/>
      <c r="E675" s="851"/>
      <c r="F675" s="826"/>
      <c r="G675" s="848"/>
      <c r="H675" s="848"/>
      <c r="I675" s="848"/>
      <c r="J675" s="848"/>
      <c r="K675" s="848"/>
      <c r="L675" s="848"/>
    </row>
    <row r="676" spans="1:12" ht="15.75" x14ac:dyDescent="0.25">
      <c r="A676" s="856"/>
      <c r="B676" s="856"/>
      <c r="C676" s="851" t="s">
        <v>573</v>
      </c>
      <c r="D676" s="851"/>
      <c r="E676" s="851"/>
      <c r="F676" s="826"/>
      <c r="G676" s="848"/>
      <c r="H676" s="848">
        <f>+F674</f>
        <v>0</v>
      </c>
      <c r="I676" s="848"/>
      <c r="J676" s="848"/>
      <c r="K676" s="848"/>
      <c r="L676" s="848"/>
    </row>
    <row r="677" spans="1:12" ht="15.75" x14ac:dyDescent="0.25">
      <c r="A677" s="856"/>
      <c r="B677" s="856"/>
      <c r="C677" s="851"/>
      <c r="D677" s="851"/>
      <c r="E677" s="851"/>
      <c r="F677" s="826"/>
      <c r="G677" s="848"/>
      <c r="H677" s="848"/>
      <c r="I677" s="848"/>
      <c r="J677" s="848"/>
      <c r="K677" s="848"/>
      <c r="L677" s="848"/>
    </row>
    <row r="678" spans="1:12" ht="15.75" x14ac:dyDescent="0.25">
      <c r="A678" s="856"/>
      <c r="B678" s="856"/>
      <c r="C678" s="851" t="s">
        <v>574</v>
      </c>
      <c r="D678" s="851"/>
      <c r="E678" s="851"/>
      <c r="F678" s="826"/>
      <c r="G678" s="848"/>
      <c r="H678" s="848">
        <f>+G674</f>
        <v>0</v>
      </c>
      <c r="I678" s="848"/>
      <c r="J678" s="848"/>
      <c r="K678" s="848"/>
      <c r="L678" s="848"/>
    </row>
    <row r="679" spans="1:12" ht="15.75" x14ac:dyDescent="0.25">
      <c r="A679" s="856"/>
      <c r="B679" s="856"/>
      <c r="C679" s="851"/>
      <c r="D679" s="851"/>
      <c r="E679" s="851"/>
      <c r="F679" s="826"/>
      <c r="G679" s="848"/>
      <c r="H679" s="848"/>
      <c r="I679" s="848"/>
      <c r="J679" s="848"/>
      <c r="K679" s="848"/>
      <c r="L679" s="848"/>
    </row>
    <row r="680" spans="1:12" ht="15.75" x14ac:dyDescent="0.25">
      <c r="A680" s="856"/>
      <c r="B680" s="856"/>
      <c r="C680" s="851"/>
      <c r="D680" s="851"/>
      <c r="E680" s="851"/>
      <c r="F680" s="826"/>
      <c r="G680" s="857"/>
      <c r="H680" s="827"/>
      <c r="I680" s="827"/>
      <c r="J680" s="827"/>
      <c r="K680" s="827"/>
      <c r="L680" s="827"/>
    </row>
    <row r="681" spans="1:12" ht="15.75" x14ac:dyDescent="0.25">
      <c r="A681" s="856"/>
      <c r="B681" s="856"/>
      <c r="C681" s="851" t="s">
        <v>448</v>
      </c>
      <c r="D681" s="851"/>
      <c r="E681" s="851"/>
      <c r="F681" s="826"/>
      <c r="G681" s="827"/>
      <c r="H681" s="829"/>
      <c r="I681" s="829"/>
      <c r="J681" s="829"/>
      <c r="K681" s="829"/>
      <c r="L681" s="827"/>
    </row>
    <row r="682" spans="1:12" ht="15.75" x14ac:dyDescent="0.25">
      <c r="A682" s="856"/>
      <c r="B682" s="856"/>
      <c r="C682" s="851" t="s">
        <v>80</v>
      </c>
      <c r="D682" s="851"/>
      <c r="E682" s="851"/>
      <c r="F682" s="826"/>
      <c r="G682" s="827"/>
      <c r="H682" s="700">
        <v>45.18</v>
      </c>
      <c r="I682" s="848"/>
      <c r="J682" s="848"/>
      <c r="K682" s="848"/>
      <c r="L682" s="858"/>
    </row>
    <row r="683" spans="1:12" ht="15.75" x14ac:dyDescent="0.25">
      <c r="A683" s="856"/>
      <c r="B683" s="856"/>
      <c r="C683" s="851" t="s">
        <v>449</v>
      </c>
      <c r="D683" s="851"/>
      <c r="E683" s="851"/>
      <c r="F683" s="826"/>
      <c r="G683" s="827"/>
      <c r="H683" s="873">
        <v>5.88</v>
      </c>
      <c r="I683" s="859"/>
      <c r="J683" s="859"/>
      <c r="K683" s="859"/>
      <c r="L683" s="858"/>
    </row>
    <row r="684" spans="1:12" ht="16.5" thickBot="1" x14ac:dyDescent="0.3">
      <c r="A684" s="856"/>
      <c r="B684" s="856"/>
      <c r="C684" s="851"/>
      <c r="D684" s="851"/>
      <c r="E684" s="851"/>
      <c r="F684" s="826"/>
      <c r="G684" s="827"/>
      <c r="H684" s="860"/>
      <c r="I684" s="861"/>
      <c r="J684" s="861"/>
      <c r="K684" s="861"/>
      <c r="L684" s="858"/>
    </row>
    <row r="685" spans="1:12" ht="16.5" thickTop="1" x14ac:dyDescent="0.25">
      <c r="A685" s="856"/>
      <c r="B685" s="856"/>
      <c r="C685" s="851" t="s">
        <v>450</v>
      </c>
      <c r="D685" s="851"/>
      <c r="E685" s="851"/>
      <c r="F685" s="826"/>
      <c r="G685" s="827"/>
      <c r="H685" s="842">
        <f>SUM(H682:H684)</f>
        <v>51.06</v>
      </c>
      <c r="I685" s="842"/>
      <c r="J685" s="842"/>
      <c r="K685" s="842"/>
      <c r="L685" s="827"/>
    </row>
    <row r="686" spans="1:12" ht="16.5" thickBot="1" x14ac:dyDescent="0.3">
      <c r="A686" s="856"/>
      <c r="B686" s="856"/>
      <c r="C686" s="851"/>
      <c r="D686" s="851"/>
      <c r="E686" s="851"/>
      <c r="F686" s="826"/>
      <c r="G686" s="827"/>
      <c r="H686" s="860"/>
      <c r="I686" s="861"/>
      <c r="J686" s="861"/>
      <c r="K686" s="861"/>
      <c r="L686" s="827"/>
    </row>
    <row r="687" spans="1:12" ht="16.5" thickTop="1" x14ac:dyDescent="0.25">
      <c r="A687" s="856"/>
      <c r="B687" s="856"/>
      <c r="C687" s="851"/>
      <c r="D687" s="851"/>
      <c r="E687" s="851"/>
      <c r="F687" s="826"/>
      <c r="G687" s="827"/>
      <c r="H687" s="862"/>
      <c r="I687" s="862"/>
      <c r="J687" s="862"/>
      <c r="K687" s="862"/>
      <c r="L687" s="827"/>
    </row>
    <row r="688" spans="1:12" ht="15.75" x14ac:dyDescent="0.25">
      <c r="A688" s="856"/>
      <c r="B688" s="856"/>
      <c r="C688" s="851"/>
      <c r="D688" s="851"/>
      <c r="E688" s="851"/>
      <c r="F688" s="826"/>
      <c r="G688" s="827"/>
      <c r="H688" s="834"/>
      <c r="I688" s="834"/>
      <c r="J688" s="834"/>
      <c r="K688" s="834"/>
      <c r="L688" s="827"/>
    </row>
    <row r="689" spans="1:12" ht="15.75" x14ac:dyDescent="0.25">
      <c r="A689" s="856"/>
      <c r="B689" s="856"/>
      <c r="C689" s="851"/>
      <c r="D689" s="851"/>
      <c r="E689" s="851"/>
      <c r="F689" s="872"/>
      <c r="G689" s="827" t="s">
        <v>575</v>
      </c>
      <c r="H689" s="834">
        <v>-5.88</v>
      </c>
      <c r="I689" s="834"/>
      <c r="J689" s="834"/>
      <c r="K689" s="834"/>
      <c r="L689" s="827"/>
    </row>
    <row r="690" spans="1:12" ht="15.75" x14ac:dyDescent="0.25">
      <c r="A690" s="856"/>
      <c r="B690" s="856"/>
      <c r="C690" s="851"/>
      <c r="D690" s="851"/>
      <c r="E690" s="851"/>
      <c r="F690" s="826"/>
      <c r="G690" s="870" t="s">
        <v>576</v>
      </c>
      <c r="H690" s="871">
        <f>+H683+H689</f>
        <v>0</v>
      </c>
      <c r="I690" s="834"/>
      <c r="J690" s="834"/>
      <c r="K690" s="834"/>
      <c r="L690" s="827"/>
    </row>
    <row r="691" spans="1:12" ht="15.75" x14ac:dyDescent="0.25">
      <c r="A691" s="856"/>
      <c r="B691" s="856"/>
      <c r="C691" s="851"/>
      <c r="D691" s="851"/>
      <c r="E691" s="851"/>
      <c r="F691" s="826"/>
      <c r="G691" s="827"/>
      <c r="H691" s="834"/>
      <c r="I691" s="834"/>
      <c r="J691" s="834"/>
      <c r="K691" s="834"/>
      <c r="L691" s="827"/>
    </row>
    <row r="692" spans="1:12" ht="15.75" x14ac:dyDescent="0.25">
      <c r="A692" s="856"/>
      <c r="B692" s="856"/>
      <c r="C692" s="851"/>
      <c r="D692" s="851"/>
      <c r="E692" s="851"/>
      <c r="F692" s="826"/>
      <c r="G692" s="827"/>
      <c r="H692" s="834"/>
      <c r="I692" s="834"/>
      <c r="J692" s="834"/>
      <c r="K692" s="834"/>
      <c r="L692" s="827"/>
    </row>
    <row r="693" spans="1:12" ht="15.75" x14ac:dyDescent="0.25">
      <c r="A693" s="856"/>
      <c r="B693" s="856"/>
      <c r="C693" s="851"/>
      <c r="D693" s="851"/>
      <c r="E693" s="851"/>
      <c r="F693" s="826"/>
      <c r="G693" s="827"/>
      <c r="H693" s="671"/>
      <c r="I693" s="671"/>
      <c r="J693" s="671"/>
      <c r="K693" s="671"/>
      <c r="L693" s="827"/>
    </row>
    <row r="695" spans="1:12" ht="20.25" x14ac:dyDescent="0.3">
      <c r="A695" s="823" t="s">
        <v>560</v>
      </c>
      <c r="B695" s="824"/>
      <c r="C695" s="825"/>
      <c r="D695" s="825"/>
      <c r="E695" s="825"/>
      <c r="F695" s="826"/>
      <c r="G695" s="827"/>
      <c r="H695" s="827"/>
      <c r="I695" s="827"/>
      <c r="J695" s="827"/>
      <c r="K695" s="827"/>
      <c r="L695" s="827"/>
    </row>
    <row r="696" spans="1:12" ht="15.75" x14ac:dyDescent="0.25">
      <c r="A696" s="825" t="s">
        <v>134</v>
      </c>
      <c r="B696" s="825"/>
      <c r="C696" s="825"/>
      <c r="D696" s="825"/>
      <c r="E696" s="825"/>
      <c r="F696" s="826"/>
      <c r="G696" s="827"/>
      <c r="H696" s="827"/>
      <c r="I696" s="827"/>
      <c r="J696" s="827"/>
      <c r="K696" s="827"/>
      <c r="L696" s="827"/>
    </row>
    <row r="697" spans="1:12" ht="15.75" x14ac:dyDescent="0.25">
      <c r="A697" s="824" t="s">
        <v>135</v>
      </c>
      <c r="B697" s="825"/>
      <c r="C697" s="825"/>
      <c r="D697" s="825"/>
      <c r="E697" s="825"/>
      <c r="F697" s="826"/>
      <c r="G697" s="829"/>
      <c r="H697" s="829"/>
      <c r="I697" s="827"/>
      <c r="J697" s="827"/>
      <c r="K697" s="827"/>
      <c r="L697" s="827"/>
    </row>
    <row r="698" spans="1:12" ht="15.75" x14ac:dyDescent="0.25">
      <c r="A698" s="825" t="s">
        <v>190</v>
      </c>
      <c r="B698" s="825"/>
      <c r="C698" s="825"/>
      <c r="D698" s="825"/>
      <c r="E698" s="825"/>
      <c r="F698" s="826"/>
      <c r="G698" s="827"/>
      <c r="H698" s="827"/>
      <c r="I698" s="827"/>
      <c r="J698" s="827"/>
      <c r="K698" s="827"/>
      <c r="L698" s="827"/>
    </row>
    <row r="699" spans="1:12" ht="15.75" x14ac:dyDescent="0.25">
      <c r="A699" s="830" t="s">
        <v>219</v>
      </c>
      <c r="B699" s="831" t="s">
        <v>82</v>
      </c>
      <c r="C699" s="832"/>
      <c r="D699" s="875">
        <v>2020</v>
      </c>
      <c r="E699" s="825"/>
      <c r="F699" s="826"/>
      <c r="G699" s="827"/>
      <c r="H699" s="833"/>
      <c r="I699" s="833"/>
      <c r="J699" s="833"/>
      <c r="K699" s="833"/>
      <c r="L699" s="833"/>
    </row>
    <row r="700" spans="1:12" ht="15.75" x14ac:dyDescent="0.25">
      <c r="A700" s="828"/>
      <c r="B700" s="828"/>
      <c r="C700" s="825"/>
      <c r="D700" s="825"/>
      <c r="E700" s="825"/>
      <c r="F700" s="826"/>
      <c r="G700" s="827"/>
      <c r="H700" s="827"/>
      <c r="I700" s="827"/>
      <c r="J700" s="827"/>
      <c r="K700" s="827"/>
      <c r="L700" s="827"/>
    </row>
    <row r="701" spans="1:12" ht="15.75" x14ac:dyDescent="0.25">
      <c r="A701" s="828"/>
      <c r="B701" s="828"/>
      <c r="C701" s="825"/>
      <c r="D701" s="825"/>
      <c r="E701" s="825"/>
      <c r="F701" s="826"/>
      <c r="G701" s="827"/>
      <c r="H701" s="827"/>
      <c r="I701" s="827"/>
      <c r="J701" s="827"/>
      <c r="K701" s="827"/>
      <c r="L701" s="827"/>
    </row>
    <row r="702" spans="1:12" ht="15.75" x14ac:dyDescent="0.25">
      <c r="A702" s="828"/>
      <c r="B702" s="828"/>
      <c r="C702" s="825"/>
      <c r="D702" s="825"/>
      <c r="E702" s="825"/>
      <c r="F702" s="826"/>
      <c r="G702" s="834" t="s">
        <v>48</v>
      </c>
      <c r="H702" s="834" t="s">
        <v>48</v>
      </c>
      <c r="I702" s="834" t="s">
        <v>561</v>
      </c>
      <c r="J702" s="834" t="s">
        <v>562</v>
      </c>
      <c r="K702" s="834" t="s">
        <v>48</v>
      </c>
      <c r="L702" s="834" t="s">
        <v>140</v>
      </c>
    </row>
    <row r="703" spans="1:12" ht="16.5" thickBot="1" x14ac:dyDescent="0.3">
      <c r="A703" s="835" t="s">
        <v>76</v>
      </c>
      <c r="B703" s="835"/>
      <c r="C703" s="835" t="s">
        <v>563</v>
      </c>
      <c r="D703" s="835"/>
      <c r="E703" s="835" t="s">
        <v>564</v>
      </c>
      <c r="F703" s="836" t="s">
        <v>79</v>
      </c>
      <c r="G703" s="837" t="s">
        <v>177</v>
      </c>
      <c r="H703" s="867" t="s">
        <v>565</v>
      </c>
      <c r="I703" s="837" t="s">
        <v>566</v>
      </c>
      <c r="J703" s="837" t="s">
        <v>567</v>
      </c>
      <c r="K703" s="837" t="s">
        <v>176</v>
      </c>
      <c r="L703" s="837" t="s">
        <v>48</v>
      </c>
    </row>
    <row r="704" spans="1:12" ht="16.5" thickTop="1" x14ac:dyDescent="0.25">
      <c r="A704" s="868"/>
      <c r="B704" s="838"/>
      <c r="C704" s="839"/>
      <c r="D704" s="839"/>
      <c r="E704" s="839"/>
      <c r="F704" s="840"/>
      <c r="G704" s="840"/>
      <c r="H704" s="841"/>
      <c r="I704" s="841"/>
      <c r="J704" s="841"/>
      <c r="K704" s="841"/>
      <c r="L704" s="842"/>
    </row>
    <row r="705" spans="1:12" ht="15.75" x14ac:dyDescent="0.25">
      <c r="A705" s="843">
        <v>43882</v>
      </c>
      <c r="B705" s="844"/>
      <c r="C705" s="1020">
        <v>2040</v>
      </c>
      <c r="D705" s="844"/>
      <c r="E705" s="846">
        <f>C705</f>
        <v>2040</v>
      </c>
      <c r="F705" s="847">
        <v>0</v>
      </c>
      <c r="G705" s="847"/>
      <c r="H705" s="849">
        <v>2.1800000000000002</v>
      </c>
      <c r="I705" s="841"/>
      <c r="J705" s="841"/>
      <c r="K705" s="849">
        <v>0</v>
      </c>
      <c r="L705" s="848"/>
    </row>
    <row r="706" spans="1:12" ht="15.75" x14ac:dyDescent="0.25">
      <c r="A706" s="843">
        <v>43882</v>
      </c>
      <c r="B706" s="844"/>
      <c r="C706" s="1020">
        <v>2041</v>
      </c>
      <c r="D706" s="844"/>
      <c r="E706" s="846">
        <f t="shared" ref="E706" si="30">C706</f>
        <v>2041</v>
      </c>
      <c r="F706" s="847">
        <v>0</v>
      </c>
      <c r="G706" s="847"/>
      <c r="H706" s="849">
        <v>14</v>
      </c>
      <c r="I706" s="841"/>
      <c r="J706" s="841"/>
      <c r="K706" s="849">
        <v>0</v>
      </c>
      <c r="L706" s="848"/>
    </row>
    <row r="711" spans="1:12" ht="16.5" thickBot="1" x14ac:dyDescent="0.3">
      <c r="A711" s="852"/>
      <c r="B711" s="852"/>
      <c r="C711" s="853"/>
      <c r="D711" s="853"/>
      <c r="E711" s="853"/>
      <c r="F711" s="836"/>
      <c r="G711" s="836"/>
      <c r="H711" s="854"/>
      <c r="I711" s="854"/>
      <c r="J711" s="854"/>
      <c r="K711" s="854"/>
      <c r="L711" s="855"/>
    </row>
    <row r="712" spans="1:12" ht="16.5" thickTop="1" x14ac:dyDescent="0.25">
      <c r="A712" s="856"/>
      <c r="B712" s="856"/>
      <c r="C712" s="851"/>
      <c r="D712" s="851"/>
      <c r="E712" s="851"/>
      <c r="F712" s="848">
        <f>SUM(F692:F711)</f>
        <v>0</v>
      </c>
      <c r="G712" s="848">
        <f t="shared" ref="G712:L712" si="31">SUM(G692:G711)</f>
        <v>0</v>
      </c>
      <c r="H712" s="848">
        <f>SUM(H692:H711)</f>
        <v>16.18</v>
      </c>
      <c r="I712" s="848">
        <f t="shared" si="31"/>
        <v>0</v>
      </c>
      <c r="J712" s="848">
        <f t="shared" si="31"/>
        <v>0</v>
      </c>
      <c r="K712" s="848">
        <f t="shared" si="31"/>
        <v>0</v>
      </c>
      <c r="L712" s="848">
        <f t="shared" si="31"/>
        <v>0</v>
      </c>
    </row>
    <row r="713" spans="1:12" ht="15.75" x14ac:dyDescent="0.25">
      <c r="A713" s="856"/>
      <c r="B713" s="856"/>
      <c r="C713" s="851"/>
      <c r="D713" s="851"/>
      <c r="E713" s="851"/>
      <c r="F713" s="826"/>
      <c r="G713" s="848"/>
      <c r="H713" s="848"/>
      <c r="I713" s="848"/>
      <c r="J713" s="848"/>
      <c r="K713" s="848"/>
      <c r="L713" s="848"/>
    </row>
    <row r="714" spans="1:12" ht="15.75" x14ac:dyDescent="0.25">
      <c r="A714" s="856"/>
      <c r="B714" s="856"/>
      <c r="C714" s="851" t="s">
        <v>573</v>
      </c>
      <c r="D714" s="851"/>
      <c r="E714" s="851"/>
      <c r="F714" s="826"/>
      <c r="G714" s="848"/>
      <c r="H714" s="848">
        <f>+F712</f>
        <v>0</v>
      </c>
      <c r="I714" s="848"/>
      <c r="J714" s="848"/>
      <c r="K714" s="848"/>
      <c r="L714" s="848"/>
    </row>
    <row r="715" spans="1:12" ht="15.75" x14ac:dyDescent="0.25">
      <c r="A715" s="856"/>
      <c r="B715" s="856"/>
      <c r="C715" s="851"/>
      <c r="D715" s="851"/>
      <c r="E715" s="851"/>
      <c r="F715" s="826"/>
      <c r="G715" s="848"/>
      <c r="H715" s="848"/>
      <c r="I715" s="848"/>
      <c r="J715" s="848"/>
      <c r="K715" s="848"/>
      <c r="L715" s="848"/>
    </row>
    <row r="716" spans="1:12" ht="15.75" x14ac:dyDescent="0.25">
      <c r="A716" s="856"/>
      <c r="B716" s="856"/>
      <c r="C716" s="851" t="s">
        <v>574</v>
      </c>
      <c r="D716" s="851"/>
      <c r="E716" s="851"/>
      <c r="F716" s="826"/>
      <c r="G716" s="848"/>
      <c r="H716" s="848">
        <f>+G712</f>
        <v>0</v>
      </c>
      <c r="I716" s="848"/>
      <c r="J716" s="848"/>
      <c r="K716" s="848"/>
      <c r="L716" s="848"/>
    </row>
    <row r="717" spans="1:12" ht="15.75" x14ac:dyDescent="0.25">
      <c r="A717" s="856"/>
      <c r="B717" s="856"/>
      <c r="C717" s="851"/>
      <c r="D717" s="851"/>
      <c r="E717" s="851"/>
      <c r="F717" s="826"/>
      <c r="G717" s="848"/>
      <c r="H717" s="848"/>
      <c r="I717" s="848"/>
      <c r="J717" s="848"/>
      <c r="K717" s="848"/>
      <c r="L717" s="848"/>
    </row>
    <row r="718" spans="1:12" ht="15.75" x14ac:dyDescent="0.25">
      <c r="A718" s="856"/>
      <c r="B718" s="856"/>
      <c r="C718" s="851"/>
      <c r="D718" s="851"/>
      <c r="E718" s="851"/>
      <c r="F718" s="826"/>
      <c r="G718" s="857"/>
      <c r="H718" s="827"/>
      <c r="I718" s="827"/>
      <c r="J718" s="827"/>
      <c r="K718" s="827"/>
      <c r="L718" s="827"/>
    </row>
    <row r="719" spans="1:12" ht="15.75" x14ac:dyDescent="0.25">
      <c r="A719" s="856"/>
      <c r="B719" s="856"/>
      <c r="C719" s="851" t="s">
        <v>448</v>
      </c>
      <c r="D719" s="851"/>
      <c r="E719" s="851"/>
      <c r="F719" s="826"/>
      <c r="G719" s="827"/>
      <c r="H719" s="829"/>
      <c r="I719" s="829"/>
      <c r="J719" s="829"/>
      <c r="K719" s="829"/>
      <c r="L719" s="827"/>
    </row>
    <row r="720" spans="1:12" ht="15.75" x14ac:dyDescent="0.25">
      <c r="A720" s="856"/>
      <c r="B720" s="856"/>
      <c r="C720" s="851" t="s">
        <v>80</v>
      </c>
      <c r="D720" s="851"/>
      <c r="E720" s="851"/>
      <c r="F720" s="826"/>
      <c r="G720" s="827"/>
      <c r="H720" s="713">
        <f>ROUND(H712/1.13,2)</f>
        <v>14.32</v>
      </c>
      <c r="I720" s="848"/>
      <c r="J720" s="848"/>
      <c r="K720" s="848"/>
      <c r="L720" s="858"/>
    </row>
    <row r="721" spans="1:12" ht="15.75" x14ac:dyDescent="0.25">
      <c r="A721" s="856"/>
      <c r="B721" s="856"/>
      <c r="C721" s="851" t="s">
        <v>449</v>
      </c>
      <c r="D721" s="851"/>
      <c r="E721" s="851"/>
      <c r="F721" s="826"/>
      <c r="G721" s="827"/>
      <c r="H721" s="873">
        <f>ROUND(H720*0.13,2)</f>
        <v>1.86</v>
      </c>
      <c r="I721" s="859"/>
      <c r="J721" s="859"/>
      <c r="K721" s="859"/>
      <c r="L721" s="858"/>
    </row>
    <row r="722" spans="1:12" ht="16.5" thickBot="1" x14ac:dyDescent="0.3">
      <c r="A722" s="856"/>
      <c r="B722" s="856"/>
      <c r="C722" s="851"/>
      <c r="D722" s="851"/>
      <c r="E722" s="851"/>
      <c r="F722" s="826"/>
      <c r="G722" s="827"/>
      <c r="H722" s="860"/>
      <c r="I722" s="861"/>
      <c r="J722" s="861"/>
      <c r="K722" s="861"/>
      <c r="L722" s="858"/>
    </row>
    <row r="723" spans="1:12" ht="16.5" thickTop="1" x14ac:dyDescent="0.25">
      <c r="A723" s="856"/>
      <c r="B723" s="856"/>
      <c r="C723" s="851" t="s">
        <v>450</v>
      </c>
      <c r="D723" s="851"/>
      <c r="E723" s="851"/>
      <c r="F723" s="826"/>
      <c r="G723" s="827"/>
      <c r="H723" s="842">
        <f>SUM(H720:H722)</f>
        <v>16.18</v>
      </c>
      <c r="I723" s="842"/>
      <c r="J723" s="842"/>
      <c r="K723" s="842"/>
      <c r="L723" s="827"/>
    </row>
    <row r="724" spans="1:12" ht="16.5" thickBot="1" x14ac:dyDescent="0.3">
      <c r="A724" s="856"/>
      <c r="B724" s="856"/>
      <c r="C724" s="851"/>
      <c r="D724" s="851"/>
      <c r="E724" s="851"/>
      <c r="F724" s="826"/>
      <c r="G724" s="827"/>
      <c r="H724" s="860"/>
      <c r="I724" s="861"/>
      <c r="J724" s="861"/>
      <c r="K724" s="861"/>
      <c r="L724" s="827"/>
    </row>
    <row r="725" spans="1:12" ht="16.5" thickTop="1" x14ac:dyDescent="0.25">
      <c r="A725" s="856"/>
      <c r="B725" s="856"/>
      <c r="C725" s="851"/>
      <c r="D725" s="851"/>
      <c r="E725" s="851"/>
      <c r="F725" s="826"/>
      <c r="G725" s="827"/>
      <c r="H725" s="862"/>
      <c r="I725" s="862"/>
      <c r="J725" s="862"/>
      <c r="K725" s="862"/>
      <c r="L725" s="827"/>
    </row>
    <row r="726" spans="1:12" ht="15.75" x14ac:dyDescent="0.25">
      <c r="A726" s="856"/>
      <c r="B726" s="856"/>
      <c r="C726" s="851"/>
      <c r="D726" s="851"/>
      <c r="E726" s="851"/>
      <c r="F726" s="826"/>
      <c r="G726" s="827"/>
      <c r="H726" s="834"/>
      <c r="I726" s="834"/>
      <c r="J726" s="834"/>
      <c r="K726" s="834"/>
      <c r="L726" s="827"/>
    </row>
    <row r="727" spans="1:12" ht="15.75" x14ac:dyDescent="0.25">
      <c r="A727" s="856"/>
      <c r="B727" s="856"/>
      <c r="C727" s="851"/>
      <c r="D727" s="851"/>
      <c r="E727" s="851"/>
      <c r="F727" s="872"/>
      <c r="G727" s="827" t="s">
        <v>575</v>
      </c>
      <c r="H727" s="834">
        <v>0</v>
      </c>
      <c r="I727" s="834"/>
      <c r="J727" s="834"/>
      <c r="K727" s="834"/>
      <c r="L727" s="827"/>
    </row>
    <row r="728" spans="1:12" ht="15.75" x14ac:dyDescent="0.25">
      <c r="A728" s="856"/>
      <c r="B728" s="856"/>
      <c r="C728" s="851"/>
      <c r="D728" s="851"/>
      <c r="E728" s="851"/>
      <c r="F728" s="826"/>
      <c r="G728" s="870" t="s">
        <v>576</v>
      </c>
      <c r="H728" s="871">
        <f>+H721+H727</f>
        <v>1.86</v>
      </c>
      <c r="I728" s="834"/>
      <c r="J728" s="834"/>
      <c r="K728" s="834"/>
      <c r="L728" s="827"/>
    </row>
    <row r="729" spans="1:12" ht="15.75" x14ac:dyDescent="0.25">
      <c r="A729" s="856"/>
      <c r="B729" s="856"/>
      <c r="C729" s="851"/>
      <c r="D729" s="851"/>
      <c r="E729" s="851"/>
      <c r="F729" s="826"/>
      <c r="G729" s="827"/>
      <c r="H729" s="834"/>
      <c r="I729" s="834"/>
      <c r="J729" s="834"/>
      <c r="K729" s="834"/>
      <c r="L729" s="8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962"/>
  <sheetViews>
    <sheetView topLeftCell="B924" zoomScale="70" zoomScaleNormal="70" zoomScaleSheetLayoutView="70" workbookViewId="0">
      <selection activeCell="G968" sqref="G968"/>
    </sheetView>
  </sheetViews>
  <sheetFormatPr baseColWidth="10" defaultColWidth="11.42578125" defaultRowHeight="12.75" x14ac:dyDescent="0.2"/>
  <cols>
    <col min="1" max="1" width="5.42578125" style="136" hidden="1" customWidth="1"/>
    <col min="2" max="2" width="6.28515625" style="136" customWidth="1"/>
    <col min="3" max="3" width="12.140625" style="137" customWidth="1"/>
    <col min="4" max="4" width="19.7109375" style="138" customWidth="1"/>
    <col min="5" max="5" width="19" style="136" customWidth="1"/>
    <col min="6" max="6" width="13.140625" style="139" customWidth="1"/>
    <col min="7" max="7" width="11" style="140" customWidth="1"/>
    <col min="8" max="8" width="49.28515625" style="136" customWidth="1"/>
    <col min="9" max="9" width="19.5703125" style="136" customWidth="1"/>
    <col min="10" max="10" width="11.28515625" style="136" customWidth="1"/>
    <col min="11" max="11" width="12.42578125" style="141" bestFit="1" customWidth="1"/>
    <col min="12" max="12" width="12.28515625" style="136" customWidth="1"/>
    <col min="13" max="13" width="12.42578125" style="141" bestFit="1" customWidth="1"/>
    <col min="14" max="14" width="13.28515625" style="141" customWidth="1"/>
    <col min="15" max="15" width="11.5703125" style="136" customWidth="1"/>
    <col min="16" max="16" width="11.85546875" style="136" customWidth="1"/>
    <col min="17" max="17" width="12" style="136" customWidth="1"/>
    <col min="18" max="18" width="14.85546875" style="136" customWidth="1"/>
    <col min="19" max="19" width="18" style="136" customWidth="1"/>
    <col min="20" max="20" width="13.5703125" style="136" bestFit="1" customWidth="1"/>
    <col min="21" max="16384" width="11.42578125" style="136"/>
  </cols>
  <sheetData>
    <row r="1" spans="2:19" s="120" customFormat="1" ht="21" x14ac:dyDescent="0.35">
      <c r="B1" s="121" t="s">
        <v>218</v>
      </c>
      <c r="C1" s="122"/>
      <c r="D1" s="123"/>
      <c r="E1" s="123"/>
      <c r="F1" s="123"/>
      <c r="G1" s="124"/>
      <c r="H1" s="125"/>
      <c r="I1" s="125"/>
      <c r="J1" s="125"/>
      <c r="K1" s="125"/>
      <c r="L1" s="125"/>
      <c r="M1" s="125"/>
      <c r="N1" s="126"/>
    </row>
    <row r="2" spans="2:19" s="120" customFormat="1" ht="15.75" x14ac:dyDescent="0.25">
      <c r="B2" s="123" t="s">
        <v>134</v>
      </c>
      <c r="C2" s="123"/>
      <c r="D2" s="123"/>
      <c r="E2" s="123"/>
      <c r="F2" s="123"/>
      <c r="G2" s="124"/>
      <c r="H2" s="125"/>
      <c r="I2" s="125"/>
      <c r="J2" s="125"/>
      <c r="K2" s="125"/>
      <c r="L2" s="1044"/>
      <c r="M2" s="1044"/>
      <c r="N2" s="126"/>
    </row>
    <row r="3" spans="2:19" s="120" customFormat="1" ht="15.75" x14ac:dyDescent="0.25">
      <c r="B3" s="122" t="s">
        <v>135</v>
      </c>
      <c r="C3" s="123"/>
      <c r="D3" s="123"/>
      <c r="E3" s="123"/>
      <c r="F3" s="123"/>
      <c r="G3" s="124"/>
      <c r="H3" s="125"/>
      <c r="I3" s="125"/>
      <c r="J3" s="125"/>
      <c r="K3" s="125"/>
      <c r="L3" s="125"/>
      <c r="M3" s="125"/>
      <c r="N3" s="126"/>
    </row>
    <row r="4" spans="2:19" s="120" customFormat="1" ht="15.75" x14ac:dyDescent="0.25">
      <c r="B4" s="123" t="s">
        <v>190</v>
      </c>
      <c r="C4" s="123"/>
      <c r="D4" s="123"/>
      <c r="E4" s="123"/>
      <c r="F4" s="123"/>
      <c r="G4" s="124"/>
      <c r="H4" s="125"/>
      <c r="I4" s="125"/>
      <c r="J4" s="125"/>
      <c r="K4" s="125"/>
      <c r="L4" s="125"/>
      <c r="M4" s="125"/>
      <c r="N4" s="126"/>
    </row>
    <row r="5" spans="2:19" ht="15.75" x14ac:dyDescent="0.25">
      <c r="B5" s="127" t="s">
        <v>219</v>
      </c>
      <c r="C5" s="128" t="s">
        <v>81</v>
      </c>
      <c r="D5" s="129"/>
      <c r="E5" s="130">
        <v>2018</v>
      </c>
      <c r="F5" s="123"/>
      <c r="G5" s="124"/>
      <c r="H5" s="162"/>
      <c r="I5" s="131"/>
      <c r="J5" s="131"/>
      <c r="K5" s="131"/>
      <c r="L5" s="131"/>
      <c r="M5" s="131"/>
      <c r="N5" s="126"/>
      <c r="O5" s="120"/>
      <c r="P5" s="120"/>
      <c r="Q5" s="120"/>
      <c r="R5" s="120"/>
      <c r="S5" s="120"/>
    </row>
    <row r="6" spans="2:19" x14ac:dyDescent="0.2">
      <c r="B6" s="163"/>
      <c r="C6" s="164"/>
      <c r="D6" s="165"/>
      <c r="E6" s="166"/>
      <c r="F6" s="167"/>
      <c r="G6" s="168"/>
      <c r="H6" s="168"/>
      <c r="I6" s="169"/>
      <c r="J6" s="170"/>
      <c r="K6" s="171"/>
      <c r="L6" s="170"/>
      <c r="M6" s="171"/>
      <c r="N6" s="171"/>
      <c r="O6" s="170"/>
      <c r="P6" s="170"/>
      <c r="Q6" s="168"/>
      <c r="R6" s="168"/>
      <c r="S6" s="172"/>
    </row>
    <row r="7" spans="2:19" x14ac:dyDescent="0.2">
      <c r="B7" s="163"/>
      <c r="C7" s="164"/>
      <c r="D7" s="165"/>
      <c r="E7" s="166"/>
      <c r="F7" s="243"/>
      <c r="G7" s="173"/>
      <c r="H7" s="174"/>
      <c r="I7" s="169"/>
      <c r="J7" s="170"/>
      <c r="K7" s="171"/>
      <c r="L7" s="170"/>
      <c r="M7" s="171"/>
      <c r="N7" s="171"/>
      <c r="O7" s="170"/>
      <c r="P7" s="170"/>
      <c r="Q7" s="168"/>
      <c r="R7" s="168"/>
      <c r="S7" s="172"/>
    </row>
    <row r="8" spans="2:19" x14ac:dyDescent="0.2">
      <c r="B8" s="175"/>
      <c r="C8" s="176"/>
      <c r="D8" s="177"/>
      <c r="E8" s="166"/>
      <c r="F8" s="167"/>
      <c r="G8" s="178"/>
      <c r="H8" s="168"/>
      <c r="I8" s="169"/>
      <c r="J8" s="170"/>
      <c r="K8" s="171"/>
      <c r="L8" s="170"/>
      <c r="M8" s="171"/>
      <c r="N8" s="171"/>
      <c r="O8" s="170"/>
      <c r="P8" s="132">
        <v>0.01</v>
      </c>
      <c r="Q8" s="168"/>
      <c r="R8" s="168" t="s">
        <v>220</v>
      </c>
      <c r="S8" s="133">
        <v>0.13</v>
      </c>
    </row>
    <row r="9" spans="2:19" x14ac:dyDescent="0.2">
      <c r="B9" s="179" t="s">
        <v>221</v>
      </c>
      <c r="C9" s="180" t="s">
        <v>136</v>
      </c>
      <c r="D9" s="181" t="s">
        <v>136</v>
      </c>
      <c r="E9" s="182" t="s">
        <v>137</v>
      </c>
      <c r="F9" s="182" t="s">
        <v>222</v>
      </c>
      <c r="G9" s="244" t="s">
        <v>223</v>
      </c>
      <c r="H9" s="1047" t="s">
        <v>139</v>
      </c>
      <c r="I9" s="245" t="s">
        <v>224</v>
      </c>
      <c r="J9" s="246"/>
      <c r="K9" s="247" t="s">
        <v>225</v>
      </c>
      <c r="L9" s="248"/>
      <c r="M9" s="249"/>
      <c r="N9" s="250" t="s">
        <v>140</v>
      </c>
      <c r="O9" s="183" t="s">
        <v>226</v>
      </c>
      <c r="P9" s="184" t="s">
        <v>227</v>
      </c>
      <c r="Q9" s="185" t="s">
        <v>228</v>
      </c>
      <c r="R9" s="185" t="s">
        <v>229</v>
      </c>
      <c r="S9" s="185" t="s">
        <v>229</v>
      </c>
    </row>
    <row r="10" spans="2:19" x14ac:dyDescent="0.2">
      <c r="B10" s="186"/>
      <c r="C10" s="187" t="s">
        <v>230</v>
      </c>
      <c r="D10" s="188" t="s">
        <v>141</v>
      </c>
      <c r="E10" s="189" t="s">
        <v>141</v>
      </c>
      <c r="F10" s="190" t="s">
        <v>231</v>
      </c>
      <c r="G10" s="251" t="s">
        <v>142</v>
      </c>
      <c r="H10" s="1048"/>
      <c r="I10" s="252" t="s">
        <v>232</v>
      </c>
      <c r="J10" s="253" t="s">
        <v>233</v>
      </c>
      <c r="K10" s="252" t="s">
        <v>232</v>
      </c>
      <c r="L10" s="254" t="s">
        <v>233</v>
      </c>
      <c r="M10" s="252" t="s">
        <v>46</v>
      </c>
      <c r="N10" s="255" t="s">
        <v>234</v>
      </c>
      <c r="O10" s="191" t="s">
        <v>235</v>
      </c>
      <c r="P10" s="191" t="s">
        <v>236</v>
      </c>
      <c r="Q10" s="192" t="s">
        <v>237</v>
      </c>
      <c r="R10" s="192" t="s">
        <v>238</v>
      </c>
      <c r="S10" s="192" t="s">
        <v>239</v>
      </c>
    </row>
    <row r="11" spans="2:19" x14ac:dyDescent="0.2">
      <c r="B11" s="198">
        <v>1</v>
      </c>
      <c r="C11" s="199">
        <v>43111</v>
      </c>
      <c r="D11" s="199">
        <v>43111</v>
      </c>
      <c r="E11" s="200" t="s">
        <v>277</v>
      </c>
      <c r="F11" s="238"/>
      <c r="G11" s="201" t="s">
        <v>47</v>
      </c>
      <c r="H11" s="202" t="s">
        <v>242</v>
      </c>
      <c r="I11" s="203"/>
      <c r="J11" s="203"/>
      <c r="K11" s="204">
        <v>132.19999999999999</v>
      </c>
      <c r="L11" s="203"/>
      <c r="M11" s="203">
        <v>17.190000000000001</v>
      </c>
      <c r="N11" s="203">
        <v>149.38999999999999</v>
      </c>
      <c r="O11" s="203">
        <v>0</v>
      </c>
      <c r="P11" s="203">
        <v>0</v>
      </c>
      <c r="Q11" s="203"/>
      <c r="R11" s="203"/>
      <c r="S11" s="203"/>
    </row>
    <row r="12" spans="2:19" x14ac:dyDescent="0.2">
      <c r="B12" s="193">
        <v>2</v>
      </c>
      <c r="C12" s="194">
        <v>43115</v>
      </c>
      <c r="D12" s="194">
        <v>43098</v>
      </c>
      <c r="E12" s="195" t="s">
        <v>278</v>
      </c>
      <c r="F12" s="162" t="s">
        <v>279</v>
      </c>
      <c r="G12" s="196" t="s">
        <v>212</v>
      </c>
      <c r="H12" s="197" t="s">
        <v>213</v>
      </c>
      <c r="I12" s="134"/>
      <c r="J12" s="134"/>
      <c r="K12" s="135">
        <v>1012.18</v>
      </c>
      <c r="L12" s="134"/>
      <c r="M12" s="134">
        <v>131.58000000000001</v>
      </c>
      <c r="N12" s="134">
        <v>1143.76</v>
      </c>
      <c r="O12" s="134">
        <v>0</v>
      </c>
      <c r="P12" s="203">
        <v>10.119999999999999</v>
      </c>
      <c r="Q12" s="134"/>
      <c r="R12" s="134"/>
      <c r="S12" s="134"/>
    </row>
    <row r="13" spans="2:19" x14ac:dyDescent="0.2">
      <c r="B13" s="193">
        <v>3</v>
      </c>
      <c r="C13" s="194">
        <v>43118</v>
      </c>
      <c r="D13" s="194">
        <v>43111</v>
      </c>
      <c r="E13" s="195" t="s">
        <v>280</v>
      </c>
      <c r="F13" s="162"/>
      <c r="G13" s="196" t="s">
        <v>188</v>
      </c>
      <c r="H13" s="197" t="s">
        <v>207</v>
      </c>
      <c r="I13" s="134"/>
      <c r="J13" s="134"/>
      <c r="K13" s="135">
        <v>660.94</v>
      </c>
      <c r="L13" s="134"/>
      <c r="M13" s="134">
        <v>85.92</v>
      </c>
      <c r="N13" s="134">
        <v>746.86</v>
      </c>
      <c r="O13" s="134">
        <v>0</v>
      </c>
      <c r="P13" s="203">
        <v>0</v>
      </c>
      <c r="Q13" s="134"/>
      <c r="R13" s="134"/>
      <c r="S13" s="134"/>
    </row>
    <row r="14" spans="2:19" x14ac:dyDescent="0.2">
      <c r="B14" s="193">
        <v>4</v>
      </c>
      <c r="C14" s="194">
        <v>43118</v>
      </c>
      <c r="D14" s="194">
        <v>43112</v>
      </c>
      <c r="E14" s="195" t="s">
        <v>281</v>
      </c>
      <c r="F14" s="162"/>
      <c r="G14" s="196" t="s">
        <v>188</v>
      </c>
      <c r="H14" s="197" t="s">
        <v>207</v>
      </c>
      <c r="I14" s="134"/>
      <c r="J14" s="134"/>
      <c r="K14" s="135">
        <v>1644.53</v>
      </c>
      <c r="L14" s="134"/>
      <c r="M14" s="134">
        <v>213.79</v>
      </c>
      <c r="N14" s="134">
        <v>1858.32</v>
      </c>
      <c r="O14" s="134">
        <v>0</v>
      </c>
      <c r="P14" s="203">
        <v>0</v>
      </c>
      <c r="Q14" s="134"/>
      <c r="R14" s="134"/>
      <c r="S14" s="134"/>
    </row>
    <row r="15" spans="2:19" x14ac:dyDescent="0.2">
      <c r="B15" s="193">
        <v>5</v>
      </c>
      <c r="C15" s="194">
        <v>43118</v>
      </c>
      <c r="D15" s="194">
        <v>43116</v>
      </c>
      <c r="E15" s="195" t="s">
        <v>282</v>
      </c>
      <c r="F15" s="162"/>
      <c r="G15" s="196" t="s">
        <v>188</v>
      </c>
      <c r="H15" s="197" t="s">
        <v>207</v>
      </c>
      <c r="I15" s="134"/>
      <c r="J15" s="134"/>
      <c r="K15" s="135">
        <v>988.12</v>
      </c>
      <c r="L15" s="134"/>
      <c r="M15" s="134">
        <v>128.46</v>
      </c>
      <c r="N15" s="134">
        <v>1116.58</v>
      </c>
      <c r="O15" s="134">
        <v>0</v>
      </c>
      <c r="P15" s="203">
        <v>0</v>
      </c>
      <c r="Q15" s="134"/>
      <c r="R15" s="134"/>
      <c r="S15" s="134"/>
    </row>
    <row r="16" spans="2:19" x14ac:dyDescent="0.2">
      <c r="B16" s="193">
        <v>6</v>
      </c>
      <c r="C16" s="194">
        <v>43118</v>
      </c>
      <c r="D16" s="194">
        <v>43117</v>
      </c>
      <c r="E16" s="195" t="s">
        <v>283</v>
      </c>
      <c r="F16" s="162"/>
      <c r="G16" s="196" t="s">
        <v>188</v>
      </c>
      <c r="H16" s="197" t="s">
        <v>207</v>
      </c>
      <c r="I16" s="134"/>
      <c r="J16" s="134"/>
      <c r="K16" s="135">
        <v>2634.5</v>
      </c>
      <c r="L16" s="134"/>
      <c r="M16" s="134">
        <v>342.49</v>
      </c>
      <c r="N16" s="134">
        <v>2976.98</v>
      </c>
      <c r="O16" s="134">
        <v>0</v>
      </c>
      <c r="P16" s="203">
        <v>0</v>
      </c>
      <c r="Q16" s="134"/>
      <c r="R16" s="134"/>
      <c r="S16" s="134"/>
    </row>
    <row r="17" spans="2:19" x14ac:dyDescent="0.2">
      <c r="B17" s="193">
        <v>7</v>
      </c>
      <c r="C17" s="194">
        <v>43122</v>
      </c>
      <c r="D17" s="194">
        <v>43122</v>
      </c>
      <c r="E17" s="195" t="s">
        <v>284</v>
      </c>
      <c r="F17" s="162"/>
      <c r="G17" s="196" t="s">
        <v>188</v>
      </c>
      <c r="H17" s="197" t="s">
        <v>207</v>
      </c>
      <c r="I17" s="134"/>
      <c r="J17" s="134"/>
      <c r="K17" s="135">
        <v>25000</v>
      </c>
      <c r="L17" s="134"/>
      <c r="M17" s="134">
        <v>3250</v>
      </c>
      <c r="N17" s="134">
        <v>28250</v>
      </c>
      <c r="O17" s="134">
        <v>0</v>
      </c>
      <c r="P17" s="203">
        <v>0</v>
      </c>
      <c r="Q17" s="134"/>
      <c r="R17" s="134"/>
      <c r="S17" s="134"/>
    </row>
    <row r="18" spans="2:19" x14ac:dyDescent="0.2">
      <c r="B18" s="193">
        <v>8</v>
      </c>
      <c r="C18" s="194">
        <v>43126</v>
      </c>
      <c r="D18" s="194">
        <v>43102</v>
      </c>
      <c r="E18" s="195" t="s">
        <v>285</v>
      </c>
      <c r="F18" s="162" t="s">
        <v>286</v>
      </c>
      <c r="G18" s="196" t="s">
        <v>208</v>
      </c>
      <c r="H18" s="197" t="s">
        <v>209</v>
      </c>
      <c r="I18" s="134"/>
      <c r="J18" s="134"/>
      <c r="K18" s="135">
        <v>225.75</v>
      </c>
      <c r="L18" s="134"/>
      <c r="M18" s="134">
        <v>29.35</v>
      </c>
      <c r="N18" s="134">
        <v>255.1</v>
      </c>
      <c r="O18" s="134">
        <v>0</v>
      </c>
      <c r="P18" s="203">
        <v>2.2599999999999998</v>
      </c>
      <c r="Q18" s="134"/>
      <c r="R18" s="134"/>
      <c r="S18" s="134"/>
    </row>
    <row r="19" spans="2:19" x14ac:dyDescent="0.2">
      <c r="B19" s="193">
        <v>9</v>
      </c>
      <c r="C19" s="194">
        <v>43126</v>
      </c>
      <c r="D19" s="256">
        <v>43119</v>
      </c>
      <c r="E19" s="195" t="s">
        <v>287</v>
      </c>
      <c r="F19" s="162"/>
      <c r="G19" s="196" t="s">
        <v>210</v>
      </c>
      <c r="H19" s="197" t="s">
        <v>211</v>
      </c>
      <c r="I19" s="134"/>
      <c r="J19" s="134"/>
      <c r="K19" s="135">
        <v>85.5</v>
      </c>
      <c r="L19" s="134"/>
      <c r="M19" s="134">
        <v>11.12</v>
      </c>
      <c r="N19" s="134">
        <v>96.62</v>
      </c>
      <c r="O19" s="134">
        <v>0</v>
      </c>
      <c r="P19" s="203">
        <v>0</v>
      </c>
      <c r="Q19" s="134"/>
      <c r="R19" s="134"/>
      <c r="S19" s="134"/>
    </row>
    <row r="20" spans="2:19" x14ac:dyDescent="0.2">
      <c r="B20" s="193">
        <v>10</v>
      </c>
      <c r="C20" s="194">
        <v>43126</v>
      </c>
      <c r="D20" s="256">
        <v>43119</v>
      </c>
      <c r="E20" s="195" t="s">
        <v>272</v>
      </c>
      <c r="F20" s="162"/>
      <c r="G20" s="196" t="s">
        <v>210</v>
      </c>
      <c r="H20" s="197" t="s">
        <v>211</v>
      </c>
      <c r="I20" s="134"/>
      <c r="J20" s="134"/>
      <c r="K20" s="135">
        <v>61.2</v>
      </c>
      <c r="L20" s="134"/>
      <c r="M20" s="134">
        <v>7.96</v>
      </c>
      <c r="N20" s="134">
        <v>69.16</v>
      </c>
      <c r="O20" s="134">
        <v>0</v>
      </c>
      <c r="P20" s="203">
        <v>0</v>
      </c>
      <c r="Q20" s="134"/>
      <c r="R20" s="134"/>
      <c r="S20" s="134"/>
    </row>
    <row r="21" spans="2:19" x14ac:dyDescent="0.2">
      <c r="B21" s="193">
        <v>11</v>
      </c>
      <c r="C21" s="194">
        <v>43126</v>
      </c>
      <c r="D21" s="256">
        <v>43124</v>
      </c>
      <c r="E21" s="195" t="s">
        <v>288</v>
      </c>
      <c r="F21" s="162"/>
      <c r="G21" s="196" t="s">
        <v>188</v>
      </c>
      <c r="H21" s="197" t="s">
        <v>207</v>
      </c>
      <c r="I21" s="134"/>
      <c r="J21" s="134"/>
      <c r="K21" s="135">
        <v>-6249.91</v>
      </c>
      <c r="L21" s="134"/>
      <c r="M21" s="134">
        <v>-812.49</v>
      </c>
      <c r="N21" s="134">
        <v>-7062.4</v>
      </c>
      <c r="O21" s="134">
        <v>0</v>
      </c>
      <c r="P21" s="203">
        <v>0</v>
      </c>
      <c r="Q21" s="134"/>
      <c r="R21" s="134"/>
      <c r="S21" s="134"/>
    </row>
    <row r="22" spans="2:19" x14ac:dyDescent="0.2">
      <c r="B22" s="193">
        <v>12</v>
      </c>
      <c r="C22" s="194">
        <v>43126</v>
      </c>
      <c r="D22" s="256"/>
      <c r="E22" s="195" t="s">
        <v>254</v>
      </c>
      <c r="F22" s="162"/>
      <c r="G22" s="196" t="s">
        <v>188</v>
      </c>
      <c r="H22" s="197" t="s">
        <v>207</v>
      </c>
      <c r="I22" s="134"/>
      <c r="J22" s="134"/>
      <c r="K22" s="135">
        <v>328.12</v>
      </c>
      <c r="L22" s="134"/>
      <c r="M22" s="134">
        <v>42.66</v>
      </c>
      <c r="N22" s="134">
        <v>370.78</v>
      </c>
      <c r="O22" s="134">
        <v>0</v>
      </c>
      <c r="P22" s="203">
        <v>0</v>
      </c>
      <c r="Q22" s="134"/>
      <c r="R22" s="134"/>
      <c r="S22" s="134"/>
    </row>
    <row r="23" spans="2:19" x14ac:dyDescent="0.2">
      <c r="B23" s="193"/>
      <c r="C23" s="194"/>
      <c r="D23" s="194"/>
      <c r="E23" s="195"/>
      <c r="F23" s="162"/>
      <c r="G23" s="196"/>
      <c r="H23" s="197"/>
      <c r="I23" s="134"/>
      <c r="J23" s="134"/>
      <c r="K23" s="135"/>
      <c r="L23" s="134"/>
      <c r="M23" s="134"/>
      <c r="N23" s="134"/>
      <c r="O23" s="134"/>
      <c r="P23" s="203"/>
      <c r="Q23" s="134"/>
      <c r="R23" s="134"/>
      <c r="S23" s="134"/>
    </row>
    <row r="24" spans="2:19" x14ac:dyDescent="0.2">
      <c r="B24" s="193"/>
      <c r="C24" s="194">
        <v>43131</v>
      </c>
      <c r="D24" s="194"/>
      <c r="E24" s="195"/>
      <c r="F24" s="162"/>
      <c r="G24" s="196"/>
      <c r="H24" s="197" t="s">
        <v>273</v>
      </c>
      <c r="I24" s="134"/>
      <c r="J24" s="134"/>
      <c r="K24" s="299"/>
      <c r="L24" s="134"/>
      <c r="M24" s="299">
        <v>-3448.03</v>
      </c>
      <c r="N24" s="134"/>
      <c r="O24" s="134"/>
      <c r="P24" s="203">
        <v>0</v>
      </c>
      <c r="Q24" s="134"/>
      <c r="R24" s="134"/>
      <c r="S24" s="134"/>
    </row>
    <row r="25" spans="2:19" x14ac:dyDescent="0.2">
      <c r="B25" s="193"/>
      <c r="C25" s="194"/>
      <c r="D25" s="194"/>
      <c r="E25" s="195"/>
      <c r="F25" s="257"/>
      <c r="G25" s="196"/>
      <c r="H25" s="197"/>
      <c r="I25" s="134"/>
      <c r="J25" s="134"/>
      <c r="K25" s="135"/>
      <c r="L25" s="134"/>
      <c r="M25" s="134"/>
      <c r="N25" s="134"/>
      <c r="O25" s="134"/>
      <c r="P25" s="134"/>
      <c r="Q25" s="134"/>
      <c r="R25" s="134"/>
      <c r="S25" s="134"/>
    </row>
    <row r="26" spans="2:19" ht="13.5" thickBot="1" x14ac:dyDescent="0.25">
      <c r="B26" s="265"/>
      <c r="C26" s="266"/>
      <c r="D26" s="267"/>
      <c r="E26" s="266"/>
      <c r="F26" s="268"/>
      <c r="G26" s="269"/>
      <c r="H26" s="270"/>
      <c r="I26" s="271"/>
      <c r="J26" s="272"/>
      <c r="K26" s="272"/>
      <c r="L26" s="273"/>
      <c r="M26" s="272"/>
      <c r="N26" s="272"/>
      <c r="O26" s="272"/>
      <c r="P26" s="272"/>
      <c r="Q26" s="274"/>
      <c r="R26" s="274"/>
      <c r="S26" s="274"/>
    </row>
    <row r="27" spans="2:19" x14ac:dyDescent="0.2">
      <c r="B27" s="175"/>
      <c r="C27" s="176"/>
      <c r="D27" s="275"/>
      <c r="E27" s="176"/>
      <c r="F27" s="276"/>
      <c r="G27" s="277"/>
      <c r="H27" s="178"/>
      <c r="I27" s="278"/>
      <c r="J27" s="171"/>
      <c r="K27" s="171"/>
      <c r="L27" s="279"/>
      <c r="M27" s="171"/>
      <c r="N27" s="171"/>
      <c r="O27" s="171"/>
      <c r="P27" s="171"/>
      <c r="Q27" s="280"/>
      <c r="R27" s="280"/>
      <c r="S27" s="280"/>
    </row>
    <row r="28" spans="2:19" x14ac:dyDescent="0.2">
      <c r="B28" s="175"/>
      <c r="C28" s="164"/>
      <c r="D28" s="165"/>
      <c r="E28" s="164"/>
      <c r="F28" s="281"/>
      <c r="G28" s="277"/>
      <c r="H28" s="282" t="s">
        <v>261</v>
      </c>
      <c r="I28" s="279">
        <v>0</v>
      </c>
      <c r="J28" s="279">
        <v>0</v>
      </c>
      <c r="K28" s="279">
        <v>26523.13</v>
      </c>
      <c r="L28" s="279">
        <v>0</v>
      </c>
      <c r="M28" s="279">
        <v>0</v>
      </c>
      <c r="N28" s="279">
        <v>29971.15</v>
      </c>
      <c r="O28" s="279">
        <v>0</v>
      </c>
      <c r="P28" s="279">
        <v>12.379999999999999</v>
      </c>
      <c r="Q28" s="279">
        <v>0</v>
      </c>
      <c r="R28" s="279">
        <v>0</v>
      </c>
      <c r="S28" s="279">
        <v>0</v>
      </c>
    </row>
    <row r="29" spans="2:19" ht="13.5" thickBot="1" x14ac:dyDescent="0.25">
      <c r="B29" s="265"/>
      <c r="C29" s="283"/>
      <c r="D29" s="284"/>
      <c r="E29" s="283"/>
      <c r="F29" s="285"/>
      <c r="G29" s="269"/>
      <c r="H29" s="286"/>
      <c r="I29" s="273"/>
      <c r="J29" s="287"/>
      <c r="K29" s="287"/>
      <c r="L29" s="287"/>
      <c r="M29" s="287"/>
      <c r="N29" s="287"/>
      <c r="O29" s="287"/>
      <c r="P29" s="287"/>
      <c r="Q29" s="273"/>
      <c r="R29" s="273"/>
      <c r="S29" s="288"/>
    </row>
    <row r="30" spans="2:19" x14ac:dyDescent="0.2">
      <c r="B30" s="175"/>
      <c r="C30" s="164"/>
      <c r="D30" s="165"/>
      <c r="E30" s="164"/>
      <c r="F30" s="281"/>
      <c r="G30" s="277"/>
      <c r="H30" s="282"/>
      <c r="I30" s="168"/>
      <c r="J30" s="279"/>
      <c r="K30" s="279"/>
      <c r="L30" s="168"/>
      <c r="M30" s="279"/>
      <c r="N30" s="279"/>
      <c r="O30" s="279"/>
      <c r="P30" s="279"/>
      <c r="Q30" s="168"/>
      <c r="R30" s="168"/>
      <c r="S30" s="282"/>
    </row>
    <row r="31" spans="2:19" x14ac:dyDescent="0.2">
      <c r="B31" s="193"/>
      <c r="C31" s="194"/>
      <c r="D31" s="194"/>
      <c r="E31" s="195"/>
      <c r="F31" s="162"/>
      <c r="G31" s="196"/>
      <c r="H31" s="197"/>
      <c r="I31" s="134"/>
      <c r="J31" s="134"/>
      <c r="K31" s="135"/>
      <c r="L31" s="134"/>
      <c r="M31" s="134"/>
      <c r="N31" s="134"/>
      <c r="O31" s="134"/>
      <c r="P31" s="134"/>
      <c r="Q31" s="134"/>
      <c r="R31" s="134"/>
      <c r="S31" s="134"/>
    </row>
    <row r="32" spans="2:19" x14ac:dyDescent="0.2">
      <c r="B32" s="193"/>
      <c r="C32" s="194"/>
      <c r="D32" s="194"/>
      <c r="E32" s="195"/>
      <c r="F32" s="162"/>
      <c r="G32" s="196"/>
      <c r="H32" s="197"/>
      <c r="I32" s="134"/>
      <c r="J32" s="134"/>
      <c r="K32" s="135"/>
      <c r="L32" s="134"/>
      <c r="M32" s="134"/>
      <c r="N32" s="134"/>
      <c r="O32" s="134"/>
      <c r="P32" s="134"/>
      <c r="Q32" s="134"/>
      <c r="R32" s="134"/>
      <c r="S32" s="134"/>
    </row>
    <row r="33" spans="2:19" x14ac:dyDescent="0.2">
      <c r="B33" s="193"/>
      <c r="C33" s="194"/>
      <c r="D33" s="194"/>
      <c r="E33" s="195"/>
      <c r="F33" s="162"/>
      <c r="G33" s="196"/>
      <c r="H33" s="197"/>
      <c r="I33" s="134"/>
      <c r="J33" s="134"/>
      <c r="K33" s="135"/>
      <c r="L33" s="134"/>
      <c r="M33" s="134"/>
      <c r="N33" s="134"/>
      <c r="O33" s="134"/>
      <c r="P33" s="134"/>
      <c r="Q33" s="134"/>
      <c r="R33" s="134"/>
      <c r="S33" s="134"/>
    </row>
    <row r="34" spans="2:19" x14ac:dyDescent="0.2">
      <c r="B34" s="193"/>
      <c r="C34" s="194"/>
      <c r="D34" s="194"/>
      <c r="E34" s="195"/>
      <c r="F34" s="162"/>
      <c r="G34" s="196"/>
      <c r="H34" s="197"/>
      <c r="I34" s="134"/>
      <c r="J34" s="134"/>
      <c r="K34" s="135"/>
      <c r="L34" s="134"/>
      <c r="M34" s="134"/>
      <c r="N34" s="134"/>
      <c r="O34" s="134"/>
      <c r="P34" s="134"/>
      <c r="Q34" s="134"/>
      <c r="R34" s="134"/>
      <c r="S34" s="134"/>
    </row>
    <row r="35" spans="2:19" ht="15.75" x14ac:dyDescent="0.25">
      <c r="B35" s="127" t="s">
        <v>219</v>
      </c>
      <c r="C35" s="128" t="s">
        <v>82</v>
      </c>
      <c r="D35" s="129"/>
      <c r="E35" s="130">
        <v>2018</v>
      </c>
      <c r="F35" s="123"/>
      <c r="G35" s="124"/>
      <c r="H35" s="162"/>
      <c r="I35" s="131"/>
      <c r="J35" s="131"/>
      <c r="K35" s="131"/>
      <c r="L35" s="131"/>
      <c r="M35" s="131"/>
      <c r="N35" s="126"/>
      <c r="O35" s="120"/>
      <c r="P35" s="120"/>
      <c r="Q35" s="120"/>
      <c r="R35" s="120"/>
      <c r="S35" s="120"/>
    </row>
    <row r="36" spans="2:19" x14ac:dyDescent="0.2">
      <c r="B36" s="163"/>
      <c r="C36" s="164"/>
      <c r="D36" s="165"/>
      <c r="E36" s="166"/>
      <c r="F36" s="167"/>
      <c r="G36" s="168"/>
      <c r="H36" s="168"/>
      <c r="I36" s="169"/>
      <c r="J36" s="170"/>
      <c r="K36" s="171"/>
      <c r="L36" s="170"/>
      <c r="M36" s="171"/>
      <c r="N36" s="171"/>
      <c r="O36" s="170"/>
      <c r="P36" s="170"/>
      <c r="Q36" s="168"/>
      <c r="R36" s="168"/>
      <c r="S36" s="172"/>
    </row>
    <row r="37" spans="2:19" x14ac:dyDescent="0.2">
      <c r="B37" s="163"/>
      <c r="C37" s="164"/>
      <c r="D37" s="165"/>
      <c r="E37" s="166"/>
      <c r="F37" s="243"/>
      <c r="G37" s="173"/>
      <c r="H37" s="174"/>
      <c r="I37" s="169"/>
      <c r="J37" s="170"/>
      <c r="K37" s="171"/>
      <c r="L37" s="170"/>
      <c r="M37" s="171"/>
      <c r="N37" s="171"/>
      <c r="O37" s="170"/>
      <c r="P37" s="170"/>
      <c r="Q37" s="168"/>
      <c r="R37" s="168"/>
      <c r="S37" s="172"/>
    </row>
    <row r="38" spans="2:19" x14ac:dyDescent="0.2">
      <c r="B38" s="175"/>
      <c r="C38" s="176"/>
      <c r="D38" s="177"/>
      <c r="E38" s="166"/>
      <c r="F38" s="167"/>
      <c r="G38" s="178"/>
      <c r="H38" s="168"/>
      <c r="I38" s="169"/>
      <c r="J38" s="170"/>
      <c r="K38" s="171"/>
      <c r="L38" s="170"/>
      <c r="M38" s="171"/>
      <c r="N38" s="171"/>
      <c r="O38" s="170"/>
      <c r="P38" s="132">
        <v>0.01</v>
      </c>
      <c r="Q38" s="168"/>
      <c r="R38" s="168" t="s">
        <v>220</v>
      </c>
      <c r="S38" s="133">
        <v>0.13</v>
      </c>
    </row>
    <row r="39" spans="2:19" x14ac:dyDescent="0.2">
      <c r="B39" s="179" t="s">
        <v>221</v>
      </c>
      <c r="C39" s="180" t="s">
        <v>136</v>
      </c>
      <c r="D39" s="181" t="s">
        <v>136</v>
      </c>
      <c r="E39" s="182" t="s">
        <v>137</v>
      </c>
      <c r="F39" s="182" t="s">
        <v>222</v>
      </c>
      <c r="G39" s="312" t="s">
        <v>223</v>
      </c>
      <c r="H39" s="1042" t="s">
        <v>139</v>
      </c>
      <c r="I39" s="322" t="s">
        <v>224</v>
      </c>
      <c r="J39" s="323"/>
      <c r="K39" s="324" t="s">
        <v>225</v>
      </c>
      <c r="L39" s="325"/>
      <c r="M39" s="326"/>
      <c r="N39" s="313" t="s">
        <v>140</v>
      </c>
      <c r="O39" s="183" t="s">
        <v>226</v>
      </c>
      <c r="P39" s="184" t="s">
        <v>227</v>
      </c>
      <c r="Q39" s="185" t="s">
        <v>228</v>
      </c>
      <c r="R39" s="185" t="s">
        <v>229</v>
      </c>
      <c r="S39" s="185" t="s">
        <v>229</v>
      </c>
    </row>
    <row r="40" spans="2:19" x14ac:dyDescent="0.2">
      <c r="B40" s="186"/>
      <c r="C40" s="187" t="s">
        <v>230</v>
      </c>
      <c r="D40" s="188" t="s">
        <v>141</v>
      </c>
      <c r="E40" s="189" t="s">
        <v>141</v>
      </c>
      <c r="F40" s="190" t="s">
        <v>231</v>
      </c>
      <c r="G40" s="314" t="s">
        <v>142</v>
      </c>
      <c r="H40" s="1043"/>
      <c r="I40" s="315" t="s">
        <v>232</v>
      </c>
      <c r="J40" s="316" t="s">
        <v>233</v>
      </c>
      <c r="K40" s="317" t="s">
        <v>232</v>
      </c>
      <c r="L40" s="318" t="s">
        <v>233</v>
      </c>
      <c r="M40" s="317" t="s">
        <v>46</v>
      </c>
      <c r="N40" s="319" t="s">
        <v>234</v>
      </c>
      <c r="O40" s="191" t="s">
        <v>235</v>
      </c>
      <c r="P40" s="191" t="s">
        <v>236</v>
      </c>
      <c r="Q40" s="192" t="s">
        <v>237</v>
      </c>
      <c r="R40" s="192" t="s">
        <v>238</v>
      </c>
      <c r="S40" s="192" t="s">
        <v>239</v>
      </c>
    </row>
    <row r="41" spans="2:19" x14ac:dyDescent="0.2">
      <c r="B41" s="193">
        <v>1</v>
      </c>
      <c r="C41" s="194">
        <v>43133</v>
      </c>
      <c r="D41" s="194">
        <v>43108</v>
      </c>
      <c r="E41" s="195" t="s">
        <v>324</v>
      </c>
      <c r="F41" s="162" t="s">
        <v>325</v>
      </c>
      <c r="G41" s="196" t="s">
        <v>326</v>
      </c>
      <c r="H41" s="197" t="s">
        <v>345</v>
      </c>
      <c r="I41" s="134"/>
      <c r="J41" s="134"/>
      <c r="K41" s="135">
        <v>2400</v>
      </c>
      <c r="L41" s="134"/>
      <c r="M41" s="134">
        <v>312</v>
      </c>
      <c r="N41" s="134">
        <v>2712</v>
      </c>
      <c r="O41" s="134">
        <v>0</v>
      </c>
      <c r="P41" s="203">
        <v>24</v>
      </c>
      <c r="Q41" s="134"/>
      <c r="R41" s="134"/>
      <c r="S41" s="134"/>
    </row>
    <row r="42" spans="2:19" x14ac:dyDescent="0.2">
      <c r="B42" s="198">
        <v>2</v>
      </c>
      <c r="C42" s="199">
        <v>43136</v>
      </c>
      <c r="D42" s="199">
        <v>43136</v>
      </c>
      <c r="E42" s="200" t="s">
        <v>327</v>
      </c>
      <c r="F42" s="238"/>
      <c r="G42" s="201" t="s">
        <v>47</v>
      </c>
      <c r="H42" s="202" t="s">
        <v>242</v>
      </c>
      <c r="I42" s="203"/>
      <c r="J42" s="203"/>
      <c r="K42" s="204">
        <v>132.19999999999999</v>
      </c>
      <c r="L42" s="203"/>
      <c r="M42" s="203">
        <v>17.190000000000001</v>
      </c>
      <c r="N42" s="203">
        <v>149.38999999999999</v>
      </c>
      <c r="O42" s="203">
        <v>0</v>
      </c>
      <c r="P42" s="203">
        <v>0</v>
      </c>
      <c r="Q42" s="203"/>
      <c r="R42" s="203"/>
      <c r="S42" s="203"/>
    </row>
    <row r="43" spans="2:19" x14ac:dyDescent="0.2">
      <c r="B43" s="193">
        <v>3</v>
      </c>
      <c r="C43" s="194">
        <v>43137</v>
      </c>
      <c r="D43" s="194">
        <v>43115</v>
      </c>
      <c r="E43" s="195" t="s">
        <v>328</v>
      </c>
      <c r="F43" s="162"/>
      <c r="G43" s="196" t="s">
        <v>188</v>
      </c>
      <c r="H43" s="197" t="s">
        <v>207</v>
      </c>
      <c r="I43" s="134"/>
      <c r="J43" s="134"/>
      <c r="K43" s="135">
        <v>195</v>
      </c>
      <c r="L43" s="134"/>
      <c r="M43" s="134">
        <v>25.35</v>
      </c>
      <c r="N43" s="134">
        <v>220.35</v>
      </c>
      <c r="O43" s="134">
        <v>0</v>
      </c>
      <c r="P43" s="203">
        <v>0</v>
      </c>
      <c r="Q43" s="134"/>
      <c r="R43" s="134"/>
      <c r="S43" s="134"/>
    </row>
    <row r="44" spans="2:19" x14ac:dyDescent="0.2">
      <c r="B44" s="193">
        <v>4</v>
      </c>
      <c r="C44" s="194">
        <v>43137</v>
      </c>
      <c r="D44" s="194">
        <v>43132</v>
      </c>
      <c r="E44" s="195" t="s">
        <v>329</v>
      </c>
      <c r="F44" s="162" t="s">
        <v>330</v>
      </c>
      <c r="G44" s="196" t="s">
        <v>208</v>
      </c>
      <c r="H44" s="197" t="s">
        <v>209</v>
      </c>
      <c r="I44" s="134"/>
      <c r="J44" s="134"/>
      <c r="K44" s="135">
        <v>225.75</v>
      </c>
      <c r="L44" s="134"/>
      <c r="M44" s="134">
        <v>29.35</v>
      </c>
      <c r="N44" s="134">
        <v>255.1</v>
      </c>
      <c r="O44" s="134">
        <v>0</v>
      </c>
      <c r="P44" s="203">
        <v>2.2599999999999998</v>
      </c>
      <c r="Q44" s="134"/>
      <c r="R44" s="134"/>
      <c r="S44" s="134"/>
    </row>
    <row r="45" spans="2:19" x14ac:dyDescent="0.2">
      <c r="B45" s="193">
        <v>5</v>
      </c>
      <c r="C45" s="194">
        <v>43145</v>
      </c>
      <c r="D45" s="194">
        <v>43145</v>
      </c>
      <c r="E45" s="195" t="s">
        <v>331</v>
      </c>
      <c r="F45" s="162"/>
      <c r="G45" s="196" t="s">
        <v>188</v>
      </c>
      <c r="H45" s="197" t="s">
        <v>207</v>
      </c>
      <c r="I45" s="134"/>
      <c r="J45" s="134"/>
      <c r="K45" s="135">
        <v>6453.12</v>
      </c>
      <c r="L45" s="134"/>
      <c r="M45" s="134">
        <v>838.91</v>
      </c>
      <c r="N45" s="134">
        <v>7292.03</v>
      </c>
      <c r="O45" s="134">
        <v>0</v>
      </c>
      <c r="P45" s="203">
        <v>0</v>
      </c>
      <c r="Q45" s="134"/>
      <c r="R45" s="134"/>
      <c r="S45" s="134"/>
    </row>
    <row r="46" spans="2:19" x14ac:dyDescent="0.2">
      <c r="B46" s="193">
        <v>6</v>
      </c>
      <c r="C46" s="194">
        <v>43145</v>
      </c>
      <c r="D46" s="194">
        <v>43131</v>
      </c>
      <c r="E46" s="195" t="s">
        <v>332</v>
      </c>
      <c r="F46" s="162" t="s">
        <v>333</v>
      </c>
      <c r="G46" s="196" t="s">
        <v>212</v>
      </c>
      <c r="H46" s="197" t="s">
        <v>213</v>
      </c>
      <c r="I46" s="134"/>
      <c r="J46" s="134"/>
      <c r="K46" s="135">
        <v>3404.47</v>
      </c>
      <c r="L46" s="134"/>
      <c r="M46" s="134">
        <v>442.58</v>
      </c>
      <c r="N46" s="134">
        <v>3847.05</v>
      </c>
      <c r="O46" s="134">
        <v>0</v>
      </c>
      <c r="P46" s="203">
        <v>34.04</v>
      </c>
      <c r="Q46" s="134"/>
      <c r="R46" s="134"/>
      <c r="S46" s="134"/>
    </row>
    <row r="47" spans="2:19" x14ac:dyDescent="0.2">
      <c r="B47" s="193">
        <v>7</v>
      </c>
      <c r="C47" s="194">
        <v>43146</v>
      </c>
      <c r="D47" s="194">
        <v>43146</v>
      </c>
      <c r="E47" s="195" t="s">
        <v>334</v>
      </c>
      <c r="F47" s="162"/>
      <c r="G47" s="196" t="s">
        <v>188</v>
      </c>
      <c r="H47" s="197" t="s">
        <v>207</v>
      </c>
      <c r="I47" s="134"/>
      <c r="J47" s="134"/>
      <c r="K47" s="135">
        <v>2341.9</v>
      </c>
      <c r="L47" s="134"/>
      <c r="M47" s="134">
        <v>304.45</v>
      </c>
      <c r="N47" s="134">
        <v>2646.35</v>
      </c>
      <c r="O47" s="134">
        <v>0</v>
      </c>
      <c r="P47" s="203">
        <v>0</v>
      </c>
      <c r="Q47" s="134"/>
      <c r="R47" s="134"/>
      <c r="S47" s="134"/>
    </row>
    <row r="48" spans="2:19" x14ac:dyDescent="0.2">
      <c r="B48" s="193">
        <v>8</v>
      </c>
      <c r="C48" s="194">
        <v>43147</v>
      </c>
      <c r="D48" s="194">
        <v>43131</v>
      </c>
      <c r="E48" s="195" t="s">
        <v>335</v>
      </c>
      <c r="F48" s="162"/>
      <c r="G48" s="196" t="s">
        <v>336</v>
      </c>
      <c r="H48" s="197" t="s">
        <v>346</v>
      </c>
      <c r="I48" s="134"/>
      <c r="J48" s="134"/>
      <c r="K48" s="135">
        <v>2.25</v>
      </c>
      <c r="L48" s="134"/>
      <c r="M48" s="134">
        <v>0.28999999999999998</v>
      </c>
      <c r="N48" s="134">
        <v>2.54</v>
      </c>
      <c r="O48" s="134">
        <v>0</v>
      </c>
      <c r="P48" s="203">
        <v>0</v>
      </c>
      <c r="Q48" s="134"/>
      <c r="R48" s="134"/>
      <c r="S48" s="134"/>
    </row>
    <row r="49" spans="2:19" x14ac:dyDescent="0.2">
      <c r="B49" s="193">
        <v>9</v>
      </c>
      <c r="C49" s="194">
        <v>43152</v>
      </c>
      <c r="D49" s="256">
        <v>43150</v>
      </c>
      <c r="E49" s="195" t="s">
        <v>337</v>
      </c>
      <c r="F49" s="162" t="s">
        <v>338</v>
      </c>
      <c r="G49" s="196" t="s">
        <v>210</v>
      </c>
      <c r="H49" s="197" t="s">
        <v>211</v>
      </c>
      <c r="I49" s="134"/>
      <c r="J49" s="134"/>
      <c r="K49" s="135">
        <v>153.9</v>
      </c>
      <c r="L49" s="134"/>
      <c r="M49" s="134">
        <v>20.010000000000002</v>
      </c>
      <c r="N49" s="134">
        <v>173.91</v>
      </c>
      <c r="O49" s="134">
        <v>0</v>
      </c>
      <c r="P49" s="203">
        <v>1.54</v>
      </c>
      <c r="Q49" s="134"/>
      <c r="R49" s="134"/>
      <c r="S49" s="134"/>
    </row>
    <row r="50" spans="2:19" x14ac:dyDescent="0.2">
      <c r="B50" s="193">
        <v>10</v>
      </c>
      <c r="C50" s="194">
        <v>43152</v>
      </c>
      <c r="D50" s="256">
        <v>43140</v>
      </c>
      <c r="E50" s="195" t="s">
        <v>339</v>
      </c>
      <c r="F50" s="162" t="s">
        <v>340</v>
      </c>
      <c r="G50" s="196" t="s">
        <v>341</v>
      </c>
      <c r="H50" s="197" t="s">
        <v>347</v>
      </c>
      <c r="I50" s="134"/>
      <c r="J50" s="134"/>
      <c r="K50" s="135">
        <v>418.8</v>
      </c>
      <c r="L50" s="134"/>
      <c r="M50" s="134">
        <v>54.44</v>
      </c>
      <c r="N50" s="134">
        <v>473.24</v>
      </c>
      <c r="O50" s="134">
        <v>0</v>
      </c>
      <c r="P50" s="203">
        <v>4.1900000000000004</v>
      </c>
      <c r="Q50" s="134"/>
      <c r="R50" s="134"/>
      <c r="S50" s="134"/>
    </row>
    <row r="51" spans="2:19" x14ac:dyDescent="0.2">
      <c r="B51" s="193">
        <v>11</v>
      </c>
      <c r="C51" s="194">
        <v>43152</v>
      </c>
      <c r="D51" s="256">
        <v>43117</v>
      </c>
      <c r="E51" s="195" t="s">
        <v>342</v>
      </c>
      <c r="F51" s="162" t="s">
        <v>340</v>
      </c>
      <c r="G51" s="196" t="s">
        <v>341</v>
      </c>
      <c r="H51" s="197" t="s">
        <v>347</v>
      </c>
      <c r="I51" s="134"/>
      <c r="J51" s="134"/>
      <c r="K51" s="135">
        <v>418.8</v>
      </c>
      <c r="L51" s="134"/>
      <c r="M51" s="134">
        <v>54.44</v>
      </c>
      <c r="N51" s="134">
        <v>473.24</v>
      </c>
      <c r="O51" s="134">
        <v>0</v>
      </c>
      <c r="P51" s="203">
        <v>4.1900000000000004</v>
      </c>
      <c r="Q51" s="134"/>
      <c r="R51" s="134"/>
      <c r="S51" s="134"/>
    </row>
    <row r="52" spans="2:19" x14ac:dyDescent="0.2">
      <c r="B52" s="193">
        <v>12</v>
      </c>
      <c r="C52" s="194">
        <v>43153</v>
      </c>
      <c r="D52" s="256">
        <v>43152</v>
      </c>
      <c r="E52" s="195" t="s">
        <v>343</v>
      </c>
      <c r="F52" s="162"/>
      <c r="G52" s="196" t="s">
        <v>344</v>
      </c>
      <c r="H52" s="197" t="s">
        <v>348</v>
      </c>
      <c r="I52" s="134"/>
      <c r="J52" s="134"/>
      <c r="K52" s="135">
        <v>17.7</v>
      </c>
      <c r="L52" s="134"/>
      <c r="M52" s="134">
        <v>2.2999999999999998</v>
      </c>
      <c r="N52" s="134">
        <v>20</v>
      </c>
      <c r="O52" s="134">
        <v>0</v>
      </c>
      <c r="P52" s="203">
        <v>0</v>
      </c>
      <c r="Q52" s="134"/>
      <c r="R52" s="134"/>
      <c r="S52" s="134"/>
    </row>
    <row r="53" spans="2:19" x14ac:dyDescent="0.2">
      <c r="B53" s="193"/>
      <c r="C53" s="194"/>
      <c r="D53" s="194"/>
      <c r="E53" s="195"/>
      <c r="F53" s="162"/>
      <c r="G53" s="196"/>
      <c r="H53" s="197"/>
      <c r="I53" s="134"/>
      <c r="J53" s="134"/>
      <c r="K53" s="135"/>
      <c r="L53" s="134"/>
      <c r="M53" s="134"/>
      <c r="N53" s="134"/>
      <c r="O53" s="134"/>
      <c r="P53" s="203"/>
      <c r="Q53" s="134"/>
      <c r="R53" s="134"/>
      <c r="S53" s="134"/>
    </row>
    <row r="54" spans="2:19" x14ac:dyDescent="0.2">
      <c r="B54" s="193"/>
      <c r="C54" s="194"/>
      <c r="D54" s="194"/>
      <c r="E54" s="195"/>
      <c r="F54" s="162"/>
      <c r="G54" s="196"/>
      <c r="H54" s="197" t="s">
        <v>273</v>
      </c>
      <c r="I54" s="134"/>
      <c r="J54" s="134"/>
      <c r="K54" s="299"/>
      <c r="L54" s="134"/>
      <c r="M54" s="299">
        <v>-2101.31</v>
      </c>
      <c r="N54" s="134"/>
      <c r="O54" s="134"/>
      <c r="P54" s="203">
        <v>0</v>
      </c>
      <c r="Q54" s="134"/>
      <c r="R54" s="134"/>
      <c r="S54" s="134"/>
    </row>
    <row r="55" spans="2:19" x14ac:dyDescent="0.2">
      <c r="B55" s="193"/>
      <c r="C55" s="194"/>
      <c r="D55" s="194"/>
      <c r="E55" s="195"/>
      <c r="F55" s="162"/>
      <c r="G55" s="196"/>
      <c r="H55" s="197"/>
      <c r="I55" s="134"/>
      <c r="J55" s="134"/>
      <c r="K55" s="135"/>
      <c r="L55" s="134"/>
      <c r="M55" s="134"/>
      <c r="N55" s="134"/>
      <c r="O55" s="134"/>
      <c r="P55" s="203"/>
      <c r="Q55" s="134"/>
      <c r="R55" s="134"/>
      <c r="S55" s="134"/>
    </row>
    <row r="56" spans="2:19" x14ac:dyDescent="0.2">
      <c r="B56" s="193"/>
      <c r="C56" s="194"/>
      <c r="D56" s="194"/>
      <c r="E56" s="195"/>
      <c r="F56" s="320"/>
      <c r="G56" s="196"/>
      <c r="H56" s="197"/>
      <c r="I56" s="134"/>
      <c r="J56" s="134"/>
      <c r="K56" s="135"/>
      <c r="L56" s="134"/>
      <c r="M56" s="134"/>
      <c r="N56" s="134"/>
      <c r="O56" s="134"/>
      <c r="P56" s="134"/>
      <c r="Q56" s="134"/>
      <c r="R56" s="134"/>
      <c r="S56" s="134"/>
    </row>
    <row r="57" spans="2:19" x14ac:dyDescent="0.2">
      <c r="B57" s="193"/>
      <c r="C57" s="194"/>
      <c r="D57" s="194"/>
      <c r="E57" s="195"/>
      <c r="F57" s="321"/>
      <c r="G57" s="196"/>
      <c r="H57" s="197"/>
      <c r="I57" s="134"/>
      <c r="J57" s="134"/>
      <c r="K57" s="134"/>
      <c r="L57" s="134"/>
      <c r="M57" s="134"/>
      <c r="N57" s="134">
        <v>0</v>
      </c>
      <c r="O57" s="134"/>
      <c r="P57" s="134"/>
      <c r="Q57" s="134"/>
      <c r="R57" s="134"/>
      <c r="S57" s="134"/>
    </row>
    <row r="58" spans="2:19" ht="13.5" thickBot="1" x14ac:dyDescent="0.25">
      <c r="B58" s="265"/>
      <c r="C58" s="266"/>
      <c r="D58" s="267"/>
      <c r="E58" s="266"/>
      <c r="F58" s="268"/>
      <c r="G58" s="269"/>
      <c r="H58" s="270"/>
      <c r="I58" s="271"/>
      <c r="J58" s="272"/>
      <c r="K58" s="272"/>
      <c r="L58" s="273"/>
      <c r="M58" s="272"/>
      <c r="N58" s="272"/>
      <c r="O58" s="272"/>
      <c r="P58" s="272"/>
      <c r="Q58" s="274"/>
      <c r="R58" s="274"/>
      <c r="S58" s="274"/>
    </row>
    <row r="59" spans="2:19" x14ac:dyDescent="0.2">
      <c r="B59" s="175"/>
      <c r="C59" s="176"/>
      <c r="D59" s="275"/>
      <c r="E59" s="176"/>
      <c r="F59" s="276"/>
      <c r="G59" s="277"/>
      <c r="H59" s="178"/>
      <c r="I59" s="278"/>
      <c r="J59" s="171"/>
      <c r="K59" s="171"/>
      <c r="L59" s="279"/>
      <c r="M59" s="171"/>
      <c r="N59" s="171"/>
      <c r="O59" s="171"/>
      <c r="P59" s="171"/>
      <c r="Q59" s="280"/>
      <c r="R59" s="280"/>
      <c r="S59" s="280"/>
    </row>
    <row r="60" spans="2:19" x14ac:dyDescent="0.2">
      <c r="B60" s="175"/>
      <c r="C60" s="164"/>
      <c r="D60" s="165"/>
      <c r="E60" s="164"/>
      <c r="F60" s="281"/>
      <c r="G60" s="277"/>
      <c r="H60" s="282" t="s">
        <v>261</v>
      </c>
      <c r="I60" s="279">
        <v>0</v>
      </c>
      <c r="J60" s="279">
        <v>0</v>
      </c>
      <c r="K60" s="279">
        <v>16163.889999999998</v>
      </c>
      <c r="L60" s="279">
        <v>0</v>
      </c>
      <c r="M60" s="279">
        <v>0</v>
      </c>
      <c r="N60" s="279">
        <v>18265.2</v>
      </c>
      <c r="O60" s="279">
        <v>0</v>
      </c>
      <c r="P60" s="279">
        <v>70.22</v>
      </c>
      <c r="Q60" s="279">
        <v>0</v>
      </c>
      <c r="R60" s="279">
        <v>0</v>
      </c>
      <c r="S60" s="279">
        <v>0</v>
      </c>
    </row>
    <row r="61" spans="2:19" ht="13.5" thickBot="1" x14ac:dyDescent="0.25">
      <c r="B61" s="265"/>
      <c r="C61" s="283"/>
      <c r="D61" s="284"/>
      <c r="E61" s="283"/>
      <c r="F61" s="285"/>
      <c r="G61" s="269"/>
      <c r="H61" s="286"/>
      <c r="I61" s="273"/>
      <c r="J61" s="287"/>
      <c r="K61" s="287"/>
      <c r="L61" s="287"/>
      <c r="M61" s="287"/>
      <c r="N61" s="287"/>
      <c r="O61" s="287"/>
      <c r="P61" s="287"/>
      <c r="Q61" s="273"/>
      <c r="R61" s="273"/>
      <c r="S61" s="288"/>
    </row>
    <row r="65" spans="2:19" ht="15.75" x14ac:dyDescent="0.25">
      <c r="B65" s="127" t="s">
        <v>219</v>
      </c>
      <c r="C65" s="128" t="s">
        <v>83</v>
      </c>
      <c r="D65" s="129"/>
      <c r="E65" s="130">
        <v>2018</v>
      </c>
      <c r="F65" s="123"/>
      <c r="G65" s="124"/>
      <c r="H65" s="162"/>
      <c r="I65" s="131"/>
      <c r="J65" s="131"/>
      <c r="K65" s="131"/>
      <c r="L65" s="131"/>
      <c r="M65" s="131"/>
      <c r="N65" s="126"/>
      <c r="O65" s="120"/>
      <c r="P65" s="120"/>
      <c r="Q65" s="120"/>
      <c r="R65" s="120"/>
      <c r="S65" s="120"/>
    </row>
    <row r="66" spans="2:19" x14ac:dyDescent="0.2">
      <c r="B66" s="163"/>
      <c r="C66" s="164"/>
      <c r="D66" s="165"/>
      <c r="E66" s="166"/>
      <c r="F66" s="167"/>
      <c r="G66" s="168"/>
      <c r="H66" s="168"/>
      <c r="I66" s="169"/>
      <c r="J66" s="170"/>
      <c r="K66" s="171"/>
      <c r="L66" s="170"/>
      <c r="M66" s="171"/>
      <c r="N66" s="171"/>
      <c r="O66" s="170"/>
      <c r="P66" s="170"/>
      <c r="Q66" s="168"/>
      <c r="R66" s="168"/>
      <c r="S66" s="172"/>
    </row>
    <row r="67" spans="2:19" x14ac:dyDescent="0.2">
      <c r="B67" s="163"/>
      <c r="C67" s="164"/>
      <c r="D67" s="165"/>
      <c r="E67" s="166"/>
      <c r="F67" s="243"/>
      <c r="G67" s="173"/>
      <c r="H67" s="174"/>
      <c r="I67" s="169"/>
      <c r="J67" s="170"/>
      <c r="K67" s="171"/>
      <c r="L67" s="170"/>
      <c r="M67" s="171"/>
      <c r="N67" s="171"/>
      <c r="O67" s="170"/>
      <c r="P67" s="170"/>
      <c r="Q67" s="168"/>
      <c r="R67" s="168"/>
      <c r="S67" s="172"/>
    </row>
    <row r="68" spans="2:19" x14ac:dyDescent="0.2">
      <c r="B68" s="175"/>
      <c r="C68" s="176"/>
      <c r="D68" s="177"/>
      <c r="E68" s="166"/>
      <c r="F68" s="167"/>
      <c r="G68" s="178"/>
      <c r="H68" s="168"/>
      <c r="I68" s="169"/>
      <c r="J68" s="170"/>
      <c r="K68" s="171"/>
      <c r="L68" s="170"/>
      <c r="M68" s="171"/>
      <c r="N68" s="171"/>
      <c r="O68" s="170"/>
      <c r="P68" s="132">
        <v>0.01</v>
      </c>
      <c r="Q68" s="168"/>
      <c r="R68" s="168" t="s">
        <v>220</v>
      </c>
      <c r="S68" s="133">
        <v>0.13</v>
      </c>
    </row>
    <row r="69" spans="2:19" x14ac:dyDescent="0.2">
      <c r="B69" s="179" t="s">
        <v>221</v>
      </c>
      <c r="C69" s="180" t="s">
        <v>136</v>
      </c>
      <c r="D69" s="181" t="s">
        <v>136</v>
      </c>
      <c r="E69" s="182" t="s">
        <v>137</v>
      </c>
      <c r="F69" s="182" t="s">
        <v>222</v>
      </c>
      <c r="G69" s="312" t="s">
        <v>223</v>
      </c>
      <c r="H69" s="1042" t="s">
        <v>139</v>
      </c>
      <c r="I69" s="328" t="s">
        <v>224</v>
      </c>
      <c r="J69" s="329"/>
      <c r="K69" s="330" t="s">
        <v>225</v>
      </c>
      <c r="L69" s="331"/>
      <c r="M69" s="332"/>
      <c r="N69" s="313" t="s">
        <v>140</v>
      </c>
      <c r="O69" s="183" t="s">
        <v>226</v>
      </c>
      <c r="P69" s="184" t="s">
        <v>227</v>
      </c>
      <c r="Q69" s="185" t="s">
        <v>228</v>
      </c>
      <c r="R69" s="185" t="s">
        <v>229</v>
      </c>
      <c r="S69" s="185" t="s">
        <v>229</v>
      </c>
    </row>
    <row r="70" spans="2:19" x14ac:dyDescent="0.2">
      <c r="B70" s="186"/>
      <c r="C70" s="187" t="s">
        <v>230</v>
      </c>
      <c r="D70" s="188" t="s">
        <v>141</v>
      </c>
      <c r="E70" s="189" t="s">
        <v>141</v>
      </c>
      <c r="F70" s="190" t="s">
        <v>231</v>
      </c>
      <c r="G70" s="314" t="s">
        <v>142</v>
      </c>
      <c r="H70" s="1043"/>
      <c r="I70" s="315" t="s">
        <v>232</v>
      </c>
      <c r="J70" s="316" t="s">
        <v>233</v>
      </c>
      <c r="K70" s="317" t="s">
        <v>232</v>
      </c>
      <c r="L70" s="318" t="s">
        <v>233</v>
      </c>
      <c r="M70" s="317" t="s">
        <v>46</v>
      </c>
      <c r="N70" s="319" t="s">
        <v>234</v>
      </c>
      <c r="O70" s="191" t="s">
        <v>235</v>
      </c>
      <c r="P70" s="191" t="s">
        <v>236</v>
      </c>
      <c r="Q70" s="192" t="s">
        <v>237</v>
      </c>
      <c r="R70" s="192" t="s">
        <v>238</v>
      </c>
      <c r="S70" s="192" t="s">
        <v>239</v>
      </c>
    </row>
    <row r="71" spans="2:19" x14ac:dyDescent="0.2">
      <c r="B71" s="193">
        <v>1</v>
      </c>
      <c r="C71" s="194">
        <v>43167</v>
      </c>
      <c r="D71" s="194">
        <v>43160</v>
      </c>
      <c r="E71" s="195" t="s">
        <v>356</v>
      </c>
      <c r="F71" s="162" t="s">
        <v>357</v>
      </c>
      <c r="G71" s="196" t="s">
        <v>208</v>
      </c>
      <c r="H71" s="346" t="str">
        <f>+VLOOKUP(G71,[1]bd!A:C,2,0)</f>
        <v>KPMG, S.A.</v>
      </c>
      <c r="I71" s="134"/>
      <c r="J71" s="134"/>
      <c r="K71" s="135">
        <v>225.75</v>
      </c>
      <c r="L71" s="134"/>
      <c r="M71" s="134">
        <v>29.35</v>
      </c>
      <c r="N71" s="134">
        <v>255.1</v>
      </c>
      <c r="O71" s="134">
        <v>0</v>
      </c>
      <c r="P71" s="134">
        <v>2.2599999999999998</v>
      </c>
      <c r="Q71" s="134"/>
      <c r="R71" s="134"/>
      <c r="S71" s="134"/>
    </row>
    <row r="72" spans="2:19" x14ac:dyDescent="0.2">
      <c r="B72" s="193">
        <v>2</v>
      </c>
      <c r="C72" s="194">
        <v>43178</v>
      </c>
      <c r="D72" s="194">
        <v>43159</v>
      </c>
      <c r="E72" s="195" t="s">
        <v>358</v>
      </c>
      <c r="F72" s="162" t="s">
        <v>359</v>
      </c>
      <c r="G72" s="196" t="s">
        <v>212</v>
      </c>
      <c r="H72" s="346" t="str">
        <f>+VLOOKUP(G72,[1]bd!A:C,2,0)</f>
        <v>CENTRAL DE DEPOSITO DE VALORES, S.A. DE C.V.</v>
      </c>
      <c r="I72" s="134"/>
      <c r="J72" s="134"/>
      <c r="K72" s="135">
        <v>2831.06</v>
      </c>
      <c r="L72" s="134"/>
      <c r="M72" s="134">
        <v>368.04</v>
      </c>
      <c r="N72" s="134">
        <v>3199.1</v>
      </c>
      <c r="O72" s="134">
        <v>0</v>
      </c>
      <c r="P72" s="134">
        <v>28.31</v>
      </c>
      <c r="Q72" s="134"/>
      <c r="R72" s="134"/>
      <c r="S72" s="134"/>
    </row>
    <row r="73" spans="2:19" x14ac:dyDescent="0.2">
      <c r="B73" s="193">
        <v>3</v>
      </c>
      <c r="C73" s="194">
        <v>43178</v>
      </c>
      <c r="D73" s="194">
        <v>43157</v>
      </c>
      <c r="E73" s="195" t="s">
        <v>360</v>
      </c>
      <c r="F73" s="162"/>
      <c r="G73" s="196" t="s">
        <v>188</v>
      </c>
      <c r="H73" s="346" t="str">
        <f>+VLOOKUP(G73,[1]bd!A:C,2,0)</f>
        <v>BOLSA DE VALORES DE EL SALVADOR, S.A. DE C.V.</v>
      </c>
      <c r="I73" s="134"/>
      <c r="J73" s="134"/>
      <c r="K73" s="135">
        <v>195</v>
      </c>
      <c r="L73" s="134"/>
      <c r="M73" s="134">
        <v>25.35</v>
      </c>
      <c r="N73" s="134">
        <v>220.35</v>
      </c>
      <c r="O73" s="134">
        <v>0</v>
      </c>
      <c r="P73" s="134">
        <v>0</v>
      </c>
      <c r="Q73" s="134"/>
      <c r="R73" s="134"/>
      <c r="S73" s="134"/>
    </row>
    <row r="74" spans="2:19" x14ac:dyDescent="0.2">
      <c r="B74" s="193">
        <v>4</v>
      </c>
      <c r="C74" s="194">
        <v>43180</v>
      </c>
      <c r="D74" s="194">
        <v>43179</v>
      </c>
      <c r="E74" s="195" t="s">
        <v>361</v>
      </c>
      <c r="F74" s="162"/>
      <c r="G74" s="196" t="s">
        <v>210</v>
      </c>
      <c r="H74" s="346" t="str">
        <f>+VLOOKUP(G74,[1]bd!A:C,2,0)</f>
        <v>COMUNICACIÓN CREATIVA SA DE CV</v>
      </c>
      <c r="I74" s="134"/>
      <c r="J74" s="134"/>
      <c r="K74" s="135">
        <v>64.8</v>
      </c>
      <c r="L74" s="134"/>
      <c r="M74" s="134">
        <v>8.42</v>
      </c>
      <c r="N74" s="134">
        <v>73.22</v>
      </c>
      <c r="O74" s="134">
        <v>0</v>
      </c>
      <c r="P74" s="134">
        <v>0</v>
      </c>
      <c r="Q74" s="134"/>
      <c r="R74" s="134"/>
      <c r="S74" s="134"/>
    </row>
    <row r="75" spans="2:19" x14ac:dyDescent="0.2">
      <c r="B75" s="193">
        <v>5</v>
      </c>
      <c r="C75" s="194">
        <v>43180</v>
      </c>
      <c r="D75" s="194">
        <v>43179</v>
      </c>
      <c r="E75" s="195" t="s">
        <v>362</v>
      </c>
      <c r="F75" s="162"/>
      <c r="G75" s="196" t="s">
        <v>210</v>
      </c>
      <c r="H75" s="346" t="str">
        <f>+VLOOKUP(G75,[1]bd!A:C,2,0)</f>
        <v>COMUNICACIÓN CREATIVA SA DE CV</v>
      </c>
      <c r="I75" s="134"/>
      <c r="J75" s="134"/>
      <c r="K75" s="135">
        <v>63</v>
      </c>
      <c r="L75" s="134"/>
      <c r="M75" s="134">
        <v>8.19</v>
      </c>
      <c r="N75" s="134">
        <v>71.19</v>
      </c>
      <c r="O75" s="134">
        <v>0</v>
      </c>
      <c r="P75" s="134">
        <v>0</v>
      </c>
      <c r="Q75" s="134"/>
      <c r="R75" s="134"/>
      <c r="S75" s="134"/>
    </row>
    <row r="76" spans="2:19" x14ac:dyDescent="0.2">
      <c r="B76" s="193">
        <v>28</v>
      </c>
      <c r="C76" s="194"/>
      <c r="D76" s="194"/>
      <c r="E76" s="195"/>
      <c r="F76" s="162"/>
      <c r="G76" s="196"/>
      <c r="H76" s="197"/>
      <c r="I76" s="134"/>
      <c r="J76" s="134"/>
      <c r="K76" s="135"/>
      <c r="L76" s="134"/>
      <c r="M76" s="134"/>
      <c r="N76" s="134"/>
      <c r="O76" s="134"/>
      <c r="P76" s="134">
        <v>0</v>
      </c>
      <c r="Q76" s="134"/>
      <c r="R76" s="134"/>
      <c r="S76" s="134"/>
    </row>
    <row r="77" spans="2:19" x14ac:dyDescent="0.2">
      <c r="B77" s="193"/>
      <c r="C77" s="194"/>
      <c r="D77" s="194"/>
      <c r="E77" s="195"/>
      <c r="F77" s="162"/>
      <c r="G77" s="196"/>
      <c r="H77" s="197" t="s">
        <v>273</v>
      </c>
      <c r="I77" s="134"/>
      <c r="J77" s="134"/>
      <c r="K77" s="299"/>
      <c r="L77" s="134"/>
      <c r="M77" s="299">
        <v>-439.35</v>
      </c>
      <c r="N77" s="134"/>
      <c r="O77" s="134"/>
      <c r="P77" s="134">
        <v>0</v>
      </c>
      <c r="Q77" s="134"/>
      <c r="R77" s="134"/>
      <c r="S77" s="134"/>
    </row>
    <row r="78" spans="2:19" x14ac:dyDescent="0.2">
      <c r="B78" s="193"/>
      <c r="C78" s="194"/>
      <c r="D78" s="194"/>
      <c r="E78" s="195"/>
      <c r="F78" s="162"/>
      <c r="G78" s="196"/>
      <c r="H78" s="197"/>
      <c r="I78" s="134"/>
      <c r="J78" s="134"/>
      <c r="K78" s="135"/>
      <c r="L78" s="134"/>
      <c r="M78" s="134"/>
      <c r="N78" s="134"/>
      <c r="O78" s="134"/>
      <c r="P78" s="134"/>
      <c r="Q78" s="134"/>
      <c r="R78" s="134"/>
      <c r="S78" s="134"/>
    </row>
    <row r="79" spans="2:19" x14ac:dyDescent="0.2">
      <c r="B79" s="193"/>
      <c r="C79" s="194"/>
      <c r="D79" s="194"/>
      <c r="E79" s="195"/>
      <c r="F79" s="333"/>
      <c r="G79" s="196"/>
      <c r="H79" s="197"/>
      <c r="I79" s="134"/>
      <c r="J79" s="134"/>
      <c r="K79" s="135"/>
      <c r="L79" s="134"/>
      <c r="M79" s="134"/>
      <c r="N79" s="134"/>
      <c r="O79" s="134"/>
      <c r="P79" s="134"/>
      <c r="Q79" s="134"/>
      <c r="R79" s="134"/>
      <c r="S79" s="134"/>
    </row>
    <row r="80" spans="2:19" x14ac:dyDescent="0.2">
      <c r="B80" s="193"/>
      <c r="C80" s="194"/>
      <c r="D80" s="194"/>
      <c r="E80" s="195"/>
      <c r="F80" s="333"/>
      <c r="G80" s="196"/>
      <c r="H80" s="197"/>
      <c r="I80" s="134"/>
      <c r="J80" s="134"/>
      <c r="K80" s="135"/>
      <c r="L80" s="134"/>
      <c r="M80" s="134"/>
      <c r="N80" s="134"/>
      <c r="O80" s="134"/>
      <c r="P80" s="134"/>
      <c r="Q80" s="134"/>
      <c r="R80" s="134"/>
      <c r="S80" s="134"/>
    </row>
    <row r="81" spans="2:19" x14ac:dyDescent="0.2">
      <c r="B81" s="193"/>
      <c r="C81" s="194"/>
      <c r="D81" s="194"/>
      <c r="E81" s="195"/>
      <c r="F81" s="333"/>
      <c r="G81" s="196"/>
      <c r="H81" s="197"/>
      <c r="I81" s="134"/>
      <c r="J81" s="134"/>
      <c r="K81" s="135"/>
      <c r="L81" s="134"/>
      <c r="M81" s="134"/>
      <c r="N81" s="134"/>
      <c r="O81" s="134"/>
      <c r="P81" s="134"/>
      <c r="Q81" s="134"/>
      <c r="R81" s="134"/>
      <c r="S81" s="134"/>
    </row>
    <row r="82" spans="2:19" x14ac:dyDescent="0.2">
      <c r="B82" s="193"/>
      <c r="C82" s="194"/>
      <c r="D82" s="194"/>
      <c r="E82" s="195"/>
      <c r="F82" s="333"/>
      <c r="G82" s="196"/>
      <c r="H82" s="197"/>
      <c r="I82" s="134"/>
      <c r="J82" s="134"/>
      <c r="K82" s="135"/>
      <c r="L82" s="134"/>
      <c r="M82" s="134"/>
      <c r="N82" s="134"/>
      <c r="O82" s="134"/>
      <c r="P82" s="134"/>
      <c r="Q82" s="134"/>
      <c r="R82" s="134"/>
      <c r="S82" s="134"/>
    </row>
    <row r="83" spans="2:19" x14ac:dyDescent="0.2">
      <c r="B83" s="193"/>
      <c r="C83" s="194"/>
      <c r="D83" s="194"/>
      <c r="E83" s="195"/>
      <c r="F83" s="1041"/>
      <c r="G83" s="196"/>
      <c r="H83" s="197"/>
      <c r="I83" s="334"/>
      <c r="J83" s="134"/>
      <c r="K83" s="135"/>
      <c r="L83" s="134"/>
      <c r="M83" s="134"/>
      <c r="N83" s="134"/>
      <c r="O83" s="134"/>
      <c r="P83" s="134"/>
      <c r="Q83" s="134"/>
      <c r="R83" s="134"/>
      <c r="S83" s="134"/>
    </row>
    <row r="84" spans="2:19" x14ac:dyDescent="0.2">
      <c r="B84" s="193"/>
      <c r="C84" s="194"/>
      <c r="D84" s="194"/>
      <c r="E84" s="195"/>
      <c r="F84" s="1041"/>
      <c r="G84" s="196"/>
      <c r="H84" s="197"/>
      <c r="I84" s="134"/>
      <c r="J84" s="134"/>
      <c r="K84" s="135"/>
      <c r="L84" s="134"/>
      <c r="M84" s="134"/>
      <c r="N84" s="134"/>
      <c r="O84" s="134"/>
      <c r="P84" s="134"/>
      <c r="Q84" s="134"/>
      <c r="R84" s="134"/>
      <c r="S84" s="134"/>
    </row>
    <row r="85" spans="2:19" x14ac:dyDescent="0.2">
      <c r="B85" s="193"/>
      <c r="C85" s="194"/>
      <c r="D85" s="194"/>
      <c r="E85" s="195"/>
      <c r="F85" s="320"/>
      <c r="G85" s="196"/>
      <c r="H85" s="197"/>
      <c r="I85" s="134"/>
      <c r="J85" s="134"/>
      <c r="K85" s="135"/>
      <c r="L85" s="134"/>
      <c r="M85" s="134"/>
      <c r="N85" s="134"/>
      <c r="O85" s="134"/>
      <c r="P85" s="134"/>
      <c r="Q85" s="134"/>
      <c r="R85" s="134"/>
      <c r="S85" s="134"/>
    </row>
    <row r="86" spans="2:19" x14ac:dyDescent="0.2">
      <c r="B86" s="193"/>
      <c r="C86" s="194"/>
      <c r="D86" s="194"/>
      <c r="E86" s="195"/>
      <c r="F86" s="321"/>
      <c r="G86" s="196"/>
      <c r="H86" s="197"/>
      <c r="I86" s="134"/>
      <c r="J86" s="134"/>
      <c r="K86" s="134"/>
      <c r="L86" s="134"/>
      <c r="M86" s="134"/>
      <c r="N86" s="134">
        <f t="shared" ref="N86" si="0">+K86+M86</f>
        <v>0</v>
      </c>
      <c r="O86" s="134"/>
      <c r="P86" s="134"/>
      <c r="Q86" s="134"/>
      <c r="R86" s="134"/>
      <c r="S86" s="134"/>
    </row>
    <row r="87" spans="2:19" ht="13.5" thickBot="1" x14ac:dyDescent="0.25">
      <c r="B87" s="265"/>
      <c r="C87" s="266"/>
      <c r="D87" s="267"/>
      <c r="E87" s="266"/>
      <c r="F87" s="268"/>
      <c r="G87" s="269"/>
      <c r="H87" s="270"/>
      <c r="I87" s="271"/>
      <c r="J87" s="272"/>
      <c r="K87" s="272"/>
      <c r="L87" s="273"/>
      <c r="M87" s="272"/>
      <c r="N87" s="272"/>
      <c r="O87" s="272"/>
      <c r="P87" s="272"/>
      <c r="Q87" s="274"/>
      <c r="R87" s="274"/>
      <c r="S87" s="274"/>
    </row>
    <row r="88" spans="2:19" x14ac:dyDescent="0.2">
      <c r="B88" s="175"/>
      <c r="C88" s="176"/>
      <c r="D88" s="275"/>
      <c r="E88" s="176"/>
      <c r="F88" s="276"/>
      <c r="G88" s="277"/>
      <c r="H88" s="178"/>
      <c r="I88" s="278"/>
      <c r="J88" s="171"/>
      <c r="K88" s="171"/>
      <c r="L88" s="279"/>
      <c r="M88" s="171"/>
      <c r="N88" s="171"/>
      <c r="O88" s="171"/>
      <c r="P88" s="171"/>
      <c r="Q88" s="280"/>
      <c r="R88" s="280"/>
      <c r="S88" s="280"/>
    </row>
    <row r="89" spans="2:19" x14ac:dyDescent="0.2">
      <c r="B89" s="175"/>
      <c r="C89" s="164"/>
      <c r="D89" s="165"/>
      <c r="E89" s="164"/>
      <c r="F89" s="281"/>
      <c r="G89" s="277"/>
      <c r="H89" s="282" t="s">
        <v>261</v>
      </c>
      <c r="I89" s="279">
        <f t="shared" ref="I89:S89" si="1">SUM(I71:I87)</f>
        <v>0</v>
      </c>
      <c r="J89" s="279">
        <f t="shared" si="1"/>
        <v>0</v>
      </c>
      <c r="K89" s="279">
        <f t="shared" si="1"/>
        <v>3379.61</v>
      </c>
      <c r="L89" s="279">
        <f t="shared" si="1"/>
        <v>0</v>
      </c>
      <c r="M89" s="279">
        <f>SUM(M71:M87)</f>
        <v>0</v>
      </c>
      <c r="N89" s="279">
        <f t="shared" si="1"/>
        <v>3818.9599999999996</v>
      </c>
      <c r="O89" s="279">
        <f t="shared" si="1"/>
        <v>0</v>
      </c>
      <c r="P89" s="279">
        <f t="shared" si="1"/>
        <v>30.57</v>
      </c>
      <c r="Q89" s="279">
        <f t="shared" si="1"/>
        <v>0</v>
      </c>
      <c r="R89" s="279">
        <f t="shared" si="1"/>
        <v>0</v>
      </c>
      <c r="S89" s="279">
        <f t="shared" si="1"/>
        <v>0</v>
      </c>
    </row>
    <row r="90" spans="2:19" ht="13.5" thickBot="1" x14ac:dyDescent="0.25">
      <c r="B90" s="265"/>
      <c r="C90" s="283"/>
      <c r="D90" s="284"/>
      <c r="E90" s="283"/>
      <c r="F90" s="285"/>
      <c r="G90" s="269"/>
      <c r="H90" s="286"/>
      <c r="I90" s="273"/>
      <c r="J90" s="287"/>
      <c r="K90" s="287"/>
      <c r="L90" s="287"/>
      <c r="M90" s="287"/>
      <c r="N90" s="287"/>
      <c r="O90" s="287"/>
      <c r="P90" s="287"/>
      <c r="Q90" s="273"/>
      <c r="R90" s="273"/>
      <c r="S90" s="288"/>
    </row>
    <row r="96" spans="2:19" ht="15.75" x14ac:dyDescent="0.25">
      <c r="B96" s="127" t="s">
        <v>219</v>
      </c>
      <c r="C96" s="128" t="s">
        <v>84</v>
      </c>
      <c r="D96" s="129"/>
      <c r="E96" s="130">
        <v>2018</v>
      </c>
      <c r="F96" s="123"/>
      <c r="G96" s="124"/>
      <c r="H96" s="162"/>
      <c r="I96" s="131"/>
      <c r="J96" s="131"/>
      <c r="K96" s="131"/>
      <c r="L96" s="131"/>
      <c r="M96" s="131"/>
      <c r="N96" s="126"/>
      <c r="O96" s="120"/>
      <c r="P96" s="120"/>
      <c r="Q96" s="120"/>
      <c r="R96" s="120"/>
      <c r="S96" s="120"/>
    </row>
    <row r="97" spans="2:19" x14ac:dyDescent="0.2">
      <c r="B97" s="163"/>
      <c r="C97" s="164"/>
      <c r="D97" s="165"/>
      <c r="E97" s="166"/>
      <c r="F97" s="167"/>
      <c r="G97" s="168"/>
      <c r="H97" s="168"/>
      <c r="I97" s="169"/>
      <c r="J97" s="170"/>
      <c r="K97" s="171"/>
      <c r="L97" s="170"/>
      <c r="M97" s="171"/>
      <c r="N97" s="171"/>
      <c r="O97" s="170"/>
      <c r="P97" s="170"/>
      <c r="Q97" s="168"/>
      <c r="R97" s="168"/>
      <c r="S97" s="172"/>
    </row>
    <row r="98" spans="2:19" x14ac:dyDescent="0.2">
      <c r="B98" s="163"/>
      <c r="C98" s="164"/>
      <c r="D98" s="165"/>
      <c r="E98" s="166"/>
      <c r="F98" s="243"/>
      <c r="G98" s="173"/>
      <c r="H98" s="174"/>
      <c r="I98" s="169"/>
      <c r="J98" s="170"/>
      <c r="K98" s="171"/>
      <c r="L98" s="170"/>
      <c r="M98" s="171"/>
      <c r="N98" s="171"/>
      <c r="O98" s="170"/>
      <c r="P98" s="170"/>
      <c r="Q98" s="168"/>
      <c r="R98" s="168"/>
      <c r="S98" s="172"/>
    </row>
    <row r="99" spans="2:19" x14ac:dyDescent="0.2">
      <c r="B99" s="175"/>
      <c r="C99" s="176"/>
      <c r="D99" s="177"/>
      <c r="E99" s="166"/>
      <c r="F99" s="167"/>
      <c r="G99" s="178"/>
      <c r="H99" s="168"/>
      <c r="I99" s="169"/>
      <c r="J99" s="170"/>
      <c r="K99" s="171"/>
      <c r="L99" s="170"/>
      <c r="M99" s="171"/>
      <c r="N99" s="171"/>
      <c r="O99" s="170"/>
      <c r="P99" s="132">
        <v>0.01</v>
      </c>
      <c r="Q99" s="168"/>
      <c r="R99" s="168" t="s">
        <v>220</v>
      </c>
      <c r="S99" s="133">
        <v>0.13</v>
      </c>
    </row>
    <row r="100" spans="2:19" x14ac:dyDescent="0.2">
      <c r="B100" s="179" t="s">
        <v>221</v>
      </c>
      <c r="C100" s="180" t="s">
        <v>136</v>
      </c>
      <c r="D100" s="181" t="s">
        <v>136</v>
      </c>
      <c r="E100" s="182" t="s">
        <v>137</v>
      </c>
      <c r="F100" s="182" t="s">
        <v>222</v>
      </c>
      <c r="G100" s="312" t="s">
        <v>223</v>
      </c>
      <c r="H100" s="1042" t="s">
        <v>139</v>
      </c>
      <c r="I100" s="322" t="s">
        <v>224</v>
      </c>
      <c r="J100" s="323"/>
      <c r="K100" s="324" t="s">
        <v>225</v>
      </c>
      <c r="L100" s="325"/>
      <c r="M100" s="326"/>
      <c r="N100" s="313" t="s">
        <v>140</v>
      </c>
      <c r="O100" s="183" t="s">
        <v>226</v>
      </c>
      <c r="P100" s="184" t="s">
        <v>227</v>
      </c>
      <c r="Q100" s="185" t="s">
        <v>228</v>
      </c>
      <c r="R100" s="185" t="s">
        <v>229</v>
      </c>
      <c r="S100" s="185" t="s">
        <v>229</v>
      </c>
    </row>
    <row r="101" spans="2:19" x14ac:dyDescent="0.2">
      <c r="B101" s="186"/>
      <c r="C101" s="187" t="s">
        <v>230</v>
      </c>
      <c r="D101" s="188" t="s">
        <v>141</v>
      </c>
      <c r="E101" s="189" t="s">
        <v>141</v>
      </c>
      <c r="F101" s="190" t="s">
        <v>231</v>
      </c>
      <c r="G101" s="314" t="s">
        <v>142</v>
      </c>
      <c r="H101" s="1043"/>
      <c r="I101" s="315" t="s">
        <v>232</v>
      </c>
      <c r="J101" s="316" t="s">
        <v>233</v>
      </c>
      <c r="K101" s="317" t="s">
        <v>232</v>
      </c>
      <c r="L101" s="318" t="s">
        <v>233</v>
      </c>
      <c r="M101" s="317" t="s">
        <v>46</v>
      </c>
      <c r="N101" s="319" t="s">
        <v>234</v>
      </c>
      <c r="O101" s="191" t="s">
        <v>235</v>
      </c>
      <c r="P101" s="191" t="s">
        <v>236</v>
      </c>
      <c r="Q101" s="192" t="s">
        <v>237</v>
      </c>
      <c r="R101" s="192" t="s">
        <v>238</v>
      </c>
      <c r="S101" s="192" t="s">
        <v>239</v>
      </c>
    </row>
    <row r="102" spans="2:19" x14ac:dyDescent="0.2">
      <c r="B102" s="198">
        <v>1</v>
      </c>
      <c r="C102" s="199">
        <v>43193</v>
      </c>
      <c r="D102" s="199">
        <v>43190</v>
      </c>
      <c r="E102" s="200" t="s">
        <v>366</v>
      </c>
      <c r="F102" s="238"/>
      <c r="G102" s="201" t="s">
        <v>47</v>
      </c>
      <c r="H102" s="202" t="s">
        <v>242</v>
      </c>
      <c r="I102" s="203"/>
      <c r="J102" s="203"/>
      <c r="K102" s="204">
        <v>132.19999999999999</v>
      </c>
      <c r="L102" s="203"/>
      <c r="M102" s="203">
        <v>17.190000000000001</v>
      </c>
      <c r="N102" s="203">
        <f>+K102+M102</f>
        <v>149.38999999999999</v>
      </c>
      <c r="O102" s="203">
        <v>0</v>
      </c>
      <c r="P102" s="203">
        <v>0</v>
      </c>
      <c r="Q102" s="203"/>
      <c r="R102" s="203"/>
      <c r="S102" s="134"/>
    </row>
    <row r="103" spans="2:19" x14ac:dyDescent="0.2">
      <c r="B103" s="193">
        <v>2</v>
      </c>
      <c r="C103" s="194">
        <v>43196</v>
      </c>
      <c r="D103" s="194">
        <v>43196</v>
      </c>
      <c r="E103" s="195" t="s">
        <v>367</v>
      </c>
      <c r="F103" s="162"/>
      <c r="G103" s="196" t="s">
        <v>188</v>
      </c>
      <c r="H103" s="197" t="s">
        <v>207</v>
      </c>
      <c r="I103" s="134"/>
      <c r="J103" s="134"/>
      <c r="K103" s="135">
        <v>193.27</v>
      </c>
      <c r="L103" s="134"/>
      <c r="M103" s="134">
        <v>25.12</v>
      </c>
      <c r="N103" s="134">
        <f t="shared" ref="N103:N112" si="2">+K103+M103</f>
        <v>218.39000000000001</v>
      </c>
      <c r="O103" s="134">
        <v>0</v>
      </c>
      <c r="P103" s="203">
        <v>0</v>
      </c>
      <c r="Q103" s="134"/>
      <c r="R103" s="134"/>
      <c r="S103" s="134"/>
    </row>
    <row r="104" spans="2:19" x14ac:dyDescent="0.2">
      <c r="B104" s="193">
        <v>3</v>
      </c>
      <c r="C104" s="194">
        <v>43206</v>
      </c>
      <c r="D104" s="194">
        <v>43192</v>
      </c>
      <c r="E104" s="195" t="s">
        <v>368</v>
      </c>
      <c r="F104" s="162" t="s">
        <v>369</v>
      </c>
      <c r="G104" s="196" t="s">
        <v>208</v>
      </c>
      <c r="H104" s="197" t="s">
        <v>209</v>
      </c>
      <c r="I104" s="134"/>
      <c r="J104" s="134"/>
      <c r="K104" s="135">
        <v>225.75</v>
      </c>
      <c r="L104" s="134"/>
      <c r="M104" s="134">
        <v>29.35</v>
      </c>
      <c r="N104" s="134">
        <f t="shared" si="2"/>
        <v>255.1</v>
      </c>
      <c r="O104" s="134">
        <v>0</v>
      </c>
      <c r="P104" s="203">
        <v>2.2599999999999998</v>
      </c>
      <c r="Q104" s="134"/>
      <c r="R104" s="134"/>
      <c r="S104" s="134"/>
    </row>
    <row r="105" spans="2:19" x14ac:dyDescent="0.2">
      <c r="B105" s="193">
        <v>4</v>
      </c>
      <c r="C105" s="194">
        <v>43213</v>
      </c>
      <c r="D105" s="194">
        <v>43186</v>
      </c>
      <c r="E105" s="195">
        <v>2051</v>
      </c>
      <c r="F105" s="162" t="s">
        <v>370</v>
      </c>
      <c r="G105" s="196" t="s">
        <v>212</v>
      </c>
      <c r="H105" s="197" t="s">
        <v>213</v>
      </c>
      <c r="I105" s="134"/>
      <c r="J105" s="134"/>
      <c r="K105" s="135">
        <v>1024.71</v>
      </c>
      <c r="L105" s="134"/>
      <c r="M105" s="134">
        <v>133.21</v>
      </c>
      <c r="N105" s="134">
        <f t="shared" si="2"/>
        <v>1157.92</v>
      </c>
      <c r="O105" s="134">
        <v>0</v>
      </c>
      <c r="P105" s="203">
        <v>10.25</v>
      </c>
      <c r="Q105" s="134"/>
      <c r="R105" s="134"/>
      <c r="S105" s="134"/>
    </row>
    <row r="106" spans="2:19" x14ac:dyDescent="0.2">
      <c r="B106" s="193">
        <v>5</v>
      </c>
      <c r="C106" s="194">
        <v>43213</v>
      </c>
      <c r="D106" s="194">
        <v>43208</v>
      </c>
      <c r="E106" s="195">
        <v>399</v>
      </c>
      <c r="F106" s="162" t="s">
        <v>371</v>
      </c>
      <c r="G106" s="196" t="s">
        <v>210</v>
      </c>
      <c r="H106" s="197" t="s">
        <v>211</v>
      </c>
      <c r="I106" s="134"/>
      <c r="J106" s="134"/>
      <c r="K106" s="135">
        <v>2520</v>
      </c>
      <c r="L106" s="134"/>
      <c r="M106" s="134">
        <v>327.60000000000002</v>
      </c>
      <c r="N106" s="134">
        <f t="shared" si="2"/>
        <v>2847.6</v>
      </c>
      <c r="O106" s="134">
        <v>0</v>
      </c>
      <c r="P106" s="203">
        <v>25.2</v>
      </c>
      <c r="Q106" s="134"/>
      <c r="R106" s="134"/>
      <c r="S106" s="134"/>
    </row>
    <row r="107" spans="2:19" x14ac:dyDescent="0.2">
      <c r="B107" s="193">
        <v>6</v>
      </c>
      <c r="C107" s="194">
        <v>43213</v>
      </c>
      <c r="D107" s="194">
        <v>43208</v>
      </c>
      <c r="E107" s="195">
        <v>398</v>
      </c>
      <c r="F107" s="162" t="s">
        <v>371</v>
      </c>
      <c r="G107" s="196" t="s">
        <v>210</v>
      </c>
      <c r="H107" s="197" t="s">
        <v>211</v>
      </c>
      <c r="I107" s="134"/>
      <c r="J107" s="134"/>
      <c r="K107" s="135">
        <v>440.1</v>
      </c>
      <c r="L107" s="134"/>
      <c r="M107" s="134">
        <v>57.21</v>
      </c>
      <c r="N107" s="134">
        <f t="shared" si="2"/>
        <v>497.31</v>
      </c>
      <c r="O107" s="134">
        <v>0</v>
      </c>
      <c r="P107" s="203">
        <v>4.4000000000000004</v>
      </c>
      <c r="Q107" s="134"/>
      <c r="R107" s="134"/>
      <c r="S107" s="134"/>
    </row>
    <row r="108" spans="2:19" x14ac:dyDescent="0.2">
      <c r="B108" s="193">
        <v>7</v>
      </c>
      <c r="C108" s="194">
        <v>43214</v>
      </c>
      <c r="D108" s="194">
        <v>43178</v>
      </c>
      <c r="E108" s="195">
        <v>605</v>
      </c>
      <c r="F108" s="162"/>
      <c r="G108" s="196" t="s">
        <v>188</v>
      </c>
      <c r="H108" s="197" t="s">
        <v>207</v>
      </c>
      <c r="I108" s="134"/>
      <c r="J108" s="134"/>
      <c r="K108" s="135">
        <v>195</v>
      </c>
      <c r="L108" s="134"/>
      <c r="M108" s="134">
        <v>25.35</v>
      </c>
      <c r="N108" s="134">
        <f t="shared" si="2"/>
        <v>220.35</v>
      </c>
      <c r="O108" s="134">
        <v>0</v>
      </c>
      <c r="P108" s="203">
        <v>0</v>
      </c>
      <c r="Q108" s="134"/>
      <c r="R108" s="134"/>
      <c r="S108" s="134"/>
    </row>
    <row r="109" spans="2:19" x14ac:dyDescent="0.2">
      <c r="B109" s="193">
        <v>8</v>
      </c>
      <c r="C109" s="194">
        <v>43214</v>
      </c>
      <c r="D109" s="194">
        <v>43186</v>
      </c>
      <c r="E109" s="195">
        <v>701</v>
      </c>
      <c r="F109" s="162"/>
      <c r="G109" s="196" t="s">
        <v>188</v>
      </c>
      <c r="H109" s="197" t="s">
        <v>207</v>
      </c>
      <c r="I109" s="134"/>
      <c r="J109" s="134"/>
      <c r="K109" s="135">
        <v>300</v>
      </c>
      <c r="L109" s="134"/>
      <c r="M109" s="134">
        <v>39</v>
      </c>
      <c r="N109" s="134">
        <f t="shared" si="2"/>
        <v>339</v>
      </c>
      <c r="O109" s="134">
        <v>0</v>
      </c>
      <c r="P109" s="203">
        <v>0</v>
      </c>
      <c r="Q109" s="134"/>
      <c r="R109" s="134"/>
      <c r="S109" s="134"/>
    </row>
    <row r="110" spans="2:19" x14ac:dyDescent="0.2">
      <c r="B110" s="193">
        <v>9</v>
      </c>
      <c r="C110" s="194">
        <v>43215</v>
      </c>
      <c r="D110" s="256">
        <v>43172</v>
      </c>
      <c r="E110" s="195">
        <v>6000003227</v>
      </c>
      <c r="F110" s="162" t="s">
        <v>372</v>
      </c>
      <c r="G110" s="196" t="s">
        <v>341</v>
      </c>
      <c r="H110" s="197" t="s">
        <v>347</v>
      </c>
      <c r="I110" s="134"/>
      <c r="J110" s="134"/>
      <c r="K110" s="135">
        <v>418.8</v>
      </c>
      <c r="L110" s="134"/>
      <c r="M110" s="134">
        <v>54.44</v>
      </c>
      <c r="N110" s="134">
        <f t="shared" si="2"/>
        <v>473.24</v>
      </c>
      <c r="O110" s="134">
        <v>0</v>
      </c>
      <c r="P110" s="203">
        <v>4.1900000000000004</v>
      </c>
      <c r="Q110" s="134"/>
      <c r="R110" s="134"/>
      <c r="S110" s="134"/>
    </row>
    <row r="111" spans="2:19" x14ac:dyDescent="0.2">
      <c r="B111" s="193">
        <v>10</v>
      </c>
      <c r="C111" s="194">
        <v>43215</v>
      </c>
      <c r="D111" s="256">
        <v>43195</v>
      </c>
      <c r="E111" s="195">
        <v>6000003780</v>
      </c>
      <c r="F111" s="162" t="s">
        <v>372</v>
      </c>
      <c r="G111" s="196" t="s">
        <v>341</v>
      </c>
      <c r="H111" s="197" t="s">
        <v>347</v>
      </c>
      <c r="I111" s="134"/>
      <c r="J111" s="134"/>
      <c r="K111" s="135">
        <v>418.8</v>
      </c>
      <c r="L111" s="134"/>
      <c r="M111" s="134">
        <v>54.44</v>
      </c>
      <c r="N111" s="134">
        <f t="shared" si="2"/>
        <v>473.24</v>
      </c>
      <c r="O111" s="134">
        <v>0</v>
      </c>
      <c r="P111" s="203">
        <v>4.1900000000000004</v>
      </c>
      <c r="Q111" s="134"/>
      <c r="R111" s="134"/>
      <c r="S111" s="134"/>
    </row>
    <row r="112" spans="2:19" x14ac:dyDescent="0.2">
      <c r="B112" s="198">
        <v>11</v>
      </c>
      <c r="C112" s="199">
        <v>43217</v>
      </c>
      <c r="D112" s="352">
        <v>43217</v>
      </c>
      <c r="E112" s="200" t="s">
        <v>373</v>
      </c>
      <c r="F112" s="238"/>
      <c r="G112" s="201" t="s">
        <v>47</v>
      </c>
      <c r="H112" s="202" t="s">
        <v>242</v>
      </c>
      <c r="I112" s="203"/>
      <c r="J112" s="203"/>
      <c r="K112" s="204">
        <v>132.19999999999999</v>
      </c>
      <c r="L112" s="203"/>
      <c r="M112" s="203">
        <v>17.190000000000001</v>
      </c>
      <c r="N112" s="203">
        <f t="shared" si="2"/>
        <v>149.38999999999999</v>
      </c>
      <c r="O112" s="203">
        <v>0</v>
      </c>
      <c r="P112" s="203">
        <v>0</v>
      </c>
      <c r="Q112" s="134"/>
      <c r="R112" s="134"/>
      <c r="S112" s="134"/>
    </row>
    <row r="114" spans="2:19" x14ac:dyDescent="0.2">
      <c r="B114" s="193"/>
      <c r="C114" s="194"/>
      <c r="D114" s="194"/>
      <c r="E114" s="195"/>
      <c r="F114" s="162"/>
      <c r="G114" s="196"/>
      <c r="H114" s="197" t="s">
        <v>273</v>
      </c>
      <c r="I114" s="134"/>
      <c r="J114" s="134"/>
      <c r="K114" s="299"/>
      <c r="L114" s="134"/>
      <c r="M114" s="299">
        <v>-780.1</v>
      </c>
      <c r="N114" s="134"/>
      <c r="O114" s="134"/>
      <c r="P114" s="203">
        <v>0</v>
      </c>
      <c r="Q114" s="134"/>
      <c r="R114" s="134"/>
      <c r="S114" s="134"/>
    </row>
    <row r="115" spans="2:19" x14ac:dyDescent="0.2">
      <c r="B115" s="193"/>
      <c r="C115" s="194"/>
      <c r="D115" s="194"/>
      <c r="E115" s="195"/>
      <c r="F115" s="162"/>
      <c r="G115" s="196"/>
      <c r="H115" s="197"/>
      <c r="I115" s="134"/>
      <c r="J115" s="134"/>
      <c r="K115" s="135"/>
      <c r="L115" s="134"/>
      <c r="M115" s="134"/>
      <c r="N115" s="134"/>
      <c r="O115" s="134"/>
      <c r="P115" s="203"/>
      <c r="Q115" s="134"/>
      <c r="R115" s="134"/>
      <c r="S115" s="134"/>
    </row>
    <row r="116" spans="2:19" x14ac:dyDescent="0.2">
      <c r="B116" s="193"/>
      <c r="C116" s="194"/>
      <c r="D116" s="194"/>
      <c r="E116" s="195"/>
      <c r="F116" s="333"/>
      <c r="G116" s="196"/>
      <c r="H116" s="197"/>
      <c r="I116" s="134"/>
      <c r="J116" s="134"/>
      <c r="K116" s="135"/>
      <c r="L116" s="134"/>
      <c r="M116" s="134"/>
      <c r="N116" s="134"/>
      <c r="O116" s="134"/>
      <c r="P116" s="134"/>
      <c r="Q116" s="134"/>
      <c r="R116" s="134"/>
      <c r="S116" s="134"/>
    </row>
    <row r="117" spans="2:19" x14ac:dyDescent="0.2">
      <c r="B117" s="193"/>
      <c r="C117" s="194"/>
      <c r="D117" s="194"/>
      <c r="E117" s="195"/>
      <c r="F117" s="333"/>
      <c r="G117" s="196"/>
      <c r="H117" s="197"/>
      <c r="I117" s="134"/>
      <c r="J117" s="134"/>
      <c r="K117" s="135"/>
      <c r="L117" s="134"/>
      <c r="M117" s="134"/>
      <c r="N117" s="134"/>
      <c r="O117" s="134"/>
      <c r="P117" s="134"/>
      <c r="Q117" s="134"/>
      <c r="R117" s="134"/>
      <c r="S117" s="134"/>
    </row>
    <row r="118" spans="2:19" x14ac:dyDescent="0.2">
      <c r="B118" s="193"/>
      <c r="C118" s="194"/>
      <c r="D118" s="194"/>
      <c r="E118" s="195"/>
      <c r="F118" s="321"/>
      <c r="G118" s="196"/>
      <c r="H118" s="197"/>
      <c r="I118" s="134"/>
      <c r="J118" s="134"/>
      <c r="K118" s="134"/>
      <c r="L118" s="134"/>
      <c r="M118" s="134"/>
      <c r="N118" s="134">
        <f t="shared" ref="N118" si="3">+K118+M118</f>
        <v>0</v>
      </c>
      <c r="O118" s="134"/>
      <c r="P118" s="134"/>
      <c r="Q118" s="134"/>
      <c r="R118" s="134"/>
      <c r="S118" s="134"/>
    </row>
    <row r="119" spans="2:19" ht="13.5" thickBot="1" x14ac:dyDescent="0.25">
      <c r="B119" s="265"/>
      <c r="C119" s="266"/>
      <c r="D119" s="267"/>
      <c r="E119" s="266"/>
      <c r="F119" s="268"/>
      <c r="G119" s="269"/>
      <c r="H119" s="270"/>
      <c r="I119" s="271"/>
      <c r="J119" s="272"/>
      <c r="K119" s="272"/>
      <c r="L119" s="273"/>
      <c r="M119" s="272"/>
      <c r="N119" s="272"/>
      <c r="O119" s="272"/>
      <c r="P119" s="272"/>
      <c r="Q119" s="274"/>
      <c r="R119" s="274"/>
      <c r="S119" s="274"/>
    </row>
    <row r="120" spans="2:19" x14ac:dyDescent="0.2">
      <c r="B120" s="175"/>
      <c r="C120" s="176"/>
      <c r="D120" s="275"/>
      <c r="E120" s="176"/>
      <c r="F120" s="276"/>
      <c r="G120" s="277"/>
      <c r="H120" s="178"/>
      <c r="I120" s="278"/>
      <c r="J120" s="171"/>
      <c r="K120" s="171"/>
      <c r="L120" s="279"/>
      <c r="M120" s="171"/>
      <c r="N120" s="171"/>
      <c r="O120" s="171"/>
      <c r="P120" s="171"/>
      <c r="Q120" s="280"/>
      <c r="R120" s="280"/>
      <c r="S120" s="280"/>
    </row>
    <row r="121" spans="2:19" x14ac:dyDescent="0.2">
      <c r="B121" s="175"/>
      <c r="C121" s="164"/>
      <c r="D121" s="165"/>
      <c r="E121" s="164"/>
      <c r="F121" s="281"/>
      <c r="G121" s="277"/>
      <c r="H121" s="282" t="s">
        <v>261</v>
      </c>
      <c r="I121" s="279">
        <f t="shared" ref="I121:S121" si="4">SUM(I86:I119)</f>
        <v>0</v>
      </c>
      <c r="J121" s="279">
        <f t="shared" si="4"/>
        <v>0</v>
      </c>
      <c r="K121" s="279">
        <f t="shared" si="4"/>
        <v>9380.4399999999987</v>
      </c>
      <c r="L121" s="279">
        <f t="shared" si="4"/>
        <v>0</v>
      </c>
      <c r="M121" s="279">
        <f>SUM(M86:M119)</f>
        <v>0</v>
      </c>
      <c r="N121" s="279">
        <f t="shared" si="4"/>
        <v>10599.89</v>
      </c>
      <c r="O121" s="279">
        <f t="shared" si="4"/>
        <v>0</v>
      </c>
      <c r="P121" s="279">
        <f t="shared" si="4"/>
        <v>81.070000000000007</v>
      </c>
      <c r="Q121" s="279">
        <f t="shared" si="4"/>
        <v>0</v>
      </c>
      <c r="R121" s="279">
        <f t="shared" si="4"/>
        <v>0</v>
      </c>
      <c r="S121" s="279">
        <f t="shared" si="4"/>
        <v>0.13</v>
      </c>
    </row>
    <row r="122" spans="2:19" ht="13.5" thickBot="1" x14ac:dyDescent="0.25">
      <c r="B122" s="265"/>
      <c r="C122" s="283"/>
      <c r="D122" s="284"/>
      <c r="E122" s="283"/>
      <c r="F122" s="285"/>
      <c r="G122" s="269"/>
      <c r="H122" s="286"/>
      <c r="I122" s="273"/>
      <c r="J122" s="287"/>
      <c r="K122" s="287"/>
      <c r="L122" s="287"/>
      <c r="M122" s="287"/>
      <c r="N122" s="287"/>
      <c r="O122" s="287"/>
      <c r="P122" s="287"/>
      <c r="Q122" s="273"/>
      <c r="R122" s="273"/>
      <c r="S122" s="288"/>
    </row>
    <row r="130" spans="2:19" ht="15.75" x14ac:dyDescent="0.25">
      <c r="B130" s="127" t="s">
        <v>219</v>
      </c>
      <c r="C130" s="128" t="s">
        <v>85</v>
      </c>
      <c r="D130" s="129"/>
      <c r="E130" s="130">
        <v>2018</v>
      </c>
      <c r="F130" s="123"/>
      <c r="G130" s="124"/>
      <c r="H130" s="162"/>
      <c r="I130" s="131"/>
      <c r="J130" s="131"/>
      <c r="K130" s="131"/>
      <c r="L130" s="131"/>
      <c r="M130" s="131"/>
      <c r="N130" s="126"/>
      <c r="O130" s="120"/>
      <c r="P130" s="120"/>
      <c r="Q130" s="120"/>
      <c r="R130" s="120"/>
      <c r="S130" s="120"/>
    </row>
    <row r="131" spans="2:19" x14ac:dyDescent="0.2">
      <c r="B131" s="163"/>
      <c r="C131" s="164"/>
      <c r="D131" s="165"/>
      <c r="E131" s="166"/>
      <c r="F131" s="167"/>
      <c r="G131" s="168"/>
      <c r="H131" s="168"/>
      <c r="I131" s="169"/>
      <c r="J131" s="170"/>
      <c r="K131" s="171"/>
      <c r="L131" s="170"/>
      <c r="M131" s="171"/>
      <c r="N131" s="171"/>
      <c r="O131" s="170"/>
      <c r="P131" s="170"/>
      <c r="Q131" s="168"/>
      <c r="R131" s="168"/>
      <c r="S131" s="172"/>
    </row>
    <row r="132" spans="2:19" x14ac:dyDescent="0.2">
      <c r="B132" s="163"/>
      <c r="C132" s="164"/>
      <c r="D132" s="165"/>
      <c r="E132" s="166"/>
      <c r="F132" s="243"/>
      <c r="G132" s="173"/>
      <c r="H132" s="174"/>
      <c r="I132" s="169"/>
      <c r="J132" s="170"/>
      <c r="K132" s="171"/>
      <c r="L132" s="170"/>
      <c r="M132" s="171"/>
      <c r="N132" s="171"/>
      <c r="O132" s="170"/>
      <c r="P132" s="170"/>
      <c r="Q132" s="168"/>
      <c r="R132" s="168"/>
      <c r="S132" s="172"/>
    </row>
    <row r="133" spans="2:19" x14ac:dyDescent="0.2">
      <c r="B133" s="175"/>
      <c r="C133" s="176"/>
      <c r="D133" s="177"/>
      <c r="E133" s="166"/>
      <c r="F133" s="167"/>
      <c r="G133" s="178"/>
      <c r="H133" s="168"/>
      <c r="I133" s="169"/>
      <c r="J133" s="170"/>
      <c r="K133" s="171"/>
      <c r="L133" s="170"/>
      <c r="M133" s="171"/>
      <c r="N133" s="171"/>
      <c r="O133" s="170"/>
      <c r="P133" s="132">
        <v>0.01</v>
      </c>
      <c r="Q133" s="168"/>
      <c r="R133" s="168" t="s">
        <v>220</v>
      </c>
      <c r="S133" s="133">
        <v>0.13</v>
      </c>
    </row>
    <row r="134" spans="2:19" x14ac:dyDescent="0.2">
      <c r="B134" s="179" t="s">
        <v>221</v>
      </c>
      <c r="C134" s="180" t="s">
        <v>136</v>
      </c>
      <c r="D134" s="181" t="s">
        <v>136</v>
      </c>
      <c r="E134" s="182" t="s">
        <v>137</v>
      </c>
      <c r="F134" s="182" t="s">
        <v>222</v>
      </c>
      <c r="G134" s="312" t="s">
        <v>223</v>
      </c>
      <c r="H134" s="1042" t="s">
        <v>139</v>
      </c>
      <c r="I134" s="328" t="s">
        <v>224</v>
      </c>
      <c r="J134" s="329"/>
      <c r="K134" s="330" t="s">
        <v>225</v>
      </c>
      <c r="L134" s="331"/>
      <c r="M134" s="332"/>
      <c r="N134" s="313" t="s">
        <v>140</v>
      </c>
      <c r="O134" s="183" t="s">
        <v>226</v>
      </c>
      <c r="P134" s="184" t="s">
        <v>227</v>
      </c>
      <c r="Q134" s="185" t="s">
        <v>228</v>
      </c>
      <c r="R134" s="185" t="s">
        <v>229</v>
      </c>
      <c r="S134" s="185" t="s">
        <v>229</v>
      </c>
    </row>
    <row r="135" spans="2:19" x14ac:dyDescent="0.2">
      <c r="B135" s="186"/>
      <c r="C135" s="187" t="s">
        <v>230</v>
      </c>
      <c r="D135" s="188" t="s">
        <v>141</v>
      </c>
      <c r="E135" s="189" t="s">
        <v>141</v>
      </c>
      <c r="F135" s="190" t="s">
        <v>231</v>
      </c>
      <c r="G135" s="314" t="s">
        <v>142</v>
      </c>
      <c r="H135" s="1043"/>
      <c r="I135" s="315" t="s">
        <v>232</v>
      </c>
      <c r="J135" s="316" t="s">
        <v>233</v>
      </c>
      <c r="K135" s="317" t="s">
        <v>232</v>
      </c>
      <c r="L135" s="318" t="s">
        <v>233</v>
      </c>
      <c r="M135" s="317" t="s">
        <v>46</v>
      </c>
      <c r="N135" s="319" t="s">
        <v>234</v>
      </c>
      <c r="O135" s="191" t="s">
        <v>235</v>
      </c>
      <c r="P135" s="191" t="s">
        <v>236</v>
      </c>
      <c r="Q135" s="192" t="s">
        <v>237</v>
      </c>
      <c r="R135" s="192" t="s">
        <v>238</v>
      </c>
      <c r="S135" s="192" t="s">
        <v>239</v>
      </c>
    </row>
    <row r="136" spans="2:19" x14ac:dyDescent="0.2">
      <c r="B136" s="193">
        <v>1</v>
      </c>
      <c r="C136" s="194">
        <v>43222</v>
      </c>
      <c r="D136" s="194">
        <v>43222</v>
      </c>
      <c r="E136" s="195" t="s">
        <v>382</v>
      </c>
      <c r="F136" s="162"/>
      <c r="G136" s="196" t="s">
        <v>188</v>
      </c>
      <c r="H136" s="197" t="s">
        <v>207</v>
      </c>
      <c r="I136" s="134"/>
      <c r="J136" s="134"/>
      <c r="K136" s="135">
        <v>4493.72</v>
      </c>
      <c r="L136" s="134"/>
      <c r="M136" s="134">
        <v>584.17999999999995</v>
      </c>
      <c r="N136" s="134">
        <f>+K136+M136</f>
        <v>5077.9000000000005</v>
      </c>
      <c r="O136" s="134">
        <v>0</v>
      </c>
      <c r="P136" s="203">
        <v>0</v>
      </c>
      <c r="Q136" s="134"/>
      <c r="R136" s="134"/>
      <c r="S136" s="134"/>
    </row>
    <row r="137" spans="2:19" x14ac:dyDescent="0.2">
      <c r="B137" s="198">
        <v>2</v>
      </c>
      <c r="C137" s="199">
        <v>43228</v>
      </c>
      <c r="D137" s="199">
        <v>43228</v>
      </c>
      <c r="E137" s="200" t="s">
        <v>383</v>
      </c>
      <c r="F137" s="238"/>
      <c r="G137" s="201" t="s">
        <v>47</v>
      </c>
      <c r="H137" s="202" t="s">
        <v>242</v>
      </c>
      <c r="I137" s="203"/>
      <c r="J137" s="203"/>
      <c r="K137" s="204">
        <v>132.19999999999999</v>
      </c>
      <c r="L137" s="203"/>
      <c r="M137" s="203">
        <v>17.190000000000001</v>
      </c>
      <c r="N137" s="203">
        <f t="shared" ref="N137:N144" si="5">+K137+M137</f>
        <v>149.38999999999999</v>
      </c>
      <c r="O137" s="203">
        <v>0</v>
      </c>
      <c r="P137" s="203">
        <v>0</v>
      </c>
      <c r="Q137" s="203"/>
      <c r="R137" s="203"/>
      <c r="S137" s="203"/>
    </row>
    <row r="138" spans="2:19" x14ac:dyDescent="0.2">
      <c r="B138" s="193">
        <v>3</v>
      </c>
      <c r="C138" s="194">
        <v>43234</v>
      </c>
      <c r="D138" s="194">
        <v>43222</v>
      </c>
      <c r="E138" s="195" t="s">
        <v>384</v>
      </c>
      <c r="F138" s="162" t="s">
        <v>385</v>
      </c>
      <c r="G138" s="196" t="s">
        <v>208</v>
      </c>
      <c r="H138" s="197" t="s">
        <v>209</v>
      </c>
      <c r="I138" s="134"/>
      <c r="J138" s="134"/>
      <c r="K138" s="135">
        <v>225.75</v>
      </c>
      <c r="L138" s="134"/>
      <c r="M138" s="134">
        <v>29.35</v>
      </c>
      <c r="N138" s="134">
        <f t="shared" si="5"/>
        <v>255.1</v>
      </c>
      <c r="O138" s="134">
        <v>0</v>
      </c>
      <c r="P138" s="203">
        <v>2.2599999999999998</v>
      </c>
      <c r="Q138" s="134"/>
      <c r="R138" s="134"/>
      <c r="S138" s="134"/>
    </row>
    <row r="139" spans="2:19" x14ac:dyDescent="0.2">
      <c r="B139" s="193">
        <v>4</v>
      </c>
      <c r="C139" s="194">
        <v>43235</v>
      </c>
      <c r="D139" s="194">
        <v>43235</v>
      </c>
      <c r="E139" s="195" t="s">
        <v>386</v>
      </c>
      <c r="F139" s="162"/>
      <c r="G139" s="196" t="s">
        <v>188</v>
      </c>
      <c r="H139" s="197" t="s">
        <v>207</v>
      </c>
      <c r="I139" s="134"/>
      <c r="J139" s="134"/>
      <c r="K139" s="135">
        <v>6476.86</v>
      </c>
      <c r="L139" s="134"/>
      <c r="M139" s="134">
        <v>841.99</v>
      </c>
      <c r="N139" s="134">
        <f t="shared" si="5"/>
        <v>7318.8499999999995</v>
      </c>
      <c r="O139" s="134">
        <v>0</v>
      </c>
      <c r="P139" s="203">
        <v>0</v>
      </c>
      <c r="Q139" s="134"/>
      <c r="R139" s="134"/>
      <c r="S139" s="134"/>
    </row>
    <row r="140" spans="2:19" x14ac:dyDescent="0.2">
      <c r="B140" s="193">
        <v>5</v>
      </c>
      <c r="C140" s="194">
        <v>43238</v>
      </c>
      <c r="D140" s="194">
        <v>43220</v>
      </c>
      <c r="E140" s="195" t="s">
        <v>387</v>
      </c>
      <c r="F140" s="162" t="s">
        <v>388</v>
      </c>
      <c r="G140" s="196" t="s">
        <v>212</v>
      </c>
      <c r="H140" s="197" t="s">
        <v>213</v>
      </c>
      <c r="I140" s="134"/>
      <c r="J140" s="134"/>
      <c r="K140" s="135">
        <v>942.2</v>
      </c>
      <c r="L140" s="134"/>
      <c r="M140" s="134">
        <v>122.49</v>
      </c>
      <c r="N140" s="134">
        <f t="shared" si="5"/>
        <v>1064.69</v>
      </c>
      <c r="O140" s="134">
        <v>0</v>
      </c>
      <c r="P140" s="203">
        <v>9.42</v>
      </c>
      <c r="Q140" s="134"/>
      <c r="R140" s="134"/>
      <c r="S140" s="134"/>
    </row>
    <row r="141" spans="2:19" x14ac:dyDescent="0.2">
      <c r="B141" s="193">
        <v>6</v>
      </c>
      <c r="C141" s="194">
        <v>43238</v>
      </c>
      <c r="D141" s="194">
        <v>43208</v>
      </c>
      <c r="E141" s="195" t="s">
        <v>389</v>
      </c>
      <c r="F141" s="162"/>
      <c r="G141" s="196" t="s">
        <v>188</v>
      </c>
      <c r="H141" s="197" t="s">
        <v>207</v>
      </c>
      <c r="I141" s="134"/>
      <c r="J141" s="134"/>
      <c r="K141" s="135">
        <v>195</v>
      </c>
      <c r="L141" s="134"/>
      <c r="M141" s="134">
        <v>25.35</v>
      </c>
      <c r="N141" s="134">
        <f t="shared" si="5"/>
        <v>220.35</v>
      </c>
      <c r="O141" s="134">
        <v>0</v>
      </c>
      <c r="P141" s="203">
        <v>0</v>
      </c>
      <c r="Q141" s="134"/>
      <c r="R141" s="134"/>
      <c r="S141" s="134"/>
    </row>
    <row r="142" spans="2:19" x14ac:dyDescent="0.2">
      <c r="B142" s="193">
        <v>7</v>
      </c>
      <c r="C142" s="194">
        <v>43238</v>
      </c>
      <c r="D142" s="194">
        <v>43220</v>
      </c>
      <c r="E142" s="195" t="s">
        <v>390</v>
      </c>
      <c r="F142" s="162"/>
      <c r="G142" s="196" t="s">
        <v>188</v>
      </c>
      <c r="H142" s="197" t="s">
        <v>207</v>
      </c>
      <c r="I142" s="134"/>
      <c r="J142" s="134"/>
      <c r="K142" s="135">
        <v>106.73</v>
      </c>
      <c r="L142" s="134"/>
      <c r="M142" s="134">
        <v>13.88</v>
      </c>
      <c r="N142" s="134">
        <f t="shared" si="5"/>
        <v>120.61</v>
      </c>
      <c r="O142" s="134">
        <v>0</v>
      </c>
      <c r="P142" s="203">
        <v>0</v>
      </c>
      <c r="Q142" s="134"/>
      <c r="R142" s="134"/>
      <c r="S142" s="134"/>
    </row>
    <row r="143" spans="2:19" x14ac:dyDescent="0.2">
      <c r="B143" s="193">
        <v>8</v>
      </c>
      <c r="C143" s="194">
        <v>43243</v>
      </c>
      <c r="D143" s="194">
        <v>43241</v>
      </c>
      <c r="E143" s="195" t="s">
        <v>391</v>
      </c>
      <c r="F143" s="162"/>
      <c r="G143" s="196" t="s">
        <v>210</v>
      </c>
      <c r="H143" s="197" t="s">
        <v>211</v>
      </c>
      <c r="I143" s="134"/>
      <c r="J143" s="134"/>
      <c r="K143" s="135">
        <v>63</v>
      </c>
      <c r="L143" s="134"/>
      <c r="M143" s="134">
        <v>8.19</v>
      </c>
      <c r="N143" s="134">
        <f t="shared" si="5"/>
        <v>71.19</v>
      </c>
      <c r="O143" s="134">
        <v>0</v>
      </c>
      <c r="P143" s="203">
        <v>0</v>
      </c>
      <c r="Q143" s="134"/>
      <c r="R143" s="134"/>
      <c r="S143" s="134"/>
    </row>
    <row r="144" spans="2:19" x14ac:dyDescent="0.2">
      <c r="B144" s="193">
        <v>9</v>
      </c>
      <c r="C144" s="194">
        <v>43243</v>
      </c>
      <c r="D144" s="256">
        <v>43241</v>
      </c>
      <c r="E144" s="195" t="s">
        <v>392</v>
      </c>
      <c r="F144" s="162"/>
      <c r="G144" s="196" t="s">
        <v>210</v>
      </c>
      <c r="H144" s="197" t="s">
        <v>211</v>
      </c>
      <c r="I144" s="134"/>
      <c r="J144" s="134"/>
      <c r="K144" s="135">
        <v>64.8</v>
      </c>
      <c r="L144" s="134"/>
      <c r="M144" s="134">
        <v>8.42</v>
      </c>
      <c r="N144" s="134">
        <f t="shared" si="5"/>
        <v>73.22</v>
      </c>
      <c r="O144" s="134">
        <v>0</v>
      </c>
      <c r="P144" s="203">
        <v>0</v>
      </c>
      <c r="Q144" s="134"/>
      <c r="R144" s="134"/>
      <c r="S144" s="134"/>
    </row>
    <row r="146" spans="2:19" x14ac:dyDescent="0.2">
      <c r="H146" s="136" t="s">
        <v>273</v>
      </c>
      <c r="M146" s="141">
        <v>-1651.04</v>
      </c>
      <c r="P146" s="136">
        <v>0</v>
      </c>
    </row>
    <row r="148" spans="2:19" ht="13.5" thickBot="1" x14ac:dyDescent="0.25">
      <c r="B148" s="265"/>
      <c r="C148" s="266"/>
      <c r="D148" s="355"/>
      <c r="E148" s="266"/>
      <c r="F148" s="268"/>
      <c r="G148" s="269"/>
      <c r="H148" s="270"/>
      <c r="I148" s="271"/>
      <c r="J148" s="272"/>
      <c r="K148" s="272"/>
      <c r="L148" s="287"/>
      <c r="M148" s="272"/>
      <c r="N148" s="272"/>
      <c r="O148" s="272"/>
      <c r="P148" s="272"/>
      <c r="Q148" s="274"/>
      <c r="R148" s="274"/>
      <c r="S148" s="274"/>
    </row>
    <row r="149" spans="2:19" x14ac:dyDescent="0.2">
      <c r="B149" s="175"/>
      <c r="C149" s="164"/>
      <c r="D149" s="165"/>
      <c r="E149" s="164"/>
      <c r="F149" s="281"/>
      <c r="G149" s="277"/>
      <c r="H149" s="282" t="s">
        <v>261</v>
      </c>
      <c r="I149" s="279">
        <v>0</v>
      </c>
      <c r="J149" s="279">
        <v>0</v>
      </c>
      <c r="K149" s="279">
        <v>12700.259999999998</v>
      </c>
      <c r="L149" s="279">
        <v>0</v>
      </c>
      <c r="M149" s="279">
        <v>0</v>
      </c>
      <c r="N149" s="279">
        <v>14351.300000000003</v>
      </c>
      <c r="O149" s="279">
        <v>0</v>
      </c>
      <c r="P149" s="279">
        <v>11.68</v>
      </c>
      <c r="Q149" s="279">
        <v>0</v>
      </c>
      <c r="R149" s="279">
        <v>0</v>
      </c>
      <c r="S149" s="279">
        <v>0</v>
      </c>
    </row>
    <row r="150" spans="2:19" ht="13.5" thickBot="1" x14ac:dyDescent="0.25">
      <c r="B150" s="265"/>
      <c r="C150" s="283"/>
      <c r="D150" s="284"/>
      <c r="E150" s="283"/>
      <c r="F150" s="285"/>
      <c r="G150" s="269"/>
      <c r="H150" s="286"/>
      <c r="I150" s="273"/>
      <c r="J150" s="287"/>
      <c r="K150" s="287"/>
      <c r="L150" s="287"/>
      <c r="M150" s="287"/>
      <c r="N150" s="287"/>
      <c r="O150" s="287"/>
      <c r="P150" s="287"/>
      <c r="Q150" s="273"/>
      <c r="R150" s="273"/>
      <c r="S150" s="288"/>
    </row>
    <row r="158" spans="2:19" ht="15.75" x14ac:dyDescent="0.25">
      <c r="B158" s="127" t="s">
        <v>219</v>
      </c>
      <c r="C158" s="128" t="s">
        <v>86</v>
      </c>
      <c r="D158" s="129"/>
      <c r="E158" s="130">
        <v>2018</v>
      </c>
      <c r="F158" s="123"/>
      <c r="G158" s="124"/>
      <c r="H158" s="162"/>
      <c r="I158" s="131"/>
      <c r="J158" s="131"/>
      <c r="K158" s="131"/>
      <c r="L158" s="131"/>
      <c r="M158" s="131"/>
      <c r="N158" s="126"/>
      <c r="O158" s="120"/>
      <c r="P158" s="120"/>
      <c r="Q158" s="120"/>
      <c r="R158" s="120"/>
      <c r="S158" s="120"/>
    </row>
    <row r="159" spans="2:19" x14ac:dyDescent="0.2">
      <c r="B159" s="163"/>
      <c r="C159" s="164"/>
      <c r="D159" s="165"/>
      <c r="E159" s="166"/>
      <c r="F159" s="167"/>
      <c r="G159" s="168"/>
      <c r="H159" s="168"/>
      <c r="I159" s="169"/>
      <c r="J159" s="170"/>
      <c r="K159" s="171"/>
      <c r="L159" s="170"/>
      <c r="M159" s="171"/>
      <c r="N159" s="171"/>
      <c r="O159" s="170"/>
      <c r="P159" s="170"/>
      <c r="Q159" s="168"/>
      <c r="R159" s="168"/>
      <c r="S159" s="172"/>
    </row>
    <row r="160" spans="2:19" x14ac:dyDescent="0.2">
      <c r="B160" s="163"/>
      <c r="C160" s="164"/>
      <c r="D160" s="165"/>
      <c r="E160" s="166"/>
      <c r="F160" s="243"/>
      <c r="G160" s="173"/>
      <c r="H160" s="174"/>
      <c r="I160" s="169"/>
      <c r="J160" s="170"/>
      <c r="K160" s="171"/>
      <c r="L160" s="170"/>
      <c r="M160" s="171"/>
      <c r="N160" s="171"/>
      <c r="O160" s="170"/>
      <c r="P160" s="170"/>
      <c r="Q160" s="168"/>
      <c r="R160" s="168"/>
      <c r="S160" s="172"/>
    </row>
    <row r="161" spans="2:19" x14ac:dyDescent="0.2">
      <c r="B161" s="175"/>
      <c r="C161" s="176"/>
      <c r="D161" s="177"/>
      <c r="E161" s="166"/>
      <c r="F161" s="167"/>
      <c r="G161" s="178"/>
      <c r="H161" s="168"/>
      <c r="I161" s="169"/>
      <c r="J161" s="170"/>
      <c r="K161" s="171"/>
      <c r="L161" s="170"/>
      <c r="M161" s="171"/>
      <c r="N161" s="171"/>
      <c r="O161" s="170"/>
      <c r="P161" s="132">
        <v>0.01</v>
      </c>
      <c r="Q161" s="168"/>
      <c r="R161" s="168" t="s">
        <v>220</v>
      </c>
      <c r="S161" s="133">
        <v>0.13</v>
      </c>
    </row>
    <row r="162" spans="2:19" x14ac:dyDescent="0.2">
      <c r="B162" s="179" t="s">
        <v>221</v>
      </c>
      <c r="C162" s="180" t="s">
        <v>136</v>
      </c>
      <c r="D162" s="181" t="s">
        <v>136</v>
      </c>
      <c r="E162" s="182" t="s">
        <v>137</v>
      </c>
      <c r="F162" s="182" t="s">
        <v>222</v>
      </c>
      <c r="G162" s="312" t="s">
        <v>223</v>
      </c>
      <c r="H162" s="1042" t="s">
        <v>139</v>
      </c>
      <c r="I162" s="328" t="s">
        <v>224</v>
      </c>
      <c r="J162" s="329"/>
      <c r="K162" s="330" t="s">
        <v>225</v>
      </c>
      <c r="L162" s="331"/>
      <c r="M162" s="332"/>
      <c r="N162" s="313" t="s">
        <v>140</v>
      </c>
      <c r="O162" s="183" t="s">
        <v>226</v>
      </c>
      <c r="P162" s="184" t="s">
        <v>227</v>
      </c>
      <c r="Q162" s="185" t="s">
        <v>228</v>
      </c>
      <c r="R162" s="185" t="s">
        <v>229</v>
      </c>
      <c r="S162" s="185" t="s">
        <v>229</v>
      </c>
    </row>
    <row r="163" spans="2:19" x14ac:dyDescent="0.2">
      <c r="B163" s="186"/>
      <c r="C163" s="187" t="s">
        <v>230</v>
      </c>
      <c r="D163" s="188" t="s">
        <v>141</v>
      </c>
      <c r="E163" s="189" t="s">
        <v>141</v>
      </c>
      <c r="F163" s="190" t="s">
        <v>231</v>
      </c>
      <c r="G163" s="314" t="s">
        <v>142</v>
      </c>
      <c r="H163" s="1043"/>
      <c r="I163" s="315" t="s">
        <v>232</v>
      </c>
      <c r="J163" s="316" t="s">
        <v>233</v>
      </c>
      <c r="K163" s="317" t="s">
        <v>232</v>
      </c>
      <c r="L163" s="318" t="s">
        <v>233</v>
      </c>
      <c r="M163" s="317" t="s">
        <v>46</v>
      </c>
      <c r="N163" s="319" t="s">
        <v>234</v>
      </c>
      <c r="O163" s="191" t="s">
        <v>235</v>
      </c>
      <c r="P163" s="191" t="s">
        <v>236</v>
      </c>
      <c r="Q163" s="192" t="s">
        <v>237</v>
      </c>
      <c r="R163" s="192" t="s">
        <v>238</v>
      </c>
      <c r="S163" s="192" t="s">
        <v>239</v>
      </c>
    </row>
    <row r="164" spans="2:19" x14ac:dyDescent="0.2">
      <c r="B164" s="193">
        <v>1</v>
      </c>
      <c r="C164" s="194">
        <v>43257</v>
      </c>
      <c r="D164" s="194">
        <v>43220</v>
      </c>
      <c r="E164" s="195" t="s">
        <v>410</v>
      </c>
      <c r="F164" s="162"/>
      <c r="G164" s="196" t="s">
        <v>411</v>
      </c>
      <c r="H164" s="197" t="s">
        <v>418</v>
      </c>
      <c r="I164" s="134"/>
      <c r="J164" s="134"/>
      <c r="K164" s="135">
        <v>447</v>
      </c>
      <c r="L164" s="134"/>
      <c r="M164" s="134">
        <v>58.11</v>
      </c>
      <c r="N164" s="134">
        <f>+K164+M164</f>
        <v>505.11</v>
      </c>
      <c r="O164" s="134">
        <v>0</v>
      </c>
      <c r="P164" s="203">
        <v>0</v>
      </c>
      <c r="Q164" s="134"/>
      <c r="R164" s="134"/>
      <c r="S164" s="134"/>
    </row>
    <row r="165" spans="2:19" x14ac:dyDescent="0.2">
      <c r="B165" s="198">
        <v>2</v>
      </c>
      <c r="C165" s="199">
        <v>43258</v>
      </c>
      <c r="D165" s="199">
        <v>43258</v>
      </c>
      <c r="E165" s="200" t="s">
        <v>412</v>
      </c>
      <c r="F165" s="238"/>
      <c r="G165" s="201" t="s">
        <v>47</v>
      </c>
      <c r="H165" s="202" t="s">
        <v>242</v>
      </c>
      <c r="I165" s="203"/>
      <c r="J165" s="203"/>
      <c r="K165" s="204">
        <v>132.19999999999999</v>
      </c>
      <c r="L165" s="203"/>
      <c r="M165" s="203">
        <v>17.190000000000001</v>
      </c>
      <c r="N165" s="203">
        <f t="shared" ref="N165:N168" si="6">+K165+M165</f>
        <v>149.38999999999999</v>
      </c>
      <c r="O165" s="203">
        <v>0</v>
      </c>
      <c r="P165" s="203">
        <v>0</v>
      </c>
      <c r="Q165" s="203"/>
      <c r="R165" s="203"/>
      <c r="S165" s="203"/>
    </row>
    <row r="166" spans="2:19" x14ac:dyDescent="0.2">
      <c r="B166" s="193">
        <v>3</v>
      </c>
      <c r="C166" s="194">
        <v>43263</v>
      </c>
      <c r="D166" s="194">
        <v>43255</v>
      </c>
      <c r="E166" s="195" t="s">
        <v>413</v>
      </c>
      <c r="F166" s="162" t="s">
        <v>414</v>
      </c>
      <c r="G166" s="196" t="s">
        <v>208</v>
      </c>
      <c r="H166" s="197" t="s">
        <v>209</v>
      </c>
      <c r="I166" s="134"/>
      <c r="J166" s="134"/>
      <c r="K166" s="135">
        <v>1033.32</v>
      </c>
      <c r="L166" s="134"/>
      <c r="M166" s="134">
        <v>134.33000000000001</v>
      </c>
      <c r="N166" s="134">
        <f t="shared" si="6"/>
        <v>1167.6499999999999</v>
      </c>
      <c r="O166" s="134">
        <v>0</v>
      </c>
      <c r="P166" s="203">
        <v>10.33</v>
      </c>
      <c r="Q166" s="134"/>
      <c r="R166" s="134"/>
      <c r="S166" s="134"/>
    </row>
    <row r="167" spans="2:19" x14ac:dyDescent="0.2">
      <c r="B167" s="193">
        <v>4</v>
      </c>
      <c r="C167" s="194">
        <v>43277</v>
      </c>
      <c r="D167" s="194">
        <v>43270</v>
      </c>
      <c r="E167" s="195" t="s">
        <v>415</v>
      </c>
      <c r="F167" s="162" t="s">
        <v>416</v>
      </c>
      <c r="G167" s="196" t="s">
        <v>208</v>
      </c>
      <c r="H167" s="197" t="s">
        <v>209</v>
      </c>
      <c r="I167" s="134"/>
      <c r="J167" s="134"/>
      <c r="K167" s="135">
        <v>118.18</v>
      </c>
      <c r="L167" s="134"/>
      <c r="M167" s="134">
        <v>15.36</v>
      </c>
      <c r="N167" s="134">
        <f t="shared" si="6"/>
        <v>133.54000000000002</v>
      </c>
      <c r="O167" s="134">
        <v>0</v>
      </c>
      <c r="P167" s="203">
        <v>1.18</v>
      </c>
      <c r="Q167" s="134"/>
      <c r="R167" s="134"/>
      <c r="S167" s="134"/>
    </row>
    <row r="168" spans="2:19" x14ac:dyDescent="0.2">
      <c r="B168" s="193">
        <v>5</v>
      </c>
      <c r="C168" s="194">
        <v>43278</v>
      </c>
      <c r="D168" s="194">
        <v>43278</v>
      </c>
      <c r="E168" s="195" t="s">
        <v>417</v>
      </c>
      <c r="F168" s="162"/>
      <c r="G168" s="196" t="s">
        <v>188</v>
      </c>
      <c r="H168" s="197" t="s">
        <v>207</v>
      </c>
      <c r="I168" s="134"/>
      <c r="J168" s="134"/>
      <c r="K168" s="135">
        <v>36.78</v>
      </c>
      <c r="L168" s="134"/>
      <c r="M168" s="134">
        <v>4.78</v>
      </c>
      <c r="N168" s="134">
        <f t="shared" si="6"/>
        <v>41.56</v>
      </c>
      <c r="O168" s="134">
        <v>0</v>
      </c>
      <c r="P168" s="203">
        <v>0</v>
      </c>
      <c r="Q168" s="134"/>
      <c r="R168" s="134"/>
      <c r="S168" s="134"/>
    </row>
    <row r="172" spans="2:19" x14ac:dyDescent="0.2">
      <c r="B172" s="193"/>
      <c r="C172" s="194"/>
      <c r="D172" s="194"/>
      <c r="E172" s="195"/>
      <c r="F172" s="162"/>
      <c r="G172" s="196"/>
      <c r="H172" s="197" t="s">
        <v>273</v>
      </c>
      <c r="I172" s="134"/>
      <c r="J172" s="134"/>
      <c r="K172" s="299"/>
      <c r="L172" s="134"/>
      <c r="M172" s="299">
        <v>-229.77</v>
      </c>
      <c r="N172" s="134"/>
      <c r="O172" s="134"/>
      <c r="P172" s="203">
        <v>0</v>
      </c>
      <c r="Q172" s="134"/>
      <c r="R172" s="134"/>
      <c r="S172" s="134"/>
    </row>
    <row r="173" spans="2:19" x14ac:dyDescent="0.2">
      <c r="B173" s="193"/>
      <c r="C173" s="194"/>
      <c r="D173" s="194"/>
      <c r="E173" s="195"/>
      <c r="F173" s="162"/>
      <c r="G173" s="196"/>
      <c r="H173" s="197"/>
      <c r="I173" s="134"/>
      <c r="J173" s="134"/>
      <c r="K173" s="135"/>
      <c r="L173" s="134"/>
      <c r="M173" s="134"/>
      <c r="N173" s="134"/>
      <c r="O173" s="134"/>
      <c r="P173" s="203"/>
      <c r="Q173" s="134"/>
      <c r="R173" s="134"/>
      <c r="S173" s="134"/>
    </row>
    <row r="174" spans="2:19" x14ac:dyDescent="0.2">
      <c r="B174" s="193"/>
      <c r="C174" s="194"/>
      <c r="D174" s="194"/>
      <c r="E174" s="195"/>
      <c r="F174" s="333"/>
      <c r="G174" s="196"/>
      <c r="H174" s="197"/>
      <c r="I174" s="134"/>
      <c r="J174" s="134"/>
      <c r="K174" s="135"/>
      <c r="L174" s="134"/>
      <c r="M174" s="134"/>
      <c r="N174" s="134"/>
      <c r="O174" s="134"/>
      <c r="P174" s="134"/>
      <c r="Q174" s="134"/>
      <c r="R174" s="134"/>
      <c r="S174" s="134"/>
    </row>
    <row r="175" spans="2:19" x14ac:dyDescent="0.2">
      <c r="B175" s="193"/>
      <c r="C175" s="194"/>
      <c r="D175" s="194"/>
      <c r="E175" s="195"/>
      <c r="F175" s="333"/>
      <c r="G175" s="196"/>
      <c r="H175" s="197"/>
      <c r="I175" s="134"/>
      <c r="J175" s="134"/>
      <c r="K175" s="135"/>
      <c r="L175" s="134"/>
      <c r="M175" s="134"/>
      <c r="N175" s="134"/>
      <c r="O175" s="134"/>
      <c r="P175" s="134"/>
      <c r="Q175" s="134"/>
      <c r="R175" s="134"/>
      <c r="S175" s="134"/>
    </row>
    <row r="176" spans="2:19" x14ac:dyDescent="0.2">
      <c r="B176" s="193"/>
      <c r="C176" s="194"/>
      <c r="D176" s="194"/>
      <c r="E176" s="195"/>
      <c r="F176" s="333"/>
      <c r="G176" s="196"/>
      <c r="H176" s="197"/>
      <c r="I176" s="134"/>
      <c r="J176" s="134"/>
      <c r="K176" s="135"/>
      <c r="L176" s="134"/>
      <c r="M176" s="134"/>
      <c r="N176" s="134"/>
      <c r="O176" s="134"/>
      <c r="P176" s="134"/>
      <c r="Q176" s="134"/>
      <c r="R176" s="134"/>
      <c r="S176" s="134"/>
    </row>
    <row r="177" spans="2:19" x14ac:dyDescent="0.2">
      <c r="B177" s="193"/>
      <c r="C177" s="194"/>
      <c r="D177" s="194"/>
      <c r="E177" s="195"/>
      <c r="F177" s="333"/>
      <c r="G177" s="196"/>
      <c r="H177" s="197"/>
      <c r="I177" s="134"/>
      <c r="J177" s="134"/>
      <c r="K177" s="135"/>
      <c r="L177" s="134"/>
      <c r="M177" s="134"/>
      <c r="N177" s="134"/>
      <c r="O177" s="134"/>
      <c r="P177" s="203"/>
      <c r="Q177" s="134"/>
      <c r="R177" s="134"/>
      <c r="S177" s="134"/>
    </row>
    <row r="178" spans="2:19" x14ac:dyDescent="0.2">
      <c r="B178" s="193"/>
      <c r="C178" s="194"/>
      <c r="D178" s="194"/>
      <c r="E178" s="195"/>
      <c r="F178" s="1041"/>
      <c r="G178" s="196"/>
      <c r="H178" s="197"/>
      <c r="I178" s="334"/>
      <c r="J178" s="134"/>
      <c r="K178" s="135"/>
      <c r="L178" s="134"/>
      <c r="M178" s="134"/>
      <c r="N178" s="134"/>
      <c r="O178" s="134"/>
      <c r="P178" s="134"/>
      <c r="Q178" s="134"/>
      <c r="R178" s="134"/>
      <c r="S178" s="134"/>
    </row>
    <row r="179" spans="2:19" x14ac:dyDescent="0.2">
      <c r="B179" s="193"/>
      <c r="C179" s="194"/>
      <c r="D179" s="194"/>
      <c r="E179" s="195"/>
      <c r="F179" s="1041"/>
      <c r="G179" s="196"/>
      <c r="H179" s="197"/>
      <c r="I179" s="134"/>
      <c r="J179" s="134"/>
      <c r="K179" s="135"/>
      <c r="L179" s="134"/>
      <c r="M179" s="134"/>
      <c r="N179" s="134"/>
      <c r="O179" s="134"/>
      <c r="P179" s="134"/>
      <c r="Q179" s="134"/>
      <c r="R179" s="134"/>
      <c r="S179" s="134"/>
    </row>
    <row r="180" spans="2:19" x14ac:dyDescent="0.2">
      <c r="B180" s="193"/>
      <c r="C180" s="194"/>
      <c r="D180" s="194"/>
      <c r="E180" s="195"/>
      <c r="F180" s="320"/>
      <c r="G180" s="196"/>
      <c r="H180" s="197"/>
      <c r="I180" s="134"/>
      <c r="J180" s="134"/>
      <c r="K180" s="135"/>
      <c r="L180" s="134"/>
      <c r="M180" s="134"/>
      <c r="N180" s="134"/>
      <c r="O180" s="134"/>
      <c r="P180" s="134"/>
      <c r="Q180" s="134"/>
      <c r="R180" s="134"/>
      <c r="S180" s="134"/>
    </row>
    <row r="181" spans="2:19" x14ac:dyDescent="0.2">
      <c r="B181" s="193"/>
      <c r="C181" s="194"/>
      <c r="D181" s="194"/>
      <c r="E181" s="195"/>
      <c r="F181" s="321"/>
      <c r="G181" s="196"/>
      <c r="H181" s="197"/>
      <c r="I181" s="134"/>
      <c r="J181" s="134"/>
      <c r="K181" s="134"/>
      <c r="L181" s="134"/>
      <c r="M181" s="134"/>
      <c r="N181" s="134">
        <f t="shared" ref="N181" si="7">+K181+M181</f>
        <v>0</v>
      </c>
      <c r="O181" s="134"/>
      <c r="P181" s="134"/>
      <c r="Q181" s="134"/>
      <c r="R181" s="134"/>
      <c r="S181" s="134"/>
    </row>
    <row r="182" spans="2:19" ht="13.5" thickBot="1" x14ac:dyDescent="0.25">
      <c r="B182" s="265"/>
      <c r="C182" s="266"/>
      <c r="D182" s="267"/>
      <c r="E182" s="266"/>
      <c r="F182" s="268"/>
      <c r="G182" s="269"/>
      <c r="H182" s="270"/>
      <c r="I182" s="271"/>
      <c r="J182" s="272"/>
      <c r="K182" s="272"/>
      <c r="L182" s="273"/>
      <c r="M182" s="272"/>
      <c r="N182" s="272"/>
      <c r="O182" s="272"/>
      <c r="P182" s="272"/>
      <c r="Q182" s="274"/>
      <c r="R182" s="274"/>
      <c r="S182" s="274"/>
    </row>
    <row r="183" spans="2:19" x14ac:dyDescent="0.2">
      <c r="B183" s="175"/>
      <c r="C183" s="176"/>
      <c r="D183" s="275"/>
      <c r="E183" s="176"/>
      <c r="F183" s="276"/>
      <c r="G183" s="277"/>
      <c r="H183" s="178"/>
      <c r="I183" s="278"/>
      <c r="J183" s="171"/>
      <c r="K183" s="171"/>
      <c r="L183" s="279"/>
      <c r="M183" s="171"/>
      <c r="N183" s="171"/>
      <c r="O183" s="171"/>
      <c r="P183" s="171"/>
      <c r="Q183" s="280"/>
      <c r="R183" s="280"/>
      <c r="S183" s="280"/>
    </row>
    <row r="184" spans="2:19" x14ac:dyDescent="0.2">
      <c r="B184" s="175"/>
      <c r="C184" s="164"/>
      <c r="D184" s="165"/>
      <c r="E184" s="164"/>
      <c r="F184" s="281"/>
      <c r="G184" s="277"/>
      <c r="H184" s="282" t="s">
        <v>261</v>
      </c>
      <c r="I184" s="279">
        <f t="shared" ref="I184:S184" si="8">SUM(I144:I182)</f>
        <v>0</v>
      </c>
      <c r="J184" s="279">
        <f t="shared" si="8"/>
        <v>0</v>
      </c>
      <c r="K184" s="279">
        <f t="shared" si="8"/>
        <v>14532.539999999999</v>
      </c>
      <c r="L184" s="279">
        <f t="shared" si="8"/>
        <v>0</v>
      </c>
      <c r="M184" s="279">
        <f>SUM(M144:M182)</f>
        <v>-1642.6200000000001</v>
      </c>
      <c r="N184" s="279">
        <f t="shared" si="8"/>
        <v>16421.770000000004</v>
      </c>
      <c r="O184" s="279">
        <f t="shared" si="8"/>
        <v>0</v>
      </c>
      <c r="P184" s="279">
        <f t="shared" si="8"/>
        <v>23.2</v>
      </c>
      <c r="Q184" s="279">
        <f t="shared" si="8"/>
        <v>0</v>
      </c>
      <c r="R184" s="279">
        <f t="shared" si="8"/>
        <v>0</v>
      </c>
      <c r="S184" s="279">
        <f t="shared" si="8"/>
        <v>0.13</v>
      </c>
    </row>
    <row r="185" spans="2:19" ht="13.5" thickBot="1" x14ac:dyDescent="0.25">
      <c r="B185" s="265"/>
      <c r="C185" s="283"/>
      <c r="D185" s="284"/>
      <c r="E185" s="283"/>
      <c r="F185" s="285"/>
      <c r="G185" s="269"/>
      <c r="H185" s="286"/>
      <c r="I185" s="273"/>
      <c r="J185" s="287"/>
      <c r="K185" s="287"/>
      <c r="L185" s="287"/>
      <c r="M185" s="287"/>
      <c r="N185" s="287"/>
      <c r="O185" s="287"/>
      <c r="P185" s="287"/>
      <c r="Q185" s="273"/>
      <c r="R185" s="273"/>
      <c r="S185" s="288"/>
    </row>
    <row r="190" spans="2:19" ht="21" x14ac:dyDescent="0.35">
      <c r="B190" s="368" t="s">
        <v>218</v>
      </c>
      <c r="C190" s="369"/>
      <c r="D190" s="370"/>
      <c r="E190" s="370"/>
      <c r="F190" s="370"/>
      <c r="G190" s="371"/>
      <c r="H190" s="372"/>
      <c r="I190" s="372"/>
      <c r="J190" s="372"/>
      <c r="K190" s="372"/>
      <c r="L190" s="372"/>
      <c r="M190" s="372"/>
      <c r="N190" s="373"/>
      <c r="O190" s="367"/>
      <c r="P190" s="367"/>
      <c r="Q190" s="367"/>
      <c r="R190" s="367"/>
      <c r="S190" s="367"/>
    </row>
    <row r="191" spans="2:19" ht="15.75" x14ac:dyDescent="0.25">
      <c r="B191" s="370" t="s">
        <v>134</v>
      </c>
      <c r="C191" s="370"/>
      <c r="D191" s="370"/>
      <c r="E191" s="370"/>
      <c r="F191" s="370"/>
      <c r="G191" s="371"/>
      <c r="H191" s="372"/>
      <c r="I191" s="372"/>
      <c r="J191" s="372"/>
      <c r="K191" s="372"/>
      <c r="L191" s="1044"/>
      <c r="M191" s="1044"/>
      <c r="N191" s="373"/>
      <c r="O191" s="367"/>
      <c r="P191" s="367"/>
      <c r="Q191" s="367"/>
      <c r="R191" s="367"/>
      <c r="S191" s="367"/>
    </row>
    <row r="192" spans="2:19" ht="15.75" x14ac:dyDescent="0.25">
      <c r="B192" s="369" t="s">
        <v>135</v>
      </c>
      <c r="C192" s="370"/>
      <c r="D192" s="370"/>
      <c r="E192" s="370"/>
      <c r="F192" s="370"/>
      <c r="G192" s="371"/>
      <c r="H192" s="372"/>
      <c r="I192" s="372"/>
      <c r="J192" s="372"/>
      <c r="K192" s="372"/>
      <c r="L192" s="372"/>
      <c r="M192" s="372"/>
      <c r="N192" s="373"/>
      <c r="O192" s="367"/>
      <c r="P192" s="367"/>
      <c r="Q192" s="367"/>
      <c r="R192" s="367"/>
      <c r="S192" s="367"/>
    </row>
    <row r="193" spans="2:19" ht="15.75" x14ac:dyDescent="0.25">
      <c r="B193" s="370" t="s">
        <v>190</v>
      </c>
      <c r="C193" s="370"/>
      <c r="D193" s="370"/>
      <c r="E193" s="370"/>
      <c r="F193" s="370"/>
      <c r="G193" s="371"/>
      <c r="H193" s="372"/>
      <c r="I193" s="372"/>
      <c r="J193" s="372"/>
      <c r="K193" s="372"/>
      <c r="L193" s="372"/>
      <c r="M193" s="372"/>
      <c r="N193" s="373"/>
      <c r="O193" s="367"/>
      <c r="P193" s="367"/>
      <c r="Q193" s="367"/>
      <c r="R193" s="367"/>
      <c r="S193" s="367"/>
    </row>
    <row r="194" spans="2:19" ht="15.75" x14ac:dyDescent="0.25">
      <c r="B194" s="374" t="s">
        <v>219</v>
      </c>
      <c r="C194" s="375" t="s">
        <v>87</v>
      </c>
      <c r="D194" s="376"/>
      <c r="E194" s="377">
        <v>2018</v>
      </c>
      <c r="F194" s="370"/>
      <c r="G194" s="371"/>
      <c r="H194" s="378"/>
      <c r="I194" s="379"/>
      <c r="J194" s="379"/>
      <c r="K194" s="379"/>
      <c r="L194" s="379"/>
      <c r="M194" s="379"/>
      <c r="N194" s="373"/>
      <c r="O194" s="367"/>
      <c r="P194" s="367"/>
      <c r="Q194" s="367"/>
      <c r="R194" s="367"/>
      <c r="S194" s="367"/>
    </row>
    <row r="195" spans="2:19" x14ac:dyDescent="0.2">
      <c r="B195" s="380"/>
      <c r="C195" s="381"/>
      <c r="D195" s="382"/>
      <c r="E195" s="383"/>
      <c r="F195" s="384"/>
      <c r="G195" s="385"/>
      <c r="H195" s="385"/>
      <c r="I195" s="386"/>
      <c r="J195" s="387"/>
      <c r="K195" s="388"/>
      <c r="L195" s="387"/>
      <c r="M195" s="388"/>
      <c r="N195" s="388"/>
      <c r="O195" s="387"/>
      <c r="P195" s="387"/>
      <c r="Q195" s="385"/>
      <c r="R195" s="385"/>
      <c r="S195" s="389"/>
    </row>
    <row r="196" spans="2:19" x14ac:dyDescent="0.2">
      <c r="B196" s="380"/>
      <c r="C196" s="381"/>
      <c r="D196" s="382"/>
      <c r="E196" s="383"/>
      <c r="F196" s="390"/>
      <c r="G196" s="391"/>
      <c r="H196" s="392"/>
      <c r="I196" s="386"/>
      <c r="J196" s="387"/>
      <c r="K196" s="388"/>
      <c r="L196" s="387"/>
      <c r="M196" s="388"/>
      <c r="N196" s="388"/>
      <c r="O196" s="387"/>
      <c r="P196" s="387"/>
      <c r="Q196" s="385"/>
      <c r="R196" s="385"/>
      <c r="S196" s="389"/>
    </row>
    <row r="197" spans="2:19" x14ac:dyDescent="0.2">
      <c r="B197" s="393"/>
      <c r="C197" s="394"/>
      <c r="D197" s="395"/>
      <c r="E197" s="383"/>
      <c r="F197" s="384"/>
      <c r="G197" s="396"/>
      <c r="H197" s="385"/>
      <c r="I197" s="386"/>
      <c r="J197" s="387"/>
      <c r="K197" s="388"/>
      <c r="L197" s="387"/>
      <c r="M197" s="388"/>
      <c r="N197" s="388"/>
      <c r="O197" s="387"/>
      <c r="P197" s="397">
        <v>0.01</v>
      </c>
      <c r="Q197" s="385"/>
      <c r="R197" s="385" t="s">
        <v>220</v>
      </c>
      <c r="S197" s="398">
        <v>0.13</v>
      </c>
    </row>
    <row r="198" spans="2:19" x14ac:dyDescent="0.2">
      <c r="B198" s="399" t="s">
        <v>221</v>
      </c>
      <c r="C198" s="400" t="s">
        <v>136</v>
      </c>
      <c r="D198" s="401" t="s">
        <v>136</v>
      </c>
      <c r="E198" s="402" t="s">
        <v>137</v>
      </c>
      <c r="F198" s="402" t="s">
        <v>222</v>
      </c>
      <c r="G198" s="403" t="s">
        <v>223</v>
      </c>
      <c r="H198" s="1045" t="s">
        <v>139</v>
      </c>
      <c r="I198" s="404" t="s">
        <v>224</v>
      </c>
      <c r="J198" s="405"/>
      <c r="K198" s="406" t="s">
        <v>225</v>
      </c>
      <c r="L198" s="407"/>
      <c r="M198" s="408"/>
      <c r="N198" s="409" t="s">
        <v>140</v>
      </c>
      <c r="O198" s="410" t="s">
        <v>226</v>
      </c>
      <c r="P198" s="411" t="s">
        <v>227</v>
      </c>
      <c r="Q198" s="412" t="s">
        <v>228</v>
      </c>
      <c r="R198" s="412" t="s">
        <v>229</v>
      </c>
      <c r="S198" s="412" t="s">
        <v>229</v>
      </c>
    </row>
    <row r="199" spans="2:19" x14ac:dyDescent="0.2">
      <c r="B199" s="413"/>
      <c r="C199" s="414" t="s">
        <v>230</v>
      </c>
      <c r="D199" s="415" t="s">
        <v>141</v>
      </c>
      <c r="E199" s="416" t="s">
        <v>141</v>
      </c>
      <c r="F199" s="417" t="s">
        <v>231</v>
      </c>
      <c r="G199" s="418" t="s">
        <v>142</v>
      </c>
      <c r="H199" s="1046"/>
      <c r="I199" s="419" t="s">
        <v>232</v>
      </c>
      <c r="J199" s="420" t="s">
        <v>233</v>
      </c>
      <c r="K199" s="421" t="s">
        <v>232</v>
      </c>
      <c r="L199" s="422" t="s">
        <v>233</v>
      </c>
      <c r="M199" s="421" t="s">
        <v>46</v>
      </c>
      <c r="N199" s="423" t="s">
        <v>234</v>
      </c>
      <c r="O199" s="424" t="s">
        <v>235</v>
      </c>
      <c r="P199" s="424" t="s">
        <v>236</v>
      </c>
      <c r="Q199" s="425" t="s">
        <v>237</v>
      </c>
      <c r="R199" s="425" t="s">
        <v>238</v>
      </c>
      <c r="S199" s="425" t="s">
        <v>239</v>
      </c>
    </row>
    <row r="200" spans="2:19" x14ac:dyDescent="0.2">
      <c r="B200" s="426">
        <v>1</v>
      </c>
      <c r="C200" s="427">
        <v>43287</v>
      </c>
      <c r="D200" s="427">
        <v>43283</v>
      </c>
      <c r="E200" s="428" t="s">
        <v>420</v>
      </c>
      <c r="F200" s="378" t="s">
        <v>421</v>
      </c>
      <c r="G200" s="429" t="s">
        <v>208</v>
      </c>
      <c r="H200" s="430" t="s">
        <v>209</v>
      </c>
      <c r="I200" s="431"/>
      <c r="J200" s="431"/>
      <c r="K200" s="432">
        <v>118.18</v>
      </c>
      <c r="L200" s="431"/>
      <c r="M200" s="431">
        <v>15.36</v>
      </c>
      <c r="N200" s="431">
        <v>133.54000000000002</v>
      </c>
      <c r="O200" s="431">
        <v>0</v>
      </c>
      <c r="P200" s="433">
        <v>1.18</v>
      </c>
      <c r="Q200" s="431"/>
      <c r="R200" s="431"/>
      <c r="S200" s="431"/>
    </row>
    <row r="201" spans="2:19" x14ac:dyDescent="0.2">
      <c r="B201" s="426">
        <v>2</v>
      </c>
      <c r="C201" s="427">
        <v>43290</v>
      </c>
      <c r="D201" s="427">
        <v>43272</v>
      </c>
      <c r="E201" s="428" t="s">
        <v>422</v>
      </c>
      <c r="F201" s="378"/>
      <c r="G201" s="429" t="s">
        <v>210</v>
      </c>
      <c r="H201" s="430" t="s">
        <v>211</v>
      </c>
      <c r="I201" s="431"/>
      <c r="J201" s="431"/>
      <c r="K201" s="432">
        <v>72</v>
      </c>
      <c r="L201" s="431"/>
      <c r="M201" s="431">
        <v>9.36</v>
      </c>
      <c r="N201" s="431">
        <v>81.36</v>
      </c>
      <c r="O201" s="431">
        <v>0</v>
      </c>
      <c r="P201" s="433">
        <v>0</v>
      </c>
      <c r="Q201" s="431"/>
      <c r="R201" s="431"/>
      <c r="S201" s="431"/>
    </row>
    <row r="202" spans="2:19" x14ac:dyDescent="0.2">
      <c r="B202" s="426">
        <v>3</v>
      </c>
      <c r="C202" s="427">
        <v>43290</v>
      </c>
      <c r="D202" s="427">
        <v>43279</v>
      </c>
      <c r="E202" s="428" t="s">
        <v>423</v>
      </c>
      <c r="F202" s="378"/>
      <c r="G202" s="429" t="s">
        <v>210</v>
      </c>
      <c r="H202" s="430" t="s">
        <v>211</v>
      </c>
      <c r="I202" s="431"/>
      <c r="J202" s="431"/>
      <c r="K202" s="432">
        <v>63</v>
      </c>
      <c r="L202" s="431"/>
      <c r="M202" s="431">
        <v>8.19</v>
      </c>
      <c r="N202" s="431">
        <v>71.19</v>
      </c>
      <c r="O202" s="431">
        <v>0</v>
      </c>
      <c r="P202" s="433">
        <v>0</v>
      </c>
      <c r="Q202" s="431"/>
      <c r="R202" s="431"/>
      <c r="S202" s="431"/>
    </row>
    <row r="203" spans="2:19" x14ac:dyDescent="0.2">
      <c r="B203" s="426">
        <v>4</v>
      </c>
      <c r="C203" s="427">
        <v>43291</v>
      </c>
      <c r="D203" s="427">
        <v>43291</v>
      </c>
      <c r="E203" s="428" t="s">
        <v>424</v>
      </c>
      <c r="F203" s="378"/>
      <c r="G203" s="429" t="s">
        <v>47</v>
      </c>
      <c r="H203" s="473" t="s">
        <v>242</v>
      </c>
      <c r="I203" s="474"/>
      <c r="J203" s="474"/>
      <c r="K203" s="475">
        <v>132.19999999999999</v>
      </c>
      <c r="L203" s="474"/>
      <c r="M203" s="474">
        <v>17.190000000000001</v>
      </c>
      <c r="N203" s="474">
        <v>149.38999999999999</v>
      </c>
      <c r="O203" s="474">
        <v>0</v>
      </c>
      <c r="P203" s="474">
        <v>0</v>
      </c>
      <c r="Q203" s="431"/>
      <c r="R203" s="431"/>
      <c r="S203" s="431"/>
    </row>
    <row r="204" spans="2:19" x14ac:dyDescent="0.2">
      <c r="B204" s="426">
        <v>5</v>
      </c>
      <c r="C204" s="427">
        <v>43293</v>
      </c>
      <c r="D204" s="427">
        <v>43283</v>
      </c>
      <c r="E204" s="428" t="s">
        <v>425</v>
      </c>
      <c r="F204" s="378" t="s">
        <v>426</v>
      </c>
      <c r="G204" s="429" t="s">
        <v>208</v>
      </c>
      <c r="H204" s="430" t="s">
        <v>209</v>
      </c>
      <c r="I204" s="431"/>
      <c r="J204" s="431"/>
      <c r="K204" s="432">
        <v>344.44</v>
      </c>
      <c r="L204" s="431"/>
      <c r="M204" s="431">
        <v>44.78</v>
      </c>
      <c r="N204" s="431">
        <v>389.22</v>
      </c>
      <c r="O204" s="431">
        <v>0</v>
      </c>
      <c r="P204" s="433">
        <v>3.44</v>
      </c>
      <c r="Q204" s="431"/>
      <c r="R204" s="431"/>
      <c r="S204" s="431"/>
    </row>
    <row r="205" spans="2:19" x14ac:dyDescent="0.2">
      <c r="B205" s="426">
        <v>6</v>
      </c>
      <c r="C205" s="427">
        <v>43298</v>
      </c>
      <c r="D205" s="427">
        <v>43241</v>
      </c>
      <c r="E205" s="428" t="s">
        <v>427</v>
      </c>
      <c r="F205" s="378"/>
      <c r="G205" s="429" t="s">
        <v>188</v>
      </c>
      <c r="H205" s="430" t="s">
        <v>207</v>
      </c>
      <c r="I205" s="431"/>
      <c r="J205" s="431"/>
      <c r="K205" s="432">
        <v>195</v>
      </c>
      <c r="L205" s="431"/>
      <c r="M205" s="431">
        <v>25.35</v>
      </c>
      <c r="N205" s="431">
        <v>220.35</v>
      </c>
      <c r="O205" s="431">
        <v>0</v>
      </c>
      <c r="P205" s="433">
        <v>0</v>
      </c>
      <c r="Q205" s="431"/>
      <c r="R205" s="431"/>
      <c r="S205" s="431"/>
    </row>
    <row r="206" spans="2:19" x14ac:dyDescent="0.2">
      <c r="B206" s="426">
        <v>43298</v>
      </c>
      <c r="C206" s="427">
        <v>43298</v>
      </c>
      <c r="D206" s="427">
        <v>43251</v>
      </c>
      <c r="E206" s="428" t="s">
        <v>428</v>
      </c>
      <c r="F206" s="378" t="s">
        <v>429</v>
      </c>
      <c r="G206" s="429" t="s">
        <v>212</v>
      </c>
      <c r="H206" s="430" t="s">
        <v>213</v>
      </c>
      <c r="I206" s="431"/>
      <c r="J206" s="431"/>
      <c r="K206" s="432">
        <v>1423.99</v>
      </c>
      <c r="L206" s="431"/>
      <c r="M206" s="431">
        <v>185.12</v>
      </c>
      <c r="N206" s="431">
        <v>1609.1100000000001</v>
      </c>
      <c r="O206" s="431">
        <v>0</v>
      </c>
      <c r="P206" s="433">
        <v>14.24</v>
      </c>
      <c r="Q206" s="431"/>
      <c r="R206" s="431"/>
      <c r="S206" s="431"/>
    </row>
    <row r="207" spans="2:19" x14ac:dyDescent="0.2">
      <c r="B207" s="426">
        <v>43298</v>
      </c>
      <c r="C207" s="427">
        <v>43298</v>
      </c>
      <c r="D207" s="427">
        <v>43298</v>
      </c>
      <c r="E207" s="428">
        <v>32104062018</v>
      </c>
      <c r="F207" s="378"/>
      <c r="G207" s="429" t="s">
        <v>409</v>
      </c>
      <c r="H207" s="430" t="s">
        <v>430</v>
      </c>
      <c r="I207" s="431"/>
      <c r="J207" s="431"/>
      <c r="K207" s="432">
        <v>321</v>
      </c>
      <c r="L207" s="431"/>
      <c r="M207" s="431">
        <v>41.73</v>
      </c>
      <c r="N207" s="431">
        <v>362.73</v>
      </c>
      <c r="O207" s="431"/>
      <c r="P207" s="433">
        <v>0</v>
      </c>
      <c r="Q207" s="431"/>
      <c r="R207" s="431">
        <v>64.2</v>
      </c>
      <c r="S207" s="431">
        <v>41.73</v>
      </c>
    </row>
    <row r="208" spans="2:19" x14ac:dyDescent="0.2">
      <c r="B208" s="426">
        <v>9</v>
      </c>
      <c r="C208" s="427">
        <v>43299</v>
      </c>
      <c r="D208" s="434">
        <v>43265</v>
      </c>
      <c r="E208" s="428" t="s">
        <v>431</v>
      </c>
      <c r="F208" s="378"/>
      <c r="G208" s="429" t="s">
        <v>188</v>
      </c>
      <c r="H208" s="430" t="s">
        <v>207</v>
      </c>
      <c r="I208" s="431"/>
      <c r="J208" s="431"/>
      <c r="K208" s="432">
        <v>195</v>
      </c>
      <c r="L208" s="431"/>
      <c r="M208" s="431">
        <v>25.35</v>
      </c>
      <c r="N208" s="431">
        <v>220.35</v>
      </c>
      <c r="O208" s="431">
        <v>0</v>
      </c>
      <c r="P208" s="433">
        <v>0</v>
      </c>
      <c r="Q208" s="431"/>
      <c r="R208" s="431"/>
      <c r="S208" s="431"/>
    </row>
    <row r="209" spans="2:19" x14ac:dyDescent="0.2">
      <c r="B209" s="426">
        <v>10</v>
      </c>
      <c r="C209" s="427">
        <v>43299</v>
      </c>
      <c r="D209" s="434">
        <v>43280</v>
      </c>
      <c r="E209" s="428" t="s">
        <v>432</v>
      </c>
      <c r="F209" s="378"/>
      <c r="G209" s="429" t="s">
        <v>188</v>
      </c>
      <c r="H209" s="430" t="s">
        <v>207</v>
      </c>
      <c r="I209" s="431"/>
      <c r="J209" s="431"/>
      <c r="K209" s="432">
        <v>263.22000000000003</v>
      </c>
      <c r="L209" s="431"/>
      <c r="M209" s="431">
        <v>34.22</v>
      </c>
      <c r="N209" s="431">
        <v>297.44000000000005</v>
      </c>
      <c r="O209" s="431">
        <v>0</v>
      </c>
      <c r="P209" s="433">
        <v>0</v>
      </c>
      <c r="Q209" s="431"/>
      <c r="R209" s="431"/>
      <c r="S209" s="431"/>
    </row>
    <row r="210" spans="2:19" x14ac:dyDescent="0.2">
      <c r="B210" s="426">
        <v>11</v>
      </c>
      <c r="C210" s="427">
        <v>43299</v>
      </c>
      <c r="D210" s="434">
        <v>43280</v>
      </c>
      <c r="E210" s="428" t="s">
        <v>433</v>
      </c>
      <c r="F210" s="378" t="s">
        <v>434</v>
      </c>
      <c r="G210" s="429" t="s">
        <v>212</v>
      </c>
      <c r="H210" s="430" t="s">
        <v>213</v>
      </c>
      <c r="I210" s="431"/>
      <c r="J210" s="431"/>
      <c r="K210" s="432">
        <v>1003.12</v>
      </c>
      <c r="L210" s="431"/>
      <c r="M210" s="431">
        <v>130.41</v>
      </c>
      <c r="N210" s="431">
        <v>1133.53</v>
      </c>
      <c r="O210" s="431">
        <v>0</v>
      </c>
      <c r="P210" s="433">
        <v>10.029999999999999</v>
      </c>
      <c r="Q210" s="431"/>
      <c r="R210" s="431"/>
      <c r="S210" s="431"/>
    </row>
    <row r="211" spans="2:19" x14ac:dyDescent="0.2">
      <c r="B211" s="426">
        <v>12</v>
      </c>
      <c r="C211" s="427">
        <v>43305</v>
      </c>
      <c r="D211" s="434">
        <v>43300</v>
      </c>
      <c r="E211" s="428" t="s">
        <v>435</v>
      </c>
      <c r="F211" s="378"/>
      <c r="G211" s="429" t="s">
        <v>210</v>
      </c>
      <c r="H211" s="430" t="s">
        <v>211</v>
      </c>
      <c r="I211" s="431"/>
      <c r="J211" s="431"/>
      <c r="K211" s="432">
        <v>60</v>
      </c>
      <c r="L211" s="431"/>
      <c r="M211" s="431">
        <v>7.8</v>
      </c>
      <c r="N211" s="431">
        <v>67.8</v>
      </c>
      <c r="O211" s="431">
        <v>0</v>
      </c>
      <c r="P211" s="433">
        <v>0</v>
      </c>
      <c r="Q211" s="431"/>
      <c r="R211" s="431"/>
      <c r="S211" s="431"/>
    </row>
    <row r="212" spans="2:19" x14ac:dyDescent="0.2">
      <c r="B212" s="426">
        <v>13</v>
      </c>
      <c r="C212" s="427">
        <v>43305</v>
      </c>
      <c r="D212" s="434">
        <v>43300</v>
      </c>
      <c r="E212" s="428" t="s">
        <v>436</v>
      </c>
      <c r="F212" s="378"/>
      <c r="G212" s="429" t="s">
        <v>210</v>
      </c>
      <c r="H212" s="430" t="s">
        <v>211</v>
      </c>
      <c r="I212" s="431"/>
      <c r="J212" s="431"/>
      <c r="K212" s="432">
        <v>72</v>
      </c>
      <c r="L212" s="431"/>
      <c r="M212" s="431">
        <v>9.36</v>
      </c>
      <c r="N212" s="431">
        <v>81.36</v>
      </c>
      <c r="O212" s="431">
        <v>0</v>
      </c>
      <c r="P212" s="433">
        <v>0</v>
      </c>
      <c r="Q212" s="431"/>
      <c r="R212" s="431"/>
      <c r="S212" s="431"/>
    </row>
    <row r="213" spans="2:19" x14ac:dyDescent="0.2">
      <c r="B213" s="426">
        <v>14</v>
      </c>
      <c r="C213" s="427">
        <v>43305</v>
      </c>
      <c r="D213" s="434">
        <v>43250</v>
      </c>
      <c r="E213" s="428" t="s">
        <v>437</v>
      </c>
      <c r="F213" s="435" t="s">
        <v>438</v>
      </c>
      <c r="G213" s="429" t="s">
        <v>341</v>
      </c>
      <c r="H213" s="430" t="s">
        <v>347</v>
      </c>
      <c r="I213" s="431"/>
      <c r="J213" s="431"/>
      <c r="K213" s="432">
        <v>418.8</v>
      </c>
      <c r="L213" s="431"/>
      <c r="M213" s="431">
        <v>54.44</v>
      </c>
      <c r="N213" s="431">
        <v>473.24</v>
      </c>
      <c r="O213" s="431">
        <v>0</v>
      </c>
      <c r="P213" s="433">
        <v>4.1900000000000004</v>
      </c>
      <c r="Q213" s="431"/>
      <c r="R213" s="431"/>
      <c r="S213" s="431"/>
    </row>
    <row r="214" spans="2:19" x14ac:dyDescent="0.2">
      <c r="B214" s="426">
        <v>15</v>
      </c>
      <c r="C214" s="427">
        <v>43306</v>
      </c>
      <c r="D214" s="434">
        <v>43281</v>
      </c>
      <c r="E214" s="428" t="s">
        <v>439</v>
      </c>
      <c r="F214" s="435" t="s">
        <v>440</v>
      </c>
      <c r="G214" s="429" t="s">
        <v>341</v>
      </c>
      <c r="H214" s="430" t="s">
        <v>347</v>
      </c>
      <c r="I214" s="431"/>
      <c r="J214" s="431"/>
      <c r="K214" s="432">
        <v>418.8</v>
      </c>
      <c r="L214" s="431"/>
      <c r="M214" s="431">
        <v>54.44</v>
      </c>
      <c r="N214" s="431">
        <v>473.24</v>
      </c>
      <c r="O214" s="431">
        <v>0</v>
      </c>
      <c r="P214" s="433">
        <v>4.1900000000000004</v>
      </c>
      <c r="Q214" s="431"/>
      <c r="R214" s="431"/>
      <c r="S214" s="431"/>
    </row>
    <row r="215" spans="2:19" x14ac:dyDescent="0.2">
      <c r="B215" s="426"/>
      <c r="C215" s="427"/>
      <c r="D215" s="427"/>
      <c r="E215" s="428"/>
      <c r="F215" s="378"/>
      <c r="G215" s="429"/>
      <c r="H215" s="430" t="s">
        <v>273</v>
      </c>
      <c r="I215" s="431"/>
      <c r="J215" s="431"/>
      <c r="K215" s="436"/>
      <c r="L215" s="431"/>
      <c r="M215" s="436">
        <v>-663.1</v>
      </c>
      <c r="N215" s="431"/>
      <c r="O215" s="431"/>
      <c r="P215" s="433">
        <v>0</v>
      </c>
      <c r="Q215" s="431"/>
      <c r="R215" s="431"/>
      <c r="S215" s="431"/>
    </row>
    <row r="216" spans="2:19" x14ac:dyDescent="0.2">
      <c r="B216" s="426"/>
      <c r="C216" s="427"/>
      <c r="D216" s="427"/>
      <c r="E216" s="428"/>
      <c r="F216" s="378"/>
      <c r="G216" s="429"/>
      <c r="H216" s="430"/>
      <c r="I216" s="431"/>
      <c r="J216" s="431"/>
      <c r="K216" s="432"/>
      <c r="L216" s="431"/>
      <c r="M216" s="431"/>
      <c r="N216" s="431"/>
      <c r="O216" s="431"/>
      <c r="P216" s="433"/>
      <c r="Q216" s="431"/>
      <c r="R216" s="431"/>
      <c r="S216" s="431"/>
    </row>
    <row r="217" spans="2:19" x14ac:dyDescent="0.2">
      <c r="B217" s="426"/>
      <c r="C217" s="427"/>
      <c r="D217" s="427"/>
      <c r="E217" s="428"/>
      <c r="F217" s="437"/>
      <c r="G217" s="429"/>
      <c r="H217" s="430"/>
      <c r="I217" s="431"/>
      <c r="J217" s="431"/>
      <c r="K217" s="432"/>
      <c r="L217" s="431"/>
      <c r="M217" s="431"/>
      <c r="N217" s="431"/>
      <c r="O217" s="431"/>
      <c r="P217" s="431"/>
      <c r="Q217" s="431"/>
      <c r="R217" s="431"/>
      <c r="S217" s="431"/>
    </row>
    <row r="218" spans="2:19" ht="13.5" thickBot="1" x14ac:dyDescent="0.25">
      <c r="B218" s="438"/>
      <c r="C218" s="439"/>
      <c r="D218" s="440"/>
      <c r="E218" s="439"/>
      <c r="F218" s="441"/>
      <c r="G218" s="442"/>
      <c r="H218" s="443"/>
      <c r="I218" s="444"/>
      <c r="J218" s="445"/>
      <c r="K218" s="445"/>
      <c r="L218" s="446"/>
      <c r="M218" s="445"/>
      <c r="N218" s="445"/>
      <c r="O218" s="445"/>
      <c r="P218" s="445"/>
      <c r="Q218" s="447"/>
      <c r="R218" s="447"/>
      <c r="S218" s="447"/>
    </row>
    <row r="219" spans="2:19" x14ac:dyDescent="0.2">
      <c r="B219" s="393"/>
      <c r="C219" s="394"/>
      <c r="D219" s="448"/>
      <c r="E219" s="394"/>
      <c r="F219" s="449"/>
      <c r="G219" s="450"/>
      <c r="H219" s="396"/>
      <c r="I219" s="451"/>
      <c r="J219" s="388"/>
      <c r="K219" s="388"/>
      <c r="L219" s="452"/>
      <c r="M219" s="388"/>
      <c r="N219" s="388"/>
      <c r="O219" s="388"/>
      <c r="P219" s="388"/>
      <c r="Q219" s="453"/>
      <c r="R219" s="453"/>
      <c r="S219" s="453"/>
    </row>
    <row r="220" spans="2:19" x14ac:dyDescent="0.2">
      <c r="B220" s="393"/>
      <c r="C220" s="381"/>
      <c r="D220" s="382"/>
      <c r="E220" s="381"/>
      <c r="F220" s="454"/>
      <c r="G220" s="450"/>
      <c r="H220" s="455" t="s">
        <v>261</v>
      </c>
      <c r="I220" s="452">
        <v>0</v>
      </c>
      <c r="J220" s="452">
        <v>0</v>
      </c>
      <c r="K220" s="452">
        <v>5100.75</v>
      </c>
      <c r="L220" s="452">
        <v>0</v>
      </c>
      <c r="M220" s="452">
        <v>0</v>
      </c>
      <c r="N220" s="452">
        <v>5763.8499999999995</v>
      </c>
      <c r="O220" s="452">
        <v>0</v>
      </c>
      <c r="P220" s="452">
        <v>37.269999999999996</v>
      </c>
      <c r="Q220" s="452">
        <v>0</v>
      </c>
      <c r="R220" s="452">
        <v>64.2</v>
      </c>
      <c r="S220" s="452">
        <v>41.73</v>
      </c>
    </row>
    <row r="221" spans="2:19" ht="13.5" thickBot="1" x14ac:dyDescent="0.25">
      <c r="B221" s="438"/>
      <c r="C221" s="456"/>
      <c r="D221" s="457"/>
      <c r="E221" s="456"/>
      <c r="F221" s="458"/>
      <c r="G221" s="442"/>
      <c r="H221" s="459"/>
      <c r="I221" s="446"/>
      <c r="J221" s="460"/>
      <c r="K221" s="460"/>
      <c r="L221" s="460"/>
      <c r="M221" s="460"/>
      <c r="N221" s="460"/>
      <c r="O221" s="460"/>
      <c r="P221" s="460"/>
      <c r="Q221" s="446"/>
      <c r="R221" s="446"/>
      <c r="S221" s="461"/>
    </row>
    <row r="226" spans="2:19" ht="21" x14ac:dyDescent="0.35">
      <c r="B226" s="493" t="s">
        <v>218</v>
      </c>
      <c r="C226" s="494"/>
      <c r="D226" s="495"/>
      <c r="E226" s="495"/>
      <c r="F226" s="495"/>
      <c r="G226" s="496"/>
      <c r="H226" s="497"/>
      <c r="I226" s="497"/>
      <c r="J226" s="497"/>
      <c r="K226" s="497"/>
      <c r="L226" s="497"/>
      <c r="M226" s="497"/>
      <c r="N226" s="498"/>
      <c r="O226" s="492"/>
      <c r="P226" s="492"/>
      <c r="Q226" s="492"/>
      <c r="R226" s="492"/>
      <c r="S226" s="492"/>
    </row>
    <row r="227" spans="2:19" ht="15.75" x14ac:dyDescent="0.25">
      <c r="B227" s="495" t="s">
        <v>134</v>
      </c>
      <c r="C227" s="495"/>
      <c r="D227" s="495"/>
      <c r="E227" s="495"/>
      <c r="F227" s="495"/>
      <c r="G227" s="496"/>
      <c r="H227" s="497"/>
      <c r="I227" s="497"/>
      <c r="J227" s="497"/>
      <c r="K227" s="497"/>
      <c r="L227" s="1044"/>
      <c r="M227" s="1044"/>
      <c r="N227" s="498"/>
      <c r="O227" s="492"/>
      <c r="P227" s="492"/>
      <c r="Q227" s="492"/>
      <c r="R227" s="492"/>
      <c r="S227" s="492"/>
    </row>
    <row r="228" spans="2:19" ht="15.75" x14ac:dyDescent="0.25">
      <c r="B228" s="494" t="s">
        <v>135</v>
      </c>
      <c r="C228" s="495"/>
      <c r="D228" s="495"/>
      <c r="E228" s="495"/>
      <c r="F228" s="495"/>
      <c r="G228" s="496"/>
      <c r="H228" s="497"/>
      <c r="I228" s="497"/>
      <c r="J228" s="497"/>
      <c r="K228" s="497"/>
      <c r="L228" s="497"/>
      <c r="M228" s="497"/>
      <c r="N228" s="498"/>
      <c r="O228" s="492"/>
      <c r="P228" s="492"/>
      <c r="Q228" s="492"/>
      <c r="R228" s="492"/>
      <c r="S228" s="492"/>
    </row>
    <row r="229" spans="2:19" ht="15.75" x14ac:dyDescent="0.25">
      <c r="B229" s="495" t="s">
        <v>190</v>
      </c>
      <c r="C229" s="495"/>
      <c r="D229" s="495"/>
      <c r="E229" s="495"/>
      <c r="F229" s="495"/>
      <c r="G229" s="496"/>
      <c r="H229" s="497"/>
      <c r="I229" s="497"/>
      <c r="J229" s="497"/>
      <c r="K229" s="497"/>
      <c r="L229" s="497"/>
      <c r="M229" s="497"/>
      <c r="N229" s="498"/>
      <c r="O229" s="492"/>
      <c r="P229" s="492"/>
      <c r="Q229" s="492"/>
      <c r="R229" s="492"/>
      <c r="S229" s="492"/>
    </row>
    <row r="230" spans="2:19" ht="15.75" x14ac:dyDescent="0.25">
      <c r="B230" s="499" t="s">
        <v>219</v>
      </c>
      <c r="C230" s="500" t="s">
        <v>88</v>
      </c>
      <c r="D230" s="501"/>
      <c r="E230" s="502">
        <v>2018</v>
      </c>
      <c r="F230" s="495"/>
      <c r="G230" s="496"/>
      <c r="H230" s="503"/>
      <c r="I230" s="504"/>
      <c r="J230" s="504"/>
      <c r="K230" s="504"/>
      <c r="L230" s="504"/>
      <c r="M230" s="504"/>
      <c r="N230" s="498"/>
      <c r="O230" s="492"/>
      <c r="P230" s="492"/>
      <c r="Q230" s="492"/>
      <c r="R230" s="492"/>
      <c r="S230" s="492"/>
    </row>
    <row r="231" spans="2:19" x14ac:dyDescent="0.2">
      <c r="B231" s="505"/>
      <c r="C231" s="506"/>
      <c r="D231" s="507"/>
      <c r="E231" s="508"/>
      <c r="F231" s="509"/>
      <c r="G231" s="510"/>
      <c r="H231" s="510"/>
      <c r="I231" s="511"/>
      <c r="J231" s="512"/>
      <c r="K231" s="513"/>
      <c r="L231" s="512"/>
      <c r="M231" s="513"/>
      <c r="N231" s="513"/>
      <c r="O231" s="512"/>
      <c r="P231" s="512"/>
      <c r="Q231" s="510"/>
      <c r="R231" s="510"/>
      <c r="S231" s="514"/>
    </row>
    <row r="232" spans="2:19" x14ac:dyDescent="0.2">
      <c r="B232" s="505"/>
      <c r="C232" s="506"/>
      <c r="D232" s="507"/>
      <c r="E232" s="508"/>
      <c r="F232" s="515"/>
      <c r="G232" s="516"/>
      <c r="H232" s="517"/>
      <c r="I232" s="511"/>
      <c r="J232" s="512"/>
      <c r="K232" s="513"/>
      <c r="L232" s="512"/>
      <c r="M232" s="513"/>
      <c r="N232" s="513"/>
      <c r="O232" s="512"/>
      <c r="P232" s="512"/>
      <c r="Q232" s="510"/>
      <c r="R232" s="510"/>
      <c r="S232" s="514"/>
    </row>
    <row r="233" spans="2:19" x14ac:dyDescent="0.2">
      <c r="B233" s="518"/>
      <c r="C233" s="519"/>
      <c r="D233" s="520"/>
      <c r="E233" s="508"/>
      <c r="F233" s="509"/>
      <c r="G233" s="521"/>
      <c r="H233" s="510"/>
      <c r="I233" s="511"/>
      <c r="J233" s="512"/>
      <c r="K233" s="513"/>
      <c r="L233" s="512"/>
      <c r="M233" s="513"/>
      <c r="N233" s="513"/>
      <c r="O233" s="512"/>
      <c r="P233" s="522">
        <v>0.01</v>
      </c>
      <c r="Q233" s="510"/>
      <c r="R233" s="510" t="s">
        <v>220</v>
      </c>
      <c r="S233" s="523">
        <v>0.13</v>
      </c>
    </row>
    <row r="234" spans="2:19" x14ac:dyDescent="0.2">
      <c r="B234" s="524" t="s">
        <v>221</v>
      </c>
      <c r="C234" s="525" t="s">
        <v>136</v>
      </c>
      <c r="D234" s="526" t="s">
        <v>136</v>
      </c>
      <c r="E234" s="527" t="s">
        <v>137</v>
      </c>
      <c r="F234" s="527" t="s">
        <v>222</v>
      </c>
      <c r="G234" s="528" t="s">
        <v>223</v>
      </c>
      <c r="H234" s="1045" t="s">
        <v>139</v>
      </c>
      <c r="I234" s="529" t="s">
        <v>224</v>
      </c>
      <c r="J234" s="530"/>
      <c r="K234" s="531" t="s">
        <v>225</v>
      </c>
      <c r="L234" s="532"/>
      <c r="M234" s="533"/>
      <c r="N234" s="534" t="s">
        <v>140</v>
      </c>
      <c r="O234" s="535" t="s">
        <v>226</v>
      </c>
      <c r="P234" s="536" t="s">
        <v>227</v>
      </c>
      <c r="Q234" s="537" t="s">
        <v>228</v>
      </c>
      <c r="R234" s="537" t="s">
        <v>229</v>
      </c>
      <c r="S234" s="537" t="s">
        <v>229</v>
      </c>
    </row>
    <row r="235" spans="2:19" x14ac:dyDescent="0.2">
      <c r="B235" s="538"/>
      <c r="C235" s="539" t="s">
        <v>230</v>
      </c>
      <c r="D235" s="540" t="s">
        <v>141</v>
      </c>
      <c r="E235" s="541" t="s">
        <v>141</v>
      </c>
      <c r="F235" s="542" t="s">
        <v>231</v>
      </c>
      <c r="G235" s="543" t="s">
        <v>142</v>
      </c>
      <c r="H235" s="1046"/>
      <c r="I235" s="544" t="s">
        <v>232</v>
      </c>
      <c r="J235" s="545" t="s">
        <v>233</v>
      </c>
      <c r="K235" s="546" t="s">
        <v>232</v>
      </c>
      <c r="L235" s="547" t="s">
        <v>233</v>
      </c>
      <c r="M235" s="546" t="s">
        <v>46</v>
      </c>
      <c r="N235" s="548" t="s">
        <v>234</v>
      </c>
      <c r="O235" s="549" t="s">
        <v>235</v>
      </c>
      <c r="P235" s="549" t="s">
        <v>236</v>
      </c>
      <c r="Q235" s="550" t="s">
        <v>237</v>
      </c>
      <c r="R235" s="550" t="s">
        <v>238</v>
      </c>
      <c r="S235" s="550" t="s">
        <v>239</v>
      </c>
    </row>
    <row r="236" spans="2:19" x14ac:dyDescent="0.2">
      <c r="B236" s="551">
        <v>1</v>
      </c>
      <c r="C236" s="552">
        <v>43313</v>
      </c>
      <c r="D236" s="552">
        <v>43313</v>
      </c>
      <c r="E236" s="553" t="s">
        <v>451</v>
      </c>
      <c r="F236" s="503"/>
      <c r="G236" s="554" t="s">
        <v>47</v>
      </c>
      <c r="H236" s="470" t="s">
        <v>242</v>
      </c>
      <c r="I236" s="471"/>
      <c r="J236" s="471"/>
      <c r="K236" s="475">
        <v>132.19999999999999</v>
      </c>
      <c r="L236" s="471"/>
      <c r="M236" s="471">
        <v>17.190000000000001</v>
      </c>
      <c r="N236" s="471">
        <v>149.38999999999999</v>
      </c>
      <c r="O236" s="471">
        <v>0</v>
      </c>
      <c r="P236" s="471">
        <v>0</v>
      </c>
      <c r="Q236" s="556"/>
      <c r="R236" s="556"/>
      <c r="S236" s="556"/>
    </row>
    <row r="237" spans="2:19" x14ac:dyDescent="0.2">
      <c r="B237" s="551">
        <v>2</v>
      </c>
      <c r="C237" s="552">
        <v>43333</v>
      </c>
      <c r="D237" s="552">
        <v>43320</v>
      </c>
      <c r="E237" s="553" t="s">
        <v>452</v>
      </c>
      <c r="F237" s="503" t="s">
        <v>453</v>
      </c>
      <c r="G237" s="554" t="s">
        <v>208</v>
      </c>
      <c r="H237" s="555" t="s">
        <v>209</v>
      </c>
      <c r="I237" s="556"/>
      <c r="J237" s="556"/>
      <c r="K237" s="557">
        <v>118.18</v>
      </c>
      <c r="L237" s="556"/>
      <c r="M237" s="556">
        <v>15.36</v>
      </c>
      <c r="N237" s="556">
        <v>133.54000000000002</v>
      </c>
      <c r="O237" s="556">
        <v>0</v>
      </c>
      <c r="P237" s="558">
        <v>1.18</v>
      </c>
      <c r="Q237" s="556"/>
      <c r="R237" s="556"/>
      <c r="S237" s="556"/>
    </row>
    <row r="238" spans="2:19" x14ac:dyDescent="0.2">
      <c r="B238" s="551">
        <v>3</v>
      </c>
      <c r="C238" s="552">
        <v>43334</v>
      </c>
      <c r="D238" s="552">
        <v>43311</v>
      </c>
      <c r="E238" s="553" t="s">
        <v>454</v>
      </c>
      <c r="F238" s="503" t="s">
        <v>455</v>
      </c>
      <c r="G238" s="554" t="s">
        <v>341</v>
      </c>
      <c r="H238" s="555" t="s">
        <v>347</v>
      </c>
      <c r="I238" s="556"/>
      <c r="J238" s="556"/>
      <c r="K238" s="557">
        <v>418.8</v>
      </c>
      <c r="L238" s="556"/>
      <c r="M238" s="556">
        <v>54.44</v>
      </c>
      <c r="N238" s="556">
        <v>473.24</v>
      </c>
      <c r="O238" s="556">
        <v>0</v>
      </c>
      <c r="P238" s="558">
        <v>4.1900000000000004</v>
      </c>
      <c r="Q238" s="556"/>
      <c r="R238" s="556"/>
      <c r="S238" s="556"/>
    </row>
    <row r="239" spans="2:19" x14ac:dyDescent="0.2">
      <c r="B239" s="551">
        <v>4</v>
      </c>
      <c r="C239" s="552">
        <v>43335</v>
      </c>
      <c r="D239" s="552">
        <v>43312</v>
      </c>
      <c r="E239" s="553" t="s">
        <v>456</v>
      </c>
      <c r="F239" s="503"/>
      <c r="G239" s="554" t="s">
        <v>188</v>
      </c>
      <c r="H239" s="555" t="s">
        <v>207</v>
      </c>
      <c r="I239" s="556"/>
      <c r="J239" s="556"/>
      <c r="K239" s="557">
        <v>300</v>
      </c>
      <c r="L239" s="556"/>
      <c r="M239" s="556">
        <v>39</v>
      </c>
      <c r="N239" s="556">
        <v>339</v>
      </c>
      <c r="O239" s="556">
        <v>0</v>
      </c>
      <c r="P239" s="558">
        <v>0</v>
      </c>
      <c r="Q239" s="556"/>
      <c r="R239" s="556"/>
      <c r="S239" s="556"/>
    </row>
    <row r="240" spans="2:19" x14ac:dyDescent="0.2">
      <c r="B240" s="551">
        <v>5</v>
      </c>
      <c r="C240" s="552">
        <v>43335</v>
      </c>
      <c r="D240" s="552">
        <v>43326</v>
      </c>
      <c r="E240" s="553" t="s">
        <v>457</v>
      </c>
      <c r="F240" s="503"/>
      <c r="G240" s="554" t="s">
        <v>188</v>
      </c>
      <c r="H240" s="555" t="s">
        <v>207</v>
      </c>
      <c r="I240" s="556"/>
      <c r="J240" s="556"/>
      <c r="K240" s="557">
        <v>195</v>
      </c>
      <c r="L240" s="556"/>
      <c r="M240" s="556">
        <v>25.35</v>
      </c>
      <c r="N240" s="556">
        <v>220.35</v>
      </c>
      <c r="O240" s="556">
        <v>0</v>
      </c>
      <c r="P240" s="558">
        <v>0</v>
      </c>
      <c r="Q240" s="556"/>
      <c r="R240" s="556"/>
      <c r="S240" s="556"/>
    </row>
    <row r="241" spans="2:19" x14ac:dyDescent="0.2">
      <c r="B241" s="551">
        <v>6</v>
      </c>
      <c r="C241" s="552">
        <v>43335</v>
      </c>
      <c r="D241" s="552">
        <v>43335</v>
      </c>
      <c r="E241" s="553" t="s">
        <v>458</v>
      </c>
      <c r="F241" s="503"/>
      <c r="G241" s="554" t="s">
        <v>188</v>
      </c>
      <c r="H241" s="555" t="s">
        <v>207</v>
      </c>
      <c r="I241" s="556"/>
      <c r="J241" s="556"/>
      <c r="K241" s="557">
        <v>47.95</v>
      </c>
      <c r="L241" s="556"/>
      <c r="M241" s="556">
        <v>6.23</v>
      </c>
      <c r="N241" s="556">
        <v>54.180000000000007</v>
      </c>
      <c r="O241" s="556">
        <v>0</v>
      </c>
      <c r="P241" s="558">
        <v>0</v>
      </c>
      <c r="Q241" s="556"/>
      <c r="R241" s="556"/>
      <c r="S241" s="556"/>
    </row>
    <row r="242" spans="2:19" x14ac:dyDescent="0.2">
      <c r="B242" s="551">
        <v>7</v>
      </c>
      <c r="C242" s="552">
        <v>43336</v>
      </c>
      <c r="D242" s="552">
        <v>43333</v>
      </c>
      <c r="E242" s="553" t="s">
        <v>459</v>
      </c>
      <c r="F242" s="503"/>
      <c r="G242" s="554" t="s">
        <v>210</v>
      </c>
      <c r="H242" s="555" t="s">
        <v>211</v>
      </c>
      <c r="I242" s="556"/>
      <c r="J242" s="556"/>
      <c r="K242" s="557">
        <v>72</v>
      </c>
      <c r="L242" s="556"/>
      <c r="M242" s="556">
        <v>9.36</v>
      </c>
      <c r="N242" s="556">
        <v>81.36</v>
      </c>
      <c r="O242" s="556">
        <v>0</v>
      </c>
      <c r="P242" s="558">
        <v>0</v>
      </c>
      <c r="Q242" s="556"/>
      <c r="R242" s="556"/>
      <c r="S242" s="556"/>
    </row>
    <row r="243" spans="2:19" x14ac:dyDescent="0.2">
      <c r="B243" s="551">
        <v>8</v>
      </c>
      <c r="C243" s="552">
        <v>43336</v>
      </c>
      <c r="D243" s="552">
        <v>43333</v>
      </c>
      <c r="E243" s="553" t="s">
        <v>460</v>
      </c>
      <c r="F243" s="503"/>
      <c r="G243" s="554" t="s">
        <v>210</v>
      </c>
      <c r="H243" s="555" t="s">
        <v>211</v>
      </c>
      <c r="I243" s="556"/>
      <c r="J243" s="556"/>
      <c r="K243" s="557">
        <v>72</v>
      </c>
      <c r="L243" s="556"/>
      <c r="M243" s="556">
        <v>9.36</v>
      </c>
      <c r="N243" s="556">
        <v>81.36</v>
      </c>
      <c r="O243" s="556"/>
      <c r="P243" s="558">
        <v>0</v>
      </c>
      <c r="Q243" s="556"/>
      <c r="R243" s="556"/>
      <c r="S243" s="556"/>
    </row>
    <row r="244" spans="2:19" x14ac:dyDescent="0.2">
      <c r="B244" s="551">
        <v>9</v>
      </c>
      <c r="C244" s="552">
        <v>43336</v>
      </c>
      <c r="D244" s="559">
        <v>43327</v>
      </c>
      <c r="E244" s="553" t="s">
        <v>461</v>
      </c>
      <c r="F244" s="503"/>
      <c r="G244" s="554" t="s">
        <v>462</v>
      </c>
      <c r="H244" s="470" t="s">
        <v>187</v>
      </c>
      <c r="I244" s="471"/>
      <c r="J244" s="471"/>
      <c r="K244" s="475">
        <v>298.3</v>
      </c>
      <c r="L244" s="471"/>
      <c r="M244" s="471">
        <v>38.78</v>
      </c>
      <c r="N244" s="471">
        <v>337.08000000000004</v>
      </c>
      <c r="O244" s="471">
        <v>0</v>
      </c>
      <c r="P244" s="471">
        <v>0</v>
      </c>
      <c r="Q244" s="556"/>
      <c r="R244" s="556"/>
      <c r="S244" s="556"/>
    </row>
    <row r="245" spans="2:19" x14ac:dyDescent="0.2">
      <c r="B245" s="551">
        <v>10</v>
      </c>
      <c r="C245" s="552">
        <v>43336</v>
      </c>
      <c r="D245" s="559">
        <v>43327</v>
      </c>
      <c r="E245" s="553" t="s">
        <v>463</v>
      </c>
      <c r="F245" s="503"/>
      <c r="G245" s="554" t="s">
        <v>462</v>
      </c>
      <c r="H245" s="470" t="s">
        <v>187</v>
      </c>
      <c r="I245" s="471"/>
      <c r="J245" s="471"/>
      <c r="K245" s="475">
        <v>71.56</v>
      </c>
      <c r="L245" s="471"/>
      <c r="M245" s="471">
        <v>9.3000000000000007</v>
      </c>
      <c r="N245" s="471">
        <v>80.86</v>
      </c>
      <c r="O245" s="471">
        <v>0</v>
      </c>
      <c r="P245" s="471">
        <v>0</v>
      </c>
      <c r="Q245" s="556"/>
      <c r="R245" s="556"/>
      <c r="S245" s="556"/>
    </row>
    <row r="246" spans="2:19" x14ac:dyDescent="0.2">
      <c r="B246" s="551">
        <v>11</v>
      </c>
      <c r="C246" s="552">
        <v>43336</v>
      </c>
      <c r="D246" s="559">
        <v>43327</v>
      </c>
      <c r="E246" s="553" t="s">
        <v>464</v>
      </c>
      <c r="F246" s="503"/>
      <c r="G246" s="554" t="s">
        <v>462</v>
      </c>
      <c r="H246" s="470" t="s">
        <v>187</v>
      </c>
      <c r="I246" s="471"/>
      <c r="J246" s="471"/>
      <c r="K246" s="475">
        <v>47.77</v>
      </c>
      <c r="L246" s="471"/>
      <c r="M246" s="471">
        <v>6.21</v>
      </c>
      <c r="N246" s="471">
        <v>53.980000000000004</v>
      </c>
      <c r="O246" s="471">
        <v>0</v>
      </c>
      <c r="P246" s="471">
        <v>0</v>
      </c>
      <c r="Q246" s="556"/>
      <c r="R246" s="556"/>
      <c r="S246" s="556"/>
    </row>
    <row r="247" spans="2:19" x14ac:dyDescent="0.2">
      <c r="B247" s="551">
        <v>12</v>
      </c>
      <c r="C247" s="552">
        <v>43336</v>
      </c>
      <c r="D247" s="559">
        <v>43327</v>
      </c>
      <c r="E247" s="553" t="s">
        <v>465</v>
      </c>
      <c r="F247" s="503"/>
      <c r="G247" s="554" t="s">
        <v>462</v>
      </c>
      <c r="H247" s="470" t="s">
        <v>187</v>
      </c>
      <c r="I247" s="471"/>
      <c r="J247" s="471"/>
      <c r="K247" s="475">
        <v>166.01</v>
      </c>
      <c r="L247" s="471"/>
      <c r="M247" s="471">
        <v>21.58</v>
      </c>
      <c r="N247" s="471">
        <v>187.58999999999997</v>
      </c>
      <c r="O247" s="471">
        <v>0</v>
      </c>
      <c r="P247" s="471">
        <v>0</v>
      </c>
      <c r="Q247" s="556"/>
      <c r="R247" s="556"/>
      <c r="S247" s="556"/>
    </row>
    <row r="248" spans="2:19" x14ac:dyDescent="0.2">
      <c r="B248" s="551">
        <v>13</v>
      </c>
      <c r="C248" s="552">
        <v>43336</v>
      </c>
      <c r="D248" s="559">
        <v>43327</v>
      </c>
      <c r="E248" s="553" t="s">
        <v>466</v>
      </c>
      <c r="F248" s="503"/>
      <c r="G248" s="554" t="s">
        <v>462</v>
      </c>
      <c r="H248" s="470" t="s">
        <v>187</v>
      </c>
      <c r="I248" s="471"/>
      <c r="J248" s="471"/>
      <c r="K248" s="475">
        <v>14.65</v>
      </c>
      <c r="L248" s="471"/>
      <c r="M248" s="471">
        <v>1.9</v>
      </c>
      <c r="N248" s="471">
        <v>16.55</v>
      </c>
      <c r="O248" s="471">
        <v>0</v>
      </c>
      <c r="P248" s="471">
        <v>0</v>
      </c>
      <c r="Q248" s="556"/>
      <c r="R248" s="556"/>
      <c r="S248" s="556"/>
    </row>
    <row r="249" spans="2:19" x14ac:dyDescent="0.2">
      <c r="B249" s="551">
        <v>14</v>
      </c>
      <c r="C249" s="552">
        <v>43336</v>
      </c>
      <c r="D249" s="559">
        <v>43327</v>
      </c>
      <c r="E249" s="553" t="s">
        <v>467</v>
      </c>
      <c r="F249" s="560"/>
      <c r="G249" s="554" t="s">
        <v>462</v>
      </c>
      <c r="H249" s="470" t="s">
        <v>187</v>
      </c>
      <c r="I249" s="471"/>
      <c r="J249" s="471"/>
      <c r="K249" s="475">
        <v>27.42</v>
      </c>
      <c r="L249" s="471"/>
      <c r="M249" s="471">
        <v>3.56</v>
      </c>
      <c r="N249" s="471">
        <v>30.98</v>
      </c>
      <c r="O249" s="471">
        <v>0</v>
      </c>
      <c r="P249" s="471">
        <v>0</v>
      </c>
      <c r="Q249" s="556"/>
      <c r="R249" s="556"/>
      <c r="S249" s="556"/>
    </row>
    <row r="250" spans="2:19" x14ac:dyDescent="0.2">
      <c r="B250" s="551">
        <v>15</v>
      </c>
      <c r="C250" s="552">
        <v>43336</v>
      </c>
      <c r="D250" s="559">
        <v>43327</v>
      </c>
      <c r="E250" s="553" t="s">
        <v>468</v>
      </c>
      <c r="F250" s="560"/>
      <c r="G250" s="554" t="s">
        <v>462</v>
      </c>
      <c r="H250" s="470" t="s">
        <v>187</v>
      </c>
      <c r="I250" s="471"/>
      <c r="J250" s="471"/>
      <c r="K250" s="475">
        <v>4.1500000000000004</v>
      </c>
      <c r="L250" s="471"/>
      <c r="M250" s="471">
        <v>0.54</v>
      </c>
      <c r="N250" s="471">
        <v>4.6900000000000004</v>
      </c>
      <c r="O250" s="471">
        <v>0</v>
      </c>
      <c r="P250" s="471">
        <v>0</v>
      </c>
      <c r="Q250" s="556"/>
      <c r="R250" s="556"/>
      <c r="S250" s="556"/>
    </row>
    <row r="251" spans="2:19" x14ac:dyDescent="0.2">
      <c r="B251" s="551">
        <v>16</v>
      </c>
      <c r="C251" s="552">
        <v>43336</v>
      </c>
      <c r="D251" s="559">
        <v>43327</v>
      </c>
      <c r="E251" s="561">
        <v>174455</v>
      </c>
      <c r="F251" s="560"/>
      <c r="G251" s="554" t="s">
        <v>462</v>
      </c>
      <c r="H251" s="470" t="s">
        <v>187</v>
      </c>
      <c r="I251" s="471"/>
      <c r="J251" s="471"/>
      <c r="K251" s="475">
        <v>43.35</v>
      </c>
      <c r="L251" s="471"/>
      <c r="M251" s="471">
        <v>5.64</v>
      </c>
      <c r="N251" s="471">
        <v>48.99</v>
      </c>
      <c r="O251" s="471">
        <v>0</v>
      </c>
      <c r="P251" s="471">
        <v>0</v>
      </c>
      <c r="Q251" s="556"/>
      <c r="R251" s="556"/>
      <c r="S251" s="556"/>
    </row>
    <row r="252" spans="2:19" x14ac:dyDescent="0.2">
      <c r="B252" s="551">
        <v>17</v>
      </c>
      <c r="C252" s="552">
        <v>43336</v>
      </c>
      <c r="D252" s="559">
        <v>43327</v>
      </c>
      <c r="E252" s="553" t="s">
        <v>469</v>
      </c>
      <c r="F252" s="560"/>
      <c r="G252" s="554" t="s">
        <v>462</v>
      </c>
      <c r="H252" s="470" t="s">
        <v>187</v>
      </c>
      <c r="I252" s="471"/>
      <c r="J252" s="471"/>
      <c r="K252" s="475">
        <v>69.09</v>
      </c>
      <c r="L252" s="471"/>
      <c r="M252" s="471">
        <v>8.98</v>
      </c>
      <c r="N252" s="471">
        <v>78.070000000000007</v>
      </c>
      <c r="O252" s="471">
        <v>0</v>
      </c>
      <c r="P252" s="471">
        <v>0</v>
      </c>
      <c r="Q252" s="556"/>
      <c r="R252" s="556"/>
      <c r="S252" s="556"/>
    </row>
    <row r="253" spans="2:19" x14ac:dyDescent="0.2">
      <c r="B253" s="551">
        <v>18</v>
      </c>
      <c r="C253" s="552">
        <v>43336</v>
      </c>
      <c r="D253" s="559">
        <v>43327</v>
      </c>
      <c r="E253" s="553" t="s">
        <v>470</v>
      </c>
      <c r="F253" s="560"/>
      <c r="G253" s="554" t="s">
        <v>462</v>
      </c>
      <c r="H253" s="470" t="s">
        <v>187</v>
      </c>
      <c r="I253" s="471"/>
      <c r="J253" s="471"/>
      <c r="K253" s="475">
        <v>23.87</v>
      </c>
      <c r="L253" s="471"/>
      <c r="M253" s="471">
        <v>3.1</v>
      </c>
      <c r="N253" s="471">
        <v>26.970000000000002</v>
      </c>
      <c r="O253" s="471">
        <v>0</v>
      </c>
      <c r="P253" s="471">
        <v>0</v>
      </c>
      <c r="Q253" s="556"/>
      <c r="R253" s="556"/>
      <c r="S253" s="556"/>
    </row>
    <row r="254" spans="2:19" x14ac:dyDescent="0.2">
      <c r="B254" s="551">
        <v>19</v>
      </c>
      <c r="C254" s="552">
        <v>43339</v>
      </c>
      <c r="D254" s="552">
        <v>43320</v>
      </c>
      <c r="E254" s="553" t="s">
        <v>471</v>
      </c>
      <c r="F254" s="560" t="s">
        <v>472</v>
      </c>
      <c r="G254" s="554" t="s">
        <v>208</v>
      </c>
      <c r="H254" s="555" t="s">
        <v>209</v>
      </c>
      <c r="I254" s="556"/>
      <c r="J254" s="556"/>
      <c r="K254" s="557">
        <v>344.44</v>
      </c>
      <c r="L254" s="556"/>
      <c r="M254" s="556">
        <v>44.78</v>
      </c>
      <c r="N254" s="556">
        <v>389.22</v>
      </c>
      <c r="O254" s="556">
        <v>0</v>
      </c>
      <c r="P254" s="558">
        <v>3.44</v>
      </c>
      <c r="Q254" s="556"/>
      <c r="R254" s="556"/>
      <c r="S254" s="556"/>
    </row>
    <row r="255" spans="2:19" x14ac:dyDescent="0.2">
      <c r="B255" s="551">
        <v>28</v>
      </c>
      <c r="C255" s="552"/>
      <c r="D255" s="552"/>
      <c r="E255" s="553"/>
      <c r="F255" s="503"/>
      <c r="G255" s="554"/>
      <c r="H255" s="555"/>
      <c r="I255" s="556"/>
      <c r="J255" s="556"/>
      <c r="K255" s="557"/>
      <c r="L255" s="556"/>
      <c r="M255" s="556"/>
      <c r="N255" s="556"/>
      <c r="O255" s="556"/>
      <c r="P255" s="558">
        <v>0</v>
      </c>
      <c r="Q255" s="556"/>
      <c r="R255" s="556"/>
      <c r="S255" s="556"/>
    </row>
    <row r="256" spans="2:19" x14ac:dyDescent="0.2">
      <c r="B256" s="551"/>
      <c r="C256" s="552"/>
      <c r="D256" s="552"/>
      <c r="E256" s="553"/>
      <c r="F256" s="503"/>
      <c r="G256" s="554"/>
      <c r="H256" s="555" t="s">
        <v>273</v>
      </c>
      <c r="I256" s="556"/>
      <c r="J256" s="556"/>
      <c r="K256" s="562"/>
      <c r="L256" s="556"/>
      <c r="M256" s="562">
        <v>-320.66000000000003</v>
      </c>
      <c r="N256" s="556"/>
      <c r="O256" s="556"/>
      <c r="P256" s="558">
        <v>0</v>
      </c>
      <c r="Q256" s="556"/>
      <c r="R256" s="556"/>
      <c r="S256" s="556"/>
    </row>
    <row r="257" spans="2:19" x14ac:dyDescent="0.2">
      <c r="B257" s="551"/>
      <c r="C257" s="552"/>
      <c r="D257" s="552"/>
      <c r="E257" s="553"/>
      <c r="F257" s="503"/>
      <c r="G257" s="554"/>
      <c r="H257" s="555"/>
      <c r="I257" s="556"/>
      <c r="J257" s="556"/>
      <c r="K257" s="557"/>
      <c r="L257" s="556"/>
      <c r="M257" s="556"/>
      <c r="N257" s="556"/>
      <c r="O257" s="556"/>
      <c r="P257" s="558"/>
      <c r="Q257" s="556"/>
      <c r="R257" s="556"/>
      <c r="S257" s="556"/>
    </row>
    <row r="258" spans="2:19" x14ac:dyDescent="0.2">
      <c r="B258" s="551"/>
      <c r="C258" s="552"/>
      <c r="D258" s="552"/>
      <c r="E258" s="553"/>
      <c r="F258" s="563"/>
      <c r="G258" s="554"/>
      <c r="H258" s="555"/>
      <c r="I258" s="556"/>
      <c r="J258" s="556"/>
      <c r="K258" s="557"/>
      <c r="L258" s="556"/>
      <c r="M258" s="556"/>
      <c r="N258" s="556"/>
      <c r="O258" s="556"/>
      <c r="P258" s="556"/>
      <c r="Q258" s="556"/>
      <c r="R258" s="556"/>
      <c r="S258" s="556"/>
    </row>
    <row r="259" spans="2:19" ht="13.5" thickBot="1" x14ac:dyDescent="0.25">
      <c r="B259" s="565"/>
      <c r="C259" s="566"/>
      <c r="D259" s="567"/>
      <c r="E259" s="566"/>
      <c r="F259" s="568"/>
      <c r="G259" s="569"/>
      <c r="H259" s="570"/>
      <c r="I259" s="571"/>
      <c r="J259" s="572"/>
      <c r="K259" s="572"/>
      <c r="L259" s="573"/>
      <c r="M259" s="572"/>
      <c r="N259" s="572"/>
      <c r="O259" s="572"/>
      <c r="P259" s="572"/>
      <c r="Q259" s="574"/>
      <c r="R259" s="574"/>
      <c r="S259" s="574"/>
    </row>
    <row r="260" spans="2:19" x14ac:dyDescent="0.2">
      <c r="B260" s="518"/>
      <c r="C260" s="519"/>
      <c r="D260" s="575"/>
      <c r="E260" s="519"/>
      <c r="F260" s="576"/>
      <c r="G260" s="577"/>
      <c r="H260" s="521"/>
      <c r="I260" s="578"/>
      <c r="J260" s="513"/>
      <c r="K260" s="513"/>
      <c r="L260" s="579"/>
      <c r="M260" s="513"/>
      <c r="N260" s="513"/>
      <c r="O260" s="513"/>
      <c r="P260" s="513"/>
      <c r="Q260" s="580"/>
      <c r="R260" s="580"/>
      <c r="S260" s="580"/>
    </row>
    <row r="261" spans="2:19" x14ac:dyDescent="0.2">
      <c r="B261" s="518"/>
      <c r="C261" s="506"/>
      <c r="D261" s="507"/>
      <c r="E261" s="506"/>
      <c r="F261" s="581"/>
      <c r="G261" s="577"/>
      <c r="H261" s="582" t="s">
        <v>261</v>
      </c>
      <c r="I261" s="579">
        <v>0</v>
      </c>
      <c r="J261" s="579">
        <v>0</v>
      </c>
      <c r="K261" s="579">
        <v>2466.7400000000002</v>
      </c>
      <c r="L261" s="579">
        <v>0</v>
      </c>
      <c r="M261" s="579">
        <v>0</v>
      </c>
      <c r="N261" s="579">
        <v>2787.3999999999996</v>
      </c>
      <c r="O261" s="579">
        <v>0</v>
      </c>
      <c r="P261" s="579">
        <v>8.81</v>
      </c>
      <c r="Q261" s="579">
        <v>0</v>
      </c>
      <c r="R261" s="579">
        <v>0</v>
      </c>
      <c r="S261" s="579">
        <v>0</v>
      </c>
    </row>
    <row r="262" spans="2:19" ht="13.5" thickBot="1" x14ac:dyDescent="0.25">
      <c r="B262" s="565"/>
      <c r="C262" s="583"/>
      <c r="D262" s="584"/>
      <c r="E262" s="583"/>
      <c r="F262" s="585"/>
      <c r="G262" s="569"/>
      <c r="H262" s="586"/>
      <c r="I262" s="573"/>
      <c r="J262" s="587"/>
      <c r="K262" s="587"/>
      <c r="L262" s="587"/>
      <c r="M262" s="587"/>
      <c r="N262" s="587"/>
      <c r="O262" s="587"/>
      <c r="P262" s="587"/>
      <c r="Q262" s="573"/>
      <c r="R262" s="573"/>
      <c r="S262" s="588"/>
    </row>
    <row r="266" spans="2:19" ht="21" x14ac:dyDescent="0.35">
      <c r="B266" s="493" t="s">
        <v>218</v>
      </c>
      <c r="C266" s="494"/>
      <c r="D266" s="495"/>
      <c r="E266" s="495"/>
      <c r="F266" s="495"/>
      <c r="G266" s="496"/>
      <c r="H266" s="497"/>
      <c r="I266" s="497"/>
      <c r="J266" s="497"/>
      <c r="K266" s="497"/>
      <c r="L266" s="497"/>
      <c r="M266" s="497"/>
      <c r="N266" s="498"/>
      <c r="O266" s="492"/>
      <c r="P266" s="492"/>
      <c r="Q266" s="492"/>
      <c r="R266" s="492"/>
      <c r="S266" s="492"/>
    </row>
    <row r="267" spans="2:19" ht="15.75" x14ac:dyDescent="0.25">
      <c r="B267" s="495" t="s">
        <v>134</v>
      </c>
      <c r="C267" s="495"/>
      <c r="D267" s="495"/>
      <c r="E267" s="495"/>
      <c r="F267" s="495"/>
      <c r="G267" s="496"/>
      <c r="H267" s="497"/>
      <c r="I267" s="497"/>
      <c r="J267" s="497"/>
      <c r="K267" s="497"/>
      <c r="L267" s="1044"/>
      <c r="M267" s="1044"/>
      <c r="N267" s="498"/>
      <c r="O267" s="492"/>
      <c r="P267" s="492"/>
      <c r="Q267" s="492"/>
      <c r="R267" s="492"/>
      <c r="S267" s="492"/>
    </row>
    <row r="268" spans="2:19" ht="15.75" x14ac:dyDescent="0.25">
      <c r="B268" s="494" t="s">
        <v>135</v>
      </c>
      <c r="C268" s="495"/>
      <c r="D268" s="495"/>
      <c r="E268" s="495"/>
      <c r="F268" s="495"/>
      <c r="G268" s="496"/>
      <c r="H268" s="497"/>
      <c r="I268" s="497"/>
      <c r="J268" s="497"/>
      <c r="K268" s="497"/>
      <c r="L268" s="497"/>
      <c r="M268" s="497"/>
      <c r="N268" s="498"/>
      <c r="O268" s="492"/>
      <c r="P268" s="492"/>
      <c r="Q268" s="492"/>
      <c r="R268" s="492"/>
      <c r="S268" s="492"/>
    </row>
    <row r="269" spans="2:19" ht="15.75" x14ac:dyDescent="0.25">
      <c r="B269" s="495" t="s">
        <v>190</v>
      </c>
      <c r="C269" s="495"/>
      <c r="D269" s="495"/>
      <c r="E269" s="495"/>
      <c r="F269" s="495"/>
      <c r="G269" s="496"/>
      <c r="H269" s="497"/>
      <c r="I269" s="497"/>
      <c r="J269" s="497"/>
      <c r="K269" s="497"/>
      <c r="L269" s="497"/>
      <c r="M269" s="497"/>
      <c r="N269" s="498"/>
      <c r="O269" s="492"/>
      <c r="P269" s="492"/>
      <c r="Q269" s="492"/>
      <c r="R269" s="492"/>
      <c r="S269" s="492"/>
    </row>
    <row r="270" spans="2:19" ht="15.75" x14ac:dyDescent="0.25">
      <c r="B270" s="499" t="s">
        <v>219</v>
      </c>
      <c r="C270" s="500" t="s">
        <v>419</v>
      </c>
      <c r="D270" s="501"/>
      <c r="E270" s="502">
        <v>2018</v>
      </c>
      <c r="F270" s="495"/>
      <c r="G270" s="496"/>
      <c r="H270" s="162"/>
      <c r="I270" s="504"/>
      <c r="J270" s="504"/>
      <c r="K270" s="504"/>
      <c r="L270" s="504"/>
      <c r="M270" s="504"/>
      <c r="N270" s="498"/>
      <c r="O270" s="492"/>
      <c r="P270" s="492"/>
      <c r="Q270" s="492"/>
      <c r="R270" s="492"/>
      <c r="S270" s="492"/>
    </row>
    <row r="271" spans="2:19" x14ac:dyDescent="0.2">
      <c r="B271" s="163"/>
      <c r="C271" s="164"/>
      <c r="D271" s="165"/>
      <c r="E271" s="166"/>
      <c r="F271" s="167"/>
      <c r="G271" s="168"/>
      <c r="H271" s="168"/>
      <c r="I271" s="169"/>
      <c r="J271" s="170"/>
      <c r="K271" s="171"/>
      <c r="L271" s="170"/>
      <c r="M271" s="171"/>
      <c r="N271" s="171"/>
      <c r="O271" s="170"/>
      <c r="P271" s="170"/>
      <c r="Q271" s="168"/>
      <c r="R271" s="168"/>
      <c r="S271" s="172"/>
    </row>
    <row r="272" spans="2:19" x14ac:dyDescent="0.2">
      <c r="B272" s="163"/>
      <c r="C272" s="164"/>
      <c r="D272" s="165"/>
      <c r="E272" s="166"/>
      <c r="F272" s="243"/>
      <c r="G272" s="173"/>
      <c r="H272" s="174"/>
      <c r="I272" s="169"/>
      <c r="J272" s="170"/>
      <c r="K272" s="171"/>
      <c r="L272" s="170"/>
      <c r="M272" s="171"/>
      <c r="N272" s="171"/>
      <c r="O272" s="170"/>
      <c r="P272" s="170"/>
      <c r="Q272" s="168"/>
      <c r="R272" s="168"/>
      <c r="S272" s="172"/>
    </row>
    <row r="273" spans="2:19" x14ac:dyDescent="0.2">
      <c r="B273" s="175"/>
      <c r="C273" s="176"/>
      <c r="D273" s="177"/>
      <c r="E273" s="166"/>
      <c r="F273" s="167"/>
      <c r="G273" s="178"/>
      <c r="H273" s="168"/>
      <c r="I273" s="169"/>
      <c r="J273" s="170"/>
      <c r="K273" s="171"/>
      <c r="L273" s="170"/>
      <c r="M273" s="171"/>
      <c r="N273" s="171"/>
      <c r="O273" s="170"/>
      <c r="P273" s="522">
        <v>0.01</v>
      </c>
      <c r="Q273" s="168"/>
      <c r="R273" s="168" t="s">
        <v>220</v>
      </c>
      <c r="S273" s="523">
        <v>0.13</v>
      </c>
    </row>
    <row r="274" spans="2:19" x14ac:dyDescent="0.2">
      <c r="B274" s="179" t="s">
        <v>221</v>
      </c>
      <c r="C274" s="180" t="s">
        <v>136</v>
      </c>
      <c r="D274" s="181" t="s">
        <v>136</v>
      </c>
      <c r="E274" s="182" t="s">
        <v>137</v>
      </c>
      <c r="F274" s="182" t="s">
        <v>222</v>
      </c>
      <c r="G274" s="312" t="s">
        <v>223</v>
      </c>
      <c r="H274" s="1042" t="s">
        <v>139</v>
      </c>
      <c r="I274" s="328" t="s">
        <v>224</v>
      </c>
      <c r="J274" s="329"/>
      <c r="K274" s="330" t="s">
        <v>225</v>
      </c>
      <c r="L274" s="331"/>
      <c r="M274" s="332"/>
      <c r="N274" s="313" t="s">
        <v>140</v>
      </c>
      <c r="O274" s="183" t="s">
        <v>226</v>
      </c>
      <c r="P274" s="184" t="s">
        <v>227</v>
      </c>
      <c r="Q274" s="185" t="s">
        <v>228</v>
      </c>
      <c r="R274" s="185" t="s">
        <v>229</v>
      </c>
      <c r="S274" s="185" t="s">
        <v>229</v>
      </c>
    </row>
    <row r="275" spans="2:19" x14ac:dyDescent="0.2">
      <c r="B275" s="186"/>
      <c r="C275" s="187" t="s">
        <v>230</v>
      </c>
      <c r="D275" s="188" t="s">
        <v>141</v>
      </c>
      <c r="E275" s="189" t="s">
        <v>141</v>
      </c>
      <c r="F275" s="190" t="s">
        <v>231</v>
      </c>
      <c r="G275" s="314" t="s">
        <v>142</v>
      </c>
      <c r="H275" s="1043"/>
      <c r="I275" s="315" t="s">
        <v>232</v>
      </c>
      <c r="J275" s="316" t="s">
        <v>233</v>
      </c>
      <c r="K275" s="317" t="s">
        <v>232</v>
      </c>
      <c r="L275" s="318" t="s">
        <v>233</v>
      </c>
      <c r="M275" s="317" t="s">
        <v>46</v>
      </c>
      <c r="N275" s="319" t="s">
        <v>234</v>
      </c>
      <c r="O275" s="191" t="s">
        <v>235</v>
      </c>
      <c r="P275" s="191" t="s">
        <v>236</v>
      </c>
      <c r="Q275" s="192" t="s">
        <v>237</v>
      </c>
      <c r="R275" s="192" t="s">
        <v>238</v>
      </c>
      <c r="S275" s="192" t="s">
        <v>239</v>
      </c>
    </row>
    <row r="276" spans="2:19" x14ac:dyDescent="0.2">
      <c r="B276" s="193">
        <v>1</v>
      </c>
      <c r="C276" s="194">
        <v>43347</v>
      </c>
      <c r="D276" s="194">
        <v>43312</v>
      </c>
      <c r="E276" s="195" t="s">
        <v>477</v>
      </c>
      <c r="F276" s="162" t="s">
        <v>478</v>
      </c>
      <c r="G276" s="196" t="s">
        <v>212</v>
      </c>
      <c r="H276" s="197" t="str">
        <f>+VLOOKUP(G276,[2]bd!A:C,2,0)</f>
        <v>CENTRAL DE DEPOSITO DE VALORES, S.A. DE C.V.</v>
      </c>
      <c r="I276" s="556"/>
      <c r="J276" s="556"/>
      <c r="K276" s="557">
        <v>1776.89</v>
      </c>
      <c r="L276" s="556"/>
      <c r="M276" s="556">
        <v>231</v>
      </c>
      <c r="N276" s="556">
        <f>+K276+M276</f>
        <v>2007.89</v>
      </c>
      <c r="O276" s="556">
        <v>0</v>
      </c>
      <c r="P276" s="558">
        <v>17.77</v>
      </c>
      <c r="Q276" s="556"/>
      <c r="R276" s="556"/>
      <c r="S276" s="556"/>
    </row>
    <row r="277" spans="2:19" x14ac:dyDescent="0.2">
      <c r="B277" s="193">
        <v>2</v>
      </c>
      <c r="C277" s="194">
        <v>43350</v>
      </c>
      <c r="D277" s="194">
        <v>43350</v>
      </c>
      <c r="E277" s="195" t="s">
        <v>479</v>
      </c>
      <c r="F277" s="162"/>
      <c r="G277" s="196" t="s">
        <v>188</v>
      </c>
      <c r="H277" s="197" t="str">
        <f>+VLOOKUP(G277,[2]bd!A:C,2,0)</f>
        <v>BOLSA DE VALORES DE EL SALVADOR, S.A. DE C.V.</v>
      </c>
      <c r="I277" s="556"/>
      <c r="J277" s="556"/>
      <c r="K277" s="557">
        <v>7610.82</v>
      </c>
      <c r="L277" s="556"/>
      <c r="M277" s="556">
        <v>989.4</v>
      </c>
      <c r="N277" s="556">
        <f t="shared" ref="N277:N284" si="9">+K277+M277</f>
        <v>8600.2199999999993</v>
      </c>
      <c r="O277" s="556">
        <v>0</v>
      </c>
      <c r="P277" s="558">
        <v>0</v>
      </c>
      <c r="Q277" s="556"/>
      <c r="R277" s="556"/>
      <c r="S277" s="556"/>
    </row>
    <row r="278" spans="2:19" x14ac:dyDescent="0.2">
      <c r="B278" s="193">
        <v>3</v>
      </c>
      <c r="C278" s="194">
        <v>43353</v>
      </c>
      <c r="D278" s="194">
        <v>43353</v>
      </c>
      <c r="E278" s="195" t="s">
        <v>480</v>
      </c>
      <c r="F278" s="162"/>
      <c r="G278" s="196" t="s">
        <v>47</v>
      </c>
      <c r="H278" s="488" t="str">
        <f>+VLOOKUP(G278,[2]bd!A:C,2,0)</f>
        <v>BANCO CUSCATLAN DE EL SALVADOR S.A.</v>
      </c>
      <c r="I278" s="471"/>
      <c r="J278" s="471"/>
      <c r="K278" s="472">
        <v>133.80000000000001</v>
      </c>
      <c r="L278" s="471"/>
      <c r="M278" s="471">
        <v>17.39</v>
      </c>
      <c r="N278" s="471">
        <f t="shared" si="9"/>
        <v>151.19</v>
      </c>
      <c r="O278" s="471">
        <v>0</v>
      </c>
      <c r="P278" s="471">
        <v>0</v>
      </c>
      <c r="Q278" s="556"/>
      <c r="R278" s="556"/>
      <c r="S278" s="556"/>
    </row>
    <row r="279" spans="2:19" x14ac:dyDescent="0.2">
      <c r="B279" s="193">
        <v>4</v>
      </c>
      <c r="C279" s="194">
        <v>43354</v>
      </c>
      <c r="D279" s="194">
        <v>43346</v>
      </c>
      <c r="E279" s="195" t="s">
        <v>481</v>
      </c>
      <c r="F279" s="162" t="s">
        <v>482</v>
      </c>
      <c r="G279" s="196" t="s">
        <v>208</v>
      </c>
      <c r="H279" s="197" t="str">
        <f>+VLOOKUP(G279,[2]bd!A:C,2,0)</f>
        <v>KPMG, S.A.</v>
      </c>
      <c r="I279" s="556"/>
      <c r="J279" s="556"/>
      <c r="K279" s="557">
        <v>118.18</v>
      </c>
      <c r="L279" s="556"/>
      <c r="M279" s="556">
        <v>15.36</v>
      </c>
      <c r="N279" s="556">
        <f t="shared" si="9"/>
        <v>133.54000000000002</v>
      </c>
      <c r="O279" s="556">
        <v>0</v>
      </c>
      <c r="P279" s="558">
        <v>1.18</v>
      </c>
      <c r="Q279" s="556"/>
      <c r="R279" s="556"/>
      <c r="S279" s="556"/>
    </row>
    <row r="280" spans="2:19" x14ac:dyDescent="0.2">
      <c r="B280" s="193">
        <v>5</v>
      </c>
      <c r="C280" s="194">
        <v>43356</v>
      </c>
      <c r="D280" s="194">
        <v>43356</v>
      </c>
      <c r="E280" s="195" t="s">
        <v>483</v>
      </c>
      <c r="F280" s="162"/>
      <c r="G280" s="196" t="s">
        <v>188</v>
      </c>
      <c r="H280" s="197" t="str">
        <f>+VLOOKUP(G280,[2]bd!A:C,2,0)</f>
        <v>BOLSA DE VALORES DE EL SALVADOR, S.A. DE C.V.</v>
      </c>
      <c r="I280" s="556"/>
      <c r="J280" s="556"/>
      <c r="K280" s="557">
        <v>81.069999999999993</v>
      </c>
      <c r="L280" s="556"/>
      <c r="M280" s="556">
        <v>10.54</v>
      </c>
      <c r="N280" s="556">
        <f t="shared" si="9"/>
        <v>91.609999999999985</v>
      </c>
      <c r="O280" s="556">
        <v>0</v>
      </c>
      <c r="P280" s="558">
        <v>0</v>
      </c>
      <c r="Q280" s="556"/>
      <c r="R280" s="556"/>
      <c r="S280" s="556"/>
    </row>
    <row r="281" spans="2:19" x14ac:dyDescent="0.2">
      <c r="B281" s="193">
        <v>6</v>
      </c>
      <c r="C281" s="194">
        <v>43361</v>
      </c>
      <c r="D281" s="194">
        <v>43361</v>
      </c>
      <c r="E281" s="195" t="s">
        <v>484</v>
      </c>
      <c r="F281" s="162" t="s">
        <v>485</v>
      </c>
      <c r="G281" s="196" t="s">
        <v>208</v>
      </c>
      <c r="H281" s="197" t="str">
        <f>+VLOOKUP(G281,[2]bd!A:C,2,0)</f>
        <v>KPMG, S.A.</v>
      </c>
      <c r="I281" s="556"/>
      <c r="J281" s="556"/>
      <c r="K281" s="557">
        <v>344.44</v>
      </c>
      <c r="L281" s="556"/>
      <c r="M281" s="556">
        <v>44.78</v>
      </c>
      <c r="N281" s="556">
        <f t="shared" si="9"/>
        <v>389.22</v>
      </c>
      <c r="O281" s="556">
        <v>0</v>
      </c>
      <c r="P281" s="558">
        <v>3.44</v>
      </c>
      <c r="Q281" s="556"/>
      <c r="R281" s="556"/>
      <c r="S281" s="556"/>
    </row>
    <row r="282" spans="2:19" x14ac:dyDescent="0.2">
      <c r="B282" s="193">
        <v>7</v>
      </c>
      <c r="C282" s="194">
        <v>43361</v>
      </c>
      <c r="D282" s="194">
        <v>43361</v>
      </c>
      <c r="E282" s="195" t="s">
        <v>486</v>
      </c>
      <c r="F282" s="162"/>
      <c r="G282" s="196" t="s">
        <v>188</v>
      </c>
      <c r="H282" s="197" t="str">
        <f>+VLOOKUP(G282,[2]bd!A:C,2,0)</f>
        <v>BOLSA DE VALORES DE EL SALVADOR, S.A. DE C.V.</v>
      </c>
      <c r="I282" s="556"/>
      <c r="J282" s="556"/>
      <c r="K282" s="557">
        <v>95.89</v>
      </c>
      <c r="L282" s="556"/>
      <c r="M282" s="556">
        <v>12.47</v>
      </c>
      <c r="N282" s="556">
        <f t="shared" si="9"/>
        <v>108.36</v>
      </c>
      <c r="O282" s="556">
        <v>0</v>
      </c>
      <c r="P282" s="558">
        <v>0</v>
      </c>
      <c r="Q282" s="556"/>
      <c r="R282" s="556"/>
      <c r="S282" s="556"/>
    </row>
    <row r="283" spans="2:19" x14ac:dyDescent="0.2">
      <c r="B283" s="193">
        <v>8</v>
      </c>
      <c r="C283" s="194">
        <v>43367</v>
      </c>
      <c r="D283" s="194">
        <v>43367</v>
      </c>
      <c r="E283" s="195" t="s">
        <v>487</v>
      </c>
      <c r="F283" s="162"/>
      <c r="G283" s="196" t="s">
        <v>188</v>
      </c>
      <c r="H283" s="197" t="str">
        <f>+VLOOKUP(G283,[2]bd!A:C,2,0)</f>
        <v>BOLSA DE VALORES DE EL SALVADOR, S.A. DE C.V.</v>
      </c>
      <c r="I283" s="556"/>
      <c r="J283" s="556"/>
      <c r="K283" s="557">
        <v>41.1</v>
      </c>
      <c r="L283" s="556"/>
      <c r="M283" s="556">
        <v>5.34</v>
      </c>
      <c r="N283" s="556">
        <f t="shared" si="9"/>
        <v>46.44</v>
      </c>
      <c r="O283" s="556"/>
      <c r="P283" s="558">
        <v>0</v>
      </c>
      <c r="Q283" s="556"/>
      <c r="R283" s="556"/>
      <c r="S283" s="556"/>
    </row>
    <row r="284" spans="2:19" x14ac:dyDescent="0.2">
      <c r="B284" s="193">
        <v>9</v>
      </c>
      <c r="C284" s="194">
        <v>43371</v>
      </c>
      <c r="D284" s="194">
        <v>43371</v>
      </c>
      <c r="E284" s="195" t="s">
        <v>488</v>
      </c>
      <c r="F284" s="162"/>
      <c r="G284" s="196" t="s">
        <v>188</v>
      </c>
      <c r="H284" s="197" t="str">
        <f>+VLOOKUP(G284,[2]bd!A:C,2,0)</f>
        <v>BOLSA DE VALORES DE EL SALVADOR, S.A. DE C.V.</v>
      </c>
      <c r="I284" s="556"/>
      <c r="J284" s="556"/>
      <c r="K284" s="557">
        <v>54.8</v>
      </c>
      <c r="L284" s="556"/>
      <c r="M284" s="556">
        <v>7.12</v>
      </c>
      <c r="N284" s="556">
        <f t="shared" si="9"/>
        <v>61.919999999999995</v>
      </c>
      <c r="O284" s="556">
        <v>0</v>
      </c>
      <c r="P284" s="558">
        <v>0</v>
      </c>
      <c r="Q284" s="556"/>
      <c r="R284" s="556"/>
      <c r="S284" s="556"/>
    </row>
    <row r="286" spans="2:19" x14ac:dyDescent="0.2">
      <c r="B286" s="193">
        <v>28</v>
      </c>
      <c r="C286" s="194"/>
      <c r="D286" s="194"/>
      <c r="E286" s="195"/>
      <c r="F286" s="162"/>
      <c r="G286" s="196"/>
      <c r="H286" s="197"/>
      <c r="I286" s="556"/>
      <c r="J286" s="556"/>
      <c r="K286" s="557"/>
      <c r="L286" s="556"/>
      <c r="M286" s="556"/>
      <c r="N286" s="556"/>
      <c r="O286" s="556"/>
      <c r="P286" s="558">
        <v>0</v>
      </c>
      <c r="Q286" s="556"/>
      <c r="R286" s="556"/>
      <c r="S286" s="556"/>
    </row>
    <row r="287" spans="2:19" x14ac:dyDescent="0.2">
      <c r="B287" s="193"/>
      <c r="C287" s="194"/>
      <c r="D287" s="194"/>
      <c r="E287" s="195"/>
      <c r="F287" s="162"/>
      <c r="G287" s="196"/>
      <c r="H287" s="197" t="s">
        <v>273</v>
      </c>
      <c r="I287" s="556"/>
      <c r="J287" s="556"/>
      <c r="K287" s="562"/>
      <c r="L287" s="556"/>
      <c r="M287" s="562">
        <v>-1333.4</v>
      </c>
      <c r="N287" s="556"/>
      <c r="O287" s="556"/>
      <c r="P287" s="558">
        <v>0</v>
      </c>
      <c r="Q287" s="556"/>
      <c r="R287" s="556"/>
      <c r="S287" s="556"/>
    </row>
    <row r="288" spans="2:19" x14ac:dyDescent="0.2">
      <c r="B288" s="193"/>
      <c r="C288" s="194"/>
      <c r="D288" s="194"/>
      <c r="E288" s="195"/>
      <c r="F288" s="162"/>
      <c r="G288" s="196"/>
      <c r="H288" s="197"/>
      <c r="I288" s="556"/>
      <c r="J288" s="556"/>
      <c r="K288" s="557"/>
      <c r="L288" s="556"/>
      <c r="M288" s="556"/>
      <c r="N288" s="556"/>
      <c r="O288" s="556"/>
      <c r="P288" s="558"/>
      <c r="Q288" s="556"/>
      <c r="R288" s="556"/>
      <c r="S288" s="556"/>
    </row>
    <row r="289" spans="2:19" x14ac:dyDescent="0.2">
      <c r="B289" s="193"/>
      <c r="C289" s="194"/>
      <c r="D289" s="194"/>
      <c r="E289" s="195"/>
      <c r="F289" s="333"/>
      <c r="G289" s="196"/>
      <c r="H289" s="197"/>
      <c r="I289" s="556"/>
      <c r="J289" s="556"/>
      <c r="K289" s="557"/>
      <c r="L289" s="556"/>
      <c r="M289" s="556"/>
      <c r="N289" s="556"/>
      <c r="O289" s="556"/>
      <c r="P289" s="556"/>
      <c r="Q289" s="556"/>
      <c r="R289" s="556"/>
      <c r="S289" s="556"/>
    </row>
    <row r="290" spans="2:19" x14ac:dyDescent="0.2">
      <c r="B290" s="193"/>
      <c r="C290" s="194"/>
      <c r="D290" s="194"/>
      <c r="E290" s="195"/>
      <c r="F290" s="333"/>
      <c r="G290" s="196"/>
      <c r="H290" s="197"/>
      <c r="I290" s="556"/>
      <c r="J290" s="556"/>
      <c r="K290" s="557"/>
      <c r="L290" s="556"/>
      <c r="M290" s="556"/>
      <c r="N290" s="556"/>
      <c r="O290" s="556"/>
      <c r="P290" s="556"/>
      <c r="Q290" s="556"/>
      <c r="R290" s="556"/>
      <c r="S290" s="556"/>
    </row>
    <row r="291" spans="2:19" x14ac:dyDescent="0.2">
      <c r="B291" s="193"/>
      <c r="C291" s="194"/>
      <c r="D291" s="194"/>
      <c r="E291" s="195"/>
      <c r="F291" s="333"/>
      <c r="G291" s="196"/>
      <c r="H291" s="197"/>
      <c r="I291" s="556"/>
      <c r="J291" s="556"/>
      <c r="K291" s="557"/>
      <c r="L291" s="556"/>
      <c r="M291" s="556"/>
      <c r="N291" s="556"/>
      <c r="O291" s="556"/>
      <c r="P291" s="556"/>
      <c r="Q291" s="556"/>
      <c r="R291" s="556"/>
      <c r="S291" s="556"/>
    </row>
    <row r="292" spans="2:19" x14ac:dyDescent="0.2">
      <c r="B292" s="193"/>
      <c r="C292" s="194"/>
      <c r="D292" s="194"/>
      <c r="E292" s="195"/>
      <c r="F292" s="333"/>
      <c r="G292" s="196"/>
      <c r="H292" s="197"/>
      <c r="I292" s="556"/>
      <c r="J292" s="556"/>
      <c r="K292" s="557"/>
      <c r="L292" s="556"/>
      <c r="M292" s="556"/>
      <c r="N292" s="556"/>
      <c r="O292" s="556"/>
      <c r="P292" s="558"/>
      <c r="Q292" s="556"/>
      <c r="R292" s="556"/>
      <c r="S292" s="556"/>
    </row>
    <row r="293" spans="2:19" x14ac:dyDescent="0.2">
      <c r="B293" s="193"/>
      <c r="C293" s="194"/>
      <c r="D293" s="194"/>
      <c r="E293" s="195"/>
      <c r="F293" s="1041"/>
      <c r="G293" s="196"/>
      <c r="H293" s="197"/>
      <c r="I293" s="564"/>
      <c r="J293" s="556"/>
      <c r="K293" s="557"/>
      <c r="L293" s="556"/>
      <c r="M293" s="556"/>
      <c r="N293" s="556"/>
      <c r="O293" s="556"/>
      <c r="P293" s="556"/>
      <c r="Q293" s="556"/>
      <c r="R293" s="556"/>
      <c r="S293" s="556"/>
    </row>
    <row r="294" spans="2:19" x14ac:dyDescent="0.2">
      <c r="B294" s="193"/>
      <c r="C294" s="194"/>
      <c r="D294" s="194"/>
      <c r="E294" s="195"/>
      <c r="F294" s="1041"/>
      <c r="G294" s="196"/>
      <c r="H294" s="197"/>
      <c r="I294" s="556"/>
      <c r="J294" s="556"/>
      <c r="K294" s="557"/>
      <c r="L294" s="556"/>
      <c r="M294" s="556"/>
      <c r="N294" s="556"/>
      <c r="O294" s="556"/>
      <c r="P294" s="556"/>
      <c r="Q294" s="556"/>
      <c r="R294" s="556"/>
      <c r="S294" s="556"/>
    </row>
    <row r="295" spans="2:19" x14ac:dyDescent="0.2">
      <c r="B295" s="193"/>
      <c r="C295" s="194"/>
      <c r="D295" s="194"/>
      <c r="E295" s="195"/>
      <c r="F295" s="320"/>
      <c r="G295" s="196"/>
      <c r="H295" s="197"/>
      <c r="I295" s="556"/>
      <c r="J295" s="556"/>
      <c r="K295" s="557"/>
      <c r="L295" s="556"/>
      <c r="M295" s="556"/>
      <c r="N295" s="556"/>
      <c r="O295" s="556"/>
      <c r="P295" s="556"/>
      <c r="Q295" s="556"/>
      <c r="R295" s="556"/>
      <c r="S295" s="556"/>
    </row>
    <row r="296" spans="2:19" x14ac:dyDescent="0.2">
      <c r="B296" s="193"/>
      <c r="C296" s="194"/>
      <c r="D296" s="194"/>
      <c r="E296" s="195"/>
      <c r="F296" s="321"/>
      <c r="G296" s="196"/>
      <c r="H296" s="197"/>
      <c r="I296" s="556"/>
      <c r="J296" s="556"/>
      <c r="K296" s="556"/>
      <c r="L296" s="556"/>
      <c r="M296" s="556"/>
      <c r="N296" s="556">
        <f t="shared" ref="N296" si="10">+K296+M296</f>
        <v>0</v>
      </c>
      <c r="O296" s="556"/>
      <c r="P296" s="556"/>
      <c r="Q296" s="556"/>
      <c r="R296" s="556"/>
      <c r="S296" s="556"/>
    </row>
    <row r="297" spans="2:19" ht="13.5" thickBot="1" x14ac:dyDescent="0.25">
      <c r="B297" s="265"/>
      <c r="C297" s="266"/>
      <c r="D297" s="267"/>
      <c r="E297" s="266"/>
      <c r="F297" s="268"/>
      <c r="G297" s="269"/>
      <c r="H297" s="270"/>
      <c r="I297" s="271"/>
      <c r="J297" s="272"/>
      <c r="K297" s="272"/>
      <c r="L297" s="273"/>
      <c r="M297" s="272"/>
      <c r="N297" s="272"/>
      <c r="O297" s="272"/>
      <c r="P297" s="272"/>
      <c r="Q297" s="274"/>
      <c r="R297" s="274"/>
      <c r="S297" s="274"/>
    </row>
    <row r="298" spans="2:19" x14ac:dyDescent="0.2">
      <c r="B298" s="175"/>
      <c r="C298" s="176"/>
      <c r="D298" s="275"/>
      <c r="E298" s="176"/>
      <c r="F298" s="276"/>
      <c r="G298" s="277"/>
      <c r="H298" s="178"/>
      <c r="I298" s="278"/>
      <c r="J298" s="171"/>
      <c r="K298" s="171"/>
      <c r="L298" s="279"/>
      <c r="M298" s="171"/>
      <c r="N298" s="171"/>
      <c r="O298" s="171"/>
      <c r="P298" s="171"/>
      <c r="Q298" s="280"/>
      <c r="R298" s="280"/>
      <c r="S298" s="280"/>
    </row>
    <row r="299" spans="2:19" x14ac:dyDescent="0.2">
      <c r="B299" s="175"/>
      <c r="C299" s="164"/>
      <c r="D299" s="165"/>
      <c r="E299" s="164"/>
      <c r="F299" s="281"/>
      <c r="G299" s="277"/>
      <c r="H299" s="282" t="s">
        <v>261</v>
      </c>
      <c r="I299" s="279">
        <f t="shared" ref="I299:S299" si="11">SUM(I259:I297)</f>
        <v>0</v>
      </c>
      <c r="J299" s="279">
        <f t="shared" si="11"/>
        <v>0</v>
      </c>
      <c r="K299" s="279">
        <f t="shared" si="11"/>
        <v>12723.73</v>
      </c>
      <c r="L299" s="279">
        <f t="shared" si="11"/>
        <v>0</v>
      </c>
      <c r="M299" s="279">
        <f>SUM(M259:M297)</f>
        <v>0</v>
      </c>
      <c r="N299" s="279">
        <f t="shared" si="11"/>
        <v>14377.79</v>
      </c>
      <c r="O299" s="279">
        <f t="shared" si="11"/>
        <v>0</v>
      </c>
      <c r="P299" s="279">
        <f t="shared" si="11"/>
        <v>31.21</v>
      </c>
      <c r="Q299" s="279">
        <f t="shared" si="11"/>
        <v>0</v>
      </c>
      <c r="R299" s="279">
        <f t="shared" si="11"/>
        <v>0</v>
      </c>
      <c r="S299" s="279">
        <f t="shared" si="11"/>
        <v>0.13</v>
      </c>
    </row>
    <row r="300" spans="2:19" ht="13.5" thickBot="1" x14ac:dyDescent="0.25">
      <c r="B300" s="265"/>
      <c r="C300" s="283"/>
      <c r="D300" s="284"/>
      <c r="E300" s="283"/>
      <c r="F300" s="285"/>
      <c r="G300" s="269"/>
      <c r="H300" s="286"/>
      <c r="I300" s="273"/>
      <c r="J300" s="287"/>
      <c r="K300" s="287"/>
      <c r="L300" s="287"/>
      <c r="M300" s="287"/>
      <c r="N300" s="287"/>
      <c r="O300" s="287"/>
      <c r="P300" s="287"/>
      <c r="Q300" s="273"/>
      <c r="R300" s="273"/>
      <c r="S300" s="588"/>
    </row>
    <row r="306" spans="2:19" ht="21" x14ac:dyDescent="0.35">
      <c r="B306" s="493" t="s">
        <v>218</v>
      </c>
      <c r="C306" s="494"/>
      <c r="D306" s="495"/>
      <c r="E306" s="495"/>
      <c r="F306" s="495"/>
      <c r="G306" s="496"/>
      <c r="H306" s="497"/>
      <c r="I306" s="497"/>
      <c r="J306" s="497"/>
      <c r="K306" s="497"/>
      <c r="L306" s="497"/>
      <c r="M306" s="497"/>
      <c r="N306" s="498"/>
      <c r="O306" s="492"/>
      <c r="P306" s="492"/>
      <c r="Q306" s="492"/>
      <c r="R306" s="492"/>
      <c r="S306" s="492"/>
    </row>
    <row r="307" spans="2:19" ht="15.75" x14ac:dyDescent="0.25">
      <c r="B307" s="495" t="s">
        <v>134</v>
      </c>
      <c r="C307" s="495"/>
      <c r="D307" s="495"/>
      <c r="E307" s="495"/>
      <c r="F307" s="495"/>
      <c r="G307" s="496"/>
      <c r="H307" s="497"/>
      <c r="I307" s="497"/>
      <c r="J307" s="497"/>
      <c r="K307" s="497"/>
      <c r="L307" s="1044"/>
      <c r="M307" s="1044"/>
      <c r="N307" s="498"/>
      <c r="O307" s="492"/>
      <c r="P307" s="492"/>
      <c r="Q307" s="492"/>
      <c r="R307" s="492"/>
      <c r="S307" s="492"/>
    </row>
    <row r="308" spans="2:19" ht="15.75" x14ac:dyDescent="0.25">
      <c r="B308" s="494" t="s">
        <v>135</v>
      </c>
      <c r="C308" s="495"/>
      <c r="D308" s="495"/>
      <c r="E308" s="495"/>
      <c r="F308" s="495"/>
      <c r="G308" s="496"/>
      <c r="H308" s="497"/>
      <c r="I308" s="497"/>
      <c r="J308" s="497"/>
      <c r="K308" s="497"/>
      <c r="L308" s="497"/>
      <c r="M308" s="497"/>
      <c r="N308" s="498"/>
      <c r="O308" s="492"/>
      <c r="P308" s="492"/>
      <c r="Q308" s="492"/>
      <c r="R308" s="492"/>
      <c r="S308" s="492"/>
    </row>
    <row r="309" spans="2:19" ht="15.75" x14ac:dyDescent="0.25">
      <c r="B309" s="495" t="s">
        <v>190</v>
      </c>
      <c r="C309" s="495"/>
      <c r="D309" s="495"/>
      <c r="E309" s="495"/>
      <c r="F309" s="495"/>
      <c r="G309" s="496"/>
      <c r="H309" s="497"/>
      <c r="I309" s="497"/>
      <c r="J309" s="497"/>
      <c r="K309" s="497"/>
      <c r="L309" s="497"/>
      <c r="M309" s="497"/>
      <c r="N309" s="498"/>
      <c r="O309" s="492"/>
      <c r="P309" s="492"/>
      <c r="Q309" s="492"/>
      <c r="R309" s="492"/>
      <c r="S309" s="492"/>
    </row>
    <row r="310" spans="2:19" ht="15.75" x14ac:dyDescent="0.25">
      <c r="B310" s="499" t="s">
        <v>219</v>
      </c>
      <c r="C310" s="500" t="s">
        <v>528</v>
      </c>
      <c r="D310" s="501"/>
      <c r="E310" s="502">
        <v>2018</v>
      </c>
      <c r="F310" s="495"/>
      <c r="G310" s="496"/>
      <c r="H310" s="162"/>
      <c r="I310" s="504"/>
      <c r="J310" s="504"/>
      <c r="K310" s="504"/>
      <c r="L310" s="504"/>
      <c r="M310" s="504"/>
      <c r="N310" s="498"/>
      <c r="O310" s="492"/>
      <c r="P310" s="492"/>
      <c r="Q310" s="492"/>
      <c r="R310" s="492"/>
      <c r="S310" s="492"/>
    </row>
    <row r="311" spans="2:19" x14ac:dyDescent="0.2">
      <c r="B311" s="163"/>
      <c r="C311" s="164"/>
      <c r="D311" s="165"/>
      <c r="E311" s="166"/>
      <c r="F311" s="167"/>
      <c r="G311" s="168"/>
      <c r="H311" s="168"/>
      <c r="I311" s="169"/>
      <c r="J311" s="170"/>
      <c r="K311" s="171"/>
      <c r="L311" s="170"/>
      <c r="M311" s="171"/>
      <c r="N311" s="171"/>
      <c r="O311" s="170"/>
      <c r="P311" s="170"/>
      <c r="Q311" s="168"/>
      <c r="R311" s="168"/>
      <c r="S311" s="172"/>
    </row>
    <row r="312" spans="2:19" x14ac:dyDescent="0.2">
      <c r="B312" s="163"/>
      <c r="C312" s="164"/>
      <c r="D312" s="165"/>
      <c r="E312" s="166"/>
      <c r="F312" s="243"/>
      <c r="G312" s="173"/>
      <c r="H312" s="174"/>
      <c r="I312" s="169"/>
      <c r="J312" s="170"/>
      <c r="K312" s="171"/>
      <c r="L312" s="170"/>
      <c r="M312" s="171"/>
      <c r="N312" s="171"/>
      <c r="O312" s="170"/>
      <c r="P312" s="170"/>
      <c r="Q312" s="168"/>
      <c r="R312" s="168"/>
      <c r="S312" s="172"/>
    </row>
    <row r="313" spans="2:19" x14ac:dyDescent="0.2">
      <c r="B313" s="175"/>
      <c r="C313" s="176"/>
      <c r="D313" s="177"/>
      <c r="E313" s="166"/>
      <c r="F313" s="167"/>
      <c r="G313" s="178"/>
      <c r="H313" s="168"/>
      <c r="I313" s="169"/>
      <c r="J313" s="170"/>
      <c r="K313" s="171"/>
      <c r="L313" s="170"/>
      <c r="M313" s="171"/>
      <c r="N313" s="171"/>
      <c r="O313" s="170"/>
      <c r="P313" s="522">
        <v>0.01</v>
      </c>
      <c r="Q313" s="168"/>
      <c r="R313" s="168" t="s">
        <v>220</v>
      </c>
      <c r="S313" s="523">
        <v>0.13</v>
      </c>
    </row>
    <row r="314" spans="2:19" x14ac:dyDescent="0.2">
      <c r="B314" s="179" t="s">
        <v>221</v>
      </c>
      <c r="C314" s="180" t="s">
        <v>136</v>
      </c>
      <c r="D314" s="181" t="s">
        <v>136</v>
      </c>
      <c r="E314" s="182" t="s">
        <v>137</v>
      </c>
      <c r="F314" s="182" t="s">
        <v>222</v>
      </c>
      <c r="G314" s="312" t="s">
        <v>223</v>
      </c>
      <c r="H314" s="1042" t="s">
        <v>139</v>
      </c>
      <c r="I314" s="328" t="s">
        <v>224</v>
      </c>
      <c r="J314" s="329"/>
      <c r="K314" s="330" t="s">
        <v>225</v>
      </c>
      <c r="L314" s="331"/>
      <c r="M314" s="332"/>
      <c r="N314" s="313" t="s">
        <v>140</v>
      </c>
      <c r="O314" s="183" t="s">
        <v>226</v>
      </c>
      <c r="P314" s="184" t="s">
        <v>227</v>
      </c>
      <c r="Q314" s="185" t="s">
        <v>228</v>
      </c>
      <c r="R314" s="185" t="s">
        <v>229</v>
      </c>
      <c r="S314" s="185" t="s">
        <v>229</v>
      </c>
    </row>
    <row r="315" spans="2:19" x14ac:dyDescent="0.2">
      <c r="B315" s="186"/>
      <c r="C315" s="187" t="s">
        <v>230</v>
      </c>
      <c r="D315" s="188" t="s">
        <v>141</v>
      </c>
      <c r="E315" s="189" t="s">
        <v>141</v>
      </c>
      <c r="F315" s="190" t="s">
        <v>231</v>
      </c>
      <c r="G315" s="314" t="s">
        <v>142</v>
      </c>
      <c r="H315" s="1043"/>
      <c r="I315" s="315" t="s">
        <v>232</v>
      </c>
      <c r="J315" s="316" t="s">
        <v>233</v>
      </c>
      <c r="K315" s="317" t="s">
        <v>232</v>
      </c>
      <c r="L315" s="318" t="s">
        <v>233</v>
      </c>
      <c r="M315" s="317" t="s">
        <v>46</v>
      </c>
      <c r="N315" s="319" t="s">
        <v>234</v>
      </c>
      <c r="O315" s="191" t="s">
        <v>235</v>
      </c>
      <c r="P315" s="191" t="s">
        <v>236</v>
      </c>
      <c r="Q315" s="192" t="s">
        <v>237</v>
      </c>
      <c r="R315" s="192" t="s">
        <v>238</v>
      </c>
      <c r="S315" s="192" t="s">
        <v>239</v>
      </c>
    </row>
    <row r="316" spans="2:19" x14ac:dyDescent="0.2">
      <c r="B316" s="193">
        <v>1</v>
      </c>
      <c r="C316" s="194">
        <v>43374</v>
      </c>
      <c r="D316" s="194">
        <v>43374</v>
      </c>
      <c r="E316" s="195" t="s">
        <v>529</v>
      </c>
      <c r="F316" s="162"/>
      <c r="G316" s="196" t="s">
        <v>188</v>
      </c>
      <c r="H316" s="197" t="str">
        <f>+VLOOKUP(G316,[3]bd!A:C,2,0)</f>
        <v>BOLSA DE VALORES DE EL SALVADOR, S.A. DE C.V.</v>
      </c>
      <c r="I316" s="556"/>
      <c r="J316" s="556"/>
      <c r="K316" s="557">
        <v>14.02</v>
      </c>
      <c r="L316" s="556"/>
      <c r="M316" s="556">
        <v>1.82</v>
      </c>
      <c r="N316" s="556">
        <f>+K316+M316</f>
        <v>15.84</v>
      </c>
      <c r="O316" s="556">
        <v>0</v>
      </c>
      <c r="P316" s="558">
        <v>0</v>
      </c>
      <c r="Q316" s="556"/>
      <c r="R316" s="556"/>
      <c r="S316" s="556"/>
    </row>
    <row r="317" spans="2:19" x14ac:dyDescent="0.2">
      <c r="B317" s="193">
        <v>2</v>
      </c>
      <c r="C317" s="194">
        <v>43375</v>
      </c>
      <c r="D317" s="194">
        <v>43375</v>
      </c>
      <c r="E317" s="195" t="s">
        <v>530</v>
      </c>
      <c r="F317" s="162"/>
      <c r="G317" s="196" t="s">
        <v>188</v>
      </c>
      <c r="H317" s="197" t="str">
        <f>+VLOOKUP(G317,[3]bd!A:C,2,0)</f>
        <v>BOLSA DE VALORES DE EL SALVADOR, S.A. DE C.V.</v>
      </c>
      <c r="I317" s="556"/>
      <c r="J317" s="556"/>
      <c r="K317" s="557">
        <v>95.89</v>
      </c>
      <c r="L317" s="556"/>
      <c r="M317" s="556">
        <v>12.47</v>
      </c>
      <c r="N317" s="556">
        <f t="shared" ref="N317:N339" si="12">+K317+M317</f>
        <v>108.36</v>
      </c>
      <c r="O317" s="556">
        <v>0</v>
      </c>
      <c r="P317" s="558">
        <v>0</v>
      </c>
      <c r="Q317" s="556"/>
      <c r="R317" s="556"/>
      <c r="S317" s="556"/>
    </row>
    <row r="318" spans="2:19" x14ac:dyDescent="0.2">
      <c r="B318" s="193">
        <v>3</v>
      </c>
      <c r="C318" s="194">
        <v>43375</v>
      </c>
      <c r="D318" s="194">
        <v>43343</v>
      </c>
      <c r="E318" s="195" t="s">
        <v>531</v>
      </c>
      <c r="F318" s="162" t="s">
        <v>532</v>
      </c>
      <c r="G318" s="196" t="s">
        <v>212</v>
      </c>
      <c r="H318" s="197" t="str">
        <f>+VLOOKUP(G318,[3]bd!A:C,2,0)</f>
        <v>CENTRAL DE DEPOSITO DE VALORES, S.A. DE C.V.</v>
      </c>
      <c r="I318" s="556"/>
      <c r="J318" s="556"/>
      <c r="K318" s="557">
        <v>1847.17</v>
      </c>
      <c r="L318" s="556"/>
      <c r="M318" s="556">
        <v>240.13</v>
      </c>
      <c r="N318" s="556">
        <f t="shared" si="12"/>
        <v>2087.3000000000002</v>
      </c>
      <c r="O318" s="556">
        <v>0</v>
      </c>
      <c r="P318" s="558">
        <f>K318*0.01</f>
        <v>18.471700000000002</v>
      </c>
      <c r="Q318" s="556"/>
      <c r="R318" s="556"/>
      <c r="S318" s="556"/>
    </row>
    <row r="319" spans="2:19" x14ac:dyDescent="0.2">
      <c r="B319" s="193">
        <v>4</v>
      </c>
      <c r="C319" s="194">
        <v>43375</v>
      </c>
      <c r="D319" s="194">
        <v>43343</v>
      </c>
      <c r="E319" s="195" t="s">
        <v>533</v>
      </c>
      <c r="F319" s="162"/>
      <c r="G319" s="196" t="s">
        <v>188</v>
      </c>
      <c r="H319" s="197" t="str">
        <f>+VLOOKUP(G319,[3]bd!A:C,2,0)</f>
        <v>BOLSA DE VALORES DE EL SALVADOR, S.A. DE C.V.</v>
      </c>
      <c r="I319" s="556"/>
      <c r="J319" s="556"/>
      <c r="K319" s="557">
        <v>252.05</v>
      </c>
      <c r="L319" s="556"/>
      <c r="M319" s="556">
        <v>32.770000000000003</v>
      </c>
      <c r="N319" s="556">
        <f t="shared" si="12"/>
        <v>284.82</v>
      </c>
      <c r="O319" s="556">
        <v>0</v>
      </c>
      <c r="P319" s="558"/>
      <c r="Q319" s="556"/>
      <c r="R319" s="556"/>
      <c r="S319" s="556"/>
    </row>
    <row r="320" spans="2:19" x14ac:dyDescent="0.2">
      <c r="B320" s="193">
        <v>5</v>
      </c>
      <c r="C320" s="194">
        <v>43375</v>
      </c>
      <c r="D320" s="194">
        <v>43343</v>
      </c>
      <c r="E320" s="195" t="s">
        <v>534</v>
      </c>
      <c r="F320" s="162"/>
      <c r="G320" s="196" t="s">
        <v>188</v>
      </c>
      <c r="H320" s="197" t="str">
        <f>+VLOOKUP(G320,[3]bd!A:C,2,0)</f>
        <v>BOLSA DE VALORES DE EL SALVADOR, S.A. DE C.V.</v>
      </c>
      <c r="I320" s="556"/>
      <c r="J320" s="556"/>
      <c r="K320" s="557">
        <v>195</v>
      </c>
      <c r="L320" s="556"/>
      <c r="M320" s="556">
        <v>25.35</v>
      </c>
      <c r="N320" s="556">
        <f t="shared" si="12"/>
        <v>220.35</v>
      </c>
      <c r="O320" s="556">
        <v>0</v>
      </c>
      <c r="P320" s="558">
        <v>0</v>
      </c>
      <c r="Q320" s="556"/>
      <c r="R320" s="556"/>
      <c r="S320" s="556"/>
    </row>
    <row r="321" spans="2:19" x14ac:dyDescent="0.2">
      <c r="B321" s="193">
        <v>6</v>
      </c>
      <c r="C321" s="194">
        <v>43378</v>
      </c>
      <c r="D321" s="194">
        <v>43374</v>
      </c>
      <c r="E321" s="195" t="s">
        <v>535</v>
      </c>
      <c r="F321" s="162" t="s">
        <v>536</v>
      </c>
      <c r="G321" s="196" t="s">
        <v>208</v>
      </c>
      <c r="H321" s="197" t="str">
        <f>+VLOOKUP(G321,[3]bd!A:C,2,0)</f>
        <v>KPMG, S.A.</v>
      </c>
      <c r="I321" s="556"/>
      <c r="J321" s="556"/>
      <c r="K321" s="557">
        <v>118.18</v>
      </c>
      <c r="L321" s="556"/>
      <c r="M321" s="556">
        <v>15.36</v>
      </c>
      <c r="N321" s="556">
        <f t="shared" si="12"/>
        <v>133.54000000000002</v>
      </c>
      <c r="O321" s="556">
        <v>0</v>
      </c>
      <c r="P321" s="558">
        <f>K321*0.01</f>
        <v>1.1818000000000002</v>
      </c>
      <c r="Q321" s="556"/>
      <c r="R321" s="556"/>
      <c r="S321" s="556"/>
    </row>
    <row r="322" spans="2:19" x14ac:dyDescent="0.2">
      <c r="B322" s="193">
        <v>7</v>
      </c>
      <c r="C322" s="194">
        <v>43381</v>
      </c>
      <c r="D322" s="194">
        <v>43381</v>
      </c>
      <c r="E322" s="195" t="s">
        <v>537</v>
      </c>
      <c r="F322" s="162"/>
      <c r="G322" s="196" t="s">
        <v>188</v>
      </c>
      <c r="H322" s="197" t="str">
        <f>+VLOOKUP(G322,[3]bd!A:C,2,0)</f>
        <v>BOLSA DE VALORES DE EL SALVADOR, S.A. DE C.V.</v>
      </c>
      <c r="I322" s="556"/>
      <c r="J322" s="556"/>
      <c r="K322" s="557">
        <v>119.87</v>
      </c>
      <c r="L322" s="556"/>
      <c r="M322" s="556">
        <v>15.58</v>
      </c>
      <c r="N322" s="556">
        <f t="shared" si="12"/>
        <v>135.45000000000002</v>
      </c>
      <c r="O322" s="556">
        <v>0</v>
      </c>
      <c r="P322" s="558">
        <v>0</v>
      </c>
      <c r="Q322" s="556"/>
      <c r="R322" s="556"/>
      <c r="S322" s="556"/>
    </row>
    <row r="323" spans="2:19" x14ac:dyDescent="0.2">
      <c r="B323" s="193">
        <v>8</v>
      </c>
      <c r="C323" s="194">
        <v>43384</v>
      </c>
      <c r="D323" s="194">
        <v>43384</v>
      </c>
      <c r="E323" s="195" t="s">
        <v>538</v>
      </c>
      <c r="F323" s="162"/>
      <c r="G323" s="196" t="s">
        <v>188</v>
      </c>
      <c r="H323" s="197" t="str">
        <f>+VLOOKUP(G323,[3]bd!A:C,2,0)</f>
        <v>BOLSA DE VALORES DE EL SALVADOR, S.A. DE C.V.</v>
      </c>
      <c r="I323" s="556"/>
      <c r="J323" s="556"/>
      <c r="K323" s="557">
        <v>45.55</v>
      </c>
      <c r="L323" s="556"/>
      <c r="M323" s="556">
        <v>5.92</v>
      </c>
      <c r="N323" s="556">
        <f t="shared" si="12"/>
        <v>51.47</v>
      </c>
      <c r="O323" s="556"/>
      <c r="P323" s="558">
        <v>0</v>
      </c>
      <c r="Q323" s="556"/>
      <c r="R323" s="556"/>
      <c r="S323" s="556"/>
    </row>
    <row r="324" spans="2:19" x14ac:dyDescent="0.2">
      <c r="B324" s="193">
        <v>9</v>
      </c>
      <c r="C324" s="194">
        <v>43388</v>
      </c>
      <c r="D324" s="194">
        <v>43388</v>
      </c>
      <c r="E324" s="195" t="s">
        <v>539</v>
      </c>
      <c r="F324" s="162"/>
      <c r="G324" s="196" t="s">
        <v>188</v>
      </c>
      <c r="H324" s="197" t="str">
        <f>+VLOOKUP(G324,[3]bd!A:C,2,0)</f>
        <v>BOLSA DE VALORES DE EL SALVADOR, S.A. DE C.V.</v>
      </c>
      <c r="I324" s="556"/>
      <c r="J324" s="556"/>
      <c r="K324" s="557">
        <v>47.95</v>
      </c>
      <c r="L324" s="556"/>
      <c r="M324" s="556">
        <v>6.23</v>
      </c>
      <c r="N324" s="556">
        <f t="shared" si="12"/>
        <v>54.180000000000007</v>
      </c>
      <c r="O324" s="556">
        <v>0</v>
      </c>
      <c r="P324" s="558">
        <v>0</v>
      </c>
      <c r="Q324" s="556"/>
      <c r="R324" s="556"/>
      <c r="S324" s="556"/>
    </row>
    <row r="325" spans="2:19" x14ac:dyDescent="0.2">
      <c r="B325" s="193">
        <v>10</v>
      </c>
      <c r="C325" s="194">
        <v>43389</v>
      </c>
      <c r="D325" s="194">
        <v>43389</v>
      </c>
      <c r="E325" s="195" t="s">
        <v>540</v>
      </c>
      <c r="F325" s="162"/>
      <c r="G325" s="196" t="s">
        <v>188</v>
      </c>
      <c r="H325" s="197" t="str">
        <f>+VLOOKUP(G325,[3]bd!A:C,2,0)</f>
        <v>BOLSA DE VALORES DE EL SALVADOR, S.A. DE C.V.</v>
      </c>
      <c r="I325" s="556"/>
      <c r="J325" s="556"/>
      <c r="K325" s="557">
        <v>83.87</v>
      </c>
      <c r="L325" s="556"/>
      <c r="M325" s="556">
        <v>10.9</v>
      </c>
      <c r="N325" s="556">
        <f t="shared" si="12"/>
        <v>94.77000000000001</v>
      </c>
      <c r="O325" s="556">
        <v>0</v>
      </c>
      <c r="P325" s="558">
        <v>0</v>
      </c>
      <c r="Q325" s="556"/>
      <c r="R325" s="556"/>
      <c r="S325" s="556"/>
    </row>
    <row r="326" spans="2:19" x14ac:dyDescent="0.2">
      <c r="B326" s="193">
        <v>11</v>
      </c>
      <c r="C326" s="194">
        <v>43390</v>
      </c>
      <c r="D326" s="256">
        <v>43390</v>
      </c>
      <c r="E326" s="195" t="s">
        <v>541</v>
      </c>
      <c r="F326" s="162"/>
      <c r="G326" s="196" t="s">
        <v>188</v>
      </c>
      <c r="H326" s="197" t="str">
        <f>+VLOOKUP(G326,[3]bd!A:C,2,0)</f>
        <v>BOLSA DE VALORES DE EL SALVADOR, S.A. DE C.V.</v>
      </c>
      <c r="I326" s="556"/>
      <c r="J326" s="556"/>
      <c r="K326" s="557">
        <v>82.19</v>
      </c>
      <c r="L326" s="556"/>
      <c r="M326" s="556">
        <v>10.69</v>
      </c>
      <c r="N326" s="556">
        <f t="shared" si="12"/>
        <v>92.88</v>
      </c>
      <c r="O326" s="556">
        <v>0</v>
      </c>
      <c r="P326" s="558">
        <v>0</v>
      </c>
      <c r="Q326" s="556"/>
      <c r="R326" s="556"/>
      <c r="S326" s="556"/>
    </row>
    <row r="327" spans="2:19" x14ac:dyDescent="0.2">
      <c r="B327" s="193">
        <v>12</v>
      </c>
      <c r="C327" s="194">
        <v>43390</v>
      </c>
      <c r="D327" s="194">
        <v>43357</v>
      </c>
      <c r="E327" s="195" t="s">
        <v>542</v>
      </c>
      <c r="F327" s="162"/>
      <c r="G327" s="196" t="s">
        <v>188</v>
      </c>
      <c r="H327" s="197" t="str">
        <f>+VLOOKUP(G327,[3]bd!A:C,2,0)</f>
        <v>BOLSA DE VALORES DE EL SALVADOR, S.A. DE C.V.</v>
      </c>
      <c r="I327" s="556"/>
      <c r="J327" s="556"/>
      <c r="K327" s="557">
        <v>195</v>
      </c>
      <c r="L327" s="556"/>
      <c r="M327" s="556">
        <v>25.35</v>
      </c>
      <c r="N327" s="556">
        <f t="shared" si="12"/>
        <v>220.35</v>
      </c>
      <c r="O327" s="556">
        <v>0</v>
      </c>
      <c r="P327" s="558">
        <v>0</v>
      </c>
      <c r="Q327" s="556"/>
      <c r="R327" s="556"/>
      <c r="S327" s="556"/>
    </row>
    <row r="328" spans="2:19" x14ac:dyDescent="0.2">
      <c r="B328" s="193">
        <v>13</v>
      </c>
      <c r="C328" s="194">
        <v>43390</v>
      </c>
      <c r="D328" s="256">
        <v>43371</v>
      </c>
      <c r="E328" s="195" t="s">
        <v>543</v>
      </c>
      <c r="F328" s="162" t="s">
        <v>544</v>
      </c>
      <c r="G328" s="196" t="s">
        <v>212</v>
      </c>
      <c r="H328" s="197" t="str">
        <f>+VLOOKUP(G328,[3]bd!A:C,2,0)</f>
        <v>CENTRAL DE DEPOSITO DE VALORES, S.A. DE C.V.</v>
      </c>
      <c r="I328" s="556"/>
      <c r="J328" s="556"/>
      <c r="K328" s="557">
        <v>1915.73</v>
      </c>
      <c r="L328" s="556"/>
      <c r="M328" s="556">
        <v>249.04</v>
      </c>
      <c r="N328" s="556">
        <f t="shared" si="12"/>
        <v>2164.77</v>
      </c>
      <c r="O328" s="556">
        <v>0</v>
      </c>
      <c r="P328" s="558">
        <f>K328*0.01</f>
        <v>19.157299999999999</v>
      </c>
      <c r="Q328" s="556"/>
      <c r="R328" s="556"/>
      <c r="S328" s="556"/>
    </row>
    <row r="329" spans="2:19" x14ac:dyDescent="0.2">
      <c r="B329" s="193">
        <v>14</v>
      </c>
      <c r="C329" s="194">
        <v>43391</v>
      </c>
      <c r="D329" s="256">
        <v>43391</v>
      </c>
      <c r="E329" s="195" t="s">
        <v>545</v>
      </c>
      <c r="F329" s="600"/>
      <c r="G329" s="196" t="s">
        <v>188</v>
      </c>
      <c r="H329" s="197" t="str">
        <f>+VLOOKUP(G329,[3]bd!A:C,2,0)</f>
        <v>BOLSA DE VALORES DE EL SALVADOR, S.A. DE C.V.</v>
      </c>
      <c r="I329" s="556"/>
      <c r="J329" s="556"/>
      <c r="K329" s="557">
        <v>47.95</v>
      </c>
      <c r="L329" s="556"/>
      <c r="M329" s="556">
        <v>6.23</v>
      </c>
      <c r="N329" s="556">
        <f t="shared" si="12"/>
        <v>54.180000000000007</v>
      </c>
      <c r="O329" s="556">
        <v>0</v>
      </c>
      <c r="P329" s="558">
        <v>0</v>
      </c>
      <c r="Q329" s="556"/>
      <c r="R329" s="556"/>
      <c r="S329" s="556"/>
    </row>
    <row r="330" spans="2:19" x14ac:dyDescent="0.2">
      <c r="B330" s="193">
        <v>15</v>
      </c>
      <c r="C330" s="194">
        <v>43392</v>
      </c>
      <c r="D330" s="256">
        <v>43342</v>
      </c>
      <c r="E330" s="195" t="s">
        <v>546</v>
      </c>
      <c r="F330" s="600" t="s">
        <v>547</v>
      </c>
      <c r="G330" s="196" t="s">
        <v>341</v>
      </c>
      <c r="H330" s="197" t="str">
        <f>+VLOOKUP(G330,[3]bd!A:C,2,0)</f>
        <v>OPERADORES LOGISTICOS RANSA, S.A. DE C.V.</v>
      </c>
      <c r="I330" s="556"/>
      <c r="J330" s="556"/>
      <c r="K330" s="557">
        <v>418.8</v>
      </c>
      <c r="L330" s="556"/>
      <c r="M330" s="556">
        <v>54.44</v>
      </c>
      <c r="N330" s="556">
        <f t="shared" si="12"/>
        <v>473.24</v>
      </c>
      <c r="O330" s="556">
        <v>0</v>
      </c>
      <c r="P330" s="558">
        <f t="shared" ref="P330:P332" si="13">K330*0.01</f>
        <v>4.1880000000000006</v>
      </c>
      <c r="Q330" s="556"/>
      <c r="R330" s="556"/>
      <c r="S330" s="556"/>
    </row>
    <row r="331" spans="2:19" x14ac:dyDescent="0.2">
      <c r="B331" s="193">
        <v>16</v>
      </c>
      <c r="C331" s="194">
        <v>43392</v>
      </c>
      <c r="D331" s="256">
        <v>43371</v>
      </c>
      <c r="E331" s="195" t="s">
        <v>548</v>
      </c>
      <c r="F331" s="600" t="s">
        <v>547</v>
      </c>
      <c r="G331" s="196" t="s">
        <v>341</v>
      </c>
      <c r="H331" s="197" t="str">
        <f>+VLOOKUP(G331,[3]bd!A:C,2,0)</f>
        <v>OPERADORES LOGISTICOS RANSA, S.A. DE C.V.</v>
      </c>
      <c r="I331" s="556"/>
      <c r="J331" s="556"/>
      <c r="K331" s="557">
        <v>418.8</v>
      </c>
      <c r="L331" s="556"/>
      <c r="M331" s="556">
        <v>54.44</v>
      </c>
      <c r="N331" s="556">
        <f t="shared" si="12"/>
        <v>473.24</v>
      </c>
      <c r="O331" s="556">
        <v>0</v>
      </c>
      <c r="P331" s="558">
        <f t="shared" si="13"/>
        <v>4.1880000000000006</v>
      </c>
      <c r="Q331" s="556"/>
      <c r="R331" s="556"/>
      <c r="S331" s="556"/>
    </row>
    <row r="332" spans="2:19" x14ac:dyDescent="0.2">
      <c r="B332" s="193">
        <v>17</v>
      </c>
      <c r="C332" s="194">
        <v>43392</v>
      </c>
      <c r="D332" s="256">
        <v>43385</v>
      </c>
      <c r="E332" s="195" t="s">
        <v>549</v>
      </c>
      <c r="F332" s="600" t="s">
        <v>547</v>
      </c>
      <c r="G332" s="196" t="s">
        <v>341</v>
      </c>
      <c r="H332" s="197" t="str">
        <f>+VLOOKUP(G332,[3]bd!A:C,2,0)</f>
        <v>OPERADORES LOGISTICOS RANSA, S.A. DE C.V.</v>
      </c>
      <c r="I332" s="556"/>
      <c r="J332" s="556"/>
      <c r="K332" s="557">
        <v>418.8</v>
      </c>
      <c r="L332" s="556"/>
      <c r="M332" s="556">
        <v>54.44</v>
      </c>
      <c r="N332" s="556">
        <f t="shared" si="12"/>
        <v>473.24</v>
      </c>
      <c r="O332" s="556">
        <v>0</v>
      </c>
      <c r="P332" s="558">
        <f t="shared" si="13"/>
        <v>4.1880000000000006</v>
      </c>
      <c r="Q332" s="556"/>
      <c r="R332" s="556"/>
      <c r="S332" s="556"/>
    </row>
    <row r="333" spans="2:19" x14ac:dyDescent="0.2">
      <c r="B333" s="193">
        <v>18</v>
      </c>
      <c r="C333" s="194">
        <v>43395</v>
      </c>
      <c r="D333" s="256">
        <v>43374</v>
      </c>
      <c r="E333" s="195" t="s">
        <v>550</v>
      </c>
      <c r="F333" s="600" t="s">
        <v>551</v>
      </c>
      <c r="G333" s="196" t="s">
        <v>208</v>
      </c>
      <c r="H333" s="197" t="str">
        <f>+VLOOKUP(G333,[3]bd!A:C,2,0)</f>
        <v>KPMG, S.A.</v>
      </c>
      <c r="I333" s="556"/>
      <c r="J333" s="556"/>
      <c r="K333" s="557">
        <v>344.44</v>
      </c>
      <c r="L333" s="556"/>
      <c r="M333" s="556">
        <v>44.78</v>
      </c>
      <c r="N333" s="556">
        <f t="shared" si="12"/>
        <v>389.22</v>
      </c>
      <c r="O333" s="556">
        <v>0</v>
      </c>
      <c r="P333" s="558">
        <f>K333*0.01</f>
        <v>3.4443999999999999</v>
      </c>
      <c r="Q333" s="556"/>
      <c r="R333" s="556"/>
      <c r="S333" s="556"/>
    </row>
    <row r="334" spans="2:19" x14ac:dyDescent="0.2">
      <c r="B334" s="602">
        <v>19</v>
      </c>
      <c r="C334" s="603">
        <v>43397</v>
      </c>
      <c r="D334" s="603">
        <v>43397</v>
      </c>
      <c r="E334" s="604" t="s">
        <v>552</v>
      </c>
      <c r="F334" s="605"/>
      <c r="G334" s="606" t="s">
        <v>47</v>
      </c>
      <c r="H334" s="488" t="str">
        <f>+VLOOKUP(G334,[3]bd!A:C,2,0)</f>
        <v>BANCO CUSCATLAN DE EL SALVADOR S.A.</v>
      </c>
      <c r="I334" s="471"/>
      <c r="J334" s="471"/>
      <c r="K334" s="472">
        <v>133.80000000000001</v>
      </c>
      <c r="L334" s="471"/>
      <c r="M334" s="471">
        <v>17.39</v>
      </c>
      <c r="N334" s="471">
        <f t="shared" si="12"/>
        <v>151.19</v>
      </c>
      <c r="O334" s="471">
        <v>0</v>
      </c>
      <c r="P334" s="471">
        <v>0</v>
      </c>
      <c r="Q334" s="556"/>
      <c r="R334" s="556"/>
      <c r="S334" s="556"/>
    </row>
    <row r="335" spans="2:19" x14ac:dyDescent="0.2">
      <c r="B335" s="193">
        <v>20</v>
      </c>
      <c r="C335" s="194">
        <v>43397</v>
      </c>
      <c r="D335" s="194">
        <v>43395</v>
      </c>
      <c r="E335" s="195" t="s">
        <v>553</v>
      </c>
      <c r="F335" s="600"/>
      <c r="G335" s="196" t="s">
        <v>554</v>
      </c>
      <c r="H335" s="197" t="str">
        <f>+VLOOKUP(G335,[3]bd!A:C,2,0)</f>
        <v>O &amp; R MARKETING COMMUNICATIONS, S.A DE C.V.</v>
      </c>
      <c r="I335" s="556"/>
      <c r="J335" s="556"/>
      <c r="K335" s="557">
        <v>60</v>
      </c>
      <c r="L335" s="556"/>
      <c r="M335" s="556">
        <v>7.8</v>
      </c>
      <c r="N335" s="556">
        <f t="shared" si="12"/>
        <v>67.8</v>
      </c>
      <c r="O335" s="556">
        <v>0</v>
      </c>
      <c r="P335" s="558">
        <v>0</v>
      </c>
      <c r="Q335" s="556"/>
      <c r="R335" s="556"/>
      <c r="S335" s="556"/>
    </row>
    <row r="336" spans="2:19" x14ac:dyDescent="0.2">
      <c r="B336" s="193">
        <v>21</v>
      </c>
      <c r="C336" s="194">
        <v>43397</v>
      </c>
      <c r="D336" s="194">
        <v>43395</v>
      </c>
      <c r="E336" s="195" t="s">
        <v>555</v>
      </c>
      <c r="F336" s="162" t="s">
        <v>556</v>
      </c>
      <c r="G336" s="196" t="s">
        <v>554</v>
      </c>
      <c r="H336" s="197" t="str">
        <f>+VLOOKUP(G336,[3]bd!A:C,2,0)</f>
        <v>O &amp; R MARKETING COMMUNICATIONS, S.A DE C.V.</v>
      </c>
      <c r="I336" s="556"/>
      <c r="J336" s="556"/>
      <c r="K336" s="557">
        <v>2288</v>
      </c>
      <c r="L336" s="556"/>
      <c r="M336" s="556">
        <v>297.44</v>
      </c>
      <c r="N336" s="556">
        <f t="shared" si="12"/>
        <v>2585.44</v>
      </c>
      <c r="O336" s="556">
        <v>0</v>
      </c>
      <c r="P336" s="558">
        <f>K336*0.01</f>
        <v>22.88</v>
      </c>
      <c r="Q336" s="556"/>
      <c r="R336" s="556"/>
      <c r="S336" s="556"/>
    </row>
    <row r="337" spans="2:19" x14ac:dyDescent="0.2">
      <c r="B337" s="193">
        <v>22</v>
      </c>
      <c r="C337" s="194">
        <v>43402</v>
      </c>
      <c r="D337" s="194">
        <v>43402</v>
      </c>
      <c r="E337" s="195" t="s">
        <v>557</v>
      </c>
      <c r="F337" s="162"/>
      <c r="G337" s="196" t="s">
        <v>188</v>
      </c>
      <c r="H337" s="197" t="str">
        <f>+VLOOKUP(G337,[3]bd!A:C,2,0)</f>
        <v>BOLSA DE VALORES DE EL SALVADOR, S.A. DE C.V.</v>
      </c>
      <c r="I337" s="556"/>
      <c r="J337" s="556"/>
      <c r="K337" s="557">
        <v>95.89</v>
      </c>
      <c r="L337" s="556"/>
      <c r="M337" s="556">
        <v>12.47</v>
      </c>
      <c r="N337" s="556">
        <f t="shared" si="12"/>
        <v>108.36</v>
      </c>
      <c r="O337" s="556">
        <v>0</v>
      </c>
      <c r="P337" s="558">
        <v>0</v>
      </c>
      <c r="Q337" s="556"/>
      <c r="R337" s="556"/>
      <c r="S337" s="556"/>
    </row>
    <row r="338" spans="2:19" x14ac:dyDescent="0.2">
      <c r="B338" s="193">
        <v>23</v>
      </c>
      <c r="C338" s="194">
        <v>43403</v>
      </c>
      <c r="D338" s="194">
        <v>43403</v>
      </c>
      <c r="E338" s="195" t="s">
        <v>558</v>
      </c>
      <c r="F338" s="162"/>
      <c r="G338" s="196" t="s">
        <v>188</v>
      </c>
      <c r="H338" s="197" t="str">
        <f>+VLOOKUP(G338,[3]bd!A:C,2,0)</f>
        <v>BOLSA DE VALORES DE EL SALVADOR, S.A. DE C.V.</v>
      </c>
      <c r="I338" s="556"/>
      <c r="J338" s="556"/>
      <c r="K338" s="557">
        <v>67.12</v>
      </c>
      <c r="L338" s="556"/>
      <c r="M338" s="556">
        <v>8.73</v>
      </c>
      <c r="N338" s="556">
        <f t="shared" si="12"/>
        <v>75.850000000000009</v>
      </c>
      <c r="O338" s="556">
        <v>0</v>
      </c>
      <c r="P338" s="558">
        <v>0</v>
      </c>
      <c r="Q338" s="556"/>
      <c r="R338" s="556"/>
      <c r="S338" s="556"/>
    </row>
    <row r="339" spans="2:19" x14ac:dyDescent="0.2">
      <c r="B339" s="193">
        <v>24</v>
      </c>
      <c r="C339" s="194">
        <v>43403</v>
      </c>
      <c r="D339" s="194">
        <v>43403</v>
      </c>
      <c r="E339" s="195" t="s">
        <v>559</v>
      </c>
      <c r="F339" s="600"/>
      <c r="G339" s="196" t="s">
        <v>210</v>
      </c>
      <c r="H339" s="197" t="str">
        <f>+VLOOKUP(G339,[3]bd!A:C,2,0)</f>
        <v>COMUNICACIÓN CREATIVA SA DE CV</v>
      </c>
      <c r="I339" s="556"/>
      <c r="J339" s="556"/>
      <c r="K339" s="557">
        <v>60</v>
      </c>
      <c r="L339" s="556"/>
      <c r="M339" s="556">
        <v>7.8</v>
      </c>
      <c r="N339" s="556">
        <f t="shared" si="12"/>
        <v>67.8</v>
      </c>
      <c r="O339" s="556">
        <v>0</v>
      </c>
      <c r="P339" s="558">
        <v>0</v>
      </c>
      <c r="Q339" s="556"/>
      <c r="R339" s="556"/>
      <c r="S339" s="556"/>
    </row>
    <row r="340" spans="2:19" x14ac:dyDescent="0.2">
      <c r="B340" s="193">
        <v>25</v>
      </c>
      <c r="C340" s="194"/>
      <c r="D340" s="194"/>
      <c r="E340" s="195"/>
      <c r="F340" s="162"/>
      <c r="G340" s="196" t="s">
        <v>409</v>
      </c>
      <c r="H340" s="197"/>
      <c r="I340" s="556"/>
      <c r="J340" s="556"/>
      <c r="K340" s="557">
        <v>0</v>
      </c>
      <c r="L340" s="556"/>
      <c r="M340" s="556">
        <v>0</v>
      </c>
      <c r="N340" s="556">
        <v>0</v>
      </c>
      <c r="O340" s="556">
        <v>0</v>
      </c>
      <c r="P340" s="558">
        <v>0</v>
      </c>
      <c r="Q340" s="556"/>
      <c r="R340" s="556"/>
      <c r="S340" s="556"/>
    </row>
    <row r="341" spans="2:19" x14ac:dyDescent="0.2">
      <c r="B341" s="193">
        <v>26</v>
      </c>
      <c r="C341" s="194"/>
      <c r="D341" s="194"/>
      <c r="E341" s="195"/>
      <c r="F341" s="162"/>
      <c r="G341" s="196" t="s">
        <v>409</v>
      </c>
      <c r="H341" s="197"/>
      <c r="I341" s="556"/>
      <c r="J341" s="556"/>
      <c r="K341" s="557">
        <v>0</v>
      </c>
      <c r="L341" s="556"/>
      <c r="M341" s="556">
        <v>0</v>
      </c>
      <c r="N341" s="556">
        <v>0</v>
      </c>
      <c r="O341" s="556"/>
      <c r="P341" s="558">
        <v>0</v>
      </c>
      <c r="Q341" s="556"/>
      <c r="R341" s="556"/>
      <c r="S341" s="556"/>
    </row>
    <row r="342" spans="2:19" x14ac:dyDescent="0.2">
      <c r="B342" s="193">
        <v>27</v>
      </c>
      <c r="C342" s="194"/>
      <c r="D342" s="194"/>
      <c r="E342" s="195"/>
      <c r="F342" s="162"/>
      <c r="G342" s="196" t="s">
        <v>409</v>
      </c>
      <c r="H342" s="197"/>
      <c r="I342" s="556"/>
      <c r="J342" s="556"/>
      <c r="K342" s="557"/>
      <c r="L342" s="556"/>
      <c r="M342" s="556"/>
      <c r="N342" s="556"/>
      <c r="O342" s="556"/>
      <c r="P342" s="558">
        <v>0</v>
      </c>
      <c r="Q342" s="556"/>
      <c r="R342" s="556"/>
      <c r="S342" s="556"/>
    </row>
    <row r="343" spans="2:19" x14ac:dyDescent="0.2">
      <c r="B343" s="193">
        <v>28</v>
      </c>
      <c r="C343" s="194"/>
      <c r="D343" s="194"/>
      <c r="E343" s="195"/>
      <c r="F343" s="162"/>
      <c r="G343" s="196"/>
      <c r="H343" s="197"/>
      <c r="I343" s="556"/>
      <c r="J343" s="556"/>
      <c r="K343" s="557"/>
      <c r="L343" s="556"/>
      <c r="M343" s="556"/>
      <c r="N343" s="556"/>
      <c r="O343" s="556"/>
      <c r="P343" s="558">
        <v>0</v>
      </c>
      <c r="Q343" s="556"/>
      <c r="R343" s="556"/>
      <c r="S343" s="556"/>
    </row>
    <row r="344" spans="2:19" x14ac:dyDescent="0.2">
      <c r="B344" s="193"/>
      <c r="C344" s="194"/>
      <c r="D344" s="194"/>
      <c r="E344" s="195"/>
      <c r="F344" s="162"/>
      <c r="G344" s="196"/>
      <c r="H344" s="197" t="s">
        <v>273</v>
      </c>
      <c r="I344" s="556"/>
      <c r="J344" s="556"/>
      <c r="K344" s="562"/>
      <c r="L344" s="556"/>
      <c r="M344" s="556">
        <v>-1217.57</v>
      </c>
      <c r="N344" s="556"/>
      <c r="O344" s="556"/>
      <c r="P344" s="558">
        <v>0</v>
      </c>
      <c r="Q344" s="556"/>
      <c r="R344" s="556"/>
      <c r="S344" s="556"/>
    </row>
    <row r="345" spans="2:19" x14ac:dyDescent="0.2">
      <c r="B345" s="193"/>
      <c r="C345" s="194"/>
      <c r="D345" s="194"/>
      <c r="E345" s="195"/>
      <c r="F345" s="162"/>
      <c r="G345" s="196"/>
      <c r="H345" s="197"/>
      <c r="I345" s="556"/>
      <c r="J345" s="556"/>
      <c r="K345" s="557"/>
      <c r="L345" s="556"/>
      <c r="M345" s="556"/>
      <c r="N345" s="556"/>
      <c r="O345" s="556"/>
      <c r="P345" s="558"/>
      <c r="Q345" s="556"/>
      <c r="R345" s="556"/>
      <c r="S345" s="556"/>
    </row>
    <row r="346" spans="2:19" x14ac:dyDescent="0.2">
      <c r="B346" s="193"/>
      <c r="C346" s="194"/>
      <c r="D346" s="194"/>
      <c r="E346" s="195"/>
      <c r="F346" s="321"/>
      <c r="G346" s="196"/>
      <c r="H346" s="197"/>
      <c r="I346" s="556"/>
      <c r="J346" s="556"/>
      <c r="K346" s="556"/>
      <c r="L346" s="556"/>
      <c r="M346" s="556"/>
      <c r="N346" s="556">
        <f t="shared" ref="N346" si="14">+K346+M346</f>
        <v>0</v>
      </c>
      <c r="O346" s="556"/>
      <c r="P346" s="556"/>
      <c r="Q346" s="556"/>
      <c r="R346" s="556"/>
      <c r="S346" s="556"/>
    </row>
    <row r="347" spans="2:19" ht="13.5" thickBot="1" x14ac:dyDescent="0.25">
      <c r="B347" s="265"/>
      <c r="C347" s="266"/>
      <c r="D347" s="267"/>
      <c r="E347" s="266"/>
      <c r="F347" s="268"/>
      <c r="G347" s="269"/>
      <c r="H347" s="270"/>
      <c r="I347" s="271"/>
      <c r="J347" s="272"/>
      <c r="K347" s="272"/>
      <c r="L347" s="273"/>
      <c r="M347" s="272"/>
      <c r="N347" s="272"/>
      <c r="O347" s="272"/>
      <c r="P347" s="272"/>
      <c r="Q347" s="274"/>
      <c r="R347" s="274"/>
      <c r="S347" s="274"/>
    </row>
    <row r="348" spans="2:19" x14ac:dyDescent="0.2">
      <c r="B348" s="175"/>
      <c r="C348" s="176"/>
      <c r="D348" s="275"/>
      <c r="E348" s="176"/>
      <c r="F348" s="276"/>
      <c r="G348" s="277"/>
      <c r="H348" s="178"/>
      <c r="I348" s="278"/>
      <c r="J348" s="171"/>
      <c r="K348" s="171"/>
      <c r="L348" s="279"/>
      <c r="M348" s="171"/>
      <c r="N348" s="171"/>
      <c r="O348" s="171"/>
      <c r="P348" s="171"/>
      <c r="Q348" s="280"/>
      <c r="R348" s="280"/>
      <c r="S348" s="280"/>
    </row>
    <row r="349" spans="2:19" x14ac:dyDescent="0.2">
      <c r="B349" s="175"/>
      <c r="C349" s="164"/>
      <c r="D349" s="165"/>
      <c r="E349" s="164"/>
      <c r="F349" s="281"/>
      <c r="G349" s="277"/>
      <c r="H349" s="282" t="s">
        <v>261</v>
      </c>
      <c r="I349" s="279">
        <f t="shared" ref="I349:S349" si="15">SUM(I316:I347)</f>
        <v>0</v>
      </c>
      <c r="J349" s="279">
        <f t="shared" si="15"/>
        <v>0</v>
      </c>
      <c r="K349" s="279">
        <f t="shared" si="15"/>
        <v>9366.07</v>
      </c>
      <c r="L349" s="279">
        <f t="shared" si="15"/>
        <v>0</v>
      </c>
      <c r="M349" s="279">
        <f>SUM(M316:M347)</f>
        <v>0</v>
      </c>
      <c r="N349" s="279">
        <f t="shared" si="15"/>
        <v>10583.64</v>
      </c>
      <c r="O349" s="279">
        <f t="shared" si="15"/>
        <v>0</v>
      </c>
      <c r="P349" s="279">
        <f t="shared" si="15"/>
        <v>77.699200000000005</v>
      </c>
      <c r="Q349" s="279">
        <f t="shared" si="15"/>
        <v>0</v>
      </c>
      <c r="R349" s="279">
        <f t="shared" si="15"/>
        <v>0</v>
      </c>
      <c r="S349" s="279">
        <f t="shared" si="15"/>
        <v>0</v>
      </c>
    </row>
    <row r="350" spans="2:19" ht="13.5" thickBot="1" x14ac:dyDescent="0.25">
      <c r="B350" s="265"/>
      <c r="C350" s="283"/>
      <c r="D350" s="284"/>
      <c r="E350" s="283"/>
      <c r="F350" s="285"/>
      <c r="G350" s="269"/>
      <c r="H350" s="286"/>
      <c r="I350" s="273"/>
      <c r="J350" s="287"/>
      <c r="K350" s="287"/>
      <c r="L350" s="287"/>
      <c r="M350" s="287"/>
      <c r="N350" s="287"/>
      <c r="O350" s="287"/>
      <c r="P350" s="287"/>
      <c r="Q350" s="273"/>
      <c r="R350" s="273"/>
      <c r="S350" s="588"/>
    </row>
    <row r="355" spans="2:21" ht="21" x14ac:dyDescent="0.35">
      <c r="B355" s="493" t="s">
        <v>218</v>
      </c>
      <c r="C355" s="494"/>
      <c r="D355" s="495"/>
      <c r="E355" s="495"/>
      <c r="F355" s="495"/>
      <c r="G355" s="496"/>
      <c r="H355" s="497"/>
      <c r="I355" s="497"/>
      <c r="J355" s="497"/>
      <c r="K355" s="497"/>
      <c r="L355" s="497"/>
      <c r="M355" s="497"/>
      <c r="N355" s="498"/>
      <c r="O355" s="492"/>
      <c r="P355" s="492"/>
      <c r="Q355" s="492"/>
      <c r="R355" s="492"/>
      <c r="S355" s="492"/>
      <c r="T355" s="492"/>
      <c r="U355" s="492"/>
    </row>
    <row r="356" spans="2:21" ht="15.75" x14ac:dyDescent="0.25">
      <c r="B356" s="495" t="s">
        <v>134</v>
      </c>
      <c r="C356" s="495"/>
      <c r="D356" s="495"/>
      <c r="E356" s="495"/>
      <c r="F356" s="495"/>
      <c r="G356" s="496"/>
      <c r="H356" s="497"/>
      <c r="I356" s="497"/>
      <c r="J356" s="497"/>
      <c r="K356" s="497"/>
      <c r="L356" s="1044"/>
      <c r="M356" s="1044"/>
      <c r="N356" s="498">
        <v>1.18</v>
      </c>
      <c r="O356" s="492"/>
      <c r="P356" s="492"/>
      <c r="Q356" s="492"/>
      <c r="R356" s="492"/>
      <c r="S356" s="492"/>
      <c r="T356" s="492"/>
      <c r="U356" s="492"/>
    </row>
    <row r="357" spans="2:21" ht="15.75" x14ac:dyDescent="0.25">
      <c r="B357" s="494" t="s">
        <v>135</v>
      </c>
      <c r="C357" s="495"/>
      <c r="D357" s="495"/>
      <c r="E357" s="495"/>
      <c r="F357" s="495"/>
      <c r="G357" s="496"/>
      <c r="H357" s="497"/>
      <c r="I357" s="497"/>
      <c r="J357" s="497"/>
      <c r="K357" s="497"/>
      <c r="L357" s="497"/>
      <c r="M357" s="497"/>
      <c r="N357" s="498">
        <v>3.44</v>
      </c>
      <c r="O357" s="492"/>
      <c r="P357" s="492"/>
      <c r="Q357" s="492"/>
      <c r="R357" s="492"/>
      <c r="S357" s="492"/>
      <c r="T357" s="492"/>
      <c r="U357" s="492"/>
    </row>
    <row r="358" spans="2:21" ht="15.75" x14ac:dyDescent="0.25">
      <c r="B358" s="495" t="s">
        <v>190</v>
      </c>
      <c r="C358" s="495"/>
      <c r="D358" s="495"/>
      <c r="E358" s="495"/>
      <c r="F358" s="495"/>
      <c r="G358" s="496"/>
      <c r="H358" s="497"/>
      <c r="I358" s="497"/>
      <c r="J358" s="497"/>
      <c r="K358" s="497"/>
      <c r="L358" s="497"/>
      <c r="M358" s="497"/>
      <c r="N358" s="498"/>
      <c r="O358" s="492"/>
      <c r="P358" s="492"/>
      <c r="Q358" s="492"/>
      <c r="R358" s="492"/>
      <c r="S358" s="492"/>
      <c r="T358" s="492"/>
      <c r="U358" s="492"/>
    </row>
    <row r="359" spans="2:21" ht="15.75" x14ac:dyDescent="0.25">
      <c r="B359" s="499" t="s">
        <v>219</v>
      </c>
      <c r="C359" s="500" t="s">
        <v>89</v>
      </c>
      <c r="D359" s="501"/>
      <c r="E359" s="502">
        <v>2018</v>
      </c>
      <c r="F359" s="495"/>
      <c r="G359" s="496"/>
      <c r="H359" s="162"/>
      <c r="I359" s="504"/>
      <c r="J359" s="504"/>
      <c r="K359" s="504"/>
      <c r="L359" s="504"/>
      <c r="M359" s="504"/>
      <c r="N359" s="498"/>
      <c r="O359" s="492"/>
      <c r="P359" s="492"/>
      <c r="Q359" s="492"/>
      <c r="R359" s="492"/>
      <c r="S359" s="492"/>
      <c r="T359" s="492"/>
      <c r="U359" s="492"/>
    </row>
    <row r="360" spans="2:21" x14ac:dyDescent="0.2">
      <c r="B360" s="163"/>
      <c r="C360" s="164"/>
      <c r="D360" s="165"/>
      <c r="E360" s="166"/>
      <c r="F360" s="167"/>
      <c r="G360" s="168"/>
      <c r="H360" s="168"/>
      <c r="I360" s="169"/>
      <c r="J360" s="170"/>
      <c r="K360" s="171"/>
      <c r="L360" s="170"/>
      <c r="M360" s="171"/>
      <c r="N360" s="171"/>
      <c r="O360" s="170"/>
      <c r="P360" s="170"/>
      <c r="Q360" s="168"/>
      <c r="R360" s="168"/>
      <c r="S360" s="172"/>
      <c r="T360" s="168"/>
      <c r="U360" s="168"/>
    </row>
    <row r="361" spans="2:21" x14ac:dyDescent="0.2">
      <c r="B361" s="163"/>
      <c r="C361" s="164"/>
      <c r="D361" s="165"/>
      <c r="E361" s="166"/>
      <c r="F361" s="243"/>
      <c r="G361" s="173"/>
      <c r="H361" s="174"/>
      <c r="I361" s="169"/>
      <c r="J361" s="170"/>
      <c r="K361" s="171"/>
      <c r="L361" s="170"/>
      <c r="M361" s="171"/>
      <c r="N361" s="171"/>
      <c r="O361" s="170"/>
      <c r="P361" s="170"/>
      <c r="Q361" s="168"/>
      <c r="R361" s="168"/>
      <c r="S361" s="172"/>
      <c r="T361" s="168"/>
      <c r="U361" s="168"/>
    </row>
    <row r="362" spans="2:21" x14ac:dyDescent="0.2">
      <c r="B362" s="175"/>
      <c r="C362" s="176"/>
      <c r="D362" s="177"/>
      <c r="E362" s="166"/>
      <c r="F362" s="167"/>
      <c r="G362" s="178"/>
      <c r="H362" s="168"/>
      <c r="I362" s="169"/>
      <c r="J362" s="170"/>
      <c r="K362" s="171"/>
      <c r="L362" s="170"/>
      <c r="M362" s="171"/>
      <c r="N362" s="171"/>
      <c r="O362" s="170"/>
      <c r="P362" s="522">
        <v>0.01</v>
      </c>
      <c r="Q362" s="168"/>
      <c r="R362" s="168" t="s">
        <v>220</v>
      </c>
      <c r="S362" s="523">
        <v>0.13</v>
      </c>
      <c r="T362" s="168"/>
      <c r="U362" s="168"/>
    </row>
    <row r="363" spans="2:21" x14ac:dyDescent="0.2">
      <c r="B363" s="179" t="s">
        <v>221</v>
      </c>
      <c r="C363" s="180" t="s">
        <v>136</v>
      </c>
      <c r="D363" s="181" t="s">
        <v>136</v>
      </c>
      <c r="E363" s="182" t="s">
        <v>137</v>
      </c>
      <c r="F363" s="182" t="s">
        <v>222</v>
      </c>
      <c r="G363" s="312" t="s">
        <v>223</v>
      </c>
      <c r="H363" s="1042" t="s">
        <v>139</v>
      </c>
      <c r="I363" s="328" t="s">
        <v>224</v>
      </c>
      <c r="J363" s="329"/>
      <c r="K363" s="330" t="s">
        <v>225</v>
      </c>
      <c r="L363" s="331"/>
      <c r="M363" s="332"/>
      <c r="N363" s="313" t="s">
        <v>140</v>
      </c>
      <c r="O363" s="183" t="s">
        <v>226</v>
      </c>
      <c r="P363" s="184" t="s">
        <v>227</v>
      </c>
      <c r="Q363" s="185" t="s">
        <v>228</v>
      </c>
      <c r="R363" s="185" t="s">
        <v>229</v>
      </c>
      <c r="S363" s="185" t="s">
        <v>229</v>
      </c>
      <c r="T363" s="680"/>
      <c r="U363" s="680"/>
    </row>
    <row r="364" spans="2:21" x14ac:dyDescent="0.2">
      <c r="B364" s="186"/>
      <c r="C364" s="187" t="s">
        <v>230</v>
      </c>
      <c r="D364" s="188" t="s">
        <v>141</v>
      </c>
      <c r="E364" s="189" t="s">
        <v>141</v>
      </c>
      <c r="F364" s="190" t="s">
        <v>231</v>
      </c>
      <c r="G364" s="314" t="s">
        <v>142</v>
      </c>
      <c r="H364" s="1043"/>
      <c r="I364" s="315" t="s">
        <v>232</v>
      </c>
      <c r="J364" s="316" t="s">
        <v>233</v>
      </c>
      <c r="K364" s="317" t="s">
        <v>232</v>
      </c>
      <c r="L364" s="318" t="s">
        <v>233</v>
      </c>
      <c r="M364" s="317" t="s">
        <v>46</v>
      </c>
      <c r="N364" s="319" t="s">
        <v>234</v>
      </c>
      <c r="O364" s="191" t="s">
        <v>235</v>
      </c>
      <c r="P364" s="191" t="s">
        <v>236</v>
      </c>
      <c r="Q364" s="192" t="s">
        <v>237</v>
      </c>
      <c r="R364" s="192" t="s">
        <v>238</v>
      </c>
      <c r="S364" s="192" t="s">
        <v>239</v>
      </c>
      <c r="T364" s="680"/>
      <c r="U364" s="680"/>
    </row>
    <row r="365" spans="2:21" x14ac:dyDescent="0.2">
      <c r="B365" s="193">
        <v>1</v>
      </c>
      <c r="C365" s="194">
        <v>43405</v>
      </c>
      <c r="D365" s="194">
        <v>43405</v>
      </c>
      <c r="E365" s="195" t="s">
        <v>598</v>
      </c>
      <c r="F365" s="162"/>
      <c r="G365" s="196" t="s">
        <v>188</v>
      </c>
      <c r="H365" s="197" t="str">
        <f>+VLOOKUP(G365,[4]bd!A:C,2,0)</f>
        <v>BOLSA DE VALORES DE EL SALVADOR, S.A. DE C.V.</v>
      </c>
      <c r="I365" s="556"/>
      <c r="J365" s="556"/>
      <c r="K365" s="557">
        <v>235.19</v>
      </c>
      <c r="L365" s="556"/>
      <c r="M365" s="556">
        <f>K365*0.13</f>
        <v>30.5747</v>
      </c>
      <c r="N365" s="556">
        <f>+K365+M365</f>
        <v>265.7647</v>
      </c>
      <c r="O365" s="556">
        <v>0</v>
      </c>
      <c r="P365" s="558">
        <v>0</v>
      </c>
      <c r="Q365" s="556"/>
      <c r="R365" s="556"/>
      <c r="S365" s="556"/>
      <c r="T365" s="681"/>
      <c r="U365" s="681"/>
    </row>
    <row r="366" spans="2:21" x14ac:dyDescent="0.2">
      <c r="B366" s="193">
        <v>2</v>
      </c>
      <c r="C366" s="194">
        <v>43409</v>
      </c>
      <c r="D366" s="194">
        <v>43409</v>
      </c>
      <c r="E366" s="195" t="s">
        <v>599</v>
      </c>
      <c r="F366" s="162"/>
      <c r="G366" s="196" t="s">
        <v>188</v>
      </c>
      <c r="H366" s="197" t="str">
        <f>+VLOOKUP(G366,[4]bd!A:C,2,0)</f>
        <v>BOLSA DE VALORES DE EL SALVADOR, S.A. DE C.V.</v>
      </c>
      <c r="I366" s="556"/>
      <c r="J366" s="556"/>
      <c r="K366" s="557">
        <v>95.89</v>
      </c>
      <c r="L366" s="556"/>
      <c r="M366" s="556">
        <f>K366*0.13</f>
        <v>12.4657</v>
      </c>
      <c r="N366" s="556">
        <f t="shared" ref="N366:N377" si="16">+K366+M366</f>
        <v>108.3557</v>
      </c>
      <c r="O366" s="556">
        <v>0</v>
      </c>
      <c r="P366" s="558">
        <v>0</v>
      </c>
      <c r="Q366" s="556"/>
      <c r="R366" s="556"/>
      <c r="S366" s="556"/>
      <c r="T366" s="681"/>
      <c r="U366" s="681"/>
    </row>
    <row r="367" spans="2:21" x14ac:dyDescent="0.2">
      <c r="B367" s="193">
        <v>3</v>
      </c>
      <c r="C367" s="194">
        <v>43410</v>
      </c>
      <c r="D367" s="194">
        <v>43410</v>
      </c>
      <c r="E367" s="195" t="s">
        <v>600</v>
      </c>
      <c r="F367" s="162"/>
      <c r="G367" s="196"/>
      <c r="H367" s="197" t="s">
        <v>430</v>
      </c>
      <c r="I367" s="556"/>
      <c r="J367" s="556"/>
      <c r="K367" s="557">
        <v>321</v>
      </c>
      <c r="L367" s="556"/>
      <c r="M367" s="556">
        <f>K367*0.13</f>
        <v>41.730000000000004</v>
      </c>
      <c r="N367" s="556">
        <f t="shared" si="16"/>
        <v>362.73</v>
      </c>
      <c r="O367" s="556">
        <v>0</v>
      </c>
      <c r="P367" s="558">
        <v>0</v>
      </c>
      <c r="Q367" s="556"/>
      <c r="R367" s="556">
        <v>64.2</v>
      </c>
      <c r="S367" s="556">
        <v>41.73</v>
      </c>
      <c r="T367" s="681"/>
      <c r="U367" s="681"/>
    </row>
    <row r="368" spans="2:21" x14ac:dyDescent="0.2">
      <c r="B368" s="193">
        <v>4</v>
      </c>
      <c r="C368" s="194">
        <v>43412</v>
      </c>
      <c r="D368" s="194">
        <v>43412</v>
      </c>
      <c r="E368" s="195" t="s">
        <v>601</v>
      </c>
      <c r="F368" s="162"/>
      <c r="G368" s="196" t="s">
        <v>188</v>
      </c>
      <c r="H368" s="197" t="str">
        <f>+VLOOKUP(G368,[4]bd!A:C,2,0)</f>
        <v>BOLSA DE VALORES DE EL SALVADOR, S.A. DE C.V.</v>
      </c>
      <c r="I368" s="556"/>
      <c r="J368" s="556"/>
      <c r="K368" s="557">
        <v>95.89</v>
      </c>
      <c r="L368" s="556"/>
      <c r="M368" s="556">
        <v>12.47</v>
      </c>
      <c r="N368" s="556">
        <f t="shared" si="16"/>
        <v>108.36</v>
      </c>
      <c r="O368" s="556">
        <v>0</v>
      </c>
      <c r="P368" s="558"/>
      <c r="Q368" s="556"/>
      <c r="R368" s="556"/>
      <c r="S368" s="556"/>
      <c r="T368" s="681"/>
      <c r="U368" s="681"/>
    </row>
    <row r="369" spans="2:21" x14ac:dyDescent="0.2">
      <c r="B369" s="193">
        <v>5</v>
      </c>
      <c r="C369" s="194">
        <v>43416</v>
      </c>
      <c r="D369" s="194">
        <v>43405</v>
      </c>
      <c r="E369" s="195" t="s">
        <v>416</v>
      </c>
      <c r="F369" s="162"/>
      <c r="G369" s="196" t="s">
        <v>208</v>
      </c>
      <c r="H369" s="197" t="str">
        <f>+VLOOKUP(G369,[4]bd!A:C,2,0)</f>
        <v>KPMG, S.A.</v>
      </c>
      <c r="I369" s="556"/>
      <c r="J369" s="556"/>
      <c r="K369" s="557">
        <v>118.18</v>
      </c>
      <c r="L369" s="556"/>
      <c r="M369" s="556">
        <v>15.36</v>
      </c>
      <c r="N369" s="556">
        <f t="shared" si="16"/>
        <v>133.54000000000002</v>
      </c>
      <c r="O369" s="556">
        <v>0</v>
      </c>
      <c r="P369" s="558">
        <v>1.18</v>
      </c>
      <c r="Q369" s="556"/>
      <c r="R369" s="556"/>
      <c r="S369" s="556"/>
      <c r="T369" s="681"/>
      <c r="U369" s="681"/>
    </row>
    <row r="370" spans="2:21" x14ac:dyDescent="0.2">
      <c r="B370" s="193">
        <v>6</v>
      </c>
      <c r="C370" s="194">
        <v>43417</v>
      </c>
      <c r="D370" s="194">
        <v>43405</v>
      </c>
      <c r="E370" s="195" t="s">
        <v>414</v>
      </c>
      <c r="F370" s="162"/>
      <c r="G370" s="196" t="s">
        <v>208</v>
      </c>
      <c r="H370" s="197" t="str">
        <f>+VLOOKUP(G370,[4]bd!A:C,2,0)</f>
        <v>KPMG, S.A.</v>
      </c>
      <c r="I370" s="556"/>
      <c r="J370" s="556"/>
      <c r="K370" s="557">
        <v>344.44</v>
      </c>
      <c r="L370" s="556"/>
      <c r="M370" s="556">
        <v>44.78</v>
      </c>
      <c r="N370" s="556">
        <f t="shared" si="16"/>
        <v>389.22</v>
      </c>
      <c r="O370" s="556">
        <v>0</v>
      </c>
      <c r="P370" s="558">
        <v>3.44</v>
      </c>
      <c r="Q370" s="556"/>
      <c r="R370" s="556"/>
      <c r="S370" s="556"/>
      <c r="T370" s="681"/>
      <c r="U370" s="681"/>
    </row>
    <row r="371" spans="2:21" x14ac:dyDescent="0.2">
      <c r="B371" s="193">
        <v>7</v>
      </c>
      <c r="C371" s="194">
        <v>43419</v>
      </c>
      <c r="D371" s="194">
        <v>43419</v>
      </c>
      <c r="E371" s="195" t="s">
        <v>602</v>
      </c>
      <c r="F371" s="162"/>
      <c r="G371" s="196" t="s">
        <v>188</v>
      </c>
      <c r="H371" s="197" t="str">
        <f>+VLOOKUP(G371,[4]bd!A:C,2,0)</f>
        <v>BOLSA DE VALORES DE EL SALVADOR, S.A. DE C.V.</v>
      </c>
      <c r="I371" s="556"/>
      <c r="J371" s="556"/>
      <c r="K371" s="557">
        <v>95.89</v>
      </c>
      <c r="L371" s="556"/>
      <c r="M371" s="556">
        <v>12.47</v>
      </c>
      <c r="N371" s="556">
        <f t="shared" si="16"/>
        <v>108.36</v>
      </c>
      <c r="O371" s="556">
        <v>0</v>
      </c>
      <c r="P371" s="558">
        <v>0</v>
      </c>
      <c r="Q371" s="556"/>
      <c r="R371" s="556"/>
      <c r="S371" s="556"/>
      <c r="T371" s="681"/>
      <c r="U371" s="681"/>
    </row>
    <row r="372" spans="2:21" x14ac:dyDescent="0.2">
      <c r="B372" s="193">
        <v>8</v>
      </c>
      <c r="C372" s="194">
        <v>43420</v>
      </c>
      <c r="D372" s="194">
        <v>43420</v>
      </c>
      <c r="E372" s="195" t="s">
        <v>603</v>
      </c>
      <c r="F372" s="162"/>
      <c r="G372" s="196" t="s">
        <v>47</v>
      </c>
      <c r="H372" s="197" t="str">
        <f>+VLOOKUP(G372,[4]bd!A:C,2,0)</f>
        <v>BANCO CUSCATLAN DE EL SALVADOR S.A.</v>
      </c>
      <c r="I372" s="556"/>
      <c r="J372" s="556"/>
      <c r="K372" s="557">
        <v>133.80000000000001</v>
      </c>
      <c r="L372" s="556"/>
      <c r="M372" s="556">
        <v>17.39</v>
      </c>
      <c r="N372" s="556">
        <f t="shared" si="16"/>
        <v>151.19</v>
      </c>
      <c r="O372" s="556"/>
      <c r="P372" s="558">
        <v>0</v>
      </c>
      <c r="Q372" s="556"/>
      <c r="R372" s="556"/>
      <c r="S372" s="556"/>
      <c r="T372" s="681"/>
      <c r="U372" s="681"/>
    </row>
    <row r="373" spans="2:21" x14ac:dyDescent="0.2">
      <c r="B373" s="193">
        <v>9</v>
      </c>
      <c r="C373" s="194">
        <v>43424</v>
      </c>
      <c r="D373" s="194">
        <v>43404</v>
      </c>
      <c r="E373" s="195" t="s">
        <v>604</v>
      </c>
      <c r="F373" s="162"/>
      <c r="G373" s="196" t="s">
        <v>212</v>
      </c>
      <c r="H373" s="197" t="str">
        <f>+VLOOKUP(G373,[4]bd!A:C,2,0)</f>
        <v>CENTRAL DE DEPOSITO DE VALORES, S.A. DE C.V.</v>
      </c>
      <c r="I373" s="556"/>
      <c r="J373" s="556"/>
      <c r="K373" s="557">
        <v>1437.31</v>
      </c>
      <c r="L373" s="556"/>
      <c r="M373" s="556">
        <v>186.85</v>
      </c>
      <c r="N373" s="556">
        <f t="shared" si="16"/>
        <v>1624.1599999999999</v>
      </c>
      <c r="O373" s="556">
        <v>0</v>
      </c>
      <c r="P373" s="558">
        <v>14.37</v>
      </c>
      <c r="Q373" s="556"/>
      <c r="R373" s="556"/>
      <c r="S373" s="556"/>
      <c r="T373" s="681"/>
      <c r="U373" s="681"/>
    </row>
    <row r="374" spans="2:21" x14ac:dyDescent="0.2">
      <c r="B374" s="193">
        <v>10</v>
      </c>
      <c r="C374" s="194">
        <v>43424</v>
      </c>
      <c r="D374" s="194">
        <v>43385</v>
      </c>
      <c r="E374" s="195" t="s">
        <v>605</v>
      </c>
      <c r="F374" s="162"/>
      <c r="G374" s="196" t="s">
        <v>188</v>
      </c>
      <c r="H374" s="197" t="str">
        <f>+VLOOKUP(G374,[4]bd!A:C,2,0)</f>
        <v>BOLSA DE VALORES DE EL SALVADOR, S.A. DE C.V.</v>
      </c>
      <c r="I374" s="556"/>
      <c r="J374" s="556"/>
      <c r="K374" s="557">
        <v>195</v>
      </c>
      <c r="L374" s="556"/>
      <c r="M374" s="556">
        <v>25.35</v>
      </c>
      <c r="N374" s="556">
        <f t="shared" si="16"/>
        <v>220.35</v>
      </c>
      <c r="O374" s="556">
        <v>0</v>
      </c>
      <c r="P374" s="558">
        <v>0</v>
      </c>
      <c r="Q374" s="556"/>
      <c r="R374" s="556"/>
      <c r="S374" s="556"/>
      <c r="T374" s="681"/>
      <c r="U374" s="681"/>
    </row>
    <row r="375" spans="2:21" x14ac:dyDescent="0.2">
      <c r="B375" s="193">
        <v>11</v>
      </c>
      <c r="C375" s="194">
        <v>43426</v>
      </c>
      <c r="D375" s="256">
        <v>43426</v>
      </c>
      <c r="E375" s="195" t="s">
        <v>606</v>
      </c>
      <c r="F375" s="162"/>
      <c r="G375" s="196" t="s">
        <v>188</v>
      </c>
      <c r="H375" s="197" t="str">
        <f>+VLOOKUP(G375,[4]bd!A:C,2,0)</f>
        <v>BOLSA DE VALORES DE EL SALVADOR, S.A. DE C.V.</v>
      </c>
      <c r="I375" s="556"/>
      <c r="J375" s="556"/>
      <c r="K375" s="557">
        <v>52.22</v>
      </c>
      <c r="L375" s="556"/>
      <c r="M375" s="556">
        <v>6.79</v>
      </c>
      <c r="N375" s="556">
        <f t="shared" si="16"/>
        <v>59.01</v>
      </c>
      <c r="O375" s="556">
        <v>0</v>
      </c>
      <c r="P375" s="558">
        <v>0</v>
      </c>
      <c r="Q375" s="556"/>
      <c r="R375" s="556"/>
      <c r="S375" s="556"/>
      <c r="T375" s="681"/>
      <c r="U375" s="681"/>
    </row>
    <row r="376" spans="2:21" x14ac:dyDescent="0.2">
      <c r="B376" s="193">
        <v>12</v>
      </c>
      <c r="C376" s="194">
        <v>43433</v>
      </c>
      <c r="D376" s="194">
        <v>43433</v>
      </c>
      <c r="E376" s="195" t="s">
        <v>607</v>
      </c>
      <c r="F376" s="162"/>
      <c r="G376" s="196" t="s">
        <v>188</v>
      </c>
      <c r="H376" s="197" t="str">
        <f>+VLOOKUP(G376,[4]bd!A:C,2,0)</f>
        <v>BOLSA DE VALORES DE EL SALVADOR, S.A. DE C.V.</v>
      </c>
      <c r="I376" s="556"/>
      <c r="J376" s="556"/>
      <c r="K376" s="557">
        <v>66.58</v>
      </c>
      <c r="L376" s="556"/>
      <c r="M376" s="556">
        <v>8.65</v>
      </c>
      <c r="N376" s="556">
        <f t="shared" si="16"/>
        <v>75.23</v>
      </c>
      <c r="O376" s="556">
        <v>0</v>
      </c>
      <c r="P376" s="558">
        <v>0</v>
      </c>
      <c r="Q376" s="556"/>
      <c r="R376" s="556"/>
      <c r="S376" s="556"/>
      <c r="T376" s="681"/>
      <c r="U376" s="681"/>
    </row>
    <row r="377" spans="2:21" x14ac:dyDescent="0.2">
      <c r="B377" s="193">
        <v>13</v>
      </c>
      <c r="C377" s="194"/>
      <c r="D377" s="256"/>
      <c r="E377" s="195"/>
      <c r="F377" s="162"/>
      <c r="G377" s="196"/>
      <c r="H377" s="197" t="e">
        <f>+VLOOKUP(G377,[4]bd!A:C,2,0)</f>
        <v>#N/A</v>
      </c>
      <c r="I377" s="556"/>
      <c r="J377" s="556"/>
      <c r="K377" s="557"/>
      <c r="L377" s="556"/>
      <c r="M377" s="556"/>
      <c r="N377" s="556">
        <f t="shared" si="16"/>
        <v>0</v>
      </c>
      <c r="O377" s="556">
        <v>0</v>
      </c>
      <c r="P377" s="558">
        <f>K377*0.01</f>
        <v>0</v>
      </c>
      <c r="Q377" s="556"/>
      <c r="R377" s="556"/>
      <c r="S377" s="556"/>
      <c r="T377" s="681"/>
      <c r="U377" s="681"/>
    </row>
    <row r="378" spans="2:21" x14ac:dyDescent="0.2">
      <c r="B378" s="193">
        <v>26</v>
      </c>
      <c r="C378" s="194"/>
      <c r="D378" s="194"/>
      <c r="E378" s="195"/>
      <c r="F378" s="162"/>
      <c r="G378" s="196" t="s">
        <v>409</v>
      </c>
      <c r="H378" s="197" t="e">
        <f>+VLOOKUP(G378,[4]bd!A:C,2,0)</f>
        <v>#N/A</v>
      </c>
      <c r="I378" s="556"/>
      <c r="J378" s="556"/>
      <c r="K378" s="557">
        <v>0</v>
      </c>
      <c r="L378" s="556"/>
      <c r="M378" s="556">
        <v>0</v>
      </c>
      <c r="N378" s="556">
        <v>0</v>
      </c>
      <c r="O378" s="556"/>
      <c r="P378" s="558">
        <v>0</v>
      </c>
      <c r="Q378" s="556"/>
      <c r="R378" s="556"/>
      <c r="S378" s="556"/>
      <c r="T378" s="681"/>
      <c r="U378" s="681"/>
    </row>
    <row r="379" spans="2:21" x14ac:dyDescent="0.2">
      <c r="B379" s="193">
        <v>27</v>
      </c>
      <c r="C379" s="194"/>
      <c r="D379" s="194"/>
      <c r="E379" s="195"/>
      <c r="F379" s="162"/>
      <c r="G379" s="196" t="s">
        <v>409</v>
      </c>
      <c r="H379" s="197" t="e">
        <f>+VLOOKUP(G379,[4]bd!A:C,2,0)</f>
        <v>#N/A</v>
      </c>
      <c r="I379" s="556"/>
      <c r="J379" s="556"/>
      <c r="K379" s="557"/>
      <c r="L379" s="556"/>
      <c r="M379" s="556"/>
      <c r="N379" s="556"/>
      <c r="O379" s="556"/>
      <c r="P379" s="558">
        <v>0</v>
      </c>
      <c r="Q379" s="556"/>
      <c r="R379" s="556"/>
      <c r="S379" s="556"/>
      <c r="T379" s="681"/>
      <c r="U379" s="681"/>
    </row>
    <row r="380" spans="2:21" x14ac:dyDescent="0.2">
      <c r="B380" s="193">
        <v>28</v>
      </c>
      <c r="C380" s="194"/>
      <c r="D380" s="194"/>
      <c r="E380" s="195"/>
      <c r="F380" s="162"/>
      <c r="G380" s="196"/>
      <c r="H380" s="197"/>
      <c r="I380" s="556"/>
      <c r="J380" s="556"/>
      <c r="K380" s="557"/>
      <c r="L380" s="556"/>
      <c r="M380" s="556"/>
      <c r="N380" s="556"/>
      <c r="O380" s="556"/>
      <c r="P380" s="558">
        <v>0</v>
      </c>
      <c r="Q380" s="556"/>
      <c r="R380" s="556"/>
      <c r="S380" s="556"/>
      <c r="T380" s="681"/>
      <c r="U380" s="681"/>
    </row>
    <row r="381" spans="2:21" x14ac:dyDescent="0.2">
      <c r="B381" s="193"/>
      <c r="C381" s="194"/>
      <c r="D381" s="194"/>
      <c r="E381" s="195"/>
      <c r="F381" s="162"/>
      <c r="G381" s="196"/>
      <c r="H381" s="197" t="s">
        <v>273</v>
      </c>
      <c r="I381" s="556"/>
      <c r="J381" s="556"/>
      <c r="K381" s="562"/>
      <c r="L381" s="556"/>
      <c r="M381" s="556">
        <v>-414.88</v>
      </c>
      <c r="N381" s="681"/>
      <c r="O381" s="556"/>
      <c r="P381" s="558">
        <v>0</v>
      </c>
      <c r="Q381" s="556"/>
      <c r="R381" s="556"/>
      <c r="S381" s="556"/>
      <c r="T381" s="681"/>
      <c r="U381" s="681"/>
    </row>
    <row r="382" spans="2:21" x14ac:dyDescent="0.2">
      <c r="B382" s="193"/>
      <c r="C382" s="194"/>
      <c r="D382" s="194"/>
      <c r="E382" s="195"/>
      <c r="F382" s="162"/>
      <c r="G382" s="196"/>
      <c r="H382" s="197"/>
      <c r="I382" s="556"/>
      <c r="J382" s="556"/>
      <c r="K382" s="557"/>
      <c r="L382" s="556"/>
      <c r="M382" s="556"/>
      <c r="N382" s="556"/>
      <c r="O382" s="556"/>
      <c r="P382" s="558"/>
      <c r="Q382" s="556"/>
      <c r="R382" s="556"/>
      <c r="S382" s="556"/>
      <c r="T382" s="681"/>
      <c r="U382" s="681"/>
    </row>
    <row r="383" spans="2:21" x14ac:dyDescent="0.2">
      <c r="B383" s="193"/>
      <c r="C383" s="194"/>
      <c r="D383" s="194"/>
      <c r="E383" s="195"/>
      <c r="F383" s="333"/>
      <c r="G383" s="196"/>
      <c r="H383" s="197"/>
      <c r="I383" s="556"/>
      <c r="J383" s="556"/>
      <c r="K383" s="557"/>
      <c r="L383" s="556"/>
      <c r="M383" s="556"/>
      <c r="N383" s="556"/>
      <c r="O383" s="556"/>
      <c r="P383" s="556"/>
      <c r="Q383" s="556"/>
      <c r="R383" s="556"/>
      <c r="S383" s="556"/>
      <c r="T383" s="681"/>
      <c r="U383" s="681"/>
    </row>
    <row r="384" spans="2:21" x14ac:dyDescent="0.2">
      <c r="B384" s="193"/>
      <c r="C384" s="194"/>
      <c r="D384" s="194"/>
      <c r="E384" s="195"/>
      <c r="F384" s="333"/>
      <c r="G384" s="196"/>
      <c r="H384" s="197"/>
      <c r="I384" s="556"/>
      <c r="J384" s="556"/>
      <c r="K384" s="557"/>
      <c r="L384" s="556"/>
      <c r="M384" s="556"/>
      <c r="N384" s="556"/>
      <c r="O384" s="556"/>
      <c r="P384" s="556"/>
      <c r="Q384" s="556"/>
      <c r="R384" s="556"/>
      <c r="S384" s="556"/>
      <c r="T384" s="681"/>
      <c r="U384" s="681"/>
    </row>
    <row r="385" spans="2:21" x14ac:dyDescent="0.2">
      <c r="B385" s="193"/>
      <c r="C385" s="194"/>
      <c r="D385" s="194"/>
      <c r="E385" s="195"/>
      <c r="F385" s="333"/>
      <c r="G385" s="196"/>
      <c r="H385" s="197"/>
      <c r="I385" s="556"/>
      <c r="J385" s="556"/>
      <c r="K385" s="557"/>
      <c r="L385" s="556"/>
      <c r="M385" s="556"/>
      <c r="N385" s="556"/>
      <c r="O385" s="556"/>
      <c r="P385" s="556"/>
      <c r="Q385" s="556"/>
      <c r="R385" s="556"/>
      <c r="S385" s="556"/>
      <c r="T385" s="681"/>
      <c r="U385" s="681"/>
    </row>
    <row r="386" spans="2:21" x14ac:dyDescent="0.2">
      <c r="B386" s="193"/>
      <c r="C386" s="194"/>
      <c r="D386" s="194"/>
      <c r="E386" s="195"/>
      <c r="F386" s="333"/>
      <c r="G386" s="196"/>
      <c r="H386" s="197"/>
      <c r="I386" s="556"/>
      <c r="J386" s="556"/>
      <c r="K386" s="557"/>
      <c r="L386" s="556"/>
      <c r="M386" s="556"/>
      <c r="N386" s="556"/>
      <c r="O386" s="556"/>
      <c r="P386" s="558"/>
      <c r="Q386" s="556"/>
      <c r="R386" s="556"/>
      <c r="S386" s="556"/>
      <c r="T386" s="681"/>
      <c r="U386" s="681"/>
    </row>
    <row r="387" spans="2:21" x14ac:dyDescent="0.2">
      <c r="B387" s="193"/>
      <c r="C387" s="194"/>
      <c r="D387" s="194"/>
      <c r="E387" s="195"/>
      <c r="F387" s="1041"/>
      <c r="G387" s="196"/>
      <c r="H387" s="197"/>
      <c r="I387" s="564"/>
      <c r="J387" s="556"/>
      <c r="K387" s="557"/>
      <c r="L387" s="556"/>
      <c r="M387" s="556"/>
      <c r="N387" s="556"/>
      <c r="O387" s="556"/>
      <c r="P387" s="556"/>
      <c r="Q387" s="556"/>
      <c r="R387" s="556"/>
      <c r="S387" s="556"/>
      <c r="T387" s="681"/>
      <c r="U387" s="681"/>
    </row>
    <row r="388" spans="2:21" x14ac:dyDescent="0.2">
      <c r="B388" s="193"/>
      <c r="C388" s="194"/>
      <c r="D388" s="194"/>
      <c r="E388" s="195"/>
      <c r="F388" s="1041"/>
      <c r="G388" s="196"/>
      <c r="H388" s="197"/>
      <c r="I388" s="556"/>
      <c r="J388" s="556"/>
      <c r="K388" s="557"/>
      <c r="L388" s="556"/>
      <c r="M388" s="556"/>
      <c r="N388" s="556"/>
      <c r="O388" s="556"/>
      <c r="P388" s="556"/>
      <c r="Q388" s="556"/>
      <c r="R388" s="556"/>
      <c r="S388" s="556"/>
      <c r="T388" s="681"/>
      <c r="U388" s="681"/>
    </row>
    <row r="389" spans="2:21" x14ac:dyDescent="0.2">
      <c r="B389" s="193"/>
      <c r="C389" s="194"/>
      <c r="D389" s="194"/>
      <c r="E389" s="195"/>
      <c r="F389" s="320"/>
      <c r="G389" s="196"/>
      <c r="H389" s="197"/>
      <c r="I389" s="556"/>
      <c r="J389" s="556"/>
      <c r="K389" s="557"/>
      <c r="L389" s="556"/>
      <c r="M389" s="556"/>
      <c r="N389" s="556"/>
      <c r="O389" s="556"/>
      <c r="P389" s="556"/>
      <c r="Q389" s="556"/>
      <c r="R389" s="556"/>
      <c r="S389" s="556"/>
      <c r="T389" s="681"/>
      <c r="U389" s="681"/>
    </row>
    <row r="390" spans="2:21" x14ac:dyDescent="0.2">
      <c r="B390" s="193"/>
      <c r="C390" s="194"/>
      <c r="D390" s="194"/>
      <c r="E390" s="195"/>
      <c r="F390" s="321"/>
      <c r="G390" s="196"/>
      <c r="H390" s="197"/>
      <c r="I390" s="556"/>
      <c r="J390" s="556"/>
      <c r="K390" s="556"/>
      <c r="L390" s="556"/>
      <c r="M390" s="556"/>
      <c r="N390" s="556">
        <f t="shared" ref="N390" si="17">+K390+M390</f>
        <v>0</v>
      </c>
      <c r="O390" s="556"/>
      <c r="P390" s="556"/>
      <c r="Q390" s="556"/>
      <c r="R390" s="556"/>
      <c r="S390" s="556"/>
      <c r="T390" s="681"/>
      <c r="U390" s="681"/>
    </row>
    <row r="391" spans="2:21" ht="13.5" thickBot="1" x14ac:dyDescent="0.25">
      <c r="B391" s="265"/>
      <c r="C391" s="266"/>
      <c r="D391" s="267"/>
      <c r="E391" s="266"/>
      <c r="F391" s="268"/>
      <c r="G391" s="269"/>
      <c r="H391" s="270"/>
      <c r="I391" s="271"/>
      <c r="J391" s="272"/>
      <c r="K391" s="272"/>
      <c r="L391" s="273"/>
      <c r="M391" s="272"/>
      <c r="N391" s="272"/>
      <c r="O391" s="272"/>
      <c r="P391" s="272"/>
      <c r="Q391" s="274"/>
      <c r="R391" s="274"/>
      <c r="S391" s="274"/>
      <c r="T391" s="168"/>
      <c r="U391" s="168"/>
    </row>
    <row r="392" spans="2:21" x14ac:dyDescent="0.2">
      <c r="B392" s="175"/>
      <c r="C392" s="176"/>
      <c r="D392" s="275"/>
      <c r="E392" s="176"/>
      <c r="F392" s="276"/>
      <c r="G392" s="277"/>
      <c r="H392" s="178"/>
      <c r="I392" s="278"/>
      <c r="J392" s="171"/>
      <c r="K392" s="171"/>
      <c r="L392" s="279"/>
      <c r="M392" s="171"/>
      <c r="N392" s="171"/>
      <c r="O392" s="171"/>
      <c r="P392" s="171"/>
      <c r="Q392" s="280"/>
      <c r="R392" s="280"/>
      <c r="S392" s="280"/>
      <c r="T392" s="168"/>
      <c r="U392" s="168"/>
    </row>
    <row r="393" spans="2:21" x14ac:dyDescent="0.2">
      <c r="B393" s="175"/>
      <c r="C393" s="164"/>
      <c r="D393" s="165"/>
      <c r="E393" s="164"/>
      <c r="F393" s="281"/>
      <c r="G393" s="277"/>
      <c r="H393" s="282" t="s">
        <v>261</v>
      </c>
      <c r="I393" s="279">
        <f t="shared" ref="I393:S393" si="18">SUM(I365:I391)</f>
        <v>0</v>
      </c>
      <c r="J393" s="279">
        <f t="shared" si="18"/>
        <v>0</v>
      </c>
      <c r="K393" s="279">
        <f t="shared" si="18"/>
        <v>3191.39</v>
      </c>
      <c r="L393" s="279">
        <f t="shared" si="18"/>
        <v>0</v>
      </c>
      <c r="M393" s="279">
        <f>SUM(M365:M391)</f>
        <v>4.0000000007012204E-4</v>
      </c>
      <c r="N393" s="279">
        <f t="shared" si="18"/>
        <v>3606.2704000000003</v>
      </c>
      <c r="O393" s="279">
        <f t="shared" si="18"/>
        <v>0</v>
      </c>
      <c r="P393" s="279">
        <f t="shared" si="18"/>
        <v>18.989999999999998</v>
      </c>
      <c r="Q393" s="279">
        <f t="shared" si="18"/>
        <v>0</v>
      </c>
      <c r="R393" s="279">
        <f t="shared" si="18"/>
        <v>64.2</v>
      </c>
      <c r="S393" s="279">
        <f t="shared" si="18"/>
        <v>41.73</v>
      </c>
      <c r="T393" s="168"/>
      <c r="U393" s="168"/>
    </row>
    <row r="394" spans="2:21" ht="13.5" thickBot="1" x14ac:dyDescent="0.25">
      <c r="B394" s="265"/>
      <c r="C394" s="283"/>
      <c r="D394" s="284"/>
      <c r="E394" s="283"/>
      <c r="F394" s="285"/>
      <c r="G394" s="269"/>
      <c r="H394" s="286"/>
      <c r="I394" s="273"/>
      <c r="J394" s="287"/>
      <c r="K394" s="287"/>
      <c r="L394" s="287"/>
      <c r="M394" s="287"/>
      <c r="N394" s="287"/>
      <c r="O394" s="287"/>
      <c r="P394" s="287"/>
      <c r="Q394" s="273"/>
      <c r="R394" s="273"/>
      <c r="S394" s="588"/>
      <c r="T394" s="168"/>
      <c r="U394" s="168"/>
    </row>
    <row r="395" spans="2:21" x14ac:dyDescent="0.2">
      <c r="B395" s="175"/>
      <c r="C395" s="164"/>
      <c r="D395" s="165"/>
      <c r="E395" s="164"/>
      <c r="F395" s="281"/>
      <c r="G395" s="277"/>
      <c r="H395" s="282"/>
      <c r="I395" s="168"/>
      <c r="J395" s="279"/>
      <c r="K395" s="279"/>
      <c r="L395" s="168"/>
      <c r="M395" s="279"/>
      <c r="N395" s="279"/>
      <c r="O395" s="279"/>
      <c r="P395" s="279"/>
      <c r="Q395" s="168"/>
      <c r="R395" s="168"/>
      <c r="S395" s="282"/>
      <c r="T395" s="168"/>
      <c r="U395" s="168"/>
    </row>
    <row r="396" spans="2:21" x14ac:dyDescent="0.2">
      <c r="B396" s="682"/>
      <c r="C396" s="683"/>
      <c r="D396" s="684"/>
      <c r="E396" s="682"/>
      <c r="F396" s="685"/>
      <c r="G396" s="686"/>
      <c r="H396" s="682"/>
      <c r="I396" s="682"/>
      <c r="J396" s="682"/>
      <c r="K396" s="687"/>
      <c r="L396" s="279"/>
      <c r="M396" s="687"/>
      <c r="N396" s="687"/>
      <c r="O396" s="687"/>
      <c r="P396" s="687"/>
      <c r="Q396" s="682"/>
      <c r="R396" s="682"/>
      <c r="S396" s="688"/>
      <c r="T396" s="682"/>
      <c r="U396" s="682"/>
    </row>
    <row r="397" spans="2:21" x14ac:dyDescent="0.2">
      <c r="B397" s="682"/>
      <c r="C397" s="683"/>
      <c r="D397" s="684"/>
      <c r="E397" s="682"/>
      <c r="F397" s="685"/>
      <c r="G397" s="278"/>
      <c r="H397" s="682"/>
      <c r="I397" s="682"/>
      <c r="J397" s="682"/>
      <c r="K397" s="687"/>
      <c r="L397" s="687"/>
      <c r="M397" s="687"/>
      <c r="N397" s="687"/>
      <c r="O397" s="682"/>
      <c r="P397" s="687"/>
      <c r="Q397" s="682"/>
      <c r="R397" s="682"/>
      <c r="S397" s="682"/>
      <c r="T397" s="682"/>
      <c r="U397" s="682"/>
    </row>
    <row r="398" spans="2:21" x14ac:dyDescent="0.2">
      <c r="B398" s="682"/>
      <c r="C398" s="683"/>
      <c r="D398" s="684"/>
      <c r="E398" s="682"/>
      <c r="F398" s="689"/>
      <c r="G398" s="278"/>
      <c r="H398" s="682"/>
      <c r="I398" s="682"/>
      <c r="J398" s="682"/>
      <c r="K398" s="687"/>
      <c r="L398" s="687"/>
      <c r="M398" s="690"/>
      <c r="N398" s="687"/>
      <c r="O398" s="682"/>
      <c r="P398" s="687"/>
      <c r="Q398" s="682"/>
      <c r="R398" s="682"/>
      <c r="S398" s="682"/>
      <c r="T398" s="682"/>
      <c r="U398" s="682"/>
    </row>
    <row r="399" spans="2:21" x14ac:dyDescent="0.2">
      <c r="B399" s="682"/>
      <c r="C399" s="683"/>
      <c r="D399" s="684"/>
      <c r="E399" s="682"/>
      <c r="F399" s="685"/>
      <c r="G399" s="278"/>
      <c r="H399" s="682"/>
      <c r="I399" s="682"/>
      <c r="J399" s="682"/>
      <c r="K399" s="687"/>
      <c r="L399" s="682"/>
      <c r="M399" s="690"/>
      <c r="N399" s="687"/>
      <c r="O399" s="687"/>
      <c r="P399" s="687"/>
      <c r="Q399" s="682"/>
      <c r="R399" s="682"/>
      <c r="S399" s="687"/>
      <c r="T399" s="682"/>
      <c r="U399" s="682"/>
    </row>
    <row r="400" spans="2:21" x14ac:dyDescent="0.2">
      <c r="B400" s="682"/>
      <c r="C400" s="683"/>
      <c r="D400" s="684"/>
      <c r="E400" s="691"/>
      <c r="F400" s="685"/>
      <c r="G400" s="278"/>
      <c r="H400" s="682" t="s">
        <v>97</v>
      </c>
      <c r="I400" s="682"/>
      <c r="J400" s="682"/>
      <c r="K400" s="687"/>
      <c r="L400" s="682"/>
      <c r="M400" s="692"/>
      <c r="N400" s="687"/>
      <c r="O400" s="687"/>
      <c r="P400" s="687"/>
      <c r="Q400" s="682"/>
      <c r="R400" s="682"/>
      <c r="S400" s="682"/>
      <c r="T400" s="682"/>
      <c r="U400" s="682"/>
    </row>
    <row r="401" spans="2:21" ht="13.5" thickBot="1" x14ac:dyDescent="0.25">
      <c r="B401" s="682"/>
      <c r="C401" s="683"/>
      <c r="D401" s="684"/>
      <c r="E401" s="682"/>
      <c r="F401" s="685"/>
      <c r="G401" s="278"/>
      <c r="H401" s="682"/>
      <c r="I401" s="682"/>
      <c r="J401" s="273"/>
      <c r="K401" s="287"/>
      <c r="L401" s="682"/>
      <c r="M401" s="687"/>
      <c r="N401" s="687"/>
      <c r="O401" s="682"/>
      <c r="P401" s="682"/>
      <c r="Q401" s="682"/>
      <c r="R401" s="682"/>
      <c r="S401" s="682"/>
      <c r="T401" s="682"/>
      <c r="U401" s="682"/>
    </row>
    <row r="402" spans="2:21" ht="18.75" x14ac:dyDescent="0.3">
      <c r="B402" s="682"/>
      <c r="C402" s="683"/>
      <c r="D402" s="684"/>
      <c r="E402" s="682"/>
      <c r="F402" s="693"/>
      <c r="G402" s="278"/>
      <c r="H402" s="682"/>
      <c r="I402" s="682"/>
      <c r="J402" s="694"/>
      <c r="K402" s="695"/>
      <c r="L402" s="682"/>
      <c r="M402" s="687"/>
      <c r="N402" s="687"/>
      <c r="O402" s="682"/>
      <c r="P402" s="682"/>
      <c r="Q402" s="682"/>
      <c r="R402" s="682"/>
      <c r="S402" s="682"/>
      <c r="T402" s="682"/>
      <c r="U402" s="682"/>
    </row>
    <row r="403" spans="2:21" ht="18.75" x14ac:dyDescent="0.3">
      <c r="B403" s="682"/>
      <c r="C403" s="683"/>
      <c r="D403" s="684"/>
      <c r="E403" s="682"/>
      <c r="F403" s="693"/>
      <c r="G403" s="278"/>
      <c r="H403" s="682"/>
      <c r="I403" s="682"/>
      <c r="J403" s="694" t="s">
        <v>578</v>
      </c>
      <c r="K403" s="695"/>
      <c r="L403" s="682"/>
      <c r="M403" s="682"/>
      <c r="N403" s="687"/>
      <c r="O403" s="682"/>
      <c r="P403" s="682"/>
      <c r="Q403" s="682"/>
      <c r="R403" s="682"/>
      <c r="S403" s="682"/>
      <c r="T403" s="682"/>
      <c r="U403" s="682"/>
    </row>
    <row r="407" spans="2:21" ht="21" x14ac:dyDescent="0.35">
      <c r="B407" s="493" t="s">
        <v>218</v>
      </c>
      <c r="C407" s="494"/>
      <c r="D407" s="495"/>
      <c r="E407" s="495"/>
      <c r="F407" s="495"/>
      <c r="G407" s="496"/>
      <c r="H407" s="497"/>
      <c r="I407" s="497"/>
      <c r="J407" s="497"/>
      <c r="K407" s="497"/>
      <c r="L407" s="497"/>
      <c r="M407" s="497"/>
      <c r="N407" s="498"/>
      <c r="O407" s="492"/>
      <c r="P407" s="492"/>
      <c r="Q407" s="492"/>
      <c r="R407" s="492"/>
      <c r="S407" s="492"/>
      <c r="T407" s="492"/>
    </row>
    <row r="408" spans="2:21" ht="15.75" x14ac:dyDescent="0.25">
      <c r="B408" s="495" t="s">
        <v>134</v>
      </c>
      <c r="C408" s="495"/>
      <c r="D408" s="495"/>
      <c r="E408" s="495"/>
      <c r="F408" s="495"/>
      <c r="G408" s="496"/>
      <c r="H408" s="497"/>
      <c r="I408" s="497"/>
      <c r="J408" s="497"/>
      <c r="K408" s="497"/>
      <c r="L408" s="1044"/>
      <c r="M408" s="1044"/>
      <c r="N408" s="498">
        <v>1.18</v>
      </c>
      <c r="O408" s="492"/>
      <c r="P408" s="492"/>
      <c r="Q408" s="492"/>
      <c r="R408" s="492"/>
      <c r="S408" s="492"/>
      <c r="T408" s="492"/>
    </row>
    <row r="409" spans="2:21" ht="15.75" x14ac:dyDescent="0.25">
      <c r="B409" s="494" t="s">
        <v>135</v>
      </c>
      <c r="C409" s="495"/>
      <c r="D409" s="495"/>
      <c r="E409" s="495"/>
      <c r="F409" s="495"/>
      <c r="G409" s="496"/>
      <c r="H409" s="497"/>
      <c r="I409" s="497"/>
      <c r="J409" s="497"/>
      <c r="K409" s="497"/>
      <c r="L409" s="497"/>
      <c r="M409" s="497"/>
      <c r="N409" s="498">
        <v>3.44</v>
      </c>
      <c r="O409" s="492"/>
      <c r="P409" s="492"/>
      <c r="Q409" s="492"/>
      <c r="R409" s="492"/>
      <c r="S409" s="492"/>
      <c r="T409" s="492"/>
    </row>
    <row r="410" spans="2:21" ht="15.75" x14ac:dyDescent="0.25">
      <c r="B410" s="495" t="s">
        <v>190</v>
      </c>
      <c r="C410" s="495"/>
      <c r="D410" s="495"/>
      <c r="E410" s="495"/>
      <c r="F410" s="495"/>
      <c r="G410" s="496"/>
      <c r="H410" s="497"/>
      <c r="I410" s="497"/>
      <c r="J410" s="497"/>
      <c r="K410" s="497"/>
      <c r="L410" s="497"/>
      <c r="M410" s="497"/>
      <c r="N410" s="498"/>
      <c r="O410" s="492"/>
      <c r="P410" s="492"/>
      <c r="Q410" s="492"/>
      <c r="R410" s="492"/>
      <c r="S410" s="492"/>
      <c r="T410" s="492"/>
    </row>
    <row r="411" spans="2:21" ht="15.75" x14ac:dyDescent="0.25">
      <c r="B411" s="499" t="s">
        <v>219</v>
      </c>
      <c r="C411" s="500" t="s">
        <v>90</v>
      </c>
      <c r="D411" s="501"/>
      <c r="E411" s="502">
        <v>2018</v>
      </c>
      <c r="F411" s="495"/>
      <c r="G411" s="496"/>
      <c r="H411" s="162"/>
      <c r="I411" s="504"/>
      <c r="J411" s="504"/>
      <c r="K411" s="504"/>
      <c r="L411" s="504"/>
      <c r="M411" s="504"/>
      <c r="N411" s="498"/>
      <c r="O411" s="492"/>
      <c r="P411" s="492"/>
      <c r="Q411" s="492"/>
      <c r="R411" s="492"/>
      <c r="S411" s="492"/>
      <c r="T411" s="492"/>
    </row>
    <row r="412" spans="2:21" x14ac:dyDescent="0.2">
      <c r="B412" s="163"/>
      <c r="C412" s="164"/>
      <c r="D412" s="165"/>
      <c r="E412" s="166"/>
      <c r="F412" s="167"/>
      <c r="G412" s="168"/>
      <c r="H412" s="168"/>
      <c r="I412" s="169"/>
      <c r="J412" s="170"/>
      <c r="K412" s="171"/>
      <c r="L412" s="170"/>
      <c r="M412" s="171"/>
      <c r="N412" s="171"/>
      <c r="O412" s="170"/>
      <c r="P412" s="170"/>
      <c r="Q412" s="168"/>
      <c r="R412" s="168"/>
      <c r="S412" s="172"/>
      <c r="T412" s="168"/>
    </row>
    <row r="413" spans="2:21" x14ac:dyDescent="0.2">
      <c r="B413" s="163"/>
      <c r="C413" s="164"/>
      <c r="D413" s="165"/>
      <c r="E413" s="166"/>
      <c r="F413" s="243"/>
      <c r="G413" s="173"/>
      <c r="H413" s="174"/>
      <c r="I413" s="169"/>
      <c r="J413" s="170"/>
      <c r="K413" s="171"/>
      <c r="L413" s="170"/>
      <c r="M413" s="171"/>
      <c r="N413" s="171"/>
      <c r="O413" s="170"/>
      <c r="P413" s="170"/>
      <c r="Q413" s="168"/>
      <c r="R413" s="168"/>
      <c r="S413" s="172"/>
      <c r="T413" s="168"/>
    </row>
    <row r="414" spans="2:21" x14ac:dyDescent="0.2">
      <c r="B414" s="175"/>
      <c r="C414" s="176"/>
      <c r="D414" s="177"/>
      <c r="E414" s="166"/>
      <c r="F414" s="167"/>
      <c r="G414" s="178"/>
      <c r="H414" s="168"/>
      <c r="I414" s="169"/>
      <c r="J414" s="170"/>
      <c r="K414" s="171"/>
      <c r="L414" s="170"/>
      <c r="M414" s="171"/>
      <c r="N414" s="171"/>
      <c r="O414" s="170"/>
      <c r="P414" s="522">
        <v>0.01</v>
      </c>
      <c r="Q414" s="168"/>
      <c r="R414" s="168" t="s">
        <v>220</v>
      </c>
      <c r="S414" s="523">
        <v>0.13</v>
      </c>
      <c r="T414" s="168"/>
    </row>
    <row r="415" spans="2:21" x14ac:dyDescent="0.2">
      <c r="B415" s="179" t="s">
        <v>221</v>
      </c>
      <c r="C415" s="180" t="s">
        <v>136</v>
      </c>
      <c r="D415" s="181" t="s">
        <v>136</v>
      </c>
      <c r="E415" s="182" t="s">
        <v>137</v>
      </c>
      <c r="F415" s="182" t="s">
        <v>222</v>
      </c>
      <c r="G415" s="312" t="s">
        <v>223</v>
      </c>
      <c r="H415" s="1042" t="s">
        <v>139</v>
      </c>
      <c r="I415" s="328" t="s">
        <v>224</v>
      </c>
      <c r="J415" s="329"/>
      <c r="K415" s="330" t="s">
        <v>225</v>
      </c>
      <c r="L415" s="331"/>
      <c r="M415" s="332"/>
      <c r="N415" s="313" t="s">
        <v>140</v>
      </c>
      <c r="O415" s="183" t="s">
        <v>226</v>
      </c>
      <c r="P415" s="184" t="s">
        <v>227</v>
      </c>
      <c r="Q415" s="185" t="s">
        <v>228</v>
      </c>
      <c r="R415" s="185" t="s">
        <v>229</v>
      </c>
      <c r="S415" s="185" t="s">
        <v>229</v>
      </c>
      <c r="T415" s="680"/>
    </row>
    <row r="416" spans="2:21" x14ac:dyDescent="0.2">
      <c r="B416" s="186"/>
      <c r="C416" s="187" t="s">
        <v>230</v>
      </c>
      <c r="D416" s="188" t="s">
        <v>141</v>
      </c>
      <c r="E416" s="189" t="s">
        <v>141</v>
      </c>
      <c r="F416" s="190" t="s">
        <v>231</v>
      </c>
      <c r="G416" s="314" t="s">
        <v>142</v>
      </c>
      <c r="H416" s="1043"/>
      <c r="I416" s="315" t="s">
        <v>232</v>
      </c>
      <c r="J416" s="316" t="s">
        <v>233</v>
      </c>
      <c r="K416" s="317" t="s">
        <v>232</v>
      </c>
      <c r="L416" s="318" t="s">
        <v>233</v>
      </c>
      <c r="M416" s="317" t="s">
        <v>46</v>
      </c>
      <c r="N416" s="319" t="s">
        <v>234</v>
      </c>
      <c r="O416" s="191" t="s">
        <v>235</v>
      </c>
      <c r="P416" s="191" t="s">
        <v>236</v>
      </c>
      <c r="Q416" s="192" t="s">
        <v>237</v>
      </c>
      <c r="R416" s="192" t="s">
        <v>238</v>
      </c>
      <c r="S416" s="192" t="s">
        <v>239</v>
      </c>
      <c r="T416" s="680"/>
    </row>
    <row r="417" spans="2:20" x14ac:dyDescent="0.2">
      <c r="B417" s="193">
        <v>1</v>
      </c>
      <c r="C417" s="194">
        <v>43441</v>
      </c>
      <c r="D417" s="194">
        <v>43441</v>
      </c>
      <c r="E417" s="195" t="s">
        <v>613</v>
      </c>
      <c r="F417" s="162"/>
      <c r="G417" s="196" t="s">
        <v>188</v>
      </c>
      <c r="H417" s="197" t="str">
        <f>+VLOOKUP(G417,[5]bd!A:C,2,0)</f>
        <v>BOLSA DE VALORES DE EL SALVADOR, S.A. DE C.V.</v>
      </c>
      <c r="I417" s="556"/>
      <c r="J417" s="556"/>
      <c r="K417" s="557">
        <v>1129.97</v>
      </c>
      <c r="L417" s="556"/>
      <c r="M417" s="556">
        <f>K417*0.13</f>
        <v>146.89610000000002</v>
      </c>
      <c r="N417" s="556">
        <f t="shared" ref="N417:N432" si="19">+K417+M417</f>
        <v>1276.8661</v>
      </c>
      <c r="O417" s="556">
        <v>0</v>
      </c>
      <c r="P417" s="558">
        <v>0</v>
      </c>
      <c r="Q417" s="556"/>
      <c r="R417" s="556"/>
      <c r="S417" s="556"/>
      <c r="T417" s="681"/>
    </row>
    <row r="418" spans="2:20" x14ac:dyDescent="0.2">
      <c r="B418" s="193">
        <v>2</v>
      </c>
      <c r="C418" s="194">
        <v>43444</v>
      </c>
      <c r="D418" s="194">
        <v>43437</v>
      </c>
      <c r="E418" s="195" t="s">
        <v>614</v>
      </c>
      <c r="F418" s="162"/>
      <c r="G418" s="196" t="s">
        <v>208</v>
      </c>
      <c r="H418" s="197" t="str">
        <f>+VLOOKUP(G418,[5]bd!A:C,2,0)</f>
        <v>KPMG, S.A.</v>
      </c>
      <c r="I418" s="556"/>
      <c r="J418" s="556"/>
      <c r="K418" s="557">
        <v>118.18</v>
      </c>
      <c r="L418" s="556"/>
      <c r="M418" s="556">
        <f t="shared" ref="M418:M431" si="20">K418*0.13</f>
        <v>15.363400000000002</v>
      </c>
      <c r="N418" s="556">
        <f t="shared" si="19"/>
        <v>133.54340000000002</v>
      </c>
      <c r="O418" s="556">
        <v>0</v>
      </c>
      <c r="P418" s="558">
        <f>K418*0.01</f>
        <v>1.1818000000000002</v>
      </c>
      <c r="Q418" s="556"/>
      <c r="R418" s="556"/>
      <c r="S418" s="556"/>
      <c r="T418" s="681"/>
    </row>
    <row r="419" spans="2:20" x14ac:dyDescent="0.2">
      <c r="B419" s="193">
        <v>3</v>
      </c>
      <c r="C419" s="194">
        <v>43444</v>
      </c>
      <c r="D419" s="194">
        <v>43444</v>
      </c>
      <c r="E419" s="195" t="s">
        <v>615</v>
      </c>
      <c r="F419" s="162"/>
      <c r="G419" s="196" t="s">
        <v>188</v>
      </c>
      <c r="H419" s="197" t="str">
        <f>+VLOOKUP(G419,[5]bd!A:C,2,0)</f>
        <v>BOLSA DE VALORES DE EL SALVADOR, S.A. DE C.V.</v>
      </c>
      <c r="I419" s="556"/>
      <c r="J419" s="556"/>
      <c r="K419" s="557">
        <v>109.59</v>
      </c>
      <c r="L419" s="556"/>
      <c r="M419" s="556">
        <f t="shared" si="20"/>
        <v>14.246700000000001</v>
      </c>
      <c r="N419" s="556">
        <f t="shared" si="19"/>
        <v>123.83670000000001</v>
      </c>
      <c r="O419" s="556">
        <v>0</v>
      </c>
      <c r="P419" s="558">
        <v>0</v>
      </c>
      <c r="Q419" s="556"/>
      <c r="R419" s="556">
        <v>0</v>
      </c>
      <c r="S419" s="556">
        <v>0</v>
      </c>
      <c r="T419" s="681"/>
    </row>
    <row r="420" spans="2:20" x14ac:dyDescent="0.2">
      <c r="B420" s="193">
        <v>4</v>
      </c>
      <c r="C420" s="194">
        <v>43445</v>
      </c>
      <c r="D420" s="194">
        <v>43445</v>
      </c>
      <c r="E420" s="195" t="s">
        <v>616</v>
      </c>
      <c r="F420" s="162"/>
      <c r="G420" s="196" t="s">
        <v>188</v>
      </c>
      <c r="H420" s="197" t="str">
        <f>+VLOOKUP(G420,[5]bd!A:C,2,0)</f>
        <v>BOLSA DE VALORES DE EL SALVADOR, S.A. DE C.V.</v>
      </c>
      <c r="I420" s="556"/>
      <c r="J420" s="556"/>
      <c r="K420" s="557">
        <v>95.89</v>
      </c>
      <c r="L420" s="556"/>
      <c r="M420" s="556">
        <f t="shared" si="20"/>
        <v>12.4657</v>
      </c>
      <c r="N420" s="556">
        <f t="shared" si="19"/>
        <v>108.3557</v>
      </c>
      <c r="O420" s="556">
        <v>0</v>
      </c>
      <c r="P420" s="558"/>
      <c r="Q420" s="556"/>
      <c r="R420" s="556"/>
      <c r="S420" s="556"/>
      <c r="T420" s="681"/>
    </row>
    <row r="421" spans="2:20" x14ac:dyDescent="0.2">
      <c r="B421" s="193">
        <v>5</v>
      </c>
      <c r="C421" s="194">
        <v>43447</v>
      </c>
      <c r="D421" s="194">
        <v>43447</v>
      </c>
      <c r="E421" s="195" t="s">
        <v>617</v>
      </c>
      <c r="F421" s="162"/>
      <c r="G421" s="196" t="s">
        <v>188</v>
      </c>
      <c r="H421" s="197" t="str">
        <f>+VLOOKUP(G421,[5]bd!A:C,2,0)</f>
        <v>BOLSA DE VALORES DE EL SALVADOR, S.A. DE C.V.</v>
      </c>
      <c r="I421" s="556"/>
      <c r="J421" s="556"/>
      <c r="K421" s="557">
        <v>95.89</v>
      </c>
      <c r="L421" s="556"/>
      <c r="M421" s="556">
        <f t="shared" si="20"/>
        <v>12.4657</v>
      </c>
      <c r="N421" s="556">
        <f t="shared" si="19"/>
        <v>108.3557</v>
      </c>
      <c r="O421" s="556">
        <v>0</v>
      </c>
      <c r="P421" s="558">
        <v>0</v>
      </c>
      <c r="Q421" s="556"/>
      <c r="R421" s="556"/>
      <c r="S421" s="556"/>
      <c r="T421" s="681"/>
    </row>
    <row r="422" spans="2:20" x14ac:dyDescent="0.2">
      <c r="B422" s="193">
        <v>6</v>
      </c>
      <c r="C422" s="194">
        <v>43447</v>
      </c>
      <c r="D422" s="194">
        <v>43447</v>
      </c>
      <c r="E422" s="195" t="s">
        <v>618</v>
      </c>
      <c r="F422" s="162"/>
      <c r="G422" s="196" t="s">
        <v>47</v>
      </c>
      <c r="H422" s="197" t="str">
        <f>+VLOOKUP(G422,[5]bd!A:C,2,0)</f>
        <v>BANCO CUSCATLAN DE EL SALVADOR S.A.</v>
      </c>
      <c r="I422" s="556"/>
      <c r="J422" s="556"/>
      <c r="K422" s="557">
        <v>133.80000000000001</v>
      </c>
      <c r="L422" s="556"/>
      <c r="M422" s="556">
        <f t="shared" si="20"/>
        <v>17.394000000000002</v>
      </c>
      <c r="N422" s="556">
        <f t="shared" si="19"/>
        <v>151.19400000000002</v>
      </c>
      <c r="O422" s="556">
        <v>0</v>
      </c>
      <c r="P422" s="558">
        <v>0</v>
      </c>
      <c r="Q422" s="556"/>
      <c r="R422" s="556"/>
      <c r="S422" s="556"/>
      <c r="T422" s="681"/>
    </row>
    <row r="423" spans="2:20" x14ac:dyDescent="0.2">
      <c r="B423" s="193">
        <v>7</v>
      </c>
      <c r="C423" s="194">
        <v>43448</v>
      </c>
      <c r="D423" s="194">
        <v>43448</v>
      </c>
      <c r="E423" s="195" t="s">
        <v>619</v>
      </c>
      <c r="F423" s="162"/>
      <c r="G423" s="196" t="s">
        <v>188</v>
      </c>
      <c r="H423" s="197" t="str">
        <f>+VLOOKUP(G423,[5]bd!A:C,2,0)</f>
        <v>BOLSA DE VALORES DE EL SALVADOR, S.A. DE C.V.</v>
      </c>
      <c r="I423" s="556"/>
      <c r="J423" s="556"/>
      <c r="K423" s="557">
        <v>95.89</v>
      </c>
      <c r="L423" s="556"/>
      <c r="M423" s="556">
        <f t="shared" si="20"/>
        <v>12.4657</v>
      </c>
      <c r="N423" s="556">
        <f t="shared" si="19"/>
        <v>108.3557</v>
      </c>
      <c r="O423" s="556">
        <v>0</v>
      </c>
      <c r="P423" s="558">
        <v>0</v>
      </c>
      <c r="Q423" s="556"/>
      <c r="R423" s="556"/>
      <c r="S423" s="556"/>
      <c r="T423" s="681"/>
    </row>
    <row r="424" spans="2:20" x14ac:dyDescent="0.2">
      <c r="B424" s="193">
        <v>8</v>
      </c>
      <c r="C424" s="194">
        <v>43448</v>
      </c>
      <c r="D424" s="194">
        <v>43433</v>
      </c>
      <c r="E424" s="195" t="s">
        <v>620</v>
      </c>
      <c r="F424" s="162"/>
      <c r="G424" s="196" t="s">
        <v>341</v>
      </c>
      <c r="H424" s="197" t="str">
        <f>+VLOOKUP(G424,[5]bd!A:C,2,0)</f>
        <v>OPERADORES LOGISTICOS RANSA, S.A. DE C.V.</v>
      </c>
      <c r="I424" s="556"/>
      <c r="J424" s="556"/>
      <c r="K424" s="557">
        <v>418.8</v>
      </c>
      <c r="L424" s="556"/>
      <c r="M424" s="556">
        <f t="shared" si="20"/>
        <v>54.444000000000003</v>
      </c>
      <c r="N424" s="556">
        <f t="shared" si="19"/>
        <v>473.24400000000003</v>
      </c>
      <c r="O424" s="556"/>
      <c r="P424" s="558">
        <f>K424*0.01</f>
        <v>4.1880000000000006</v>
      </c>
      <c r="Q424" s="556"/>
      <c r="R424" s="556"/>
      <c r="S424" s="556"/>
      <c r="T424" s="681"/>
    </row>
    <row r="425" spans="2:20" x14ac:dyDescent="0.2">
      <c r="B425" s="193">
        <v>9</v>
      </c>
      <c r="C425" s="194">
        <v>43452</v>
      </c>
      <c r="D425" s="194">
        <v>43437</v>
      </c>
      <c r="E425" s="195" t="s">
        <v>621</v>
      </c>
      <c r="F425" s="162"/>
      <c r="G425" s="196" t="s">
        <v>208</v>
      </c>
      <c r="H425" s="197" t="str">
        <f>+VLOOKUP(G425,[5]bd!A:C,2,0)</f>
        <v>KPMG, S.A.</v>
      </c>
      <c r="I425" s="556"/>
      <c r="J425" s="556"/>
      <c r="K425" s="557">
        <v>344.48</v>
      </c>
      <c r="L425" s="556"/>
      <c r="M425" s="556">
        <f t="shared" si="20"/>
        <v>44.782400000000003</v>
      </c>
      <c r="N425" s="556">
        <f t="shared" si="19"/>
        <v>389.26240000000001</v>
      </c>
      <c r="O425" s="556">
        <v>0</v>
      </c>
      <c r="P425" s="558">
        <f>K425*0.01</f>
        <v>3.4448000000000003</v>
      </c>
      <c r="Q425" s="556"/>
      <c r="R425" s="556"/>
      <c r="S425" s="556"/>
      <c r="T425" s="681"/>
    </row>
    <row r="426" spans="2:20" x14ac:dyDescent="0.2">
      <c r="B426" s="193">
        <v>10</v>
      </c>
      <c r="C426" s="194">
        <v>43452</v>
      </c>
      <c r="D426" s="194">
        <v>43427</v>
      </c>
      <c r="E426" s="195" t="s">
        <v>622</v>
      </c>
      <c r="F426" s="162"/>
      <c r="G426" s="196" t="s">
        <v>208</v>
      </c>
      <c r="H426" s="197" t="str">
        <f>+VLOOKUP(G426,[5]bd!A:C,2,0)</f>
        <v>KPMG, S.A.</v>
      </c>
      <c r="I426" s="556"/>
      <c r="J426" s="556"/>
      <c r="K426" s="557">
        <v>60</v>
      </c>
      <c r="L426" s="556"/>
      <c r="M426" s="556">
        <f t="shared" si="20"/>
        <v>7.8000000000000007</v>
      </c>
      <c r="N426" s="556">
        <f t="shared" si="19"/>
        <v>67.8</v>
      </c>
      <c r="O426" s="556">
        <v>0</v>
      </c>
      <c r="P426" s="558">
        <v>0</v>
      </c>
      <c r="Q426" s="556"/>
      <c r="R426" s="556"/>
      <c r="S426" s="556"/>
      <c r="T426" s="681"/>
    </row>
    <row r="427" spans="2:20" x14ac:dyDescent="0.2">
      <c r="B427" s="193">
        <v>11</v>
      </c>
      <c r="C427" s="194" t="s">
        <v>623</v>
      </c>
      <c r="D427" s="256">
        <v>43452</v>
      </c>
      <c r="E427" s="195" t="s">
        <v>624</v>
      </c>
      <c r="F427" s="162"/>
      <c r="G427" s="196" t="s">
        <v>554</v>
      </c>
      <c r="H427" s="197" t="str">
        <f>+VLOOKUP(G427,[5]bd!A:C,2,0)</f>
        <v>O &amp; R MARKETING COMMUNICATIONS, S.A DE C.V.</v>
      </c>
      <c r="I427" s="556"/>
      <c r="J427" s="556"/>
      <c r="K427" s="557">
        <v>63</v>
      </c>
      <c r="L427" s="556"/>
      <c r="M427" s="556">
        <f t="shared" si="20"/>
        <v>8.19</v>
      </c>
      <c r="N427" s="556">
        <f t="shared" si="19"/>
        <v>71.19</v>
      </c>
      <c r="O427" s="556">
        <v>0</v>
      </c>
      <c r="P427" s="558">
        <v>0</v>
      </c>
      <c r="Q427" s="556"/>
      <c r="R427" s="556"/>
      <c r="S427" s="556"/>
      <c r="T427" s="681"/>
    </row>
    <row r="428" spans="2:20" x14ac:dyDescent="0.2">
      <c r="B428" s="193">
        <v>12</v>
      </c>
      <c r="C428" s="194" t="s">
        <v>623</v>
      </c>
      <c r="D428" s="194">
        <v>43446</v>
      </c>
      <c r="E428" s="195" t="s">
        <v>625</v>
      </c>
      <c r="F428" s="162"/>
      <c r="G428" s="196" t="s">
        <v>188</v>
      </c>
      <c r="H428" s="197" t="str">
        <f>+VLOOKUP(G428,[5]bd!A:C,2,0)</f>
        <v>BOLSA DE VALORES DE EL SALVADOR, S.A. DE C.V.</v>
      </c>
      <c r="I428" s="556"/>
      <c r="J428" s="556"/>
      <c r="K428" s="557">
        <v>195</v>
      </c>
      <c r="L428" s="556"/>
      <c r="M428" s="556">
        <f t="shared" si="20"/>
        <v>25.35</v>
      </c>
      <c r="N428" s="556">
        <f t="shared" si="19"/>
        <v>220.35</v>
      </c>
      <c r="O428" s="556">
        <v>0</v>
      </c>
      <c r="P428" s="558">
        <v>0</v>
      </c>
      <c r="Q428" s="556"/>
      <c r="R428" s="556"/>
      <c r="S428" s="556"/>
      <c r="T428" s="681"/>
    </row>
    <row r="429" spans="2:20" x14ac:dyDescent="0.2">
      <c r="B429" s="193">
        <v>13</v>
      </c>
      <c r="C429" s="194" t="s">
        <v>623</v>
      </c>
      <c r="D429" s="256">
        <v>43417</v>
      </c>
      <c r="E429" s="195" t="s">
        <v>626</v>
      </c>
      <c r="F429" s="162"/>
      <c r="G429" s="196" t="s">
        <v>188</v>
      </c>
      <c r="H429" s="197" t="str">
        <f>+VLOOKUP(G429,[5]bd!A:C,2,0)</f>
        <v>BOLSA DE VALORES DE EL SALVADOR, S.A. DE C.V.</v>
      </c>
      <c r="I429" s="556"/>
      <c r="J429" s="556"/>
      <c r="K429" s="557">
        <v>195</v>
      </c>
      <c r="L429" s="556"/>
      <c r="M429" s="556">
        <f t="shared" si="20"/>
        <v>25.35</v>
      </c>
      <c r="N429" s="556">
        <f t="shared" si="19"/>
        <v>220.35</v>
      </c>
      <c r="O429" s="556">
        <v>0</v>
      </c>
      <c r="P429" s="558">
        <v>0</v>
      </c>
      <c r="Q429" s="556"/>
      <c r="R429" s="556"/>
      <c r="S429" s="556"/>
      <c r="T429" s="681"/>
    </row>
    <row r="430" spans="2:20" x14ac:dyDescent="0.2">
      <c r="B430" s="193">
        <v>14</v>
      </c>
      <c r="C430" s="194" t="s">
        <v>623</v>
      </c>
      <c r="D430" s="256">
        <v>43434</v>
      </c>
      <c r="E430" s="195" t="s">
        <v>627</v>
      </c>
      <c r="F430" s="678"/>
      <c r="G430" s="196" t="s">
        <v>212</v>
      </c>
      <c r="H430" s="197" t="str">
        <f>+VLOOKUP(G430,[5]bd!A:C,2,0)</f>
        <v>CENTRAL DE DEPOSITO DE VALORES, S.A. DE C.V.</v>
      </c>
      <c r="I430" s="556"/>
      <c r="J430" s="556"/>
      <c r="K430" s="557">
        <v>1553.78</v>
      </c>
      <c r="L430" s="556"/>
      <c r="M430" s="556">
        <f t="shared" si="20"/>
        <v>201.9914</v>
      </c>
      <c r="N430" s="556">
        <f t="shared" si="19"/>
        <v>1755.7714000000001</v>
      </c>
      <c r="O430" s="556">
        <v>0</v>
      </c>
      <c r="P430" s="558">
        <f t="shared" ref="P430" si="21">K430*0.01</f>
        <v>15.537800000000001</v>
      </c>
      <c r="Q430" s="556"/>
      <c r="R430" s="556"/>
      <c r="S430" s="556"/>
      <c r="T430" s="681"/>
    </row>
    <row r="431" spans="2:20" x14ac:dyDescent="0.2">
      <c r="B431" s="193">
        <v>15</v>
      </c>
      <c r="C431" s="194" t="s">
        <v>623</v>
      </c>
      <c r="D431" s="256">
        <v>43452</v>
      </c>
      <c r="E431" s="195" t="s">
        <v>628</v>
      </c>
      <c r="F431" s="678"/>
      <c r="G431" s="196" t="s">
        <v>554</v>
      </c>
      <c r="H431" s="197" t="str">
        <f>+VLOOKUP(G431,[5]bd!A:C,2,0)</f>
        <v>O &amp; R MARKETING COMMUNICATIONS, S.A DE C.V.</v>
      </c>
      <c r="I431" s="556"/>
      <c r="J431" s="556"/>
      <c r="K431" s="557">
        <v>63</v>
      </c>
      <c r="L431" s="556"/>
      <c r="M431" s="556">
        <f t="shared" si="20"/>
        <v>8.19</v>
      </c>
      <c r="N431" s="556">
        <f t="shared" si="19"/>
        <v>71.19</v>
      </c>
      <c r="O431" s="556">
        <v>0</v>
      </c>
      <c r="P431" s="558">
        <v>0</v>
      </c>
      <c r="Q431" s="556"/>
      <c r="R431" s="556"/>
      <c r="S431" s="556"/>
      <c r="T431" s="681"/>
    </row>
    <row r="432" spans="2:20" x14ac:dyDescent="0.2">
      <c r="B432" s="193">
        <v>16</v>
      </c>
      <c r="C432" s="194"/>
      <c r="D432" s="256"/>
      <c r="E432" s="681"/>
      <c r="F432" s="678"/>
      <c r="G432" s="681"/>
      <c r="H432" s="197"/>
      <c r="I432" s="556"/>
      <c r="J432" s="556"/>
      <c r="K432" s="557"/>
      <c r="L432" s="556"/>
      <c r="M432" s="556"/>
      <c r="N432" s="556">
        <f t="shared" si="19"/>
        <v>0</v>
      </c>
      <c r="O432" s="556">
        <v>0</v>
      </c>
      <c r="P432" s="558">
        <f>K432*0.01</f>
        <v>0</v>
      </c>
      <c r="Q432" s="556"/>
      <c r="R432" s="556"/>
      <c r="S432" s="556"/>
      <c r="T432" s="681"/>
    </row>
    <row r="433" spans="2:20" x14ac:dyDescent="0.2">
      <c r="B433" s="193"/>
      <c r="C433" s="194"/>
      <c r="D433" s="194"/>
      <c r="E433" s="195"/>
      <c r="F433" s="162"/>
      <c r="G433" s="196"/>
      <c r="H433" s="197" t="s">
        <v>273</v>
      </c>
      <c r="I433" s="556"/>
      <c r="J433" s="556"/>
      <c r="K433" s="562"/>
      <c r="L433" s="556"/>
      <c r="M433" s="556">
        <v>-607.4</v>
      </c>
      <c r="N433" s="681"/>
      <c r="O433" s="556"/>
      <c r="P433" s="558">
        <v>0</v>
      </c>
      <c r="Q433" s="556"/>
      <c r="R433" s="556"/>
      <c r="S433" s="556"/>
      <c r="T433" s="681"/>
    </row>
    <row r="434" spans="2:20" x14ac:dyDescent="0.2">
      <c r="B434" s="193"/>
      <c r="C434" s="194"/>
      <c r="D434" s="194"/>
      <c r="E434" s="195"/>
      <c r="F434" s="162"/>
      <c r="G434" s="196"/>
      <c r="H434" s="197"/>
      <c r="I434" s="556"/>
      <c r="J434" s="556"/>
      <c r="K434" s="557"/>
      <c r="L434" s="556"/>
      <c r="M434" s="556"/>
      <c r="N434" s="556"/>
      <c r="O434" s="556"/>
      <c r="P434" s="558"/>
      <c r="Q434" s="556"/>
      <c r="R434" s="556"/>
      <c r="S434" s="556"/>
      <c r="T434" s="681"/>
    </row>
    <row r="435" spans="2:20" x14ac:dyDescent="0.2">
      <c r="B435" s="193"/>
      <c r="C435" s="194"/>
      <c r="D435" s="194"/>
      <c r="E435" s="195"/>
      <c r="F435" s="333"/>
      <c r="G435" s="196"/>
      <c r="H435" s="197"/>
      <c r="I435" s="556"/>
      <c r="J435" s="556"/>
      <c r="K435" s="557"/>
      <c r="L435" s="556"/>
      <c r="M435" s="556"/>
      <c r="N435" s="556"/>
      <c r="O435" s="556"/>
      <c r="P435" s="556"/>
      <c r="Q435" s="556"/>
      <c r="R435" s="556"/>
      <c r="S435" s="556"/>
      <c r="T435" s="681"/>
    </row>
    <row r="436" spans="2:20" x14ac:dyDescent="0.2">
      <c r="B436" s="193"/>
      <c r="C436" s="194"/>
      <c r="D436" s="194"/>
      <c r="E436" s="195"/>
      <c r="F436" s="333"/>
      <c r="G436" s="196"/>
      <c r="H436" s="197"/>
      <c r="I436" s="556"/>
      <c r="J436" s="556"/>
      <c r="K436" s="557"/>
      <c r="L436" s="556"/>
      <c r="M436" s="556"/>
      <c r="N436" s="556"/>
      <c r="O436" s="556"/>
      <c r="P436" s="556"/>
      <c r="Q436" s="556"/>
      <c r="R436" s="556"/>
      <c r="S436" s="556"/>
      <c r="T436" s="681"/>
    </row>
    <row r="437" spans="2:20" x14ac:dyDescent="0.2">
      <c r="B437" s="193"/>
      <c r="C437" s="194"/>
      <c r="D437" s="194"/>
      <c r="E437" s="195"/>
      <c r="F437" s="333"/>
      <c r="G437" s="196"/>
      <c r="H437" s="197"/>
      <c r="I437" s="556"/>
      <c r="J437" s="556"/>
      <c r="K437" s="557"/>
      <c r="L437" s="556"/>
      <c r="M437" s="556"/>
      <c r="N437" s="556"/>
      <c r="O437" s="556"/>
      <c r="P437" s="556"/>
      <c r="Q437" s="556"/>
      <c r="R437" s="556"/>
      <c r="S437" s="556"/>
      <c r="T437" s="681"/>
    </row>
    <row r="438" spans="2:20" x14ac:dyDescent="0.2">
      <c r="B438" s="193"/>
      <c r="C438" s="194"/>
      <c r="D438" s="194"/>
      <c r="E438" s="195"/>
      <c r="F438" s="333"/>
      <c r="G438" s="196"/>
      <c r="H438" s="197"/>
      <c r="I438" s="556"/>
      <c r="J438" s="556"/>
      <c r="K438" s="557"/>
      <c r="L438" s="556"/>
      <c r="M438" s="556"/>
      <c r="N438" s="556"/>
      <c r="O438" s="556"/>
      <c r="P438" s="558"/>
      <c r="Q438" s="556"/>
      <c r="R438" s="556"/>
      <c r="S438" s="556"/>
      <c r="T438" s="681"/>
    </row>
    <row r="439" spans="2:20" x14ac:dyDescent="0.2">
      <c r="B439" s="193"/>
      <c r="C439" s="194"/>
      <c r="D439" s="194"/>
      <c r="E439" s="195"/>
      <c r="F439" s="1041"/>
      <c r="G439" s="196"/>
      <c r="H439" s="197"/>
      <c r="I439" s="564"/>
      <c r="J439" s="556"/>
      <c r="K439" s="557"/>
      <c r="L439" s="556"/>
      <c r="M439" s="556"/>
      <c r="N439" s="556"/>
      <c r="O439" s="556"/>
      <c r="P439" s="556"/>
      <c r="Q439" s="556"/>
      <c r="R439" s="556"/>
      <c r="S439" s="556"/>
      <c r="T439" s="681"/>
    </row>
    <row r="440" spans="2:20" x14ac:dyDescent="0.2">
      <c r="B440" s="193"/>
      <c r="C440" s="194"/>
      <c r="D440" s="194"/>
      <c r="E440" s="195"/>
      <c r="F440" s="1041"/>
      <c r="G440" s="196"/>
      <c r="H440" s="197"/>
      <c r="I440" s="556"/>
      <c r="J440" s="556"/>
      <c r="K440" s="557"/>
      <c r="L440" s="556"/>
      <c r="M440" s="556"/>
      <c r="N440" s="556"/>
      <c r="O440" s="556"/>
      <c r="P440" s="556"/>
      <c r="Q440" s="556"/>
      <c r="R440" s="556"/>
      <c r="S440" s="556"/>
      <c r="T440" s="681"/>
    </row>
    <row r="441" spans="2:20" x14ac:dyDescent="0.2">
      <c r="B441" s="193"/>
      <c r="C441" s="194"/>
      <c r="D441" s="194"/>
      <c r="E441" s="195"/>
      <c r="F441" s="320"/>
      <c r="G441" s="196"/>
      <c r="H441" s="197"/>
      <c r="I441" s="556"/>
      <c r="J441" s="556"/>
      <c r="K441" s="557"/>
      <c r="L441" s="556"/>
      <c r="M441" s="556"/>
      <c r="N441" s="556"/>
      <c r="O441" s="556"/>
      <c r="P441" s="556"/>
      <c r="Q441" s="556"/>
      <c r="R441" s="556"/>
      <c r="S441" s="556"/>
      <c r="T441" s="681"/>
    </row>
    <row r="442" spans="2:20" x14ac:dyDescent="0.2">
      <c r="B442" s="193"/>
      <c r="C442" s="194"/>
      <c r="D442" s="194"/>
      <c r="E442" s="195"/>
      <c r="F442" s="321"/>
      <c r="G442" s="196"/>
      <c r="H442" s="197"/>
      <c r="I442" s="556"/>
      <c r="J442" s="556"/>
      <c r="K442" s="556"/>
      <c r="L442" s="556"/>
      <c r="M442" s="556"/>
      <c r="N442" s="556">
        <f t="shared" ref="N442" si="22">+K442+M442</f>
        <v>0</v>
      </c>
      <c r="O442" s="556"/>
      <c r="P442" s="556"/>
      <c r="Q442" s="556"/>
      <c r="R442" s="556"/>
      <c r="S442" s="556"/>
      <c r="T442" s="681"/>
    </row>
    <row r="443" spans="2:20" ht="13.5" thickBot="1" x14ac:dyDescent="0.25">
      <c r="B443" s="265"/>
      <c r="C443" s="266"/>
      <c r="D443" s="267"/>
      <c r="E443" s="266"/>
      <c r="F443" s="268"/>
      <c r="G443" s="269"/>
      <c r="H443" s="270"/>
      <c r="I443" s="271"/>
      <c r="J443" s="272"/>
      <c r="K443" s="272"/>
      <c r="L443" s="273"/>
      <c r="M443" s="272"/>
      <c r="N443" s="272"/>
      <c r="O443" s="272"/>
      <c r="P443" s="272"/>
      <c r="Q443" s="274"/>
      <c r="R443" s="274"/>
      <c r="S443" s="274"/>
      <c r="T443" s="168"/>
    </row>
    <row r="444" spans="2:20" x14ac:dyDescent="0.2">
      <c r="B444" s="175"/>
      <c r="C444" s="176"/>
      <c r="D444" s="275"/>
      <c r="E444" s="176"/>
      <c r="F444" s="276"/>
      <c r="G444" s="277"/>
      <c r="H444" s="178"/>
      <c r="I444" s="278"/>
      <c r="J444" s="171"/>
      <c r="K444" s="171"/>
      <c r="L444" s="279"/>
      <c r="M444" s="171"/>
      <c r="N444" s="171"/>
      <c r="O444" s="171"/>
      <c r="P444" s="171"/>
      <c r="Q444" s="280"/>
      <c r="R444" s="280"/>
      <c r="S444" s="280"/>
      <c r="T444" s="168"/>
    </row>
    <row r="445" spans="2:20" x14ac:dyDescent="0.2">
      <c r="B445" s="175"/>
      <c r="C445" s="164"/>
      <c r="D445" s="165"/>
      <c r="E445" s="164"/>
      <c r="F445" s="281"/>
      <c r="G445" s="277"/>
      <c r="H445" s="282" t="s">
        <v>261</v>
      </c>
      <c r="I445" s="279">
        <f t="shared" ref="I445:S445" si="23">SUM(I417:I443)</f>
        <v>0</v>
      </c>
      <c r="J445" s="279">
        <f t="shared" si="23"/>
        <v>0</v>
      </c>
      <c r="K445" s="279">
        <f t="shared" si="23"/>
        <v>4672.2700000000004</v>
      </c>
      <c r="L445" s="279">
        <f t="shared" si="23"/>
        <v>0</v>
      </c>
      <c r="M445" s="279">
        <f t="shared" si="23"/>
        <v>-4.8999999997931809E-3</v>
      </c>
      <c r="N445" s="279">
        <f t="shared" si="23"/>
        <v>5279.6651000000002</v>
      </c>
      <c r="O445" s="279">
        <f t="shared" si="23"/>
        <v>0</v>
      </c>
      <c r="P445" s="279">
        <f t="shared" si="23"/>
        <v>24.352400000000003</v>
      </c>
      <c r="Q445" s="279">
        <f t="shared" si="23"/>
        <v>0</v>
      </c>
      <c r="R445" s="279">
        <f t="shared" si="23"/>
        <v>0</v>
      </c>
      <c r="S445" s="279">
        <f t="shared" si="23"/>
        <v>0</v>
      </c>
      <c r="T445" s="168"/>
    </row>
    <row r="446" spans="2:20" ht="13.5" thickBot="1" x14ac:dyDescent="0.25">
      <c r="B446" s="265"/>
      <c r="C446" s="283"/>
      <c r="D446" s="284"/>
      <c r="E446" s="283"/>
      <c r="F446" s="285"/>
      <c r="G446" s="269"/>
      <c r="H446" s="286"/>
      <c r="I446" s="273"/>
      <c r="J446" s="287"/>
      <c r="K446" s="287"/>
      <c r="L446" s="287"/>
      <c r="M446" s="287"/>
      <c r="N446" s="287"/>
      <c r="O446" s="287"/>
      <c r="P446" s="287"/>
      <c r="Q446" s="273"/>
      <c r="R446" s="273"/>
      <c r="S446" s="588"/>
      <c r="T446" s="168"/>
    </row>
    <row r="453" spans="2:19" ht="21" x14ac:dyDescent="0.35">
      <c r="B453" s="493" t="s">
        <v>218</v>
      </c>
      <c r="C453" s="494"/>
      <c r="D453" s="495"/>
      <c r="E453" s="495"/>
      <c r="F453" s="495"/>
      <c r="G453" s="496"/>
      <c r="H453" s="497"/>
      <c r="I453" s="497"/>
      <c r="J453" s="497"/>
      <c r="K453" s="497"/>
      <c r="L453" s="497"/>
      <c r="M453" s="497"/>
      <c r="N453" s="498"/>
      <c r="O453" s="492"/>
      <c r="P453" s="492"/>
      <c r="Q453" s="492"/>
      <c r="R453" s="492"/>
      <c r="S453" s="492"/>
    </row>
    <row r="454" spans="2:19" ht="15.75" x14ac:dyDescent="0.25">
      <c r="B454" s="495" t="s">
        <v>134</v>
      </c>
      <c r="C454" s="495"/>
      <c r="D454" s="495"/>
      <c r="E454" s="495"/>
      <c r="F454" s="495"/>
      <c r="G454" s="496"/>
      <c r="H454" s="497"/>
      <c r="I454" s="497"/>
      <c r="J454" s="497"/>
      <c r="K454" s="497"/>
      <c r="L454" s="1044"/>
      <c r="M454" s="1044"/>
      <c r="N454" s="498">
        <v>1.18</v>
      </c>
      <c r="O454" s="492"/>
      <c r="P454" s="492"/>
      <c r="Q454" s="492"/>
      <c r="R454" s="492"/>
      <c r="S454" s="492"/>
    </row>
    <row r="455" spans="2:19" ht="15.75" x14ac:dyDescent="0.25">
      <c r="B455" s="494" t="s">
        <v>135</v>
      </c>
      <c r="C455" s="495"/>
      <c r="D455" s="495"/>
      <c r="E455" s="495"/>
      <c r="F455" s="495"/>
      <c r="G455" s="496"/>
      <c r="H455" s="497"/>
      <c r="I455" s="497"/>
      <c r="J455" s="497"/>
      <c r="K455" s="497"/>
      <c r="L455" s="497"/>
      <c r="M455" s="497"/>
      <c r="N455" s="498">
        <v>3.44</v>
      </c>
      <c r="O455" s="492"/>
      <c r="P455" s="492"/>
      <c r="Q455" s="492"/>
      <c r="R455" s="492"/>
      <c r="S455" s="492"/>
    </row>
    <row r="456" spans="2:19" ht="15.75" x14ac:dyDescent="0.25">
      <c r="B456" s="495" t="s">
        <v>190</v>
      </c>
      <c r="C456" s="495"/>
      <c r="D456" s="495"/>
      <c r="E456" s="495"/>
      <c r="F456" s="495"/>
      <c r="G456" s="496"/>
      <c r="H456" s="497"/>
      <c r="I456" s="497"/>
      <c r="J456" s="497"/>
      <c r="K456" s="497"/>
      <c r="L456" s="497"/>
      <c r="M456" s="497"/>
      <c r="N456" s="498"/>
      <c r="O456" s="492"/>
      <c r="P456" s="492"/>
      <c r="Q456" s="492"/>
      <c r="R456" s="492"/>
      <c r="S456" s="492"/>
    </row>
    <row r="457" spans="2:19" ht="15.75" x14ac:dyDescent="0.25">
      <c r="B457" s="499" t="s">
        <v>219</v>
      </c>
      <c r="C457" s="500" t="s">
        <v>81</v>
      </c>
      <c r="D457" s="501"/>
      <c r="E457" s="502">
        <v>2019</v>
      </c>
      <c r="F457" s="495"/>
      <c r="G457" s="496"/>
      <c r="H457" s="162"/>
      <c r="I457" s="504"/>
      <c r="J457" s="504"/>
      <c r="K457" s="504"/>
      <c r="L457" s="504"/>
      <c r="M457" s="504"/>
      <c r="N457" s="498"/>
      <c r="O457" s="492"/>
      <c r="P457" s="492"/>
      <c r="Q457" s="492"/>
      <c r="R457" s="492"/>
      <c r="S457" s="492"/>
    </row>
    <row r="458" spans="2:19" x14ac:dyDescent="0.2">
      <c r="B458" s="163"/>
      <c r="C458" s="164"/>
      <c r="D458" s="165"/>
      <c r="E458" s="166"/>
      <c r="F458" s="167"/>
      <c r="G458" s="168"/>
      <c r="H458" s="168"/>
      <c r="I458" s="169"/>
      <c r="J458" s="170"/>
      <c r="K458" s="171"/>
      <c r="L458" s="170"/>
      <c r="M458" s="171"/>
      <c r="N458" s="171"/>
      <c r="O458" s="170"/>
      <c r="P458" s="170"/>
      <c r="Q458" s="168"/>
      <c r="R458" s="168"/>
      <c r="S458" s="172"/>
    </row>
    <row r="459" spans="2:19" x14ac:dyDescent="0.2">
      <c r="B459" s="163"/>
      <c r="C459" s="164"/>
      <c r="D459" s="165"/>
      <c r="E459" s="166"/>
      <c r="F459" s="243"/>
      <c r="G459" s="173"/>
      <c r="H459" s="174"/>
      <c r="I459" s="169"/>
      <c r="J459" s="170"/>
      <c r="K459" s="171"/>
      <c r="L459" s="170"/>
      <c r="M459" s="171"/>
      <c r="N459" s="171"/>
      <c r="O459" s="170"/>
      <c r="P459" s="170"/>
      <c r="Q459" s="168"/>
      <c r="R459" s="168"/>
      <c r="S459" s="172"/>
    </row>
    <row r="460" spans="2:19" x14ac:dyDescent="0.2">
      <c r="B460" s="175"/>
      <c r="C460" s="176"/>
      <c r="D460" s="177"/>
      <c r="E460" s="166"/>
      <c r="F460" s="167"/>
      <c r="G460" s="178"/>
      <c r="H460" s="168"/>
      <c r="I460" s="169"/>
      <c r="J460" s="170"/>
      <c r="K460" s="171"/>
      <c r="L460" s="170"/>
      <c r="M460" s="171"/>
      <c r="N460" s="171"/>
      <c r="O460" s="170"/>
      <c r="P460" s="522">
        <v>0.01</v>
      </c>
      <c r="Q460" s="168"/>
      <c r="R460" s="168" t="s">
        <v>220</v>
      </c>
      <c r="S460" s="523">
        <v>0.13</v>
      </c>
    </row>
    <row r="461" spans="2:19" x14ac:dyDescent="0.2">
      <c r="B461" s="179" t="s">
        <v>221</v>
      </c>
      <c r="C461" s="180" t="s">
        <v>136</v>
      </c>
      <c r="D461" s="181" t="s">
        <v>136</v>
      </c>
      <c r="E461" s="182" t="s">
        <v>137</v>
      </c>
      <c r="F461" s="182" t="s">
        <v>222</v>
      </c>
      <c r="G461" s="312" t="s">
        <v>223</v>
      </c>
      <c r="H461" s="1042" t="s">
        <v>139</v>
      </c>
      <c r="I461" s="328" t="s">
        <v>224</v>
      </c>
      <c r="J461" s="329"/>
      <c r="K461" s="330" t="s">
        <v>225</v>
      </c>
      <c r="L461" s="331"/>
      <c r="M461" s="332"/>
      <c r="N461" s="313" t="s">
        <v>140</v>
      </c>
      <c r="O461" s="183" t="s">
        <v>226</v>
      </c>
      <c r="P461" s="184" t="s">
        <v>227</v>
      </c>
      <c r="Q461" s="185" t="s">
        <v>228</v>
      </c>
      <c r="R461" s="185" t="s">
        <v>229</v>
      </c>
      <c r="S461" s="185" t="s">
        <v>229</v>
      </c>
    </row>
    <row r="462" spans="2:19" x14ac:dyDescent="0.2">
      <c r="B462" s="186"/>
      <c r="C462" s="187" t="s">
        <v>230</v>
      </c>
      <c r="D462" s="188" t="s">
        <v>141</v>
      </c>
      <c r="E462" s="189" t="s">
        <v>141</v>
      </c>
      <c r="F462" s="190" t="s">
        <v>231</v>
      </c>
      <c r="G462" s="314" t="s">
        <v>142</v>
      </c>
      <c r="H462" s="1043"/>
      <c r="I462" s="315" t="s">
        <v>232</v>
      </c>
      <c r="J462" s="316" t="s">
        <v>233</v>
      </c>
      <c r="K462" s="317" t="s">
        <v>232</v>
      </c>
      <c r="L462" s="318" t="s">
        <v>233</v>
      </c>
      <c r="M462" s="317" t="s">
        <v>46</v>
      </c>
      <c r="N462" s="319" t="s">
        <v>234</v>
      </c>
      <c r="O462" s="191" t="s">
        <v>235</v>
      </c>
      <c r="P462" s="191" t="s">
        <v>236</v>
      </c>
      <c r="Q462" s="192" t="s">
        <v>237</v>
      </c>
      <c r="R462" s="192" t="s">
        <v>238</v>
      </c>
      <c r="S462" s="192" t="s">
        <v>239</v>
      </c>
    </row>
    <row r="463" spans="2:19" x14ac:dyDescent="0.2">
      <c r="B463" s="193">
        <v>1</v>
      </c>
      <c r="C463" s="194">
        <v>43473</v>
      </c>
      <c r="D463" s="194">
        <v>43467</v>
      </c>
      <c r="E463" s="195" t="s">
        <v>646</v>
      </c>
      <c r="F463" s="162"/>
      <c r="G463" s="196" t="s">
        <v>208</v>
      </c>
      <c r="H463" s="197" t="str">
        <f>+VLOOKUP(G463,[6]bd!A:C,2,0)</f>
        <v>KPMG, S.A.</v>
      </c>
      <c r="I463" s="556"/>
      <c r="J463" s="556"/>
      <c r="K463" s="557">
        <v>118.18</v>
      </c>
      <c r="L463" s="556"/>
      <c r="M463" s="556">
        <f>K463*0.13</f>
        <v>15.363400000000002</v>
      </c>
      <c r="N463" s="556">
        <f t="shared" ref="N463:N479" si="24">+K463+M463</f>
        <v>133.54340000000002</v>
      </c>
      <c r="O463" s="556">
        <v>0</v>
      </c>
      <c r="P463" s="558">
        <f>K463*0.01</f>
        <v>1.1818000000000002</v>
      </c>
      <c r="Q463" s="556"/>
      <c r="R463" s="556"/>
      <c r="S463" s="556"/>
    </row>
    <row r="464" spans="2:19" x14ac:dyDescent="0.2">
      <c r="B464" s="193">
        <v>2</v>
      </c>
      <c r="C464" s="194">
        <v>43474</v>
      </c>
      <c r="D464" s="194">
        <v>43474</v>
      </c>
      <c r="E464" s="195" t="s">
        <v>647</v>
      </c>
      <c r="F464" s="162"/>
      <c r="G464" s="196" t="s">
        <v>188</v>
      </c>
      <c r="H464" s="197" t="str">
        <f>+VLOOKUP(G464,[6]bd!A:C,2,0)</f>
        <v>BOLSA DE VALORES DE EL SALVADOR, S.A. DE C.V.</v>
      </c>
      <c r="I464" s="556"/>
      <c r="J464" s="556"/>
      <c r="K464" s="557">
        <v>239.73</v>
      </c>
      <c r="L464" s="556"/>
      <c r="M464" s="556">
        <f t="shared" ref="M464:M479" si="25">K464*0.13</f>
        <v>31.164899999999999</v>
      </c>
      <c r="N464" s="556">
        <f t="shared" si="24"/>
        <v>270.89490000000001</v>
      </c>
      <c r="O464" s="556">
        <v>0</v>
      </c>
      <c r="P464" s="558">
        <v>0</v>
      </c>
      <c r="Q464" s="556"/>
      <c r="R464" s="556"/>
      <c r="S464" s="556"/>
    </row>
    <row r="465" spans="2:19" x14ac:dyDescent="0.2">
      <c r="B465" s="193">
        <v>3</v>
      </c>
      <c r="C465" s="194">
        <v>43476</v>
      </c>
      <c r="D465" s="194">
        <v>43481</v>
      </c>
      <c r="E465" s="195" t="s">
        <v>609</v>
      </c>
      <c r="F465" s="162"/>
      <c r="G465" s="196" t="s">
        <v>188</v>
      </c>
      <c r="H465" s="197" t="str">
        <f>+VLOOKUP(G465,[6]bd!A:C,2,0)</f>
        <v>BOLSA DE VALORES DE EL SALVADOR, S.A. DE C.V.</v>
      </c>
      <c r="I465" s="556"/>
      <c r="J465" s="556"/>
      <c r="K465" s="557">
        <v>95.89</v>
      </c>
      <c r="L465" s="556"/>
      <c r="M465" s="556">
        <f t="shared" si="25"/>
        <v>12.4657</v>
      </c>
      <c r="N465" s="556">
        <f t="shared" si="24"/>
        <v>108.3557</v>
      </c>
      <c r="O465" s="556">
        <v>0</v>
      </c>
      <c r="P465" s="558">
        <v>0</v>
      </c>
      <c r="Q465" s="556"/>
      <c r="R465" s="556">
        <v>0</v>
      </c>
      <c r="S465" s="556">
        <v>0</v>
      </c>
    </row>
    <row r="466" spans="2:19" x14ac:dyDescent="0.2">
      <c r="B466" s="193">
        <v>4</v>
      </c>
      <c r="C466" s="194">
        <v>43480</v>
      </c>
      <c r="D466" s="194">
        <v>43480</v>
      </c>
      <c r="E466" s="195" t="s">
        <v>648</v>
      </c>
      <c r="F466" s="162"/>
      <c r="G466" s="196" t="s">
        <v>188</v>
      </c>
      <c r="H466" s="197" t="str">
        <f>+VLOOKUP(G466,[6]bd!A:C,2,0)</f>
        <v>BOLSA DE VALORES DE EL SALVADOR, S.A. DE C.V.</v>
      </c>
      <c r="I466" s="556"/>
      <c r="J466" s="556"/>
      <c r="K466" s="557">
        <v>91.35</v>
      </c>
      <c r="L466" s="556"/>
      <c r="M466" s="556">
        <f t="shared" si="25"/>
        <v>11.875499999999999</v>
      </c>
      <c r="N466" s="556">
        <f t="shared" si="24"/>
        <v>103.2255</v>
      </c>
      <c r="O466" s="556">
        <v>0</v>
      </c>
      <c r="P466" s="558">
        <v>0</v>
      </c>
      <c r="Q466" s="556"/>
      <c r="R466" s="556"/>
      <c r="S466" s="556"/>
    </row>
    <row r="467" spans="2:19" x14ac:dyDescent="0.2">
      <c r="B467" s="193">
        <v>5</v>
      </c>
      <c r="C467" s="194">
        <v>43480</v>
      </c>
      <c r="D467" s="194">
        <v>43480</v>
      </c>
      <c r="E467" s="195" t="s">
        <v>649</v>
      </c>
      <c r="F467" s="162"/>
      <c r="G467" s="196" t="s">
        <v>47</v>
      </c>
      <c r="H467" s="197" t="str">
        <f>+VLOOKUP(G467,[6]bd!A:C,2,0)</f>
        <v>BANCO CUSCATLAN DE EL SALVADOR S.A.</v>
      </c>
      <c r="I467" s="556"/>
      <c r="J467" s="556"/>
      <c r="K467" s="557">
        <v>133.80000000000001</v>
      </c>
      <c r="L467" s="556"/>
      <c r="M467" s="556">
        <f t="shared" si="25"/>
        <v>17.394000000000002</v>
      </c>
      <c r="N467" s="556">
        <f t="shared" si="24"/>
        <v>151.19400000000002</v>
      </c>
      <c r="O467" s="556">
        <v>0</v>
      </c>
      <c r="P467" s="558">
        <v>0</v>
      </c>
      <c r="Q467" s="556"/>
      <c r="R467" s="556"/>
      <c r="S467" s="556"/>
    </row>
    <row r="468" spans="2:19" x14ac:dyDescent="0.2">
      <c r="B468" s="193">
        <v>6</v>
      </c>
      <c r="C468" s="194">
        <v>43481</v>
      </c>
      <c r="D468" s="194">
        <v>43476</v>
      </c>
      <c r="E468" s="195" t="s">
        <v>650</v>
      </c>
      <c r="F468" s="195"/>
      <c r="G468" s="195" t="s">
        <v>188</v>
      </c>
      <c r="H468" s="197" t="str">
        <f>+VLOOKUP(G468,[6]bd!A:C,2,0)</f>
        <v>BOLSA DE VALORES DE EL SALVADOR, S.A. DE C.V.</v>
      </c>
      <c r="I468" s="556"/>
      <c r="J468" s="556"/>
      <c r="K468" s="557">
        <v>95.89</v>
      </c>
      <c r="L468" s="556"/>
      <c r="M468" s="556">
        <f t="shared" si="25"/>
        <v>12.4657</v>
      </c>
      <c r="N468" s="556">
        <f t="shared" si="24"/>
        <v>108.3557</v>
      </c>
      <c r="O468" s="556">
        <v>0</v>
      </c>
      <c r="P468" s="558">
        <v>0</v>
      </c>
      <c r="Q468" s="556"/>
      <c r="R468" s="556"/>
      <c r="S468" s="556"/>
    </row>
    <row r="469" spans="2:19" x14ac:dyDescent="0.2">
      <c r="B469" s="193">
        <v>7</v>
      </c>
      <c r="C469" s="194">
        <v>43481</v>
      </c>
      <c r="D469" s="194">
        <v>43472</v>
      </c>
      <c r="E469" s="195" t="s">
        <v>651</v>
      </c>
      <c r="F469" s="162"/>
      <c r="G469" s="196" t="s">
        <v>326</v>
      </c>
      <c r="H469" s="197" t="str">
        <f>+VLOOKUP(G469,[6]bd!A:C,2,0)</f>
        <v>ASOCIACION SALVADOREÑA DE INTERMEDIARIOS BURSATILES</v>
      </c>
      <c r="I469" s="556"/>
      <c r="J469" s="556"/>
      <c r="K469" s="557">
        <v>2400</v>
      </c>
      <c r="L469" s="556"/>
      <c r="M469" s="556">
        <f t="shared" si="25"/>
        <v>312</v>
      </c>
      <c r="N469" s="556">
        <f t="shared" si="24"/>
        <v>2712</v>
      </c>
      <c r="O469" s="556">
        <v>0</v>
      </c>
      <c r="P469" s="558">
        <f>K469*0.01</f>
        <v>24</v>
      </c>
      <c r="Q469" s="556"/>
      <c r="R469" s="556"/>
      <c r="S469" s="556"/>
    </row>
    <row r="470" spans="2:19" x14ac:dyDescent="0.2">
      <c r="B470" s="193">
        <v>8</v>
      </c>
      <c r="C470" s="194">
        <v>43482</v>
      </c>
      <c r="D470" s="194">
        <v>43482</v>
      </c>
      <c r="E470" s="195" t="s">
        <v>652</v>
      </c>
      <c r="F470" s="162"/>
      <c r="G470" s="196" t="s">
        <v>188</v>
      </c>
      <c r="H470" s="197" t="str">
        <f>+VLOOKUP(G470,[6]bd!A:C,2,0)</f>
        <v>BOLSA DE VALORES DE EL SALVADOR, S.A. DE C.V.</v>
      </c>
      <c r="I470" s="556"/>
      <c r="J470" s="556"/>
      <c r="K470" s="557">
        <v>95.89</v>
      </c>
      <c r="L470" s="556"/>
      <c r="M470" s="556">
        <v>12.47</v>
      </c>
      <c r="N470" s="556">
        <f t="shared" si="24"/>
        <v>108.36</v>
      </c>
      <c r="O470" s="556"/>
      <c r="P470" s="558">
        <v>0</v>
      </c>
      <c r="Q470" s="556"/>
      <c r="R470" s="556"/>
      <c r="S470" s="556"/>
    </row>
    <row r="471" spans="2:19" x14ac:dyDescent="0.2">
      <c r="B471" s="193">
        <v>9</v>
      </c>
      <c r="C471" s="194">
        <v>43483</v>
      </c>
      <c r="D471" s="194">
        <v>43483</v>
      </c>
      <c r="E471" s="195" t="s">
        <v>653</v>
      </c>
      <c r="F471" s="162"/>
      <c r="G471" s="196" t="s">
        <v>188</v>
      </c>
      <c r="H471" s="197" t="str">
        <f>+VLOOKUP(G471,[6]bd!A:C,2,0)</f>
        <v>BOLSA DE VALORES DE EL SALVADOR, S.A. DE C.V.</v>
      </c>
      <c r="I471" s="556"/>
      <c r="J471" s="556"/>
      <c r="K471" s="557">
        <v>96.37</v>
      </c>
      <c r="L471" s="556"/>
      <c r="M471" s="556">
        <f t="shared" si="25"/>
        <v>12.5281</v>
      </c>
      <c r="N471" s="556">
        <f t="shared" si="24"/>
        <v>108.8981</v>
      </c>
      <c r="O471" s="556">
        <v>0</v>
      </c>
      <c r="P471" s="558">
        <v>0</v>
      </c>
      <c r="Q471" s="556"/>
      <c r="R471" s="556"/>
      <c r="S471" s="556"/>
    </row>
    <row r="472" spans="2:19" x14ac:dyDescent="0.2">
      <c r="B472" s="193">
        <v>10</v>
      </c>
      <c r="C472" s="194">
        <v>43487</v>
      </c>
      <c r="D472" s="194">
        <v>43487</v>
      </c>
      <c r="E472" s="195" t="s">
        <v>654</v>
      </c>
      <c r="F472" s="162"/>
      <c r="G472" s="196" t="s">
        <v>188</v>
      </c>
      <c r="H472" s="197" t="str">
        <f>+VLOOKUP(G472,[6]bd!A:C,2,0)</f>
        <v>BOLSA DE VALORES DE EL SALVADOR, S.A. DE C.V.</v>
      </c>
      <c r="I472" s="556"/>
      <c r="J472" s="556"/>
      <c r="K472" s="557">
        <v>143.84</v>
      </c>
      <c r="L472" s="556"/>
      <c r="M472" s="556">
        <f t="shared" si="25"/>
        <v>18.699200000000001</v>
      </c>
      <c r="N472" s="556">
        <f t="shared" si="24"/>
        <v>162.53919999999999</v>
      </c>
      <c r="O472" s="556">
        <v>0</v>
      </c>
      <c r="P472" s="558"/>
      <c r="Q472" s="556"/>
      <c r="R472" s="556"/>
      <c r="S472" s="556"/>
    </row>
    <row r="473" spans="2:19" x14ac:dyDescent="0.2">
      <c r="B473" s="193">
        <v>11</v>
      </c>
      <c r="C473" s="194">
        <v>43487</v>
      </c>
      <c r="D473" s="256">
        <v>43462</v>
      </c>
      <c r="E473" s="195" t="s">
        <v>655</v>
      </c>
      <c r="F473" s="162"/>
      <c r="G473" s="196" t="s">
        <v>212</v>
      </c>
      <c r="H473" s="197" t="str">
        <f>+VLOOKUP(G473,[6]bd!A:C,2,0)</f>
        <v>CENTRAL DE DEPOSITO DE VALORES, S.A. DE C.V.</v>
      </c>
      <c r="I473" s="556"/>
      <c r="J473" s="556"/>
      <c r="K473" s="557">
        <v>1585.94</v>
      </c>
      <c r="L473" s="556"/>
      <c r="M473" s="556">
        <f t="shared" si="25"/>
        <v>206.1722</v>
      </c>
      <c r="N473" s="556">
        <f t="shared" si="24"/>
        <v>1792.1122</v>
      </c>
      <c r="O473" s="556">
        <v>0</v>
      </c>
      <c r="P473" s="558">
        <f>K473*0.01</f>
        <v>15.859400000000001</v>
      </c>
      <c r="Q473" s="556"/>
      <c r="R473" s="556"/>
      <c r="S473" s="556"/>
    </row>
    <row r="474" spans="2:19" x14ac:dyDescent="0.2">
      <c r="B474" s="193">
        <v>12</v>
      </c>
      <c r="C474" s="194">
        <v>43488</v>
      </c>
      <c r="D474" s="194">
        <v>43488</v>
      </c>
      <c r="E474" s="195" t="s">
        <v>656</v>
      </c>
      <c r="F474" s="162"/>
      <c r="G474" s="196" t="s">
        <v>188</v>
      </c>
      <c r="H474" s="197" t="str">
        <f>+VLOOKUP(G474,[6]bd!A:C,2,0)</f>
        <v>BOLSA DE VALORES DE EL SALVADOR, S.A. DE C.V.</v>
      </c>
      <c r="I474" s="556"/>
      <c r="J474" s="556"/>
      <c r="K474" s="557">
        <v>231.1</v>
      </c>
      <c r="L474" s="556"/>
      <c r="M474" s="556">
        <f t="shared" si="25"/>
        <v>30.042999999999999</v>
      </c>
      <c r="N474" s="556">
        <f t="shared" si="24"/>
        <v>261.14299999999997</v>
      </c>
      <c r="O474" s="556">
        <v>0</v>
      </c>
      <c r="P474" s="558">
        <v>0</v>
      </c>
      <c r="Q474" s="556"/>
      <c r="R474" s="556"/>
      <c r="S474" s="556"/>
    </row>
    <row r="475" spans="2:19" x14ac:dyDescent="0.2">
      <c r="B475" s="193">
        <v>13</v>
      </c>
      <c r="C475" s="194">
        <v>43489</v>
      </c>
      <c r="D475" s="256">
        <v>43489</v>
      </c>
      <c r="E475" s="195" t="s">
        <v>657</v>
      </c>
      <c r="F475" s="162"/>
      <c r="G475" s="196" t="s">
        <v>188</v>
      </c>
      <c r="H475" s="197" t="str">
        <f>+VLOOKUP(G475,[6]bd!A:C,2,0)</f>
        <v>BOLSA DE VALORES DE EL SALVADOR, S.A. DE C.V.</v>
      </c>
      <c r="I475" s="556"/>
      <c r="J475" s="556"/>
      <c r="K475" s="557">
        <v>191.78</v>
      </c>
      <c r="L475" s="556"/>
      <c r="M475" s="556">
        <f t="shared" si="25"/>
        <v>24.9314</v>
      </c>
      <c r="N475" s="556">
        <f t="shared" si="24"/>
        <v>216.7114</v>
      </c>
      <c r="O475" s="556">
        <v>0</v>
      </c>
      <c r="P475" s="558">
        <v>0</v>
      </c>
      <c r="Q475" s="556"/>
      <c r="R475" s="556"/>
      <c r="S475" s="556"/>
    </row>
    <row r="476" spans="2:19" x14ac:dyDescent="0.2">
      <c r="B476" s="193">
        <v>14</v>
      </c>
      <c r="C476" s="194">
        <v>43489</v>
      </c>
      <c r="D476" s="256">
        <v>43465</v>
      </c>
      <c r="E476" s="195" t="s">
        <v>658</v>
      </c>
      <c r="F476" s="162"/>
      <c r="G476" s="196" t="s">
        <v>341</v>
      </c>
      <c r="H476" s="197" t="str">
        <f>+VLOOKUP(G476,[6]bd!A:C,2,0)</f>
        <v>OPERADORES LOGISTICOS RANSA, S.A. DE C.V.</v>
      </c>
      <c r="I476" s="556"/>
      <c r="J476" s="556"/>
      <c r="K476" s="557">
        <v>376.92</v>
      </c>
      <c r="L476" s="556"/>
      <c r="M476" s="556">
        <f t="shared" si="25"/>
        <v>48.999600000000001</v>
      </c>
      <c r="N476" s="556">
        <f t="shared" si="24"/>
        <v>425.9196</v>
      </c>
      <c r="O476" s="556">
        <v>0</v>
      </c>
      <c r="P476" s="558">
        <f>K476*0.01</f>
        <v>3.7692000000000001</v>
      </c>
      <c r="Q476" s="556"/>
      <c r="R476" s="556"/>
      <c r="S476" s="556"/>
    </row>
    <row r="477" spans="2:19" x14ac:dyDescent="0.2">
      <c r="B477" s="193">
        <v>15</v>
      </c>
      <c r="C477" s="194">
        <v>43494</v>
      </c>
      <c r="D477" s="194">
        <v>43494</v>
      </c>
      <c r="E477" s="195" t="s">
        <v>659</v>
      </c>
      <c r="F477" s="711"/>
      <c r="G477" s="196" t="s">
        <v>188</v>
      </c>
      <c r="H477" s="197" t="str">
        <f>+VLOOKUP(G477,[6]bd!A:C,2,0)</f>
        <v>BOLSA DE VALORES DE EL SALVADOR, S.A. DE C.V.</v>
      </c>
      <c r="I477" s="556"/>
      <c r="J477" s="556"/>
      <c r="K477" s="557">
        <v>143.84</v>
      </c>
      <c r="L477" s="556"/>
      <c r="M477" s="556">
        <f t="shared" si="25"/>
        <v>18.699200000000001</v>
      </c>
      <c r="N477" s="556">
        <f t="shared" si="24"/>
        <v>162.53919999999999</v>
      </c>
      <c r="O477" s="556">
        <v>0</v>
      </c>
      <c r="P477" s="558">
        <v>0</v>
      </c>
      <c r="Q477" s="556"/>
      <c r="R477" s="556"/>
      <c r="S477" s="556"/>
    </row>
    <row r="478" spans="2:19" x14ac:dyDescent="0.2">
      <c r="B478" s="193">
        <v>16</v>
      </c>
      <c r="C478" s="194">
        <v>43495</v>
      </c>
      <c r="D478" s="256">
        <v>43495</v>
      </c>
      <c r="E478" s="681">
        <v>2091</v>
      </c>
      <c r="F478" s="711"/>
      <c r="G478" s="681" t="s">
        <v>188</v>
      </c>
      <c r="H478" s="197" t="str">
        <f>+VLOOKUP(G478,[6]bd!A:C,2,0)</f>
        <v>BOLSA DE VALORES DE EL SALVADOR, S.A. DE C.V.</v>
      </c>
      <c r="I478" s="556"/>
      <c r="J478" s="556"/>
      <c r="K478" s="557">
        <v>143.84</v>
      </c>
      <c r="L478" s="556"/>
      <c r="M478" s="556">
        <f t="shared" si="25"/>
        <v>18.699200000000001</v>
      </c>
      <c r="N478" s="556">
        <f t="shared" si="24"/>
        <v>162.53919999999999</v>
      </c>
      <c r="O478" s="556">
        <v>0</v>
      </c>
      <c r="P478" s="558">
        <v>0</v>
      </c>
      <c r="Q478" s="556"/>
      <c r="R478" s="556"/>
      <c r="S478" s="556"/>
    </row>
    <row r="479" spans="2:19" x14ac:dyDescent="0.2">
      <c r="B479" s="193">
        <v>17</v>
      </c>
      <c r="C479" s="194">
        <v>43496</v>
      </c>
      <c r="D479" s="256">
        <v>43495</v>
      </c>
      <c r="E479" s="681">
        <v>2070</v>
      </c>
      <c r="F479" s="711"/>
      <c r="G479" s="681" t="s">
        <v>188</v>
      </c>
      <c r="H479" s="197" t="str">
        <f>+VLOOKUP(G479,[6]bd!A:C,2,0)</f>
        <v>BOLSA DE VALORES DE EL SALVADOR, S.A. DE C.V.</v>
      </c>
      <c r="I479" s="556"/>
      <c r="J479" s="556"/>
      <c r="K479" s="557">
        <v>23.97</v>
      </c>
      <c r="L479" s="556"/>
      <c r="M479" s="556">
        <f t="shared" si="25"/>
        <v>3.1160999999999999</v>
      </c>
      <c r="N479" s="556">
        <f t="shared" si="24"/>
        <v>27.086099999999998</v>
      </c>
      <c r="O479" s="556">
        <v>0</v>
      </c>
      <c r="P479" s="558">
        <v>0</v>
      </c>
      <c r="Q479" s="556"/>
      <c r="R479" s="556"/>
      <c r="S479" s="556"/>
    </row>
    <row r="480" spans="2:19" x14ac:dyDescent="0.2">
      <c r="B480" s="193">
        <v>28</v>
      </c>
      <c r="C480" s="194"/>
      <c r="D480" s="194"/>
      <c r="E480" s="195"/>
      <c r="F480" s="162"/>
      <c r="G480" s="196"/>
      <c r="H480" s="197"/>
      <c r="I480" s="556"/>
      <c r="J480" s="556"/>
      <c r="K480" s="557"/>
      <c r="L480" s="556"/>
      <c r="M480" s="556"/>
      <c r="N480" s="556"/>
      <c r="O480" s="556"/>
      <c r="P480" s="558">
        <v>0</v>
      </c>
      <c r="Q480" s="556"/>
      <c r="R480" s="556"/>
      <c r="S480" s="556"/>
    </row>
    <row r="481" spans="2:19" x14ac:dyDescent="0.2">
      <c r="B481" s="193"/>
      <c r="C481" s="194"/>
      <c r="D481" s="194"/>
      <c r="E481" s="195"/>
      <c r="F481" s="162"/>
      <c r="G481" s="196"/>
      <c r="H481" s="197" t="s">
        <v>273</v>
      </c>
      <c r="I481" s="556"/>
      <c r="J481" s="556"/>
      <c r="K481" s="562"/>
      <c r="L481" s="556"/>
      <c r="M481" s="556"/>
      <c r="N481" s="681"/>
      <c r="O481" s="556"/>
      <c r="P481" s="558">
        <v>0</v>
      </c>
      <c r="Q481" s="556"/>
      <c r="R481" s="556"/>
      <c r="S481" s="556"/>
    </row>
    <row r="482" spans="2:19" x14ac:dyDescent="0.2">
      <c r="B482" s="193"/>
      <c r="C482" s="194"/>
      <c r="D482" s="194"/>
      <c r="E482" s="195"/>
      <c r="F482" s="162"/>
      <c r="G482" s="196"/>
      <c r="H482" s="197"/>
      <c r="I482" s="556"/>
      <c r="J482" s="556"/>
      <c r="K482" s="557"/>
      <c r="L482" s="556"/>
      <c r="M482" s="556"/>
      <c r="N482" s="556"/>
      <c r="O482" s="556"/>
      <c r="P482" s="558"/>
      <c r="Q482" s="556"/>
      <c r="R482" s="556"/>
      <c r="S482" s="556"/>
    </row>
    <row r="483" spans="2:19" x14ac:dyDescent="0.2">
      <c r="B483" s="193"/>
      <c r="C483" s="194"/>
      <c r="D483" s="194"/>
      <c r="E483" s="195"/>
      <c r="F483" s="333"/>
      <c r="G483" s="196"/>
      <c r="H483" s="197"/>
      <c r="I483" s="556"/>
      <c r="J483" s="556"/>
      <c r="K483" s="557"/>
      <c r="L483" s="556"/>
      <c r="M483" s="556"/>
      <c r="N483" s="556"/>
      <c r="O483" s="556"/>
      <c r="P483" s="556"/>
      <c r="Q483" s="556"/>
      <c r="R483" s="556"/>
      <c r="S483" s="556"/>
    </row>
    <row r="484" spans="2:19" x14ac:dyDescent="0.2">
      <c r="B484" s="193"/>
      <c r="C484" s="194"/>
      <c r="D484" s="194"/>
      <c r="E484" s="195"/>
      <c r="F484" s="333"/>
      <c r="G484" s="196"/>
      <c r="H484" s="197"/>
      <c r="I484" s="556"/>
      <c r="J484" s="556"/>
      <c r="K484" s="557"/>
      <c r="L484" s="556"/>
      <c r="M484" s="556"/>
      <c r="N484" s="556"/>
      <c r="O484" s="556"/>
      <c r="P484" s="556"/>
      <c r="Q484" s="556"/>
      <c r="R484" s="556"/>
      <c r="S484" s="556"/>
    </row>
    <row r="485" spans="2:19" x14ac:dyDescent="0.2">
      <c r="B485" s="193"/>
      <c r="C485" s="194"/>
      <c r="D485" s="194"/>
      <c r="E485" s="195"/>
      <c r="F485" s="333"/>
      <c r="G485" s="196"/>
      <c r="H485" s="197"/>
      <c r="I485" s="556"/>
      <c r="J485" s="556"/>
      <c r="K485" s="557"/>
      <c r="L485" s="556"/>
      <c r="M485" s="556"/>
      <c r="N485" s="556"/>
      <c r="O485" s="556"/>
      <c r="P485" s="556"/>
      <c r="Q485" s="556"/>
      <c r="R485" s="556"/>
      <c r="S485" s="556"/>
    </row>
    <row r="486" spans="2:19" x14ac:dyDescent="0.2">
      <c r="B486" s="193"/>
      <c r="C486" s="194"/>
      <c r="D486" s="194"/>
      <c r="E486" s="195"/>
      <c r="F486" s="333"/>
      <c r="G486" s="196"/>
      <c r="H486" s="197"/>
      <c r="I486" s="556"/>
      <c r="J486" s="556"/>
      <c r="K486" s="557"/>
      <c r="L486" s="556"/>
      <c r="M486" s="556"/>
      <c r="N486" s="556"/>
      <c r="O486" s="556"/>
      <c r="P486" s="558"/>
      <c r="Q486" s="556"/>
      <c r="R486" s="556"/>
      <c r="S486" s="556"/>
    </row>
    <row r="487" spans="2:19" x14ac:dyDescent="0.2">
      <c r="B487" s="193"/>
      <c r="C487" s="194"/>
      <c r="D487" s="194"/>
      <c r="E487" s="195"/>
      <c r="F487" s="1041"/>
      <c r="G487" s="196"/>
      <c r="H487" s="197"/>
      <c r="I487" s="564"/>
      <c r="J487" s="556"/>
      <c r="K487" s="557"/>
      <c r="L487" s="556"/>
      <c r="M487" s="556"/>
      <c r="N487" s="556"/>
      <c r="O487" s="556"/>
      <c r="P487" s="556"/>
      <c r="Q487" s="556"/>
      <c r="R487" s="556"/>
      <c r="S487" s="556"/>
    </row>
    <row r="488" spans="2:19" x14ac:dyDescent="0.2">
      <c r="B488" s="193"/>
      <c r="C488" s="194"/>
      <c r="D488" s="194"/>
      <c r="E488" s="195"/>
      <c r="F488" s="1041"/>
      <c r="G488" s="196"/>
      <c r="H488" s="197"/>
      <c r="I488" s="556"/>
      <c r="J488" s="556"/>
      <c r="K488" s="557"/>
      <c r="L488" s="556"/>
      <c r="M488" s="556"/>
      <c r="N488" s="556"/>
      <c r="O488" s="556"/>
      <c r="P488" s="556"/>
      <c r="Q488" s="556"/>
      <c r="R488" s="556"/>
      <c r="S488" s="556"/>
    </row>
    <row r="489" spans="2:19" x14ac:dyDescent="0.2">
      <c r="B489" s="193"/>
      <c r="C489" s="194"/>
      <c r="D489" s="194"/>
      <c r="E489" s="195"/>
      <c r="F489" s="320"/>
      <c r="G489" s="196"/>
      <c r="H489" s="197"/>
      <c r="I489" s="556"/>
      <c r="J489" s="556"/>
      <c r="K489" s="557"/>
      <c r="L489" s="556"/>
      <c r="M489" s="556"/>
      <c r="N489" s="556"/>
      <c r="O489" s="556"/>
      <c r="P489" s="556"/>
      <c r="Q489" s="556"/>
      <c r="R489" s="556"/>
      <c r="S489" s="556"/>
    </row>
    <row r="490" spans="2:19" x14ac:dyDescent="0.2">
      <c r="B490" s="193"/>
      <c r="C490" s="194"/>
      <c r="D490" s="194"/>
      <c r="E490" s="195"/>
      <c r="F490" s="321"/>
      <c r="G490" s="196"/>
      <c r="H490" s="197"/>
      <c r="I490" s="556"/>
      <c r="J490" s="556"/>
      <c r="K490" s="556"/>
      <c r="L490" s="556"/>
      <c r="M490" s="556"/>
      <c r="N490" s="556">
        <f t="shared" ref="N490" si="26">+K490+M490</f>
        <v>0</v>
      </c>
      <c r="O490" s="556"/>
      <c r="P490" s="556"/>
      <c r="Q490" s="556"/>
      <c r="R490" s="556"/>
      <c r="S490" s="556"/>
    </row>
    <row r="491" spans="2:19" ht="13.5" thickBot="1" x14ac:dyDescent="0.25">
      <c r="B491" s="265"/>
      <c r="C491" s="266"/>
      <c r="D491" s="267"/>
      <c r="E491" s="266"/>
      <c r="F491" s="268"/>
      <c r="G491" s="269"/>
      <c r="H491" s="270"/>
      <c r="I491" s="271"/>
      <c r="J491" s="272"/>
      <c r="K491" s="272"/>
      <c r="L491" s="273"/>
      <c r="M491" s="272"/>
      <c r="N491" s="272"/>
      <c r="O491" s="272"/>
      <c r="P491" s="272"/>
      <c r="Q491" s="274"/>
      <c r="R491" s="274"/>
      <c r="S491" s="274"/>
    </row>
    <row r="492" spans="2:19" x14ac:dyDescent="0.2">
      <c r="B492" s="175"/>
      <c r="C492" s="176"/>
      <c r="D492" s="275"/>
      <c r="E492" s="176"/>
      <c r="F492" s="276"/>
      <c r="G492" s="277"/>
      <c r="H492" s="178"/>
      <c r="I492" s="278"/>
      <c r="J492" s="171"/>
      <c r="K492" s="171"/>
      <c r="L492" s="279"/>
      <c r="M492" s="171"/>
      <c r="N492" s="171"/>
      <c r="O492" s="171"/>
      <c r="P492" s="171"/>
      <c r="Q492" s="280"/>
      <c r="R492" s="280"/>
      <c r="S492" s="280"/>
    </row>
    <row r="493" spans="2:19" x14ac:dyDescent="0.2">
      <c r="B493" s="175"/>
      <c r="C493" s="164"/>
      <c r="D493" s="165"/>
      <c r="E493" s="164"/>
      <c r="F493" s="281"/>
      <c r="G493" s="277"/>
      <c r="H493" s="282" t="s">
        <v>261</v>
      </c>
      <c r="I493" s="279">
        <f t="shared" ref="I493:S493" si="27">SUM(I463:I491)</f>
        <v>0</v>
      </c>
      <c r="J493" s="279">
        <f t="shared" si="27"/>
        <v>0</v>
      </c>
      <c r="K493" s="279">
        <f t="shared" si="27"/>
        <v>6208.3300000000008</v>
      </c>
      <c r="L493" s="279">
        <f t="shared" si="27"/>
        <v>0</v>
      </c>
      <c r="M493" s="279">
        <f t="shared" si="27"/>
        <v>807.08720000000005</v>
      </c>
      <c r="N493" s="279">
        <f t="shared" si="27"/>
        <v>7015.4172000000008</v>
      </c>
      <c r="O493" s="279">
        <f t="shared" si="27"/>
        <v>0</v>
      </c>
      <c r="P493" s="279">
        <f t="shared" si="27"/>
        <v>44.810400000000001</v>
      </c>
      <c r="Q493" s="279">
        <f t="shared" si="27"/>
        <v>0</v>
      </c>
      <c r="R493" s="279">
        <f t="shared" si="27"/>
        <v>0</v>
      </c>
      <c r="S493" s="279">
        <f t="shared" si="27"/>
        <v>0</v>
      </c>
    </row>
    <row r="494" spans="2:19" ht="13.5" thickBot="1" x14ac:dyDescent="0.25">
      <c r="B494" s="265"/>
      <c r="C494" s="283"/>
      <c r="D494" s="284"/>
      <c r="E494" s="283"/>
      <c r="F494" s="285"/>
      <c r="G494" s="269"/>
      <c r="H494" s="286"/>
      <c r="I494" s="273"/>
      <c r="J494" s="287"/>
      <c r="K494" s="287"/>
      <c r="L494" s="287"/>
      <c r="M494" s="287"/>
      <c r="N494" s="287"/>
      <c r="O494" s="287"/>
      <c r="P494" s="287"/>
      <c r="Q494" s="273"/>
      <c r="R494" s="273"/>
      <c r="S494" s="588"/>
    </row>
    <row r="504" spans="2:19" ht="21" x14ac:dyDescent="0.35">
      <c r="B504" s="493" t="s">
        <v>218</v>
      </c>
      <c r="C504" s="494"/>
      <c r="D504" s="495"/>
      <c r="E504" s="495"/>
      <c r="F504" s="495"/>
      <c r="G504" s="496"/>
      <c r="H504" s="497"/>
      <c r="I504" s="497"/>
      <c r="J504" s="497"/>
      <c r="K504" s="497"/>
      <c r="L504" s="497"/>
      <c r="M504" s="497"/>
      <c r="N504" s="498"/>
      <c r="O504" s="492"/>
      <c r="P504" s="492"/>
      <c r="Q504" s="492"/>
      <c r="R504" s="492"/>
      <c r="S504" s="492"/>
    </row>
    <row r="505" spans="2:19" ht="15.75" x14ac:dyDescent="0.25">
      <c r="B505" s="495" t="s">
        <v>134</v>
      </c>
      <c r="C505" s="495"/>
      <c r="D505" s="495"/>
      <c r="E505" s="495"/>
      <c r="F505" s="495"/>
      <c r="G505" s="496"/>
      <c r="H505" s="497"/>
      <c r="I505" s="497"/>
      <c r="J505" s="497"/>
      <c r="K505" s="497"/>
      <c r="L505" s="1044"/>
      <c r="M505" s="1044"/>
      <c r="N505" s="498">
        <v>1.18</v>
      </c>
      <c r="O505" s="492"/>
      <c r="P505" s="492"/>
      <c r="Q505" s="492"/>
      <c r="R505" s="492"/>
      <c r="S505" s="492"/>
    </row>
    <row r="506" spans="2:19" ht="15.75" x14ac:dyDescent="0.25">
      <c r="B506" s="494" t="s">
        <v>135</v>
      </c>
      <c r="C506" s="495"/>
      <c r="D506" s="495"/>
      <c r="E506" s="495"/>
      <c r="F506" s="495"/>
      <c r="G506" s="496"/>
      <c r="H506" s="497"/>
      <c r="I506" s="497"/>
      <c r="J506" s="497"/>
      <c r="K506" s="497"/>
      <c r="L506" s="497"/>
      <c r="M506" s="497"/>
      <c r="N506" s="498">
        <v>3.44</v>
      </c>
      <c r="O506" s="492"/>
      <c r="P506" s="492"/>
      <c r="Q506" s="492"/>
      <c r="R506" s="492"/>
      <c r="S506" s="492"/>
    </row>
    <row r="507" spans="2:19" ht="15.75" x14ac:dyDescent="0.25">
      <c r="B507" s="495" t="s">
        <v>190</v>
      </c>
      <c r="C507" s="495"/>
      <c r="D507" s="495"/>
      <c r="E507" s="495"/>
      <c r="F507" s="495"/>
      <c r="G507" s="496"/>
      <c r="H507" s="497"/>
      <c r="I507" s="497"/>
      <c r="J507" s="497"/>
      <c r="K507" s="497"/>
      <c r="L507" s="497"/>
      <c r="M507" s="497"/>
      <c r="N507" s="498"/>
      <c r="O507" s="492"/>
      <c r="P507" s="492"/>
      <c r="Q507" s="492"/>
      <c r="R507" s="492"/>
      <c r="S507" s="492"/>
    </row>
    <row r="508" spans="2:19" ht="15.75" x14ac:dyDescent="0.25">
      <c r="B508" s="499" t="s">
        <v>219</v>
      </c>
      <c r="C508" s="500" t="s">
        <v>82</v>
      </c>
      <c r="D508" s="501"/>
      <c r="E508" s="502">
        <v>2019</v>
      </c>
      <c r="F508" s="495"/>
      <c r="G508" s="496"/>
      <c r="H508" s="162"/>
      <c r="I508" s="504"/>
      <c r="J508" s="504"/>
      <c r="K508" s="504"/>
      <c r="L508" s="504"/>
      <c r="M508" s="504"/>
      <c r="N508" s="498"/>
      <c r="O508" s="492"/>
      <c r="P508" s="492"/>
      <c r="Q508" s="492"/>
      <c r="R508" s="492"/>
      <c r="S508" s="492"/>
    </row>
    <row r="509" spans="2:19" x14ac:dyDescent="0.2">
      <c r="B509" s="163"/>
      <c r="C509" s="164"/>
      <c r="D509" s="165"/>
      <c r="E509" s="166"/>
      <c r="F509" s="167"/>
      <c r="G509" s="168"/>
      <c r="H509" s="168"/>
      <c r="I509" s="169"/>
      <c r="J509" s="170"/>
      <c r="K509" s="171"/>
      <c r="L509" s="170"/>
      <c r="M509" s="171"/>
      <c r="N509" s="171"/>
      <c r="O509" s="170"/>
      <c r="P509" s="170"/>
      <c r="Q509" s="168"/>
      <c r="R509" s="168"/>
      <c r="S509" s="172"/>
    </row>
    <row r="510" spans="2:19" x14ac:dyDescent="0.2">
      <c r="B510" s="163"/>
      <c r="C510" s="164"/>
      <c r="D510" s="165"/>
      <c r="E510" s="166"/>
      <c r="F510" s="243"/>
      <c r="G510" s="173"/>
      <c r="H510" s="174"/>
      <c r="I510" s="169"/>
      <c r="J510" s="170"/>
      <c r="K510" s="171"/>
      <c r="L510" s="170"/>
      <c r="M510" s="171"/>
      <c r="N510" s="171"/>
      <c r="O510" s="170"/>
      <c r="P510" s="170"/>
      <c r="Q510" s="168"/>
      <c r="R510" s="168"/>
      <c r="S510" s="172"/>
    </row>
    <row r="511" spans="2:19" x14ac:dyDescent="0.2">
      <c r="B511" s="175"/>
      <c r="C511" s="176"/>
      <c r="D511" s="177"/>
      <c r="E511" s="166"/>
      <c r="F511" s="167"/>
      <c r="G511" s="178"/>
      <c r="H511" s="168"/>
      <c r="I511" s="169"/>
      <c r="J511" s="170"/>
      <c r="K511" s="171"/>
      <c r="L511" s="170"/>
      <c r="M511" s="171"/>
      <c r="N511" s="171"/>
      <c r="O511" s="170"/>
      <c r="P511" s="522">
        <v>0.01</v>
      </c>
      <c r="Q511" s="168"/>
      <c r="R511" s="168" t="s">
        <v>220</v>
      </c>
      <c r="S511" s="523">
        <v>0.13</v>
      </c>
    </row>
    <row r="512" spans="2:19" x14ac:dyDescent="0.2">
      <c r="B512" s="179" t="s">
        <v>221</v>
      </c>
      <c r="C512" s="180" t="s">
        <v>136</v>
      </c>
      <c r="D512" s="181" t="s">
        <v>136</v>
      </c>
      <c r="E512" s="182" t="s">
        <v>137</v>
      </c>
      <c r="F512" s="182" t="s">
        <v>222</v>
      </c>
      <c r="G512" s="312" t="s">
        <v>223</v>
      </c>
      <c r="H512" s="1042" t="s">
        <v>139</v>
      </c>
      <c r="I512" s="328" t="s">
        <v>224</v>
      </c>
      <c r="J512" s="329"/>
      <c r="K512" s="330" t="s">
        <v>225</v>
      </c>
      <c r="L512" s="331"/>
      <c r="M512" s="332"/>
      <c r="N512" s="313" t="s">
        <v>140</v>
      </c>
      <c r="O512" s="183" t="s">
        <v>226</v>
      </c>
      <c r="P512" s="184" t="s">
        <v>227</v>
      </c>
      <c r="Q512" s="185" t="s">
        <v>228</v>
      </c>
      <c r="R512" s="185" t="s">
        <v>229</v>
      </c>
      <c r="S512" s="185" t="s">
        <v>229</v>
      </c>
    </row>
    <row r="513" spans="2:19" x14ac:dyDescent="0.2">
      <c r="B513" s="186"/>
      <c r="C513" s="187" t="s">
        <v>230</v>
      </c>
      <c r="D513" s="188" t="s">
        <v>141</v>
      </c>
      <c r="E513" s="189" t="s">
        <v>141</v>
      </c>
      <c r="F513" s="190" t="s">
        <v>231</v>
      </c>
      <c r="G513" s="314" t="s">
        <v>142</v>
      </c>
      <c r="H513" s="1043"/>
      <c r="I513" s="315" t="s">
        <v>232</v>
      </c>
      <c r="J513" s="316" t="s">
        <v>233</v>
      </c>
      <c r="K513" s="317" t="s">
        <v>232</v>
      </c>
      <c r="L513" s="318" t="s">
        <v>233</v>
      </c>
      <c r="M513" s="317" t="s">
        <v>46</v>
      </c>
      <c r="N513" s="319" t="s">
        <v>234</v>
      </c>
      <c r="O513" s="191" t="s">
        <v>235</v>
      </c>
      <c r="P513" s="191" t="s">
        <v>236</v>
      </c>
      <c r="Q513" s="192" t="s">
        <v>237</v>
      </c>
      <c r="R513" s="192" t="s">
        <v>238</v>
      </c>
      <c r="S513" s="192" t="s">
        <v>239</v>
      </c>
    </row>
    <row r="514" spans="2:19" x14ac:dyDescent="0.2">
      <c r="B514" s="193">
        <v>1</v>
      </c>
      <c r="C514" s="194">
        <v>43504</v>
      </c>
      <c r="D514" s="194">
        <v>43504</v>
      </c>
      <c r="E514" s="195" t="s">
        <v>717</v>
      </c>
      <c r="F514" s="162"/>
      <c r="G514" s="196" t="s">
        <v>188</v>
      </c>
      <c r="H514" s="197" t="str">
        <f>+VLOOKUP(G514,[7]bd!A:C,2,0)</f>
        <v>BOLSA DE VALORES DE EL SALVADOR, S.A. DE C.V.</v>
      </c>
      <c r="I514" s="556"/>
      <c r="J514" s="556"/>
      <c r="K514" s="557">
        <v>95.89</v>
      </c>
      <c r="L514" s="556"/>
      <c r="M514" s="556">
        <f>K514*0.13</f>
        <v>12.4657</v>
      </c>
      <c r="N514" s="556">
        <f t="shared" ref="N514:N523" si="28">+K514+M514</f>
        <v>108.3557</v>
      </c>
      <c r="O514" s="556">
        <v>0</v>
      </c>
      <c r="P514" s="558">
        <v>0</v>
      </c>
      <c r="Q514" s="556"/>
      <c r="R514" s="556"/>
      <c r="S514" s="556"/>
    </row>
    <row r="515" spans="2:19" x14ac:dyDescent="0.2">
      <c r="B515" s="193">
        <v>2</v>
      </c>
      <c r="C515" s="194">
        <v>43508</v>
      </c>
      <c r="D515" s="194">
        <v>43508</v>
      </c>
      <c r="E515" s="195" t="s">
        <v>718</v>
      </c>
      <c r="F515" s="162"/>
      <c r="G515" s="196" t="s">
        <v>188</v>
      </c>
      <c r="H515" s="197" t="str">
        <f>+VLOOKUP(G515,[7]bd!A:C,2,0)</f>
        <v>BOLSA DE VALORES DE EL SALVADOR, S.A. DE C.V.</v>
      </c>
      <c r="I515" s="556"/>
      <c r="J515" s="556"/>
      <c r="K515" s="557">
        <v>100.44</v>
      </c>
      <c r="L515" s="556"/>
      <c r="M515" s="556">
        <f t="shared" ref="M515:M530" si="29">K515*0.13</f>
        <v>13.0572</v>
      </c>
      <c r="N515" s="556">
        <f t="shared" si="28"/>
        <v>113.49719999999999</v>
      </c>
      <c r="O515" s="556">
        <v>0</v>
      </c>
      <c r="P515" s="558">
        <v>0</v>
      </c>
      <c r="Q515" s="556"/>
      <c r="R515" s="556"/>
      <c r="S515" s="556"/>
    </row>
    <row r="516" spans="2:19" x14ac:dyDescent="0.2">
      <c r="B516" s="193">
        <v>3</v>
      </c>
      <c r="C516" s="194">
        <v>43509</v>
      </c>
      <c r="D516" s="194">
        <v>43509</v>
      </c>
      <c r="E516" s="195" t="s">
        <v>719</v>
      </c>
      <c r="F516" s="162"/>
      <c r="G516" s="196" t="s">
        <v>188</v>
      </c>
      <c r="H516" s="197" t="str">
        <f>+VLOOKUP(G516,[7]bd!A:C,2,0)</f>
        <v>BOLSA DE VALORES DE EL SALVADOR, S.A. DE C.V.</v>
      </c>
      <c r="I516" s="556"/>
      <c r="J516" s="556"/>
      <c r="K516" s="557">
        <v>332.55</v>
      </c>
      <c r="L516" s="556"/>
      <c r="M516" s="556">
        <f t="shared" si="29"/>
        <v>43.231500000000004</v>
      </c>
      <c r="N516" s="556">
        <f t="shared" si="28"/>
        <v>375.78149999999999</v>
      </c>
      <c r="O516" s="556">
        <v>0</v>
      </c>
      <c r="P516" s="558">
        <v>0</v>
      </c>
      <c r="Q516" s="556"/>
      <c r="R516" s="556">
        <v>0</v>
      </c>
      <c r="S516" s="556">
        <v>0</v>
      </c>
    </row>
    <row r="517" spans="2:19" x14ac:dyDescent="0.2">
      <c r="B517" s="193">
        <v>4</v>
      </c>
      <c r="C517" s="194">
        <v>43509</v>
      </c>
      <c r="D517" s="194">
        <v>43488</v>
      </c>
      <c r="E517" s="195" t="s">
        <v>720</v>
      </c>
      <c r="F517" s="162"/>
      <c r="G517" s="196" t="s">
        <v>554</v>
      </c>
      <c r="H517" s="197" t="str">
        <f>+VLOOKUP(G517,[7]bd!A:C,2,0)</f>
        <v>O &amp; R MARKETING COMMUNICATIONS, S.A DE C.V.</v>
      </c>
      <c r="I517" s="556"/>
      <c r="J517" s="556"/>
      <c r="K517" s="557">
        <v>63</v>
      </c>
      <c r="L517" s="556"/>
      <c r="M517" s="556">
        <f t="shared" si="29"/>
        <v>8.19</v>
      </c>
      <c r="N517" s="556">
        <f t="shared" si="28"/>
        <v>71.19</v>
      </c>
      <c r="O517" s="556">
        <v>0</v>
      </c>
      <c r="P517" s="558">
        <v>0</v>
      </c>
      <c r="Q517" s="556"/>
      <c r="R517" s="556"/>
      <c r="S517" s="556"/>
    </row>
    <row r="518" spans="2:19" x14ac:dyDescent="0.2">
      <c r="B518" s="193">
        <v>5</v>
      </c>
      <c r="C518" s="194">
        <v>43509</v>
      </c>
      <c r="D518" s="194">
        <v>43497</v>
      </c>
      <c r="E518" s="195" t="s">
        <v>721</v>
      </c>
      <c r="F518" s="162"/>
      <c r="G518" s="195" t="s">
        <v>208</v>
      </c>
      <c r="H518" s="197" t="str">
        <f>+VLOOKUP(G518,[7]bd!A:C,2,0)</f>
        <v>KPMG, S.A.</v>
      </c>
      <c r="I518" s="556"/>
      <c r="J518" s="556"/>
      <c r="K518" s="557">
        <v>118.18</v>
      </c>
      <c r="L518" s="556"/>
      <c r="M518" s="556">
        <f t="shared" si="29"/>
        <v>15.363400000000002</v>
      </c>
      <c r="N518" s="556">
        <f t="shared" si="28"/>
        <v>133.54340000000002</v>
      </c>
      <c r="O518" s="556">
        <v>0</v>
      </c>
      <c r="P518" s="558">
        <f>K518*0.01</f>
        <v>1.1818000000000002</v>
      </c>
      <c r="Q518" s="556"/>
      <c r="R518" s="556"/>
      <c r="S518" s="556"/>
    </row>
    <row r="519" spans="2:19" x14ac:dyDescent="0.2">
      <c r="B519" s="193">
        <v>6</v>
      </c>
      <c r="C519" s="194">
        <v>43511</v>
      </c>
      <c r="D519" s="194">
        <v>43511</v>
      </c>
      <c r="E519" s="195" t="s">
        <v>722</v>
      </c>
      <c r="F519" s="195"/>
      <c r="G519" s="195" t="s">
        <v>188</v>
      </c>
      <c r="H519" s="197" t="str">
        <f>+VLOOKUP(G519,[7]bd!A:C,2,0)</f>
        <v>BOLSA DE VALORES DE EL SALVADOR, S.A. DE C.V.</v>
      </c>
      <c r="I519" s="556"/>
      <c r="J519" s="556"/>
      <c r="K519" s="557">
        <v>61.39</v>
      </c>
      <c r="L519" s="556"/>
      <c r="M519" s="556">
        <f t="shared" si="29"/>
        <v>7.9807000000000006</v>
      </c>
      <c r="N519" s="556">
        <f t="shared" si="28"/>
        <v>69.370699999999999</v>
      </c>
      <c r="O519" s="556">
        <v>0</v>
      </c>
      <c r="P519" s="558">
        <v>0</v>
      </c>
      <c r="Q519" s="556"/>
      <c r="R519" s="556"/>
      <c r="S519" s="556"/>
    </row>
    <row r="520" spans="2:19" x14ac:dyDescent="0.2">
      <c r="B520" s="193">
        <v>7</v>
      </c>
      <c r="C520" s="194">
        <v>43514</v>
      </c>
      <c r="D520" s="194">
        <v>43514</v>
      </c>
      <c r="E520" s="195" t="s">
        <v>433</v>
      </c>
      <c r="F520" s="162"/>
      <c r="G520" s="196" t="s">
        <v>188</v>
      </c>
      <c r="H520" s="197" t="str">
        <f>+VLOOKUP(G520,[7]bd!A:C,2,0)</f>
        <v>BOLSA DE VALORES DE EL SALVADOR, S.A. DE C.V.</v>
      </c>
      <c r="I520" s="556"/>
      <c r="J520" s="556"/>
      <c r="K520" s="557">
        <v>82.19</v>
      </c>
      <c r="L520" s="556"/>
      <c r="M520" s="556">
        <f t="shared" si="29"/>
        <v>10.684699999999999</v>
      </c>
      <c r="N520" s="556">
        <f t="shared" si="28"/>
        <v>92.87469999999999</v>
      </c>
      <c r="O520" s="556">
        <v>0</v>
      </c>
      <c r="P520" s="558">
        <v>0</v>
      </c>
      <c r="Q520" s="556"/>
      <c r="R520" s="556"/>
      <c r="S520" s="556"/>
    </row>
    <row r="521" spans="2:19" x14ac:dyDescent="0.2">
      <c r="B521" s="193">
        <v>8</v>
      </c>
      <c r="C521" s="194">
        <v>43515</v>
      </c>
      <c r="D521" s="194">
        <v>43515</v>
      </c>
      <c r="E521" s="195" t="s">
        <v>723</v>
      </c>
      <c r="F521" s="162"/>
      <c r="G521" s="196" t="s">
        <v>188</v>
      </c>
      <c r="H521" s="197" t="str">
        <f>+VLOOKUP(G521,[7]bd!A:C,2,0)</f>
        <v>BOLSA DE VALORES DE EL SALVADOR, S.A. DE C.V.</v>
      </c>
      <c r="I521" s="556"/>
      <c r="J521" s="556"/>
      <c r="K521" s="557">
        <v>261.64</v>
      </c>
      <c r="L521" s="556"/>
      <c r="M521" s="556">
        <f t="shared" si="29"/>
        <v>34.013199999999998</v>
      </c>
      <c r="N521" s="556">
        <f t="shared" si="28"/>
        <v>295.65319999999997</v>
      </c>
      <c r="O521" s="556"/>
      <c r="P521" s="558">
        <v>0</v>
      </c>
      <c r="Q521" s="556"/>
      <c r="R521" s="556"/>
      <c r="S521" s="556"/>
    </row>
    <row r="522" spans="2:19" x14ac:dyDescent="0.2">
      <c r="B522" s="193">
        <v>9</v>
      </c>
      <c r="C522" s="194" t="s">
        <v>230</v>
      </c>
      <c r="D522" s="194">
        <v>590.87</v>
      </c>
      <c r="E522" s="195" t="s">
        <v>724</v>
      </c>
      <c r="F522" s="162"/>
      <c r="G522" s="196" t="s">
        <v>188</v>
      </c>
      <c r="H522" s="197" t="str">
        <f>+VLOOKUP(G522,[7]bd!A:C,2,0)</f>
        <v>BOLSA DE VALORES DE EL SALVADOR, S.A. DE C.V.</v>
      </c>
      <c r="I522" s="556"/>
      <c r="J522" s="556"/>
      <c r="K522" s="557">
        <v>40.130000000000003</v>
      </c>
      <c r="L522" s="556"/>
      <c r="M522" s="556">
        <f t="shared" si="29"/>
        <v>5.2169000000000008</v>
      </c>
      <c r="N522" s="556">
        <f t="shared" si="28"/>
        <v>45.346900000000005</v>
      </c>
      <c r="O522" s="556">
        <v>0</v>
      </c>
      <c r="P522" s="558">
        <v>0</v>
      </c>
      <c r="Q522" s="556"/>
      <c r="R522" s="556"/>
      <c r="S522" s="556"/>
    </row>
    <row r="523" spans="2:19" x14ac:dyDescent="0.2">
      <c r="B523" s="193">
        <v>10</v>
      </c>
      <c r="C523" s="194">
        <v>43516</v>
      </c>
      <c r="D523" s="194">
        <v>43516</v>
      </c>
      <c r="E523" s="195" t="s">
        <v>725</v>
      </c>
      <c r="F523" s="162"/>
      <c r="G523" s="196" t="s">
        <v>188</v>
      </c>
      <c r="H523" s="197" t="str">
        <f>+VLOOKUP(G523,[7]bd!A:C,2,0)</f>
        <v>BOLSA DE VALORES DE EL SALVADOR, S.A. DE C.V.</v>
      </c>
      <c r="I523" s="556"/>
      <c r="J523" s="556"/>
      <c r="K523" s="557">
        <v>195</v>
      </c>
      <c r="L523" s="556"/>
      <c r="M523" s="556">
        <f t="shared" si="29"/>
        <v>25.35</v>
      </c>
      <c r="N523" s="556">
        <f t="shared" si="28"/>
        <v>220.35</v>
      </c>
      <c r="O523" s="556">
        <v>0</v>
      </c>
      <c r="P523" s="558">
        <v>0</v>
      </c>
      <c r="Q523" s="556"/>
      <c r="R523" s="556"/>
      <c r="S523" s="556"/>
    </row>
    <row r="524" spans="2:19" x14ac:dyDescent="0.2">
      <c r="B524" s="193">
        <v>11</v>
      </c>
      <c r="C524" s="194">
        <v>43516</v>
      </c>
      <c r="D524" s="194">
        <v>43496</v>
      </c>
      <c r="E524" s="195" t="s">
        <v>726</v>
      </c>
      <c r="F524" s="162"/>
      <c r="G524" s="196" t="s">
        <v>212</v>
      </c>
      <c r="H524" s="197" t="str">
        <f>+VLOOKUP(G524,[7]bd!A:C,2,0)</f>
        <v>CENTRAL DE DEPOSITO DE VALORES, S.A. DE C.V.</v>
      </c>
      <c r="I524" s="556"/>
      <c r="J524" s="556"/>
      <c r="K524" s="557">
        <v>2331.59</v>
      </c>
      <c r="L524" s="556"/>
      <c r="M524" s="556">
        <f t="shared" si="29"/>
        <v>303.10670000000005</v>
      </c>
      <c r="N524" s="556">
        <f>+K524+M524</f>
        <v>2634.6967000000004</v>
      </c>
      <c r="O524" s="556">
        <v>0</v>
      </c>
      <c r="P524" s="558">
        <f>K524*0.01</f>
        <v>23.315900000000003</v>
      </c>
      <c r="Q524" s="556"/>
      <c r="R524" s="556"/>
      <c r="S524" s="556"/>
    </row>
    <row r="525" spans="2:19" x14ac:dyDescent="0.2">
      <c r="B525" s="193">
        <v>12</v>
      </c>
      <c r="C525" s="194">
        <v>43516</v>
      </c>
      <c r="D525" s="194">
        <v>43516</v>
      </c>
      <c r="E525" s="195" t="s">
        <v>727</v>
      </c>
      <c r="F525" s="162"/>
      <c r="G525" s="196" t="s">
        <v>188</v>
      </c>
      <c r="H525" s="197" t="str">
        <f>+VLOOKUP(G525,[7]bd!A:C,2,0)</f>
        <v>BOLSA DE VALORES DE EL SALVADOR, S.A. DE C.V.</v>
      </c>
      <c r="I525" s="556"/>
      <c r="J525" s="556"/>
      <c r="K525" s="557">
        <v>139.04</v>
      </c>
      <c r="L525" s="556"/>
      <c r="M525" s="556">
        <f t="shared" si="29"/>
        <v>18.075199999999999</v>
      </c>
      <c r="N525" s="556">
        <f t="shared" ref="N525:N537" si="30">+K525+M525</f>
        <v>157.11519999999999</v>
      </c>
      <c r="O525" s="556">
        <v>0</v>
      </c>
      <c r="P525" s="558">
        <v>0</v>
      </c>
      <c r="Q525" s="556"/>
      <c r="R525" s="556"/>
      <c r="S525" s="556"/>
    </row>
    <row r="526" spans="2:19" x14ac:dyDescent="0.2">
      <c r="B526" s="193">
        <v>13</v>
      </c>
      <c r="C526" s="194">
        <v>43517</v>
      </c>
      <c r="D526" s="256">
        <v>43517</v>
      </c>
      <c r="E526" s="195" t="s">
        <v>728</v>
      </c>
      <c r="F526" s="162"/>
      <c r="G526" s="196" t="s">
        <v>188</v>
      </c>
      <c r="H526" s="197" t="str">
        <f>+VLOOKUP(G526,[7]bd!A:C,2,0)</f>
        <v>BOLSA DE VALORES DE EL SALVADOR, S.A. DE C.V.</v>
      </c>
      <c r="I526" s="556"/>
      <c r="J526" s="556"/>
      <c r="K526" s="557">
        <v>95.89</v>
      </c>
      <c r="L526" s="556"/>
      <c r="M526" s="556">
        <f t="shared" si="29"/>
        <v>12.4657</v>
      </c>
      <c r="N526" s="556">
        <f t="shared" si="30"/>
        <v>108.3557</v>
      </c>
      <c r="O526" s="556">
        <v>0</v>
      </c>
      <c r="P526" s="558">
        <v>0</v>
      </c>
      <c r="Q526" s="556"/>
      <c r="R526" s="556"/>
      <c r="S526" s="556"/>
    </row>
    <row r="527" spans="2:19" x14ac:dyDescent="0.2">
      <c r="B527" s="193">
        <v>14</v>
      </c>
      <c r="C527" s="194">
        <v>43518</v>
      </c>
      <c r="D527" s="256">
        <v>43496</v>
      </c>
      <c r="E527" s="195" t="s">
        <v>729</v>
      </c>
      <c r="F527" s="162"/>
      <c r="G527" s="196" t="s">
        <v>341</v>
      </c>
      <c r="H527" s="197" t="str">
        <f>+VLOOKUP(G527,[7]bd!A:C,2,0)</f>
        <v>OPERADORES LOGISTICOS RANSA, S.A. DE C.V.</v>
      </c>
      <c r="I527" s="556"/>
      <c r="J527" s="556"/>
      <c r="K527" s="557">
        <v>376.92</v>
      </c>
      <c r="L527" s="556"/>
      <c r="M527" s="556">
        <f t="shared" si="29"/>
        <v>48.999600000000001</v>
      </c>
      <c r="N527" s="556">
        <f t="shared" si="30"/>
        <v>425.9196</v>
      </c>
      <c r="O527" s="556">
        <v>0</v>
      </c>
      <c r="P527" s="558">
        <f>K527*0.01</f>
        <v>3.7692000000000001</v>
      </c>
      <c r="Q527" s="556"/>
      <c r="R527" s="556"/>
      <c r="S527" s="556"/>
    </row>
    <row r="528" spans="2:19" x14ac:dyDescent="0.2">
      <c r="B528" s="193">
        <v>15</v>
      </c>
      <c r="C528" s="194">
        <v>43521</v>
      </c>
      <c r="D528" s="194">
        <v>43521</v>
      </c>
      <c r="E528" s="195" t="s">
        <v>730</v>
      </c>
      <c r="F528" s="717"/>
      <c r="G528" s="196" t="s">
        <v>47</v>
      </c>
      <c r="H528" s="197" t="str">
        <f>+VLOOKUP(G528,[7]bd!A:C,2,0)</f>
        <v>BANCO CUSCATLAN DE EL SALVADOR S.A.</v>
      </c>
      <c r="I528" s="556"/>
      <c r="J528" s="556"/>
      <c r="K528" s="557">
        <v>133.80000000000001</v>
      </c>
      <c r="L528" s="556"/>
      <c r="M528" s="556">
        <f t="shared" si="29"/>
        <v>17.394000000000002</v>
      </c>
      <c r="N528" s="556">
        <f t="shared" si="30"/>
        <v>151.19400000000002</v>
      </c>
      <c r="O528" s="556">
        <v>0</v>
      </c>
      <c r="P528" s="558">
        <v>0</v>
      </c>
      <c r="Q528" s="556"/>
      <c r="R528" s="556"/>
      <c r="S528" s="556"/>
    </row>
    <row r="529" spans="2:19" x14ac:dyDescent="0.2">
      <c r="B529" s="193">
        <v>16</v>
      </c>
      <c r="C529" s="194">
        <v>43524</v>
      </c>
      <c r="D529" s="194">
        <v>43524</v>
      </c>
      <c r="E529" s="681">
        <v>2224</v>
      </c>
      <c r="F529" s="717"/>
      <c r="G529" s="681" t="s">
        <v>188</v>
      </c>
      <c r="H529" s="197" t="str">
        <f>+VLOOKUP(G529,[7]bd!A:C,2,0)</f>
        <v>BOLSA DE VALORES DE EL SALVADOR, S.A. DE C.V.</v>
      </c>
      <c r="I529" s="556"/>
      <c r="J529" s="556"/>
      <c r="K529" s="557">
        <v>117.47</v>
      </c>
      <c r="L529" s="556"/>
      <c r="M529" s="556">
        <f t="shared" si="29"/>
        <v>15.271100000000001</v>
      </c>
      <c r="N529" s="556">
        <f t="shared" si="30"/>
        <v>132.74109999999999</v>
      </c>
      <c r="O529" s="556">
        <v>0</v>
      </c>
      <c r="P529" s="558">
        <v>0</v>
      </c>
      <c r="Q529" s="556"/>
      <c r="R529" s="556"/>
      <c r="S529" s="556"/>
    </row>
    <row r="530" spans="2:19" x14ac:dyDescent="0.2">
      <c r="B530" s="193">
        <v>17</v>
      </c>
      <c r="C530" s="194"/>
      <c r="D530" s="256"/>
      <c r="E530" s="681"/>
      <c r="F530" s="717"/>
      <c r="G530" s="681"/>
      <c r="H530" s="197" t="e">
        <f>+VLOOKUP(G530,[7]bd!A:C,2,0)</f>
        <v>#N/A</v>
      </c>
      <c r="I530" s="556"/>
      <c r="J530" s="556"/>
      <c r="K530" s="557"/>
      <c r="L530" s="556"/>
      <c r="M530" s="556">
        <f t="shared" si="29"/>
        <v>0</v>
      </c>
      <c r="N530" s="556">
        <f t="shared" si="30"/>
        <v>0</v>
      </c>
      <c r="O530" s="556">
        <v>0</v>
      </c>
      <c r="P530" s="558">
        <v>0</v>
      </c>
      <c r="Q530" s="556"/>
      <c r="R530" s="556"/>
      <c r="S530" s="556"/>
    </row>
    <row r="531" spans="2:19" x14ac:dyDescent="0.2">
      <c r="B531" s="193">
        <v>18</v>
      </c>
      <c r="C531" s="194"/>
      <c r="D531" s="256"/>
      <c r="E531" s="195"/>
      <c r="F531" s="717"/>
      <c r="G531" s="196"/>
      <c r="H531" s="197" t="e">
        <f>+VLOOKUP(G531,[7]bd!A:C,2,0)</f>
        <v>#N/A</v>
      </c>
      <c r="I531" s="556"/>
      <c r="J531" s="556"/>
      <c r="K531" s="557"/>
      <c r="L531" s="556"/>
      <c r="M531" s="556"/>
      <c r="N531" s="556">
        <f t="shared" si="30"/>
        <v>0</v>
      </c>
      <c r="O531" s="556">
        <v>0</v>
      </c>
      <c r="P531" s="558">
        <f>K531*0.01</f>
        <v>0</v>
      </c>
      <c r="Q531" s="556"/>
      <c r="R531" s="556"/>
      <c r="S531" s="556"/>
    </row>
    <row r="532" spans="2:19" x14ac:dyDescent="0.2">
      <c r="B532" s="193">
        <v>19</v>
      </c>
      <c r="C532" s="194"/>
      <c r="D532" s="194"/>
      <c r="E532" s="195"/>
      <c r="F532" s="717"/>
      <c r="G532" s="196"/>
      <c r="H532" s="197" t="e">
        <f>+VLOOKUP(G532,[7]bd!A:C,2,0)</f>
        <v>#N/A</v>
      </c>
      <c r="I532" s="556"/>
      <c r="J532" s="556"/>
      <c r="K532" s="557"/>
      <c r="L532" s="556"/>
      <c r="M532" s="556"/>
      <c r="N532" s="556">
        <f t="shared" si="30"/>
        <v>0</v>
      </c>
      <c r="O532" s="556">
        <v>0</v>
      </c>
      <c r="P532" s="558">
        <v>0</v>
      </c>
      <c r="Q532" s="556"/>
      <c r="R532" s="556"/>
      <c r="S532" s="556"/>
    </row>
    <row r="533" spans="2:19" x14ac:dyDescent="0.2">
      <c r="B533" s="193">
        <v>20</v>
      </c>
      <c r="C533" s="194"/>
      <c r="D533" s="194"/>
      <c r="E533" s="195"/>
      <c r="F533" s="717"/>
      <c r="G533" s="196"/>
      <c r="H533" s="197" t="e">
        <f>+VLOOKUP(G533,[7]bd!A:C,2,0)</f>
        <v>#N/A</v>
      </c>
      <c r="I533" s="556"/>
      <c r="J533" s="556"/>
      <c r="K533" s="557"/>
      <c r="L533" s="556"/>
      <c r="M533" s="556"/>
      <c r="N533" s="556">
        <f t="shared" si="30"/>
        <v>0</v>
      </c>
      <c r="O533" s="556">
        <v>0</v>
      </c>
      <c r="P533" s="558">
        <v>0</v>
      </c>
      <c r="Q533" s="556"/>
      <c r="R533" s="556"/>
      <c r="S533" s="556"/>
    </row>
    <row r="534" spans="2:19" x14ac:dyDescent="0.2">
      <c r="B534" s="193">
        <v>21</v>
      </c>
      <c r="C534" s="194"/>
      <c r="D534" s="194"/>
      <c r="E534" s="195"/>
      <c r="F534" s="162"/>
      <c r="G534" s="196"/>
      <c r="H534" s="197" t="e">
        <f>+VLOOKUP(G534,[7]bd!A:C,2,0)</f>
        <v>#N/A</v>
      </c>
      <c r="I534" s="556"/>
      <c r="J534" s="556"/>
      <c r="K534" s="557"/>
      <c r="L534" s="556"/>
      <c r="M534" s="556"/>
      <c r="N534" s="556">
        <f t="shared" si="30"/>
        <v>0</v>
      </c>
      <c r="O534" s="556">
        <v>0</v>
      </c>
      <c r="P534" s="558">
        <f>K534*0.01</f>
        <v>0</v>
      </c>
      <c r="Q534" s="556"/>
      <c r="R534" s="556"/>
      <c r="S534" s="556"/>
    </row>
    <row r="535" spans="2:19" x14ac:dyDescent="0.2">
      <c r="B535" s="193">
        <v>22</v>
      </c>
      <c r="C535" s="194"/>
      <c r="D535" s="194"/>
      <c r="E535" s="195"/>
      <c r="F535" s="162"/>
      <c r="G535" s="196"/>
      <c r="H535" s="197" t="e">
        <f>+VLOOKUP(G535,[7]bd!A:C,2,0)</f>
        <v>#N/A</v>
      </c>
      <c r="I535" s="556"/>
      <c r="J535" s="556"/>
      <c r="K535" s="557"/>
      <c r="L535" s="556"/>
      <c r="M535" s="556"/>
      <c r="N535" s="556">
        <f t="shared" si="30"/>
        <v>0</v>
      </c>
      <c r="O535" s="556">
        <v>0</v>
      </c>
      <c r="P535" s="558">
        <v>0</v>
      </c>
      <c r="Q535" s="556"/>
      <c r="R535" s="556"/>
      <c r="S535" s="556"/>
    </row>
    <row r="536" spans="2:19" x14ac:dyDescent="0.2">
      <c r="B536" s="193">
        <v>23</v>
      </c>
      <c r="C536" s="194"/>
      <c r="D536" s="194"/>
      <c r="E536" s="195"/>
      <c r="F536" s="162"/>
      <c r="G536" s="196"/>
      <c r="H536" s="197" t="e">
        <f>+VLOOKUP(G536,[7]bd!A:C,2,0)</f>
        <v>#N/A</v>
      </c>
      <c r="I536" s="556"/>
      <c r="J536" s="556"/>
      <c r="K536" s="557"/>
      <c r="L536" s="556"/>
      <c r="M536" s="556"/>
      <c r="N536" s="556">
        <f t="shared" si="30"/>
        <v>0</v>
      </c>
      <c r="O536" s="556">
        <v>0</v>
      </c>
      <c r="P536" s="558">
        <v>0</v>
      </c>
      <c r="Q536" s="556"/>
      <c r="R536" s="556"/>
      <c r="S536" s="556"/>
    </row>
    <row r="537" spans="2:19" x14ac:dyDescent="0.2">
      <c r="B537" s="193">
        <v>24</v>
      </c>
      <c r="C537" s="194"/>
      <c r="D537" s="194"/>
      <c r="E537" s="195"/>
      <c r="F537" s="717"/>
      <c r="G537" s="196"/>
      <c r="H537" s="197" t="e">
        <f>+VLOOKUP(G537,[7]bd!A:C,2,0)</f>
        <v>#N/A</v>
      </c>
      <c r="I537" s="556"/>
      <c r="J537" s="556"/>
      <c r="K537" s="557"/>
      <c r="L537" s="556"/>
      <c r="M537" s="556"/>
      <c r="N537" s="556">
        <f t="shared" si="30"/>
        <v>0</v>
      </c>
      <c r="O537" s="556">
        <v>0</v>
      </c>
      <c r="P537" s="558">
        <v>0</v>
      </c>
      <c r="Q537" s="556"/>
      <c r="R537" s="556"/>
      <c r="S537" s="556"/>
    </row>
    <row r="538" spans="2:19" x14ac:dyDescent="0.2">
      <c r="B538" s="193">
        <v>25</v>
      </c>
      <c r="C538" s="194"/>
      <c r="D538" s="194"/>
      <c r="E538" s="195"/>
      <c r="F538" s="162"/>
      <c r="G538" s="196" t="s">
        <v>409</v>
      </c>
      <c r="H538" s="197" t="e">
        <f>+VLOOKUP(G538,[7]bd!A:C,2,0)</f>
        <v>#N/A</v>
      </c>
      <c r="I538" s="556"/>
      <c r="J538" s="556"/>
      <c r="K538" s="557">
        <v>0</v>
      </c>
      <c r="L538" s="556"/>
      <c r="M538" s="556">
        <v>0</v>
      </c>
      <c r="N538" s="556">
        <v>0</v>
      </c>
      <c r="O538" s="556">
        <v>0</v>
      </c>
      <c r="P538" s="558">
        <v>0</v>
      </c>
      <c r="Q538" s="556"/>
      <c r="R538" s="556"/>
      <c r="S538" s="556"/>
    </row>
    <row r="539" spans="2:19" x14ac:dyDescent="0.2">
      <c r="B539" s="193">
        <v>26</v>
      </c>
      <c r="C539" s="194"/>
      <c r="D539" s="194"/>
      <c r="E539" s="195"/>
      <c r="F539" s="162"/>
      <c r="G539" s="196" t="s">
        <v>409</v>
      </c>
      <c r="H539" s="197" t="e">
        <f>+VLOOKUP(G539,[7]bd!A:C,2,0)</f>
        <v>#N/A</v>
      </c>
      <c r="I539" s="556"/>
      <c r="J539" s="556"/>
      <c r="K539" s="557">
        <v>0</v>
      </c>
      <c r="L539" s="556"/>
      <c r="M539" s="556">
        <v>0</v>
      </c>
      <c r="N539" s="556">
        <v>0</v>
      </c>
      <c r="O539" s="556"/>
      <c r="P539" s="558">
        <v>0</v>
      </c>
      <c r="Q539" s="556"/>
      <c r="R539" s="556"/>
      <c r="S539" s="556"/>
    </row>
    <row r="540" spans="2:19" x14ac:dyDescent="0.2">
      <c r="B540" s="193">
        <v>27</v>
      </c>
      <c r="C540" s="194"/>
      <c r="D540" s="194"/>
      <c r="E540" s="195"/>
      <c r="F540" s="162"/>
      <c r="G540" s="196" t="s">
        <v>409</v>
      </c>
      <c r="H540" s="197" t="e">
        <f>+VLOOKUP(G540,[7]bd!A:C,2,0)</f>
        <v>#N/A</v>
      </c>
      <c r="I540" s="556"/>
      <c r="J540" s="556"/>
      <c r="K540" s="557"/>
      <c r="L540" s="556"/>
      <c r="M540" s="556"/>
      <c r="N540" s="556"/>
      <c r="O540" s="556"/>
      <c r="P540" s="558">
        <v>0</v>
      </c>
      <c r="Q540" s="556"/>
      <c r="R540" s="556"/>
      <c r="S540" s="556"/>
    </row>
    <row r="541" spans="2:19" x14ac:dyDescent="0.2">
      <c r="B541" s="193">
        <v>28</v>
      </c>
      <c r="C541" s="194"/>
      <c r="D541" s="194"/>
      <c r="E541" s="195"/>
      <c r="F541" s="162"/>
      <c r="G541" s="196"/>
      <c r="H541" s="197"/>
      <c r="I541" s="556"/>
      <c r="J541" s="556"/>
      <c r="K541" s="557"/>
      <c r="L541" s="556"/>
      <c r="M541" s="556"/>
      <c r="N541" s="556"/>
      <c r="O541" s="556"/>
      <c r="P541" s="558">
        <v>0</v>
      </c>
      <c r="Q541" s="556"/>
      <c r="R541" s="556"/>
      <c r="S541" s="556"/>
    </row>
    <row r="542" spans="2:19" x14ac:dyDescent="0.2">
      <c r="B542" s="193"/>
      <c r="C542" s="194"/>
      <c r="D542" s="194"/>
      <c r="E542" s="195"/>
      <c r="F542" s="162"/>
      <c r="G542" s="196"/>
      <c r="H542" s="197" t="s">
        <v>273</v>
      </c>
      <c r="I542" s="556"/>
      <c r="J542" s="556"/>
      <c r="K542" s="562"/>
      <c r="L542" s="556"/>
      <c r="M542" s="556">
        <v>-590.87</v>
      </c>
      <c r="N542" s="681"/>
      <c r="O542" s="556"/>
      <c r="P542" s="558">
        <v>0</v>
      </c>
      <c r="Q542" s="556"/>
      <c r="R542" s="556"/>
      <c r="S542" s="556"/>
    </row>
    <row r="543" spans="2:19" x14ac:dyDescent="0.2">
      <c r="B543" s="193"/>
      <c r="C543" s="194"/>
      <c r="D543" s="194"/>
      <c r="E543" s="195"/>
      <c r="F543" s="162"/>
      <c r="G543" s="196"/>
      <c r="H543" s="197"/>
      <c r="I543" s="556"/>
      <c r="J543" s="556"/>
      <c r="K543" s="557"/>
      <c r="L543" s="556"/>
      <c r="M543" s="556"/>
      <c r="N543" s="556"/>
      <c r="O543" s="556"/>
      <c r="P543" s="558"/>
      <c r="Q543" s="556"/>
      <c r="R543" s="556"/>
      <c r="S543" s="556"/>
    </row>
    <row r="544" spans="2:19" x14ac:dyDescent="0.2">
      <c r="B544" s="193"/>
      <c r="C544" s="194"/>
      <c r="D544" s="194"/>
      <c r="E544" s="195"/>
      <c r="F544" s="333"/>
      <c r="G544" s="196"/>
      <c r="H544" s="197"/>
      <c r="I544" s="556"/>
      <c r="J544" s="556"/>
      <c r="K544" s="557"/>
      <c r="L544" s="556"/>
      <c r="M544" s="556"/>
      <c r="N544" s="556"/>
      <c r="O544" s="556"/>
      <c r="P544" s="556"/>
      <c r="Q544" s="556"/>
      <c r="R544" s="556"/>
      <c r="S544" s="556"/>
    </row>
    <row r="545" spans="2:19" x14ac:dyDescent="0.2">
      <c r="B545" s="193"/>
      <c r="C545" s="194"/>
      <c r="D545" s="194"/>
      <c r="E545" s="195"/>
      <c r="F545" s="333"/>
      <c r="G545" s="196"/>
      <c r="H545" s="197"/>
      <c r="I545" s="556"/>
      <c r="J545" s="556"/>
      <c r="K545" s="557"/>
      <c r="L545" s="556"/>
      <c r="M545" s="556"/>
      <c r="N545" s="556"/>
      <c r="O545" s="556"/>
      <c r="P545" s="556"/>
      <c r="Q545" s="556"/>
      <c r="R545" s="556"/>
      <c r="S545" s="556"/>
    </row>
    <row r="546" spans="2:19" x14ac:dyDescent="0.2">
      <c r="B546" s="193"/>
      <c r="C546" s="194"/>
      <c r="D546" s="194"/>
      <c r="E546" s="195"/>
      <c r="F546" s="333"/>
      <c r="G546" s="196"/>
      <c r="H546" s="197"/>
      <c r="I546" s="556"/>
      <c r="J546" s="556"/>
      <c r="K546" s="557"/>
      <c r="L546" s="556"/>
      <c r="M546" s="556"/>
      <c r="N546" s="556"/>
      <c r="O546" s="556"/>
      <c r="P546" s="556"/>
      <c r="Q546" s="556"/>
      <c r="R546" s="556"/>
      <c r="S546" s="556"/>
    </row>
    <row r="547" spans="2:19" x14ac:dyDescent="0.2">
      <c r="B547" s="193"/>
      <c r="C547" s="194"/>
      <c r="D547" s="194"/>
      <c r="E547" s="195"/>
      <c r="F547" s="333"/>
      <c r="G547" s="196"/>
      <c r="H547" s="197"/>
      <c r="I547" s="556"/>
      <c r="J547" s="556"/>
      <c r="K547" s="557"/>
      <c r="L547" s="556"/>
      <c r="M547" s="556"/>
      <c r="N547" s="556"/>
      <c r="O547" s="556"/>
      <c r="P547" s="558"/>
      <c r="Q547" s="556"/>
      <c r="R547" s="556"/>
      <c r="S547" s="556"/>
    </row>
    <row r="548" spans="2:19" x14ac:dyDescent="0.2">
      <c r="B548" s="193"/>
      <c r="C548" s="194"/>
      <c r="D548" s="194"/>
      <c r="E548" s="195"/>
      <c r="F548" s="1041"/>
      <c r="G548" s="196"/>
      <c r="H548" s="197"/>
      <c r="I548" s="564"/>
      <c r="J548" s="556"/>
      <c r="K548" s="557"/>
      <c r="L548" s="556"/>
      <c r="M548" s="556"/>
      <c r="N548" s="556"/>
      <c r="O548" s="556"/>
      <c r="P548" s="556"/>
      <c r="Q548" s="556"/>
      <c r="R548" s="556"/>
      <c r="S548" s="556"/>
    </row>
    <row r="549" spans="2:19" x14ac:dyDescent="0.2">
      <c r="B549" s="193"/>
      <c r="C549" s="194"/>
      <c r="D549" s="194"/>
      <c r="E549" s="195"/>
      <c r="F549" s="1041"/>
      <c r="G549" s="196"/>
      <c r="H549" s="197"/>
      <c r="I549" s="556"/>
      <c r="J549" s="556"/>
      <c r="K549" s="557"/>
      <c r="L549" s="556"/>
      <c r="M549" s="556"/>
      <c r="N549" s="556"/>
      <c r="O549" s="556"/>
      <c r="P549" s="556"/>
      <c r="Q549" s="556"/>
      <c r="R549" s="556"/>
      <c r="S549" s="556"/>
    </row>
    <row r="550" spans="2:19" x14ac:dyDescent="0.2">
      <c r="B550" s="193"/>
      <c r="C550" s="194"/>
      <c r="D550" s="194"/>
      <c r="E550" s="195"/>
      <c r="F550" s="320"/>
      <c r="G550" s="196"/>
      <c r="H550" s="197"/>
      <c r="I550" s="556"/>
      <c r="J550" s="556"/>
      <c r="K550" s="557"/>
      <c r="L550" s="556"/>
      <c r="M550" s="556"/>
      <c r="N550" s="556"/>
      <c r="O550" s="556"/>
      <c r="P550" s="556"/>
      <c r="Q550" s="556"/>
      <c r="R550" s="556"/>
      <c r="S550" s="556"/>
    </row>
    <row r="551" spans="2:19" x14ac:dyDescent="0.2">
      <c r="B551" s="193"/>
      <c r="C551" s="194"/>
      <c r="D551" s="194"/>
      <c r="E551" s="195"/>
      <c r="F551" s="321"/>
      <c r="G551" s="196"/>
      <c r="H551" s="197"/>
      <c r="I551" s="556"/>
      <c r="J551" s="556"/>
      <c r="K551" s="556"/>
      <c r="L551" s="556"/>
      <c r="M551" s="556"/>
      <c r="N551" s="556">
        <f t="shared" ref="N551" si="31">+K551+M551</f>
        <v>0</v>
      </c>
      <c r="O551" s="556"/>
      <c r="P551" s="556"/>
      <c r="Q551" s="556"/>
      <c r="R551" s="556"/>
      <c r="S551" s="556"/>
    </row>
    <row r="552" spans="2:19" ht="13.5" thickBot="1" x14ac:dyDescent="0.25">
      <c r="B552" s="265"/>
      <c r="C552" s="266"/>
      <c r="D552" s="267"/>
      <c r="E552" s="266"/>
      <c r="F552" s="268"/>
      <c r="G552" s="269"/>
      <c r="H552" s="270"/>
      <c r="I552" s="271"/>
      <c r="J552" s="272"/>
      <c r="K552" s="272"/>
      <c r="L552" s="273"/>
      <c r="M552" s="272"/>
      <c r="N552" s="272"/>
      <c r="O552" s="272"/>
      <c r="P552" s="272"/>
      <c r="Q552" s="274"/>
      <c r="R552" s="274"/>
      <c r="S552" s="274"/>
    </row>
    <row r="553" spans="2:19" x14ac:dyDescent="0.2">
      <c r="B553" s="175"/>
      <c r="C553" s="176"/>
      <c r="D553" s="275"/>
      <c r="E553" s="176"/>
      <c r="F553" s="276"/>
      <c r="G553" s="277"/>
      <c r="H553" s="178"/>
      <c r="I553" s="278"/>
      <c r="J553" s="171"/>
      <c r="K553" s="171"/>
      <c r="L553" s="279"/>
      <c r="M553" s="171"/>
      <c r="N553" s="171"/>
      <c r="O553" s="171"/>
      <c r="P553" s="171"/>
      <c r="Q553" s="280"/>
      <c r="R553" s="280"/>
      <c r="S553" s="280"/>
    </row>
    <row r="554" spans="2:19" x14ac:dyDescent="0.2">
      <c r="B554" s="175"/>
      <c r="C554" s="164"/>
      <c r="D554" s="165"/>
      <c r="E554" s="164"/>
      <c r="F554" s="281"/>
      <c r="G554" s="277"/>
      <c r="H554" s="282" t="s">
        <v>261</v>
      </c>
      <c r="I554" s="279">
        <f t="shared" ref="I554:S554" si="32">SUM(I514:I552)</f>
        <v>0</v>
      </c>
      <c r="J554" s="279">
        <f t="shared" si="32"/>
        <v>0</v>
      </c>
      <c r="K554" s="279">
        <f t="shared" si="32"/>
        <v>4545.12</v>
      </c>
      <c r="L554" s="279">
        <f t="shared" si="32"/>
        <v>0</v>
      </c>
      <c r="M554" s="279">
        <f>SUM(M514:M552)</f>
        <v>-4.3999999998050043E-3</v>
      </c>
      <c r="N554" s="279">
        <f t="shared" si="32"/>
        <v>5135.9856000000009</v>
      </c>
      <c r="O554" s="279">
        <f t="shared" si="32"/>
        <v>0</v>
      </c>
      <c r="P554" s="279">
        <f t="shared" si="32"/>
        <v>28.266900000000003</v>
      </c>
      <c r="Q554" s="279">
        <f t="shared" si="32"/>
        <v>0</v>
      </c>
      <c r="R554" s="279">
        <f t="shared" si="32"/>
        <v>0</v>
      </c>
      <c r="S554" s="279">
        <f t="shared" si="32"/>
        <v>0</v>
      </c>
    </row>
    <row r="555" spans="2:19" ht="13.5" thickBot="1" x14ac:dyDescent="0.25">
      <c r="B555" s="265"/>
      <c r="C555" s="283"/>
      <c r="D555" s="284"/>
      <c r="E555" s="283"/>
      <c r="F555" s="285"/>
      <c r="G555" s="269"/>
      <c r="H555" s="286"/>
      <c r="I555" s="273"/>
      <c r="J555" s="287"/>
      <c r="K555" s="287"/>
      <c r="L555" s="287"/>
      <c r="M555" s="287"/>
      <c r="N555" s="287"/>
      <c r="O555" s="287"/>
      <c r="P555" s="287"/>
      <c r="Q555" s="273"/>
      <c r="R555" s="273"/>
      <c r="S555" s="588"/>
    </row>
    <row r="562" spans="2:16" ht="21" x14ac:dyDescent="0.35">
      <c r="B562" s="493" t="s">
        <v>218</v>
      </c>
      <c r="C562" s="494"/>
      <c r="D562" s="495"/>
      <c r="E562" s="495"/>
      <c r="F562" s="495"/>
      <c r="G562" s="496"/>
      <c r="H562" s="497"/>
      <c r="I562" s="497"/>
      <c r="J562" s="497"/>
      <c r="K562" s="497"/>
      <c r="L562" s="497"/>
      <c r="M562" s="497"/>
      <c r="N562" s="498"/>
      <c r="O562" s="492"/>
      <c r="P562" s="492"/>
    </row>
    <row r="563" spans="2:16" ht="15.75" x14ac:dyDescent="0.25">
      <c r="B563" s="495" t="s">
        <v>134</v>
      </c>
      <c r="C563" s="495"/>
      <c r="D563" s="495"/>
      <c r="E563" s="495"/>
      <c r="F563" s="495"/>
      <c r="G563" s="496"/>
      <c r="H563" s="497"/>
      <c r="I563" s="497"/>
      <c r="J563" s="497"/>
      <c r="K563" s="497"/>
      <c r="L563" s="1044"/>
      <c r="M563" s="1044"/>
      <c r="N563" s="498"/>
      <c r="O563" s="492"/>
      <c r="P563" s="492"/>
    </row>
    <row r="564" spans="2:16" ht="15.75" x14ac:dyDescent="0.25">
      <c r="B564" s="494" t="s">
        <v>135</v>
      </c>
      <c r="C564" s="495"/>
      <c r="D564" s="495"/>
      <c r="E564" s="495"/>
      <c r="F564" s="495"/>
      <c r="G564" s="496"/>
      <c r="H564" s="497"/>
      <c r="I564" s="497"/>
      <c r="J564" s="497"/>
      <c r="K564" s="497"/>
      <c r="L564" s="497"/>
      <c r="M564" s="497"/>
      <c r="N564" s="498"/>
      <c r="O564" s="492"/>
      <c r="P564" s="492"/>
    </row>
    <row r="565" spans="2:16" ht="15.75" x14ac:dyDescent="0.25">
      <c r="B565" s="495" t="s">
        <v>190</v>
      </c>
      <c r="C565" s="495"/>
      <c r="D565" s="495"/>
      <c r="E565" s="495"/>
      <c r="F565" s="495"/>
      <c r="G565" s="496"/>
      <c r="H565" s="497"/>
      <c r="I565" s="497"/>
      <c r="J565" s="497"/>
      <c r="K565" s="497"/>
      <c r="L565" s="497"/>
      <c r="M565" s="497"/>
      <c r="N565" s="498"/>
      <c r="O565" s="492"/>
      <c r="P565" s="492"/>
    </row>
    <row r="566" spans="2:16" ht="15.75" x14ac:dyDescent="0.25">
      <c r="B566" s="499" t="s">
        <v>219</v>
      </c>
      <c r="C566" s="500" t="s">
        <v>83</v>
      </c>
      <c r="D566" s="501"/>
      <c r="E566" s="502">
        <v>2019</v>
      </c>
      <c r="F566" s="495"/>
      <c r="G566" s="496"/>
      <c r="H566" s="162"/>
      <c r="I566" s="504"/>
      <c r="J566" s="504"/>
      <c r="K566" s="504"/>
      <c r="L566" s="504"/>
      <c r="M566" s="504"/>
      <c r="N566" s="498"/>
      <c r="O566" s="492"/>
      <c r="P566" s="492"/>
    </row>
    <row r="567" spans="2:16" x14ac:dyDescent="0.2">
      <c r="B567" s="163"/>
      <c r="C567" s="164"/>
      <c r="D567" s="165"/>
      <c r="E567" s="166"/>
      <c r="F567" s="167"/>
      <c r="G567" s="168"/>
      <c r="H567" s="168"/>
      <c r="I567" s="169"/>
      <c r="J567" s="170"/>
      <c r="K567" s="171"/>
      <c r="L567" s="170"/>
      <c r="M567" s="171"/>
      <c r="N567" s="171"/>
      <c r="O567" s="170"/>
      <c r="P567" s="170"/>
    </row>
    <row r="568" spans="2:16" x14ac:dyDescent="0.2">
      <c r="B568" s="163"/>
      <c r="C568" s="164"/>
      <c r="D568" s="165"/>
      <c r="E568" s="166"/>
      <c r="F568" s="243"/>
      <c r="G568" s="173"/>
      <c r="H568" s="174"/>
      <c r="I568" s="169"/>
      <c r="J568" s="170"/>
      <c r="K568" s="171"/>
      <c r="L568" s="170"/>
      <c r="M568" s="171"/>
      <c r="N568" s="171"/>
      <c r="O568" s="170"/>
      <c r="P568" s="170"/>
    </row>
    <row r="569" spans="2:16" x14ac:dyDescent="0.2">
      <c r="B569" s="175"/>
      <c r="C569" s="176"/>
      <c r="D569" s="177"/>
      <c r="E569" s="166"/>
      <c r="F569" s="167"/>
      <c r="G569" s="178"/>
      <c r="H569" s="168"/>
      <c r="I569" s="169"/>
      <c r="J569" s="170"/>
      <c r="K569" s="171"/>
      <c r="L569" s="170"/>
      <c r="M569" s="171"/>
      <c r="N569" s="171"/>
      <c r="O569" s="170"/>
      <c r="P569" s="522">
        <v>0.01</v>
      </c>
    </row>
    <row r="570" spans="2:16" x14ac:dyDescent="0.2">
      <c r="B570" s="179" t="s">
        <v>221</v>
      </c>
      <c r="C570" s="180" t="s">
        <v>136</v>
      </c>
      <c r="D570" s="181" t="s">
        <v>136</v>
      </c>
      <c r="E570" s="182" t="s">
        <v>137</v>
      </c>
      <c r="F570" s="182" t="s">
        <v>222</v>
      </c>
      <c r="G570" s="312" t="s">
        <v>223</v>
      </c>
      <c r="H570" s="1042" t="s">
        <v>139</v>
      </c>
      <c r="I570" s="328" t="s">
        <v>224</v>
      </c>
      <c r="J570" s="329"/>
      <c r="K570" s="330" t="s">
        <v>225</v>
      </c>
      <c r="L570" s="331"/>
      <c r="M570" s="332"/>
      <c r="N570" s="313" t="s">
        <v>140</v>
      </c>
      <c r="O570" s="183" t="s">
        <v>226</v>
      </c>
      <c r="P570" s="184" t="s">
        <v>227</v>
      </c>
    </row>
    <row r="571" spans="2:16" x14ac:dyDescent="0.2">
      <c r="B571" s="186"/>
      <c r="C571" s="187" t="s">
        <v>230</v>
      </c>
      <c r="D571" s="188" t="s">
        <v>141</v>
      </c>
      <c r="E571" s="189" t="s">
        <v>141</v>
      </c>
      <c r="F571" s="190" t="s">
        <v>231</v>
      </c>
      <c r="G571" s="314" t="s">
        <v>142</v>
      </c>
      <c r="H571" s="1043"/>
      <c r="I571" s="315" t="s">
        <v>232</v>
      </c>
      <c r="J571" s="316" t="s">
        <v>233</v>
      </c>
      <c r="K571" s="317" t="s">
        <v>232</v>
      </c>
      <c r="L571" s="318" t="s">
        <v>233</v>
      </c>
      <c r="M571" s="317" t="s">
        <v>46</v>
      </c>
      <c r="N571" s="319" t="s">
        <v>234</v>
      </c>
      <c r="O571" s="191" t="s">
        <v>235</v>
      </c>
      <c r="P571" s="191" t="s">
        <v>236</v>
      </c>
    </row>
    <row r="572" spans="2:16" x14ac:dyDescent="0.2">
      <c r="B572" s="193">
        <v>1</v>
      </c>
      <c r="C572" s="723" t="s">
        <v>732</v>
      </c>
      <c r="D572" s="194">
        <v>43525</v>
      </c>
      <c r="E572" s="195" t="s">
        <v>733</v>
      </c>
      <c r="F572" s="162"/>
      <c r="G572" s="196" t="s">
        <v>188</v>
      </c>
      <c r="H572" s="197" t="str">
        <f>+VLOOKUP(G572,[8]bd!A:C,2,0)</f>
        <v>BOLSA DE VALORES DE EL SALVADOR, S.A. DE C.V.</v>
      </c>
      <c r="I572" s="556"/>
      <c r="J572" s="556"/>
      <c r="K572" s="557">
        <v>106.33</v>
      </c>
      <c r="L572" s="556"/>
      <c r="M572" s="724">
        <v>13.82</v>
      </c>
      <c r="N572" s="556">
        <f t="shared" ref="N572:N580" si="33">+K572+M572</f>
        <v>120.15</v>
      </c>
      <c r="O572" s="556">
        <v>0</v>
      </c>
      <c r="P572" s="558">
        <v>0</v>
      </c>
    </row>
    <row r="573" spans="2:16" x14ac:dyDescent="0.2">
      <c r="B573" s="193">
        <v>2</v>
      </c>
      <c r="C573" s="256">
        <v>43528</v>
      </c>
      <c r="D573" s="194">
        <v>43528</v>
      </c>
      <c r="E573" s="195" t="s">
        <v>734</v>
      </c>
      <c r="F573" s="162"/>
      <c r="G573" s="196" t="s">
        <v>188</v>
      </c>
      <c r="H573" s="197" t="str">
        <f>+VLOOKUP(G573,[8]bd!A:C,2,0)</f>
        <v>BOLSA DE VALORES DE EL SALVADOR, S.A. DE C.V.</v>
      </c>
      <c r="I573" s="556"/>
      <c r="J573" s="556"/>
      <c r="K573" s="557">
        <v>186.34</v>
      </c>
      <c r="L573" s="556"/>
      <c r="M573" s="724">
        <v>24.22</v>
      </c>
      <c r="N573" s="556">
        <f t="shared" si="33"/>
        <v>210.56</v>
      </c>
      <c r="O573" s="556">
        <v>0</v>
      </c>
      <c r="P573" s="558">
        <v>0</v>
      </c>
    </row>
    <row r="574" spans="2:16" x14ac:dyDescent="0.2">
      <c r="B574" s="193">
        <v>3</v>
      </c>
      <c r="C574" s="723" t="s">
        <v>735</v>
      </c>
      <c r="D574" s="194">
        <v>43529</v>
      </c>
      <c r="E574" s="195" t="s">
        <v>736</v>
      </c>
      <c r="F574" s="162"/>
      <c r="G574" s="196" t="s">
        <v>188</v>
      </c>
      <c r="H574" s="197" t="str">
        <f>+VLOOKUP(G574,[8]bd!A:C,2,0)</f>
        <v>BOLSA DE VALORES DE EL SALVADOR, S.A. DE C.V.</v>
      </c>
      <c r="I574" s="556"/>
      <c r="J574" s="556"/>
      <c r="K574" s="557">
        <v>148.38999999999999</v>
      </c>
      <c r="L574" s="556"/>
      <c r="M574" s="724">
        <v>19.29</v>
      </c>
      <c r="N574" s="556">
        <f t="shared" si="33"/>
        <v>167.67999999999998</v>
      </c>
      <c r="O574" s="556">
        <v>0</v>
      </c>
      <c r="P574" s="558">
        <v>0</v>
      </c>
    </row>
    <row r="575" spans="2:16" x14ac:dyDescent="0.2">
      <c r="B575" s="193">
        <v>4</v>
      </c>
      <c r="C575" s="256">
        <v>43529</v>
      </c>
      <c r="D575" s="194">
        <v>43529</v>
      </c>
      <c r="E575" s="195" t="s">
        <v>737</v>
      </c>
      <c r="F575" s="162"/>
      <c r="G575" s="196" t="s">
        <v>47</v>
      </c>
      <c r="H575" s="197" t="str">
        <f>+VLOOKUP(G575,[8]bd!A:C,2,0)</f>
        <v>BANCO CUSCATLAN DE EL SALVADOR S.A.</v>
      </c>
      <c r="I575" s="556"/>
      <c r="J575" s="556"/>
      <c r="K575" s="557">
        <v>133.80000000000001</v>
      </c>
      <c r="L575" s="556"/>
      <c r="M575" s="724">
        <v>17.39</v>
      </c>
      <c r="N575" s="556">
        <f t="shared" si="33"/>
        <v>151.19</v>
      </c>
      <c r="O575" s="556">
        <v>0</v>
      </c>
      <c r="P575" s="558">
        <v>0</v>
      </c>
    </row>
    <row r="576" spans="2:16" x14ac:dyDescent="0.2">
      <c r="B576" s="193">
        <v>5</v>
      </c>
      <c r="C576" s="256">
        <v>43530</v>
      </c>
      <c r="D576" s="194">
        <v>43530</v>
      </c>
      <c r="E576" s="195" t="s">
        <v>738</v>
      </c>
      <c r="F576" s="162"/>
      <c r="G576" s="196" t="s">
        <v>188</v>
      </c>
      <c r="H576" s="197" t="str">
        <f>+VLOOKUP(G576,[8]bd!A:C,2,0)</f>
        <v>BOLSA DE VALORES DE EL SALVADOR, S.A. DE C.V.</v>
      </c>
      <c r="I576" s="556"/>
      <c r="J576" s="556"/>
      <c r="K576" s="557">
        <v>166.27</v>
      </c>
      <c r="L576" s="556"/>
      <c r="M576" s="724">
        <v>21.62</v>
      </c>
      <c r="N576" s="556">
        <f t="shared" si="33"/>
        <v>187.89000000000001</v>
      </c>
      <c r="O576" s="556">
        <v>0</v>
      </c>
      <c r="P576" s="558">
        <v>0</v>
      </c>
    </row>
    <row r="577" spans="2:16" x14ac:dyDescent="0.2">
      <c r="B577" s="193">
        <v>6</v>
      </c>
      <c r="C577" s="723" t="s">
        <v>739</v>
      </c>
      <c r="D577" s="194">
        <v>43531</v>
      </c>
      <c r="E577" s="195" t="s">
        <v>740</v>
      </c>
      <c r="F577" s="195"/>
      <c r="G577" s="196" t="s">
        <v>188</v>
      </c>
      <c r="H577" s="197" t="str">
        <f>+VLOOKUP(G577,[8]bd!A:C,2,0)</f>
        <v>BOLSA DE VALORES DE EL SALVADOR, S.A. DE C.V.</v>
      </c>
      <c r="I577" s="556"/>
      <c r="J577" s="556"/>
      <c r="K577" s="557">
        <v>190.88</v>
      </c>
      <c r="L577" s="556"/>
      <c r="M577" s="724">
        <v>24.81</v>
      </c>
      <c r="N577" s="556">
        <f t="shared" si="33"/>
        <v>215.69</v>
      </c>
      <c r="O577" s="556">
        <v>0</v>
      </c>
      <c r="P577" s="558">
        <v>0</v>
      </c>
    </row>
    <row r="578" spans="2:16" x14ac:dyDescent="0.2">
      <c r="B578" s="193">
        <v>7</v>
      </c>
      <c r="C578" s="256">
        <v>43531</v>
      </c>
      <c r="D578" s="194">
        <v>43531</v>
      </c>
      <c r="E578" s="195" t="s">
        <v>741</v>
      </c>
      <c r="F578" s="162" t="s">
        <v>742</v>
      </c>
      <c r="G578" s="196" t="s">
        <v>208</v>
      </c>
      <c r="H578" s="197" t="str">
        <f>+VLOOKUP(G578,[8]bd!A:C,2,0)</f>
        <v>KPMG, S.A.</v>
      </c>
      <c r="I578" s="556"/>
      <c r="J578" s="556"/>
      <c r="K578" s="557">
        <v>118.18</v>
      </c>
      <c r="L578" s="556"/>
      <c r="M578" s="724">
        <v>15.36</v>
      </c>
      <c r="N578" s="556">
        <f t="shared" si="33"/>
        <v>133.54000000000002</v>
      </c>
      <c r="O578" s="556">
        <v>0</v>
      </c>
      <c r="P578" s="558">
        <f>K578*0.01</f>
        <v>1.1818000000000002</v>
      </c>
    </row>
    <row r="579" spans="2:16" x14ac:dyDescent="0.2">
      <c r="B579" s="193">
        <v>8</v>
      </c>
      <c r="C579" s="256">
        <v>43536</v>
      </c>
      <c r="D579" s="194">
        <v>43536</v>
      </c>
      <c r="E579" s="195" t="s">
        <v>743</v>
      </c>
      <c r="F579" s="162"/>
      <c r="G579" s="196" t="s">
        <v>188</v>
      </c>
      <c r="H579" s="197" t="str">
        <f>+VLOOKUP(G579,[8]bd!A:C,2,0)</f>
        <v>BOLSA DE VALORES DE EL SALVADOR, S.A. DE C.V.</v>
      </c>
      <c r="I579" s="556"/>
      <c r="J579" s="556"/>
      <c r="K579" s="557">
        <v>822.13</v>
      </c>
      <c r="L579" s="556"/>
      <c r="M579" s="724">
        <v>106.88</v>
      </c>
      <c r="N579" s="556">
        <f>+K579+M579</f>
        <v>929.01</v>
      </c>
      <c r="O579" s="556"/>
      <c r="P579" s="558">
        <v>0</v>
      </c>
    </row>
    <row r="580" spans="2:16" x14ac:dyDescent="0.2">
      <c r="B580" s="193">
        <v>9</v>
      </c>
      <c r="C580" s="194">
        <v>43537</v>
      </c>
      <c r="D580" s="194">
        <v>43537</v>
      </c>
      <c r="E580" s="195" t="s">
        <v>744</v>
      </c>
      <c r="F580" s="162"/>
      <c r="G580" s="196" t="s">
        <v>188</v>
      </c>
      <c r="H580" s="197" t="str">
        <f>+VLOOKUP(G580,[8]bd!A:C,2,0)</f>
        <v>BOLSA DE VALORES DE EL SALVADOR, S.A. DE C.V.</v>
      </c>
      <c r="I580" s="556"/>
      <c r="J580" s="556"/>
      <c r="K580" s="557">
        <v>118.33</v>
      </c>
      <c r="L580" s="556"/>
      <c r="M580" s="556">
        <v>15.38</v>
      </c>
      <c r="N580" s="556">
        <f t="shared" si="33"/>
        <v>133.71</v>
      </c>
      <c r="O580" s="556">
        <v>0</v>
      </c>
      <c r="P580" s="558">
        <v>0</v>
      </c>
    </row>
    <row r="581" spans="2:16" x14ac:dyDescent="0.2">
      <c r="B581" s="193">
        <v>10</v>
      </c>
      <c r="C581" s="194">
        <v>43538</v>
      </c>
      <c r="D581" s="194">
        <v>43538</v>
      </c>
      <c r="E581" s="195" t="s">
        <v>745</v>
      </c>
      <c r="F581" s="162"/>
      <c r="G581" s="196" t="s">
        <v>188</v>
      </c>
      <c r="H581" s="197" t="str">
        <f>+VLOOKUP(G581,[8]bd!A:C,2,0)</f>
        <v>BOLSA DE VALORES DE EL SALVADOR, S.A. DE C.V.</v>
      </c>
      <c r="I581" s="556"/>
      <c r="J581" s="556"/>
      <c r="K581" s="557">
        <v>117.47</v>
      </c>
      <c r="L581" s="556"/>
      <c r="M581" s="556">
        <v>15.27</v>
      </c>
      <c r="N581" s="556">
        <f>+K581+M581</f>
        <v>132.74</v>
      </c>
      <c r="O581" s="556">
        <v>0</v>
      </c>
      <c r="P581" s="558">
        <v>0</v>
      </c>
    </row>
    <row r="582" spans="2:16" x14ac:dyDescent="0.2">
      <c r="B582" s="193">
        <v>11</v>
      </c>
      <c r="C582" s="194">
        <v>43542</v>
      </c>
      <c r="D582" s="194">
        <v>43542</v>
      </c>
      <c r="E582" s="195" t="s">
        <v>746</v>
      </c>
      <c r="F582" s="162"/>
      <c r="G582" s="196" t="s">
        <v>188</v>
      </c>
      <c r="H582" s="197" t="str">
        <f>+VLOOKUP(G582,[8]bd!A:C,2,0)</f>
        <v>BOLSA DE VALORES DE EL SALVADOR, S.A. DE C.V.</v>
      </c>
      <c r="I582" s="556"/>
      <c r="J582" s="556"/>
      <c r="K582" s="557">
        <v>102.73</v>
      </c>
      <c r="L582" s="556"/>
      <c r="M582" s="556">
        <v>13.35</v>
      </c>
      <c r="N582" s="556">
        <f>+K582+M582</f>
        <v>116.08</v>
      </c>
      <c r="O582" s="556">
        <v>0</v>
      </c>
      <c r="P582" s="558">
        <v>0</v>
      </c>
    </row>
    <row r="583" spans="2:16" x14ac:dyDescent="0.2">
      <c r="B583" s="193">
        <v>12</v>
      </c>
      <c r="C583" s="194">
        <v>43544</v>
      </c>
      <c r="D583" s="194">
        <v>43544</v>
      </c>
      <c r="E583" s="195" t="s">
        <v>747</v>
      </c>
      <c r="F583" s="162"/>
      <c r="G583" s="196" t="s">
        <v>188</v>
      </c>
      <c r="H583" s="197" t="str">
        <f>+VLOOKUP(G583,[8]bd!A:C,2,0)</f>
        <v>BOLSA DE VALORES DE EL SALVADOR, S.A. DE C.V.</v>
      </c>
      <c r="I583" s="556"/>
      <c r="J583" s="556"/>
      <c r="K583" s="557">
        <v>47.95</v>
      </c>
      <c r="L583" s="556"/>
      <c r="M583" s="556">
        <v>6.23</v>
      </c>
      <c r="N583" s="556">
        <f t="shared" ref="N583:N595" si="34">+K583+M583</f>
        <v>54.180000000000007</v>
      </c>
      <c r="O583" s="556">
        <v>0</v>
      </c>
      <c r="P583" s="558">
        <v>0</v>
      </c>
    </row>
    <row r="584" spans="2:16" x14ac:dyDescent="0.2">
      <c r="B584" s="193">
        <v>13</v>
      </c>
      <c r="C584" s="256">
        <v>43545</v>
      </c>
      <c r="D584" s="256">
        <v>43545</v>
      </c>
      <c r="E584" s="195" t="s">
        <v>748</v>
      </c>
      <c r="F584" s="162"/>
      <c r="G584" s="196" t="s">
        <v>188</v>
      </c>
      <c r="H584" s="197" t="str">
        <f>+VLOOKUP(G584,[8]bd!A:C,2,0)</f>
        <v>BOLSA DE VALORES DE EL SALVADOR, S.A. DE C.V.</v>
      </c>
      <c r="I584" s="556"/>
      <c r="J584" s="556"/>
      <c r="K584" s="557">
        <v>196.22</v>
      </c>
      <c r="L584" s="556"/>
      <c r="M584" s="556">
        <v>25.51</v>
      </c>
      <c r="N584" s="556">
        <f t="shared" si="34"/>
        <v>221.73</v>
      </c>
      <c r="O584" s="556">
        <v>0</v>
      </c>
      <c r="P584" s="558">
        <v>0</v>
      </c>
    </row>
    <row r="585" spans="2:16" x14ac:dyDescent="0.2">
      <c r="B585" s="193">
        <v>14</v>
      </c>
      <c r="C585" s="256" t="s">
        <v>749</v>
      </c>
      <c r="D585" s="256" t="s">
        <v>749</v>
      </c>
      <c r="E585" s="195" t="s">
        <v>750</v>
      </c>
      <c r="F585" s="162"/>
      <c r="G585" s="196" t="s">
        <v>554</v>
      </c>
      <c r="H585" s="197" t="str">
        <f>+VLOOKUP(G585,[8]bd!A:C,2,0)</f>
        <v>O &amp; R MARKETING COMMUNICATIONS, S.A DE C.V.</v>
      </c>
      <c r="I585" s="556"/>
      <c r="J585" s="556"/>
      <c r="K585" s="557">
        <v>63</v>
      </c>
      <c r="L585" s="556"/>
      <c r="M585" s="556">
        <f t="shared" ref="M585:M590" si="35">K585*0.13</f>
        <v>8.19</v>
      </c>
      <c r="N585" s="556">
        <f t="shared" si="34"/>
        <v>71.19</v>
      </c>
      <c r="O585" s="556">
        <v>0</v>
      </c>
      <c r="P585" s="558">
        <v>0</v>
      </c>
    </row>
    <row r="586" spans="2:16" x14ac:dyDescent="0.2">
      <c r="B586" s="193">
        <v>15</v>
      </c>
      <c r="C586" s="256" t="s">
        <v>749</v>
      </c>
      <c r="D586" s="256" t="s">
        <v>749</v>
      </c>
      <c r="E586" s="195" t="s">
        <v>751</v>
      </c>
      <c r="F586" s="718"/>
      <c r="G586" s="196" t="s">
        <v>554</v>
      </c>
      <c r="H586" s="197" t="str">
        <f>+VLOOKUP(G586,[8]bd!A:C,2,0)</f>
        <v>O &amp; R MARKETING COMMUNICATIONS, S.A DE C.V.</v>
      </c>
      <c r="I586" s="556"/>
      <c r="J586" s="556"/>
      <c r="K586" s="557">
        <v>63</v>
      </c>
      <c r="L586" s="556"/>
      <c r="M586" s="556">
        <f t="shared" si="35"/>
        <v>8.19</v>
      </c>
      <c r="N586" s="556">
        <f t="shared" si="34"/>
        <v>71.19</v>
      </c>
      <c r="O586" s="556">
        <v>0</v>
      </c>
      <c r="P586" s="558">
        <v>0</v>
      </c>
    </row>
    <row r="587" spans="2:16" x14ac:dyDescent="0.2">
      <c r="B587" s="193">
        <v>16</v>
      </c>
      <c r="C587" s="256" t="s">
        <v>752</v>
      </c>
      <c r="D587" s="256" t="s">
        <v>752</v>
      </c>
      <c r="E587" s="681">
        <v>2355</v>
      </c>
      <c r="F587" s="718"/>
      <c r="G587" s="681" t="s">
        <v>188</v>
      </c>
      <c r="H587" s="197" t="str">
        <f>+VLOOKUP(G587,[8]bd!A:C,2,0)</f>
        <v>BOLSA DE VALORES DE EL SALVADOR, S.A. DE C.V.</v>
      </c>
      <c r="I587" s="556"/>
      <c r="J587" s="556"/>
      <c r="K587" s="557">
        <v>18828.080000000002</v>
      </c>
      <c r="L587" s="556"/>
      <c r="M587" s="556">
        <f t="shared" si="35"/>
        <v>2447.6504000000004</v>
      </c>
      <c r="N587" s="556">
        <f t="shared" si="34"/>
        <v>21275.7304</v>
      </c>
      <c r="O587" s="556">
        <v>0</v>
      </c>
      <c r="P587" s="558">
        <v>0</v>
      </c>
    </row>
    <row r="588" spans="2:16" x14ac:dyDescent="0.2">
      <c r="B588" s="193">
        <v>17</v>
      </c>
      <c r="C588" s="256">
        <v>43550</v>
      </c>
      <c r="D588" s="256">
        <v>43550</v>
      </c>
      <c r="E588" s="681">
        <v>2361</v>
      </c>
      <c r="F588" s="718"/>
      <c r="G588" s="681" t="s">
        <v>188</v>
      </c>
      <c r="H588" s="197" t="str">
        <f>+VLOOKUP(G588,[8]bd!A:C,2,0)</f>
        <v>BOLSA DE VALORES DE EL SALVADOR, S.A. DE C.V.</v>
      </c>
      <c r="I588" s="556"/>
      <c r="J588" s="556"/>
      <c r="K588" s="557">
        <v>138.88</v>
      </c>
      <c r="L588" s="556"/>
      <c r="M588" s="556">
        <f t="shared" si="35"/>
        <v>18.054400000000001</v>
      </c>
      <c r="N588" s="556">
        <f t="shared" si="34"/>
        <v>156.93439999999998</v>
      </c>
      <c r="O588" s="556">
        <v>0</v>
      </c>
      <c r="P588" s="558">
        <v>0</v>
      </c>
    </row>
    <row r="589" spans="2:16" x14ac:dyDescent="0.2">
      <c r="B589" s="193">
        <v>18</v>
      </c>
      <c r="C589" s="256">
        <v>43551</v>
      </c>
      <c r="D589" s="256">
        <v>43551</v>
      </c>
      <c r="E589" s="195" t="s">
        <v>753</v>
      </c>
      <c r="F589" s="718"/>
      <c r="G589" s="196" t="s">
        <v>188</v>
      </c>
      <c r="H589" s="197" t="str">
        <f>+VLOOKUP(G589,[8]bd!A:C,2,0)</f>
        <v>BOLSA DE VALORES DE EL SALVADOR, S.A. DE C.V.</v>
      </c>
      <c r="I589" s="556"/>
      <c r="J589" s="556"/>
      <c r="K589" s="557">
        <v>232.54</v>
      </c>
      <c r="L589" s="556"/>
      <c r="M589" s="556">
        <f t="shared" si="35"/>
        <v>30.2302</v>
      </c>
      <c r="N589" s="556">
        <f t="shared" si="34"/>
        <v>262.77019999999999</v>
      </c>
      <c r="O589" s="556">
        <v>0</v>
      </c>
      <c r="P589" s="558">
        <v>0</v>
      </c>
    </row>
    <row r="590" spans="2:16" x14ac:dyDescent="0.2">
      <c r="B590" s="193">
        <v>19</v>
      </c>
      <c r="C590" s="194">
        <v>43552</v>
      </c>
      <c r="D590" s="194">
        <v>43552</v>
      </c>
      <c r="E590" s="195" t="s">
        <v>754</v>
      </c>
      <c r="F590" s="718"/>
      <c r="G590" s="196" t="s">
        <v>188</v>
      </c>
      <c r="H590" s="197" t="str">
        <f>+VLOOKUP(G590,[8]bd!A:C,2,0)</f>
        <v>BOLSA DE VALORES DE EL SALVADOR, S.A. DE C.V.</v>
      </c>
      <c r="I590" s="556"/>
      <c r="J590" s="556"/>
      <c r="K590" s="557">
        <v>174.06</v>
      </c>
      <c r="L590" s="556"/>
      <c r="M590" s="556">
        <f t="shared" si="35"/>
        <v>22.627800000000001</v>
      </c>
      <c r="N590" s="556">
        <f t="shared" si="34"/>
        <v>196.68780000000001</v>
      </c>
      <c r="O590" s="556">
        <v>0</v>
      </c>
      <c r="P590" s="558">
        <v>0</v>
      </c>
    </row>
    <row r="591" spans="2:16" x14ac:dyDescent="0.2">
      <c r="B591" s="193">
        <v>20</v>
      </c>
      <c r="C591" s="194"/>
      <c r="D591" s="194"/>
      <c r="E591" s="195"/>
      <c r="F591" s="718"/>
      <c r="G591" s="196"/>
      <c r="H591" s="197" t="e">
        <f>+VLOOKUP(G591,[8]bd!A:C,2,0)</f>
        <v>#N/A</v>
      </c>
      <c r="I591" s="556"/>
      <c r="J591" s="556"/>
      <c r="K591" s="557"/>
      <c r="L591" s="556"/>
      <c r="M591" s="556"/>
      <c r="N591" s="556">
        <f t="shared" si="34"/>
        <v>0</v>
      </c>
      <c r="O591" s="556">
        <v>0</v>
      </c>
      <c r="P591" s="558">
        <v>0</v>
      </c>
    </row>
    <row r="592" spans="2:16" x14ac:dyDescent="0.2">
      <c r="B592" s="193">
        <v>21</v>
      </c>
      <c r="C592" s="194"/>
      <c r="D592" s="194"/>
      <c r="E592" s="195"/>
      <c r="F592" s="162"/>
      <c r="G592" s="196"/>
      <c r="H592" s="197" t="e">
        <f>+VLOOKUP(G592,[8]bd!A:C,2,0)</f>
        <v>#N/A</v>
      </c>
      <c r="I592" s="556"/>
      <c r="J592" s="556"/>
      <c r="K592" s="557"/>
      <c r="L592" s="556"/>
      <c r="M592" s="556"/>
      <c r="N592" s="556">
        <f t="shared" si="34"/>
        <v>0</v>
      </c>
      <c r="O592" s="556">
        <v>0</v>
      </c>
      <c r="P592" s="558">
        <f>K592*0.01</f>
        <v>0</v>
      </c>
    </row>
    <row r="593" spans="2:16" x14ac:dyDescent="0.2">
      <c r="B593" s="193">
        <v>22</v>
      </c>
      <c r="C593" s="194"/>
      <c r="D593" s="194"/>
      <c r="E593" s="195"/>
      <c r="F593" s="162"/>
      <c r="G593" s="196"/>
      <c r="H593" s="197" t="e">
        <f>+VLOOKUP(G593,[8]bd!A:C,2,0)</f>
        <v>#N/A</v>
      </c>
      <c r="I593" s="556"/>
      <c r="J593" s="556"/>
      <c r="K593" s="557"/>
      <c r="L593" s="556"/>
      <c r="M593" s="556"/>
      <c r="N593" s="556">
        <f t="shared" si="34"/>
        <v>0</v>
      </c>
      <c r="O593" s="556">
        <v>0</v>
      </c>
      <c r="P593" s="558">
        <v>0</v>
      </c>
    </row>
    <row r="594" spans="2:16" x14ac:dyDescent="0.2">
      <c r="B594" s="193">
        <v>23</v>
      </c>
      <c r="C594" s="194"/>
      <c r="D594" s="194"/>
      <c r="E594" s="195"/>
      <c r="F594" s="162"/>
      <c r="G594" s="196"/>
      <c r="H594" s="197" t="e">
        <f>+VLOOKUP(G594,[8]bd!A:C,2,0)</f>
        <v>#N/A</v>
      </c>
      <c r="I594" s="556"/>
      <c r="J594" s="556"/>
      <c r="K594" s="557"/>
      <c r="L594" s="556"/>
      <c r="M594" s="556"/>
      <c r="N594" s="556">
        <f t="shared" si="34"/>
        <v>0</v>
      </c>
      <c r="O594" s="556">
        <v>0</v>
      </c>
      <c r="P594" s="558">
        <v>0</v>
      </c>
    </row>
    <row r="595" spans="2:16" x14ac:dyDescent="0.2">
      <c r="B595" s="193">
        <v>24</v>
      </c>
      <c r="C595" s="194"/>
      <c r="D595" s="194"/>
      <c r="E595" s="195"/>
      <c r="F595" s="718"/>
      <c r="G595" s="196"/>
      <c r="H595" s="197" t="e">
        <f>+VLOOKUP(G595,[8]bd!A:C,2,0)</f>
        <v>#N/A</v>
      </c>
      <c r="I595" s="556"/>
      <c r="J595" s="556"/>
      <c r="K595" s="557"/>
      <c r="L595" s="556"/>
      <c r="M595" s="556"/>
      <c r="N595" s="556">
        <f t="shared" si="34"/>
        <v>0</v>
      </c>
      <c r="O595" s="556">
        <v>0</v>
      </c>
      <c r="P595" s="558">
        <v>0</v>
      </c>
    </row>
    <row r="596" spans="2:16" x14ac:dyDescent="0.2">
      <c r="B596" s="193">
        <v>25</v>
      </c>
      <c r="C596" s="194"/>
      <c r="D596" s="194"/>
      <c r="E596" s="195"/>
      <c r="F596" s="162"/>
      <c r="G596" s="196" t="s">
        <v>409</v>
      </c>
      <c r="H596" s="197" t="e">
        <f>+VLOOKUP(G596,[8]bd!A:C,2,0)</f>
        <v>#N/A</v>
      </c>
      <c r="I596" s="556"/>
      <c r="J596" s="556"/>
      <c r="K596" s="557">
        <v>0</v>
      </c>
      <c r="L596" s="556"/>
      <c r="M596" s="556">
        <v>0</v>
      </c>
      <c r="N596" s="556">
        <v>0</v>
      </c>
      <c r="O596" s="556">
        <v>0</v>
      </c>
      <c r="P596" s="558">
        <v>0</v>
      </c>
    </row>
    <row r="597" spans="2:16" x14ac:dyDescent="0.2">
      <c r="B597" s="193">
        <v>26</v>
      </c>
      <c r="C597" s="194"/>
      <c r="D597" s="194"/>
      <c r="E597" s="195"/>
      <c r="F597" s="162"/>
      <c r="G597" s="196" t="s">
        <v>409</v>
      </c>
      <c r="H597" s="197" t="e">
        <f>+VLOOKUP(G597,[8]bd!A:C,2,0)</f>
        <v>#N/A</v>
      </c>
      <c r="I597" s="556"/>
      <c r="J597" s="556"/>
      <c r="K597" s="557">
        <v>0</v>
      </c>
      <c r="L597" s="556"/>
      <c r="M597" s="556">
        <v>0</v>
      </c>
      <c r="N597" s="556">
        <v>0</v>
      </c>
      <c r="O597" s="556"/>
      <c r="P597" s="558">
        <v>0</v>
      </c>
    </row>
    <row r="598" spans="2:16" x14ac:dyDescent="0.2">
      <c r="B598" s="193">
        <v>27</v>
      </c>
      <c r="C598" s="194"/>
      <c r="D598" s="194"/>
      <c r="E598" s="195"/>
      <c r="F598" s="162"/>
      <c r="G598" s="196" t="s">
        <v>409</v>
      </c>
      <c r="H598" s="197" t="e">
        <f>+VLOOKUP(G598,[8]bd!A:C,2,0)</f>
        <v>#N/A</v>
      </c>
      <c r="I598" s="556"/>
      <c r="J598" s="556"/>
      <c r="K598" s="557"/>
      <c r="L598" s="556"/>
      <c r="M598" s="556"/>
      <c r="N598" s="556"/>
      <c r="O598" s="556"/>
      <c r="P598" s="558">
        <v>0</v>
      </c>
    </row>
    <row r="599" spans="2:16" x14ac:dyDescent="0.2">
      <c r="B599" s="193">
        <v>28</v>
      </c>
      <c r="C599" s="194"/>
      <c r="D599" s="194"/>
      <c r="E599" s="195"/>
      <c r="F599" s="162"/>
      <c r="G599" s="196"/>
      <c r="H599" s="197"/>
      <c r="I599" s="556"/>
      <c r="J599" s="556"/>
      <c r="K599" s="557"/>
      <c r="L599" s="556"/>
      <c r="M599" s="556"/>
      <c r="N599" s="556"/>
      <c r="O599" s="556"/>
      <c r="P599" s="558">
        <v>0</v>
      </c>
    </row>
    <row r="600" spans="2:16" x14ac:dyDescent="0.2">
      <c r="B600" s="193"/>
      <c r="C600" s="194"/>
      <c r="D600" s="194"/>
      <c r="E600" s="195"/>
      <c r="F600" s="162"/>
      <c r="G600" s="196"/>
      <c r="H600" s="197" t="s">
        <v>273</v>
      </c>
      <c r="I600" s="556"/>
      <c r="J600" s="556"/>
      <c r="K600" s="562"/>
      <c r="L600" s="556"/>
      <c r="M600" s="556">
        <v>-2854.07</v>
      </c>
      <c r="N600" s="681"/>
      <c r="O600" s="556"/>
      <c r="P600" s="558">
        <v>0</v>
      </c>
    </row>
    <row r="601" spans="2:16" x14ac:dyDescent="0.2">
      <c r="B601" s="193"/>
      <c r="C601" s="194"/>
      <c r="D601" s="194"/>
      <c r="E601" s="195"/>
      <c r="F601" s="162"/>
      <c r="G601" s="196"/>
      <c r="H601" s="197"/>
      <c r="I601" s="556"/>
      <c r="J601" s="556"/>
      <c r="K601" s="557"/>
      <c r="L601" s="556"/>
      <c r="M601" s="556"/>
      <c r="N601" s="556"/>
      <c r="O601" s="556"/>
      <c r="P601" s="558"/>
    </row>
    <row r="602" spans="2:16" x14ac:dyDescent="0.2">
      <c r="B602" s="193"/>
      <c r="C602" s="194"/>
      <c r="D602" s="194"/>
      <c r="E602" s="195"/>
      <c r="F602" s="333"/>
      <c r="G602" s="196"/>
      <c r="H602" s="197"/>
      <c r="I602" s="556"/>
      <c r="J602" s="556"/>
      <c r="K602" s="557"/>
      <c r="L602" s="556"/>
      <c r="M602" s="556"/>
      <c r="N602" s="556"/>
      <c r="O602" s="556"/>
      <c r="P602" s="556"/>
    </row>
    <row r="603" spans="2:16" x14ac:dyDescent="0.2">
      <c r="B603" s="193"/>
      <c r="C603" s="194"/>
      <c r="D603" s="194"/>
      <c r="E603" s="195"/>
      <c r="F603" s="333"/>
      <c r="G603" s="196"/>
      <c r="H603" s="197"/>
      <c r="I603" s="556"/>
      <c r="J603" s="556"/>
      <c r="K603" s="557"/>
      <c r="L603" s="556"/>
      <c r="M603" s="556"/>
      <c r="N603" s="556"/>
      <c r="O603" s="556"/>
      <c r="P603" s="556"/>
    </row>
    <row r="604" spans="2:16" x14ac:dyDescent="0.2">
      <c r="B604" s="193"/>
      <c r="C604" s="194"/>
      <c r="D604" s="194"/>
      <c r="E604" s="195"/>
      <c r="F604" s="333"/>
      <c r="G604" s="196"/>
      <c r="H604" s="197"/>
      <c r="I604" s="556"/>
      <c r="J604" s="556"/>
      <c r="K604" s="557"/>
      <c r="L604" s="556"/>
      <c r="M604" s="556"/>
      <c r="N604" s="556"/>
      <c r="O604" s="556"/>
      <c r="P604" s="556"/>
    </row>
    <row r="605" spans="2:16" x14ac:dyDescent="0.2">
      <c r="B605" s="193"/>
      <c r="C605" s="194"/>
      <c r="D605" s="194"/>
      <c r="E605" s="195"/>
      <c r="F605" s="333"/>
      <c r="G605" s="196"/>
      <c r="H605" s="197"/>
      <c r="I605" s="556"/>
      <c r="J605" s="556"/>
      <c r="K605" s="557"/>
      <c r="L605" s="556"/>
      <c r="M605" s="556"/>
      <c r="N605" s="556"/>
      <c r="O605" s="556"/>
      <c r="P605" s="558"/>
    </row>
    <row r="606" spans="2:16" x14ac:dyDescent="0.2">
      <c r="B606" s="193"/>
      <c r="C606" s="194"/>
      <c r="D606" s="194"/>
      <c r="E606" s="195"/>
      <c r="F606" s="1041"/>
      <c r="G606" s="196"/>
      <c r="H606" s="197"/>
      <c r="I606" s="564"/>
      <c r="J606" s="556"/>
      <c r="K606" s="557"/>
      <c r="L606" s="556"/>
      <c r="M606" s="556"/>
      <c r="N606" s="556"/>
      <c r="O606" s="556"/>
      <c r="P606" s="556"/>
    </row>
    <row r="607" spans="2:16" x14ac:dyDescent="0.2">
      <c r="B607" s="193"/>
      <c r="C607" s="194"/>
      <c r="D607" s="194"/>
      <c r="E607" s="195"/>
      <c r="F607" s="1041"/>
      <c r="G607" s="196"/>
      <c r="H607" s="197"/>
      <c r="I607" s="556"/>
      <c r="J607" s="556"/>
      <c r="K607" s="557"/>
      <c r="L607" s="556"/>
      <c r="M607" s="556"/>
      <c r="N607" s="556"/>
      <c r="O607" s="556"/>
      <c r="P607" s="556"/>
    </row>
    <row r="608" spans="2:16" x14ac:dyDescent="0.2">
      <c r="B608" s="193"/>
      <c r="C608" s="194"/>
      <c r="D608" s="194"/>
      <c r="E608" s="195"/>
      <c r="F608" s="320"/>
      <c r="G608" s="196"/>
      <c r="H608" s="197"/>
      <c r="I608" s="556"/>
      <c r="J608" s="556"/>
      <c r="K608" s="557"/>
      <c r="L608" s="556"/>
      <c r="M608" s="556"/>
      <c r="N608" s="556"/>
      <c r="O608" s="556"/>
      <c r="P608" s="556"/>
    </row>
    <row r="609" spans="2:16" x14ac:dyDescent="0.2">
      <c r="B609" s="193"/>
      <c r="C609" s="194"/>
      <c r="D609" s="194"/>
      <c r="E609" s="195"/>
      <c r="F609" s="321"/>
      <c r="G609" s="196"/>
      <c r="H609" s="197"/>
      <c r="I609" s="556"/>
      <c r="J609" s="556"/>
      <c r="K609" s="556"/>
      <c r="L609" s="556"/>
      <c r="M609" s="556"/>
      <c r="N609" s="556">
        <f>+K609+M609</f>
        <v>0</v>
      </c>
      <c r="O609" s="556"/>
      <c r="P609" s="556"/>
    </row>
    <row r="610" spans="2:16" ht="13.5" thickBot="1" x14ac:dyDescent="0.25">
      <c r="B610" s="265"/>
      <c r="C610" s="266"/>
      <c r="D610" s="267"/>
      <c r="E610" s="266"/>
      <c r="F610" s="268"/>
      <c r="G610" s="269"/>
      <c r="H610" s="270"/>
      <c r="I610" s="271"/>
      <c r="J610" s="272"/>
      <c r="K610" s="272"/>
      <c r="L610" s="273"/>
      <c r="M610" s="272"/>
      <c r="N610" s="272"/>
      <c r="O610" s="272"/>
      <c r="P610" s="272"/>
    </row>
    <row r="611" spans="2:16" x14ac:dyDescent="0.2">
      <c r="B611" s="175"/>
      <c r="C611" s="176"/>
      <c r="D611" s="275"/>
      <c r="E611" s="176"/>
      <c r="F611" s="276"/>
      <c r="G611" s="277"/>
      <c r="H611" s="178"/>
      <c r="I611" s="278"/>
      <c r="J611" s="171"/>
      <c r="K611" s="171"/>
      <c r="L611" s="279"/>
      <c r="M611" s="171"/>
      <c r="N611" s="171"/>
      <c r="O611" s="171"/>
      <c r="P611" s="171"/>
    </row>
    <row r="612" spans="2:16" x14ac:dyDescent="0.2">
      <c r="B612" s="175"/>
      <c r="C612" s="164"/>
      <c r="D612" s="165"/>
      <c r="E612" s="164"/>
      <c r="F612" s="281"/>
      <c r="G612" s="277"/>
      <c r="H612" s="282" t="s">
        <v>261</v>
      </c>
      <c r="I612" s="279">
        <f t="shared" ref="I612:P612" si="36">SUM(I572:I610)</f>
        <v>0</v>
      </c>
      <c r="J612" s="279">
        <f t="shared" si="36"/>
        <v>0</v>
      </c>
      <c r="K612" s="279">
        <f t="shared" si="36"/>
        <v>21954.580000000005</v>
      </c>
      <c r="L612" s="279">
        <f t="shared" si="36"/>
        <v>0</v>
      </c>
      <c r="M612" s="279">
        <f>SUM(M572:M610)</f>
        <v>2.8000000006613845E-3</v>
      </c>
      <c r="N612" s="279">
        <f t="shared" si="36"/>
        <v>24808.652799999996</v>
      </c>
      <c r="O612" s="279">
        <f t="shared" si="36"/>
        <v>0</v>
      </c>
      <c r="P612" s="279">
        <f t="shared" si="36"/>
        <v>1.1818000000000002</v>
      </c>
    </row>
    <row r="613" spans="2:16" ht="13.5" thickBot="1" x14ac:dyDescent="0.25">
      <c r="B613" s="265"/>
      <c r="C613" s="283"/>
      <c r="D613" s="284"/>
      <c r="E613" s="283"/>
      <c r="F613" s="285"/>
      <c r="G613" s="269"/>
      <c r="H613" s="286"/>
      <c r="I613" s="273"/>
      <c r="J613" s="287"/>
      <c r="K613" s="287"/>
      <c r="L613" s="287"/>
      <c r="M613" s="287"/>
      <c r="N613" s="287"/>
      <c r="O613" s="287"/>
      <c r="P613" s="287"/>
    </row>
    <row r="619" spans="2:16" ht="21" x14ac:dyDescent="0.35">
      <c r="B619" s="493" t="s">
        <v>218</v>
      </c>
      <c r="C619" s="494"/>
      <c r="D619" s="495"/>
      <c r="E619" s="495"/>
      <c r="F619" s="495"/>
      <c r="G619" s="496"/>
      <c r="H619" s="497"/>
      <c r="I619" s="497"/>
      <c r="J619" s="497"/>
      <c r="K619" s="497"/>
      <c r="L619" s="497"/>
      <c r="M619" s="497"/>
      <c r="N619" s="498"/>
      <c r="O619" s="492"/>
      <c r="P619" s="492"/>
    </row>
    <row r="620" spans="2:16" ht="15.75" x14ac:dyDescent="0.25">
      <c r="B620" s="495" t="s">
        <v>134</v>
      </c>
      <c r="C620" s="495"/>
      <c r="D620" s="495"/>
      <c r="E620" s="495"/>
      <c r="F620" s="495"/>
      <c r="G620" s="496"/>
      <c r="H620" s="497"/>
      <c r="I620" s="497"/>
      <c r="J620" s="497"/>
      <c r="K620" s="497"/>
      <c r="L620" s="730"/>
      <c r="M620" s="730"/>
      <c r="N620" s="498"/>
      <c r="O620" s="492"/>
      <c r="P620" s="492"/>
    </row>
    <row r="621" spans="2:16" ht="15.75" x14ac:dyDescent="0.25">
      <c r="B621" s="494" t="s">
        <v>135</v>
      </c>
      <c r="C621" s="495"/>
      <c r="D621" s="495"/>
      <c r="E621" s="495"/>
      <c r="F621" s="495"/>
      <c r="G621" s="496"/>
      <c r="H621" s="497"/>
      <c r="I621" s="497"/>
      <c r="J621" s="497"/>
      <c r="K621" s="497"/>
      <c r="L621" s="497"/>
      <c r="M621" s="497"/>
      <c r="N621" s="498"/>
      <c r="O621" s="492"/>
      <c r="P621" s="492"/>
    </row>
    <row r="622" spans="2:16" ht="15.75" x14ac:dyDescent="0.25">
      <c r="B622" s="495" t="s">
        <v>190</v>
      </c>
      <c r="C622" s="495"/>
      <c r="D622" s="495"/>
      <c r="E622" s="495"/>
      <c r="F622" s="495"/>
      <c r="G622" s="496"/>
      <c r="H622" s="497"/>
      <c r="I622" s="497"/>
      <c r="J622" s="497"/>
      <c r="K622" s="497"/>
      <c r="L622" s="497"/>
      <c r="M622" s="497"/>
      <c r="N622" s="498"/>
      <c r="O622" s="492"/>
      <c r="P622" s="492"/>
    </row>
    <row r="623" spans="2:16" ht="15.75" x14ac:dyDescent="0.25">
      <c r="B623" s="499" t="s">
        <v>219</v>
      </c>
      <c r="C623" s="500" t="s">
        <v>84</v>
      </c>
      <c r="D623" s="501"/>
      <c r="E623" s="502">
        <v>2019</v>
      </c>
      <c r="F623" s="495"/>
      <c r="G623" s="496"/>
      <c r="H623" s="162"/>
      <c r="I623" s="504"/>
      <c r="J623" s="504"/>
      <c r="K623" s="504"/>
      <c r="L623" s="504"/>
      <c r="M623" s="504"/>
      <c r="N623" s="498"/>
      <c r="O623" s="492"/>
      <c r="P623" s="492"/>
    </row>
    <row r="624" spans="2:16" x14ac:dyDescent="0.2">
      <c r="B624" s="163"/>
      <c r="C624" s="164"/>
      <c r="D624" s="165"/>
      <c r="E624" s="166"/>
      <c r="F624" s="167"/>
      <c r="G624" s="168"/>
      <c r="H624" s="168"/>
      <c r="I624" s="169"/>
      <c r="J624" s="170"/>
      <c r="K624" s="171"/>
      <c r="L624" s="170"/>
      <c r="M624" s="171"/>
      <c r="N624" s="171"/>
      <c r="O624" s="170"/>
      <c r="P624" s="170"/>
    </row>
    <row r="625" spans="2:16" x14ac:dyDescent="0.2">
      <c r="B625" s="163"/>
      <c r="C625" s="164"/>
      <c r="D625" s="165"/>
      <c r="E625" s="166"/>
      <c r="F625" s="243"/>
      <c r="G625" s="173"/>
      <c r="H625" s="174"/>
      <c r="I625" s="169"/>
      <c r="J625" s="170"/>
      <c r="K625" s="171"/>
      <c r="L625" s="170"/>
      <c r="M625" s="171"/>
      <c r="N625" s="171"/>
      <c r="O625" s="170"/>
      <c r="P625" s="170"/>
    </row>
    <row r="626" spans="2:16" x14ac:dyDescent="0.2">
      <c r="B626" s="175"/>
      <c r="C626" s="176"/>
      <c r="D626" s="177"/>
      <c r="E626" s="166"/>
      <c r="F626" s="167"/>
      <c r="G626" s="178"/>
      <c r="H626" s="168"/>
      <c r="I626" s="169"/>
      <c r="J626" s="170"/>
      <c r="K626" s="171"/>
      <c r="L626" s="170"/>
      <c r="M626" s="171"/>
      <c r="N626" s="171"/>
      <c r="O626" s="170"/>
      <c r="P626" s="522">
        <v>0.01</v>
      </c>
    </row>
    <row r="627" spans="2:16" x14ac:dyDescent="0.2">
      <c r="B627" s="179" t="s">
        <v>221</v>
      </c>
      <c r="C627" s="180" t="s">
        <v>136</v>
      </c>
      <c r="D627" s="181" t="s">
        <v>136</v>
      </c>
      <c r="E627" s="182" t="s">
        <v>137</v>
      </c>
      <c r="F627" s="182" t="s">
        <v>222</v>
      </c>
      <c r="G627" s="312" t="s">
        <v>223</v>
      </c>
      <c r="H627" s="728" t="s">
        <v>139</v>
      </c>
      <c r="I627" s="322" t="s">
        <v>224</v>
      </c>
      <c r="J627" s="323"/>
      <c r="K627" s="324" t="s">
        <v>225</v>
      </c>
      <c r="L627" s="325"/>
      <c r="M627" s="326"/>
      <c r="N627" s="313" t="s">
        <v>140</v>
      </c>
      <c r="O627" s="183" t="s">
        <v>226</v>
      </c>
      <c r="P627" s="184" t="s">
        <v>227</v>
      </c>
    </row>
    <row r="628" spans="2:16" x14ac:dyDescent="0.2">
      <c r="B628" s="186"/>
      <c r="C628" s="732" t="s">
        <v>230</v>
      </c>
      <c r="D628" s="733" t="s">
        <v>141</v>
      </c>
      <c r="E628" s="189" t="s">
        <v>141</v>
      </c>
      <c r="F628" s="190" t="s">
        <v>231</v>
      </c>
      <c r="G628" s="314" t="s">
        <v>142</v>
      </c>
      <c r="H628" s="729"/>
      <c r="I628" s="315" t="s">
        <v>232</v>
      </c>
      <c r="J628" s="316" t="s">
        <v>233</v>
      </c>
      <c r="K628" s="317" t="s">
        <v>232</v>
      </c>
      <c r="L628" s="318" t="s">
        <v>233</v>
      </c>
      <c r="M628" s="317" t="s">
        <v>46</v>
      </c>
      <c r="N628" s="319" t="s">
        <v>234</v>
      </c>
      <c r="O628" s="191" t="s">
        <v>235</v>
      </c>
      <c r="P628" s="191" t="s">
        <v>236</v>
      </c>
    </row>
    <row r="629" spans="2:16" x14ac:dyDescent="0.2">
      <c r="B629" s="193">
        <v>1</v>
      </c>
      <c r="C629" s="734" t="s">
        <v>820</v>
      </c>
      <c r="D629" s="256">
        <v>43556</v>
      </c>
      <c r="E629" s="195" t="s">
        <v>821</v>
      </c>
      <c r="F629" s="162"/>
      <c r="G629" s="196" t="s">
        <v>188</v>
      </c>
      <c r="H629" s="197" t="str">
        <f>+VLOOKUP(G629,[9]bd!A:C,2,0)</f>
        <v>BOLSA DE VALORES DE EL SALVADOR, S.A. DE C.V.</v>
      </c>
      <c r="I629" s="556"/>
      <c r="J629" s="556"/>
      <c r="K629" s="557">
        <v>112.27</v>
      </c>
      <c r="L629" s="556"/>
      <c r="M629" s="724">
        <v>14.59</v>
      </c>
      <c r="N629" s="556">
        <f t="shared" ref="N629:N646" si="37">+K629+M629</f>
        <v>126.86</v>
      </c>
      <c r="O629" s="556"/>
      <c r="P629" s="558"/>
    </row>
    <row r="630" spans="2:16" x14ac:dyDescent="0.2">
      <c r="B630" s="193">
        <v>2</v>
      </c>
      <c r="C630" s="734" t="s">
        <v>822</v>
      </c>
      <c r="D630" s="734" t="s">
        <v>822</v>
      </c>
      <c r="E630" s="195" t="s">
        <v>823</v>
      </c>
      <c r="F630" s="162"/>
      <c r="G630" s="196" t="s">
        <v>188</v>
      </c>
      <c r="H630" s="197" t="str">
        <f>+VLOOKUP(G630,[9]bd!A:C,2,0)</f>
        <v>BOLSA DE VALORES DE EL SALVADOR, S.A. DE C.V.</v>
      </c>
      <c r="I630" s="556"/>
      <c r="J630" s="556"/>
      <c r="K630" s="557">
        <v>47.95</v>
      </c>
      <c r="L630" s="556"/>
      <c r="M630" s="724">
        <v>6.23</v>
      </c>
      <c r="N630" s="556">
        <f t="shared" si="37"/>
        <v>54.180000000000007</v>
      </c>
      <c r="O630" s="556"/>
      <c r="P630" s="558"/>
    </row>
    <row r="631" spans="2:16" x14ac:dyDescent="0.2">
      <c r="B631" s="193">
        <v>3</v>
      </c>
      <c r="C631" s="734" t="s">
        <v>824</v>
      </c>
      <c r="D631" s="734" t="s">
        <v>824</v>
      </c>
      <c r="E631" s="195" t="s">
        <v>825</v>
      </c>
      <c r="F631" s="162"/>
      <c r="G631" s="196" t="s">
        <v>188</v>
      </c>
      <c r="H631" s="197" t="str">
        <f>+VLOOKUP(G631,[9]bd!A:C,2,0)</f>
        <v>BOLSA DE VALORES DE EL SALVADOR, S.A. DE C.V.</v>
      </c>
      <c r="I631" s="556"/>
      <c r="J631" s="556"/>
      <c r="K631" s="557">
        <v>164.39</v>
      </c>
      <c r="L631" s="556"/>
      <c r="M631" s="724">
        <v>21.37</v>
      </c>
      <c r="N631" s="556">
        <f t="shared" si="37"/>
        <v>185.76</v>
      </c>
      <c r="O631" s="556"/>
      <c r="P631" s="558"/>
    </row>
    <row r="632" spans="2:16" x14ac:dyDescent="0.2">
      <c r="B632" s="193">
        <v>4</v>
      </c>
      <c r="C632" s="734" t="s">
        <v>824</v>
      </c>
      <c r="D632" s="735">
        <v>43537</v>
      </c>
      <c r="E632" s="195" t="s">
        <v>826</v>
      </c>
      <c r="F632" s="162"/>
      <c r="G632" s="196" t="s">
        <v>188</v>
      </c>
      <c r="H632" s="197" t="str">
        <f>+VLOOKUP(G632,[9]bd!A:C,2,0)</f>
        <v>BOLSA DE VALORES DE EL SALVADOR, S.A. DE C.V.</v>
      </c>
      <c r="I632" s="556"/>
      <c r="J632" s="556"/>
      <c r="K632" s="557">
        <v>195</v>
      </c>
      <c r="L632" s="556"/>
      <c r="M632" s="724">
        <v>25.35</v>
      </c>
      <c r="N632" s="556">
        <f t="shared" si="37"/>
        <v>220.35</v>
      </c>
      <c r="O632" s="556"/>
      <c r="P632" s="558"/>
    </row>
    <row r="633" spans="2:16" x14ac:dyDescent="0.2">
      <c r="B633" s="193">
        <v>5</v>
      </c>
      <c r="C633" s="734" t="s">
        <v>824</v>
      </c>
      <c r="D633" s="256">
        <v>43524</v>
      </c>
      <c r="E633" s="195" t="s">
        <v>579</v>
      </c>
      <c r="F633" s="162" t="s">
        <v>827</v>
      </c>
      <c r="G633" s="196" t="s">
        <v>212</v>
      </c>
      <c r="H633" s="197" t="str">
        <f>+VLOOKUP(G633,[9]bd!A:C,2,0)</f>
        <v>CENTRAL DE DEPOSITO DE VALORES, S.A. DE C.V.</v>
      </c>
      <c r="I633" s="556"/>
      <c r="J633" s="556"/>
      <c r="K633" s="557">
        <v>2550.84</v>
      </c>
      <c r="L633" s="556"/>
      <c r="M633" s="724">
        <v>331.61</v>
      </c>
      <c r="N633" s="556">
        <f t="shared" si="37"/>
        <v>2882.4500000000003</v>
      </c>
      <c r="O633" s="556"/>
      <c r="P633" s="558">
        <v>25.51</v>
      </c>
    </row>
    <row r="634" spans="2:16" x14ac:dyDescent="0.2">
      <c r="B634" s="193">
        <v>6</v>
      </c>
      <c r="C634" s="734" t="s">
        <v>824</v>
      </c>
      <c r="D634" s="256">
        <v>43514</v>
      </c>
      <c r="E634" s="195" t="s">
        <v>828</v>
      </c>
      <c r="F634" s="195"/>
      <c r="G634" s="196" t="s">
        <v>188</v>
      </c>
      <c r="H634" s="197" t="str">
        <f>+VLOOKUP(G634,[9]bd!A:C,2,0)</f>
        <v>BOLSA DE VALORES DE EL SALVADOR, S.A. DE C.V.</v>
      </c>
      <c r="I634" s="556"/>
      <c r="J634" s="556"/>
      <c r="K634" s="557">
        <v>195</v>
      </c>
      <c r="L634" s="556"/>
      <c r="M634" s="724">
        <v>25.35</v>
      </c>
      <c r="N634" s="556">
        <f t="shared" si="37"/>
        <v>220.35</v>
      </c>
      <c r="O634" s="556"/>
      <c r="P634" s="558"/>
    </row>
    <row r="635" spans="2:16" x14ac:dyDescent="0.2">
      <c r="B635" s="193">
        <v>7</v>
      </c>
      <c r="C635" s="734" t="s">
        <v>829</v>
      </c>
      <c r="D635" s="256">
        <v>43559</v>
      </c>
      <c r="E635" s="195" t="s">
        <v>830</v>
      </c>
      <c r="F635" s="162"/>
      <c r="G635" s="196" t="s">
        <v>188</v>
      </c>
      <c r="H635" s="197" t="str">
        <f>+VLOOKUP(G635,[9]bd!A:C,2,0)</f>
        <v>BOLSA DE VALORES DE EL SALVADOR, S.A. DE C.V.</v>
      </c>
      <c r="I635" s="556"/>
      <c r="J635" s="556"/>
      <c r="K635" s="557">
        <v>27.65</v>
      </c>
      <c r="L635" s="556"/>
      <c r="M635" s="724">
        <v>3.6</v>
      </c>
      <c r="N635" s="556">
        <f t="shared" si="37"/>
        <v>31.25</v>
      </c>
      <c r="O635" s="556"/>
      <c r="P635" s="558"/>
    </row>
    <row r="636" spans="2:16" x14ac:dyDescent="0.2">
      <c r="B636" s="193">
        <v>8</v>
      </c>
      <c r="C636" s="734" t="s">
        <v>829</v>
      </c>
      <c r="D636" s="734" t="s">
        <v>829</v>
      </c>
      <c r="E636" s="195"/>
      <c r="F636" s="162"/>
      <c r="G636" s="196"/>
      <c r="H636" s="197" t="s">
        <v>430</v>
      </c>
      <c r="I636" s="556"/>
      <c r="J636" s="556"/>
      <c r="K636" s="557">
        <v>321</v>
      </c>
      <c r="L636" s="556"/>
      <c r="M636" s="724">
        <v>41.73</v>
      </c>
      <c r="N636" s="556">
        <f t="shared" si="37"/>
        <v>362.73</v>
      </c>
      <c r="O636" s="556"/>
      <c r="P636" s="558"/>
    </row>
    <row r="637" spans="2:16" x14ac:dyDescent="0.2">
      <c r="B637" s="193">
        <v>9</v>
      </c>
      <c r="C637" s="734" t="s">
        <v>831</v>
      </c>
      <c r="D637" s="256">
        <v>43556</v>
      </c>
      <c r="E637" s="195" t="s">
        <v>832</v>
      </c>
      <c r="F637" s="162"/>
      <c r="G637" s="196" t="s">
        <v>208</v>
      </c>
      <c r="H637" s="197" t="str">
        <f>+VLOOKUP(G637,[9]bd!A:C,2,0)</f>
        <v>KPMG, S.A.</v>
      </c>
      <c r="I637" s="556"/>
      <c r="J637" s="556"/>
      <c r="K637" s="557">
        <v>118.2</v>
      </c>
      <c r="L637" s="556"/>
      <c r="M637" s="556">
        <v>15.37</v>
      </c>
      <c r="N637" s="556">
        <f t="shared" si="37"/>
        <v>133.57</v>
      </c>
      <c r="O637" s="556"/>
      <c r="P637" s="558"/>
    </row>
    <row r="638" spans="2:16" x14ac:dyDescent="0.2">
      <c r="B638" s="193">
        <v>10</v>
      </c>
      <c r="C638" s="734" t="s">
        <v>833</v>
      </c>
      <c r="D638" s="734" t="s">
        <v>833</v>
      </c>
      <c r="E638" s="195" t="s">
        <v>834</v>
      </c>
      <c r="F638" s="162"/>
      <c r="G638" s="196" t="s">
        <v>188</v>
      </c>
      <c r="H638" s="197" t="str">
        <f>+VLOOKUP(G638,[9]bd!A:C,2,0)</f>
        <v>BOLSA DE VALORES DE EL SALVADOR, S.A. DE C.V.</v>
      </c>
      <c r="I638" s="556"/>
      <c r="J638" s="556"/>
      <c r="K638" s="557">
        <v>95.89</v>
      </c>
      <c r="L638" s="556"/>
      <c r="M638" s="556">
        <v>12.47</v>
      </c>
      <c r="N638" s="556">
        <f t="shared" si="37"/>
        <v>108.36</v>
      </c>
      <c r="O638" s="556"/>
      <c r="P638" s="558"/>
    </row>
    <row r="639" spans="2:16" x14ac:dyDescent="0.2">
      <c r="B639" s="193">
        <v>11</v>
      </c>
      <c r="C639" s="256">
        <v>43566</v>
      </c>
      <c r="D639" s="256">
        <v>43566</v>
      </c>
      <c r="E639" s="195" t="s">
        <v>835</v>
      </c>
      <c r="F639" s="162"/>
      <c r="G639" s="196" t="s">
        <v>188</v>
      </c>
      <c r="H639" s="197" t="str">
        <f>+VLOOKUP(G639,[9]bd!A:C,2,0)</f>
        <v>BOLSA DE VALORES DE EL SALVADOR, S.A. DE C.V.</v>
      </c>
      <c r="I639" s="556"/>
      <c r="J639" s="556"/>
      <c r="K639" s="557">
        <v>159.65</v>
      </c>
      <c r="L639" s="556"/>
      <c r="M639" s="556">
        <v>20.75</v>
      </c>
      <c r="N639" s="556">
        <f t="shared" si="37"/>
        <v>180.4</v>
      </c>
      <c r="O639" s="556"/>
      <c r="P639" s="558"/>
    </row>
    <row r="640" spans="2:16" x14ac:dyDescent="0.2">
      <c r="B640" s="193">
        <v>12</v>
      </c>
      <c r="C640" s="734" t="s">
        <v>836</v>
      </c>
      <c r="D640" s="256">
        <v>43553</v>
      </c>
      <c r="E640" s="195" t="s">
        <v>837</v>
      </c>
      <c r="F640" s="162" t="s">
        <v>838</v>
      </c>
      <c r="G640" s="196" t="s">
        <v>212</v>
      </c>
      <c r="H640" s="197" t="str">
        <f>+VLOOKUP(G640,[9]bd!A:C,2,0)</f>
        <v>CENTRAL DE DEPOSITO DE VALORES, S.A. DE C.V.</v>
      </c>
      <c r="I640" s="556"/>
      <c r="J640" s="556"/>
      <c r="K640" s="557">
        <v>3229.56</v>
      </c>
      <c r="L640" s="556"/>
      <c r="M640" s="557">
        <v>419.84</v>
      </c>
      <c r="N640" s="556">
        <f t="shared" si="37"/>
        <v>3649.4</v>
      </c>
      <c r="O640" s="556"/>
      <c r="P640" s="558">
        <v>32.299999999999997</v>
      </c>
    </row>
    <row r="641" spans="2:16" x14ac:dyDescent="0.2">
      <c r="B641" s="193">
        <v>13</v>
      </c>
      <c r="C641" s="734" t="s">
        <v>839</v>
      </c>
      <c r="D641" s="256">
        <v>43577</v>
      </c>
      <c r="E641" s="195" t="s">
        <v>840</v>
      </c>
      <c r="F641" s="162" t="s">
        <v>841</v>
      </c>
      <c r="G641" s="196" t="s">
        <v>554</v>
      </c>
      <c r="H641" s="197" t="str">
        <f>+VLOOKUP(G641,[9]bd!A:C,2,0)</f>
        <v>O &amp; R MARKETING COMMUNICATIONS, S.A DE C.V.</v>
      </c>
      <c r="I641" s="556"/>
      <c r="J641" s="556"/>
      <c r="K641" s="557">
        <v>375</v>
      </c>
      <c r="L641" s="556"/>
      <c r="M641" s="556">
        <v>48.75</v>
      </c>
      <c r="N641" s="556">
        <f t="shared" si="37"/>
        <v>423.75</v>
      </c>
      <c r="O641" s="556"/>
      <c r="P641" s="558">
        <v>3.75</v>
      </c>
    </row>
    <row r="642" spans="2:16" x14ac:dyDescent="0.2">
      <c r="B642" s="193">
        <v>14</v>
      </c>
      <c r="C642" s="734" t="s">
        <v>839</v>
      </c>
      <c r="D642" s="256">
        <v>43577</v>
      </c>
      <c r="E642" s="195" t="s">
        <v>842</v>
      </c>
      <c r="F642" s="162" t="s">
        <v>841</v>
      </c>
      <c r="G642" s="196" t="s">
        <v>554</v>
      </c>
      <c r="H642" s="197" t="str">
        <f>+VLOOKUP(G642,[9]bd!A:C,2,0)</f>
        <v>O &amp; R MARKETING COMMUNICATIONS, S.A DE C.V.</v>
      </c>
      <c r="I642" s="556"/>
      <c r="J642" s="556"/>
      <c r="K642" s="557">
        <v>2637</v>
      </c>
      <c r="L642" s="556"/>
      <c r="M642" s="556">
        <v>342.81</v>
      </c>
      <c r="N642" s="556">
        <f t="shared" si="37"/>
        <v>2979.81</v>
      </c>
      <c r="O642" s="556"/>
      <c r="P642" s="558">
        <v>26.37</v>
      </c>
    </row>
    <row r="643" spans="2:16" x14ac:dyDescent="0.2">
      <c r="B643" s="193">
        <v>15</v>
      </c>
      <c r="C643" s="256">
        <v>43580</v>
      </c>
      <c r="D643" s="256">
        <v>43580</v>
      </c>
      <c r="E643" s="195" t="s">
        <v>843</v>
      </c>
      <c r="F643" s="727"/>
      <c r="G643" s="196" t="s">
        <v>188</v>
      </c>
      <c r="H643" s="197" t="str">
        <f>+VLOOKUP(G643,[9]bd!A:C,2,0)</f>
        <v>BOLSA DE VALORES DE EL SALVADOR, S.A. DE C.V.</v>
      </c>
      <c r="I643" s="556"/>
      <c r="J643" s="556"/>
      <c r="K643" s="557">
        <v>71.53</v>
      </c>
      <c r="L643" s="556"/>
      <c r="M643" s="556">
        <v>9.3000000000000007</v>
      </c>
      <c r="N643" s="556">
        <f t="shared" si="37"/>
        <v>80.83</v>
      </c>
      <c r="O643" s="556"/>
      <c r="P643" s="558"/>
    </row>
    <row r="644" spans="2:16" x14ac:dyDescent="0.2">
      <c r="B644" s="193">
        <v>16</v>
      </c>
      <c r="C644" s="256">
        <v>43584</v>
      </c>
      <c r="D644" s="256">
        <v>43552</v>
      </c>
      <c r="E644" s="681">
        <v>424</v>
      </c>
      <c r="F644" s="727"/>
      <c r="G644" s="681" t="s">
        <v>341</v>
      </c>
      <c r="H644" s="197" t="str">
        <f>+VLOOKUP(G644,[9]bd!A:C,2,0)</f>
        <v>OPERADORES LOGISTICOS RANSA, S.A. DE C.V.</v>
      </c>
      <c r="I644" s="556"/>
      <c r="J644" s="556"/>
      <c r="K644" s="557">
        <v>376.92</v>
      </c>
      <c r="L644" s="556"/>
      <c r="M644" s="556">
        <v>49</v>
      </c>
      <c r="N644" s="556">
        <f t="shared" si="37"/>
        <v>425.92</v>
      </c>
      <c r="O644" s="556"/>
      <c r="P644" s="558"/>
    </row>
    <row r="645" spans="2:16" x14ac:dyDescent="0.2">
      <c r="B645" s="193">
        <v>17</v>
      </c>
      <c r="C645" s="256">
        <v>43584</v>
      </c>
      <c r="D645" s="256">
        <v>43524</v>
      </c>
      <c r="E645" s="681">
        <v>14772</v>
      </c>
      <c r="F645" s="727"/>
      <c r="G645" s="681" t="s">
        <v>341</v>
      </c>
      <c r="H645" s="197" t="str">
        <f>+VLOOKUP(G645,[9]bd!A:C,2,0)</f>
        <v>OPERADORES LOGISTICOS RANSA, S.A. DE C.V.</v>
      </c>
      <c r="I645" s="556"/>
      <c r="J645" s="556"/>
      <c r="K645" s="557">
        <v>376.92</v>
      </c>
      <c r="L645" s="556"/>
      <c r="M645" s="556">
        <v>49</v>
      </c>
      <c r="N645" s="556">
        <f t="shared" si="37"/>
        <v>425.92</v>
      </c>
      <c r="O645" s="556"/>
      <c r="P645" s="558">
        <f>K645*0.01</f>
        <v>3.7692000000000001</v>
      </c>
    </row>
    <row r="646" spans="2:16" x14ac:dyDescent="0.2">
      <c r="B646" s="193">
        <v>18</v>
      </c>
      <c r="C646" s="256">
        <v>43584</v>
      </c>
      <c r="D646" s="256">
        <v>43584</v>
      </c>
      <c r="E646" s="195" t="s">
        <v>844</v>
      </c>
      <c r="F646" s="727"/>
      <c r="G646" s="196" t="s">
        <v>188</v>
      </c>
      <c r="H646" s="197" t="str">
        <f>+VLOOKUP(G646,[9]bd!A:C,2,0)</f>
        <v>BOLSA DE VALORES DE EL SALVADOR, S.A. DE C.V.</v>
      </c>
      <c r="I646" s="556"/>
      <c r="J646" s="556"/>
      <c r="K646" s="557">
        <v>47.58</v>
      </c>
      <c r="L646" s="556"/>
      <c r="M646" s="556">
        <v>6.19</v>
      </c>
      <c r="N646" s="556">
        <f t="shared" si="37"/>
        <v>53.769999999999996</v>
      </c>
      <c r="O646" s="556"/>
      <c r="P646" s="558"/>
    </row>
    <row r="649" spans="2:16" x14ac:dyDescent="0.2">
      <c r="C649" s="194"/>
      <c r="D649" s="194"/>
      <c r="E649" s="195"/>
      <c r="F649" s="162"/>
      <c r="G649" s="196"/>
      <c r="H649" s="197" t="s">
        <v>845</v>
      </c>
      <c r="I649" s="556"/>
      <c r="J649" s="556"/>
      <c r="K649" s="557"/>
      <c r="L649" s="556"/>
      <c r="M649" s="556"/>
      <c r="N649" s="556"/>
      <c r="O649" s="556"/>
      <c r="P649" s="558">
        <v>1.18</v>
      </c>
    </row>
    <row r="650" spans="2:16" x14ac:dyDescent="0.2">
      <c r="C650" s="194"/>
      <c r="D650" s="194"/>
      <c r="E650" s="195"/>
      <c r="F650" s="333"/>
      <c r="G650" s="196"/>
      <c r="H650" s="197"/>
      <c r="I650" s="556"/>
      <c r="J650" s="556"/>
      <c r="K650" s="557"/>
      <c r="L650" s="556"/>
      <c r="M650" s="556"/>
      <c r="N650" s="556"/>
      <c r="O650" s="556"/>
      <c r="P650" s="556"/>
    </row>
    <row r="651" spans="2:16" x14ac:dyDescent="0.2">
      <c r="C651" s="194"/>
      <c r="D651" s="194"/>
      <c r="E651" s="195"/>
      <c r="F651" s="333"/>
      <c r="G651" s="196"/>
      <c r="H651" s="197"/>
      <c r="I651" s="556"/>
      <c r="J651" s="556"/>
      <c r="K651" s="557"/>
      <c r="L651" s="556"/>
      <c r="M651" s="556"/>
      <c r="N651" s="556"/>
      <c r="O651" s="556"/>
      <c r="P651" s="556"/>
    </row>
    <row r="652" spans="2:16" x14ac:dyDescent="0.2">
      <c r="C652" s="194"/>
      <c r="D652" s="194"/>
      <c r="E652" s="195"/>
      <c r="F652" s="333"/>
      <c r="G652" s="196"/>
      <c r="H652" s="197"/>
      <c r="I652" s="556"/>
      <c r="J652" s="556"/>
      <c r="K652" s="557"/>
      <c r="L652" s="556"/>
      <c r="M652" s="556"/>
      <c r="N652" s="556"/>
      <c r="O652" s="556"/>
      <c r="P652" s="556"/>
    </row>
    <row r="653" spans="2:16" x14ac:dyDescent="0.2">
      <c r="C653" s="194"/>
      <c r="D653" s="194"/>
      <c r="E653" s="195"/>
      <c r="F653" s="333"/>
      <c r="G653" s="196"/>
      <c r="H653" s="197"/>
      <c r="I653" s="556"/>
      <c r="J653" s="556"/>
      <c r="K653" s="557"/>
      <c r="L653" s="556"/>
      <c r="M653" s="556"/>
      <c r="N653" s="556"/>
      <c r="O653" s="556"/>
      <c r="P653" s="558"/>
    </row>
    <row r="654" spans="2:16" x14ac:dyDescent="0.2">
      <c r="C654" s="194"/>
      <c r="D654" s="194"/>
      <c r="E654" s="195"/>
      <c r="F654" s="1041"/>
      <c r="G654" s="196"/>
      <c r="H654" s="197"/>
      <c r="I654" s="564"/>
      <c r="J654" s="556"/>
      <c r="K654" s="557"/>
      <c r="L654" s="556"/>
      <c r="M654" s="556"/>
      <c r="N654" s="556"/>
      <c r="O654" s="556"/>
      <c r="P654" s="556"/>
    </row>
    <row r="655" spans="2:16" x14ac:dyDescent="0.2">
      <c r="C655" s="194"/>
      <c r="D655" s="194"/>
      <c r="E655" s="195"/>
      <c r="F655" s="1041"/>
      <c r="G655" s="196"/>
      <c r="H655" s="197"/>
      <c r="I655" s="556"/>
      <c r="J655" s="556"/>
      <c r="K655" s="557"/>
      <c r="L655" s="556"/>
      <c r="M655" s="556"/>
      <c r="N655" s="556"/>
      <c r="O655" s="556"/>
      <c r="P655" s="556"/>
    </row>
    <row r="656" spans="2:16" x14ac:dyDescent="0.2">
      <c r="C656" s="194"/>
      <c r="D656" s="194"/>
      <c r="E656" s="195"/>
      <c r="F656" s="320"/>
      <c r="G656" s="196"/>
      <c r="H656" s="197"/>
      <c r="I656" s="556"/>
      <c r="J656" s="556"/>
      <c r="K656" s="557"/>
      <c r="L656" s="556"/>
      <c r="M656" s="556"/>
      <c r="N656" s="556"/>
      <c r="O656" s="556"/>
      <c r="P656" s="556"/>
    </row>
    <row r="657" spans="1:19" x14ac:dyDescent="0.2">
      <c r="C657" s="194"/>
      <c r="D657" s="194"/>
      <c r="E657" s="195"/>
      <c r="F657" s="321"/>
      <c r="G657" s="196"/>
      <c r="H657" s="197"/>
      <c r="I657" s="556"/>
      <c r="J657" s="556"/>
      <c r="K657" s="556"/>
      <c r="L657" s="556"/>
      <c r="M657" s="556"/>
      <c r="N657" s="556">
        <f>+K657+M657</f>
        <v>0</v>
      </c>
      <c r="O657" s="556"/>
      <c r="P657" s="556"/>
    </row>
    <row r="658" spans="1:19" ht="13.5" thickBot="1" x14ac:dyDescent="0.25">
      <c r="C658" s="266"/>
      <c r="D658" s="267"/>
      <c r="E658" s="266"/>
      <c r="F658" s="268"/>
      <c r="G658" s="269"/>
      <c r="H658" s="270"/>
      <c r="I658" s="271"/>
      <c r="J658" s="272"/>
      <c r="K658" s="272"/>
      <c r="L658" s="273"/>
      <c r="M658" s="272"/>
      <c r="N658" s="272"/>
      <c r="O658" s="272"/>
      <c r="P658" s="272"/>
    </row>
    <row r="659" spans="1:19" x14ac:dyDescent="0.2">
      <c r="C659" s="176"/>
      <c r="D659" s="275"/>
      <c r="E659" s="176"/>
      <c r="F659" s="276"/>
      <c r="G659" s="277"/>
      <c r="H659" s="178"/>
      <c r="I659" s="278"/>
      <c r="J659" s="171"/>
      <c r="K659" s="171"/>
      <c r="L659" s="279"/>
      <c r="M659" s="171"/>
      <c r="N659" s="171"/>
      <c r="O659" s="171"/>
      <c r="P659" s="171"/>
    </row>
    <row r="660" spans="1:19" x14ac:dyDescent="0.2">
      <c r="C660" s="164"/>
      <c r="D660" s="165"/>
      <c r="E660" s="164"/>
      <c r="F660" s="281"/>
      <c r="G660" s="277"/>
      <c r="H660" s="282" t="s">
        <v>261</v>
      </c>
      <c r="I660" s="279">
        <f t="shared" ref="I660:P660" si="38">SUM(I620:I658)</f>
        <v>0</v>
      </c>
      <c r="J660" s="279">
        <f t="shared" si="38"/>
        <v>0</v>
      </c>
      <c r="K660" s="279">
        <f t="shared" si="38"/>
        <v>11102.35</v>
      </c>
      <c r="L660" s="279">
        <f t="shared" si="38"/>
        <v>0</v>
      </c>
      <c r="M660" s="279">
        <f>SUM(M620:M658)</f>
        <v>1443.31</v>
      </c>
      <c r="N660" s="279">
        <f t="shared" si="38"/>
        <v>12545.66</v>
      </c>
      <c r="O660" s="279">
        <f t="shared" si="38"/>
        <v>0</v>
      </c>
      <c r="P660" s="279">
        <f t="shared" si="38"/>
        <v>92.889200000000002</v>
      </c>
    </row>
    <row r="661" spans="1:19" ht="13.5" thickBot="1" x14ac:dyDescent="0.25">
      <c r="C661" s="283"/>
      <c r="D661" s="284"/>
      <c r="E661" s="283"/>
      <c r="F661" s="285"/>
      <c r="G661" s="269"/>
      <c r="H661" s="286"/>
      <c r="I661" s="273"/>
      <c r="J661" s="287"/>
      <c r="K661" s="287"/>
      <c r="L661" s="287"/>
      <c r="M661" s="287"/>
      <c r="N661" s="287"/>
      <c r="O661" s="287"/>
      <c r="P661" s="287"/>
    </row>
    <row r="665" spans="1:19" s="492" customFormat="1" ht="21" x14ac:dyDescent="0.35">
      <c r="B665" s="493" t="s">
        <v>218</v>
      </c>
      <c r="C665" s="494"/>
      <c r="D665" s="495"/>
      <c r="E665" s="495"/>
      <c r="F665" s="495"/>
      <c r="G665" s="496"/>
      <c r="H665" s="497"/>
      <c r="I665" s="497"/>
      <c r="J665" s="497"/>
      <c r="K665" s="497"/>
      <c r="L665" s="497"/>
      <c r="M665" s="497"/>
      <c r="N665" s="498"/>
    </row>
    <row r="666" spans="1:19" s="492" customFormat="1" ht="15.75" x14ac:dyDescent="0.25">
      <c r="B666" s="495" t="s">
        <v>134</v>
      </c>
      <c r="C666" s="495"/>
      <c r="D666" s="495"/>
      <c r="E666" s="495"/>
      <c r="F666" s="495"/>
      <c r="G666" s="496"/>
      <c r="H666" s="497"/>
      <c r="I666" s="497"/>
      <c r="J666" s="497"/>
      <c r="K666" s="497"/>
      <c r="L666" s="1044"/>
      <c r="M666" s="1044"/>
      <c r="N666" s="498"/>
    </row>
    <row r="667" spans="1:19" s="492" customFormat="1" ht="15.75" x14ac:dyDescent="0.25">
      <c r="B667" s="494" t="s">
        <v>135</v>
      </c>
      <c r="C667" s="495"/>
      <c r="D667" s="495"/>
      <c r="E667" s="495"/>
      <c r="F667" s="495"/>
      <c r="G667" s="496"/>
      <c r="H667" s="497"/>
      <c r="I667" s="497"/>
      <c r="J667" s="497"/>
      <c r="K667" s="497"/>
      <c r="L667" s="497"/>
      <c r="M667" s="497"/>
      <c r="N667" s="498"/>
    </row>
    <row r="668" spans="1:19" s="492" customFormat="1" ht="15.75" x14ac:dyDescent="0.25">
      <c r="B668" s="495" t="s">
        <v>190</v>
      </c>
      <c r="C668" s="495"/>
      <c r="D668" s="495"/>
      <c r="E668" s="495"/>
      <c r="F668" s="495"/>
      <c r="G668" s="496"/>
      <c r="H668" s="497"/>
      <c r="I668" s="497"/>
      <c r="J668" s="497"/>
      <c r="K668" s="497"/>
      <c r="L668" s="497"/>
      <c r="M668" s="497"/>
      <c r="N668" s="498"/>
    </row>
    <row r="669" spans="1:19" s="492" customFormat="1" ht="15.75" x14ac:dyDescent="0.25">
      <c r="B669" s="499" t="s">
        <v>219</v>
      </c>
      <c r="C669" s="500" t="s">
        <v>85</v>
      </c>
      <c r="D669" s="501"/>
      <c r="E669" s="502">
        <v>2019</v>
      </c>
      <c r="F669" s="495"/>
      <c r="G669" s="496"/>
      <c r="H669" s="162"/>
      <c r="I669" s="504"/>
      <c r="J669" s="504"/>
      <c r="K669" s="504"/>
      <c r="L669" s="504"/>
      <c r="M669" s="504"/>
      <c r="N669" s="498"/>
    </row>
    <row r="670" spans="1:19" s="168" customFormat="1" x14ac:dyDescent="0.2">
      <c r="A670" s="743"/>
      <c r="B670" s="163"/>
      <c r="C670" s="164"/>
      <c r="D670" s="165"/>
      <c r="E670" s="166"/>
      <c r="F670" s="167"/>
      <c r="I670" s="169"/>
      <c r="J670" s="170"/>
      <c r="K670" s="171"/>
      <c r="L670" s="170"/>
      <c r="M670" s="171"/>
      <c r="N670" s="171"/>
      <c r="O670" s="170"/>
      <c r="P670" s="170"/>
      <c r="S670" s="172"/>
    </row>
    <row r="671" spans="1:19" s="168" customFormat="1" x14ac:dyDescent="0.2">
      <c r="A671" s="743"/>
      <c r="B671" s="163"/>
      <c r="C671" s="164"/>
      <c r="D671" s="165"/>
      <c r="E671" s="166"/>
      <c r="F671" s="243"/>
      <c r="G671" s="173"/>
      <c r="H671" s="174"/>
      <c r="I671" s="169"/>
      <c r="J671" s="170"/>
      <c r="K671" s="171"/>
      <c r="L671" s="170"/>
      <c r="M671" s="171"/>
      <c r="N671" s="171"/>
      <c r="O671" s="170"/>
      <c r="P671" s="170"/>
      <c r="S671" s="172"/>
    </row>
    <row r="672" spans="1:19" s="168" customFormat="1" x14ac:dyDescent="0.2">
      <c r="A672" s="743"/>
      <c r="B672" s="175"/>
      <c r="C672" s="176"/>
      <c r="D672" s="177"/>
      <c r="E672" s="166"/>
      <c r="F672" s="167"/>
      <c r="G672" s="178"/>
      <c r="I672" s="169"/>
      <c r="J672" s="170"/>
      <c r="K672" s="171"/>
      <c r="L672" s="170"/>
      <c r="M672" s="171"/>
      <c r="N672" s="171"/>
      <c r="O672" s="170"/>
      <c r="P672" s="522">
        <v>0.01</v>
      </c>
      <c r="R672" s="168" t="s">
        <v>220</v>
      </c>
      <c r="S672" s="523">
        <v>0.13</v>
      </c>
    </row>
    <row r="673" spans="1:21" s="680" customFormat="1" ht="11.25" x14ac:dyDescent="0.2">
      <c r="A673" s="744"/>
      <c r="B673" s="179" t="s">
        <v>221</v>
      </c>
      <c r="C673" s="180" t="s">
        <v>136</v>
      </c>
      <c r="D673" s="181" t="s">
        <v>136</v>
      </c>
      <c r="E673" s="182" t="s">
        <v>137</v>
      </c>
      <c r="F673" s="182" t="s">
        <v>222</v>
      </c>
      <c r="G673" s="312" t="s">
        <v>223</v>
      </c>
      <c r="H673" s="1042" t="s">
        <v>139</v>
      </c>
      <c r="I673" s="328" t="s">
        <v>224</v>
      </c>
      <c r="J673" s="329"/>
      <c r="K673" s="330" t="s">
        <v>225</v>
      </c>
      <c r="L673" s="331"/>
      <c r="M673" s="332"/>
      <c r="N673" s="313" t="s">
        <v>140</v>
      </c>
      <c r="O673" s="183" t="s">
        <v>226</v>
      </c>
      <c r="P673" s="184" t="s">
        <v>227</v>
      </c>
      <c r="Q673" s="185" t="s">
        <v>228</v>
      </c>
      <c r="R673" s="185" t="s">
        <v>229</v>
      </c>
      <c r="S673" s="185" t="s">
        <v>229</v>
      </c>
    </row>
    <row r="674" spans="1:21" s="680" customFormat="1" x14ac:dyDescent="0.2">
      <c r="A674" s="745"/>
      <c r="B674" s="186"/>
      <c r="C674" s="732" t="s">
        <v>230</v>
      </c>
      <c r="D674" s="733" t="s">
        <v>141</v>
      </c>
      <c r="E674" s="189" t="s">
        <v>141</v>
      </c>
      <c r="F674" s="190" t="s">
        <v>231</v>
      </c>
      <c r="G674" s="314" t="s">
        <v>142</v>
      </c>
      <c r="H674" s="1043"/>
      <c r="I674" s="315" t="s">
        <v>232</v>
      </c>
      <c r="J674" s="316" t="s">
        <v>233</v>
      </c>
      <c r="K674" s="755" t="s">
        <v>232</v>
      </c>
      <c r="L674" s="756" t="s">
        <v>233</v>
      </c>
      <c r="M674" s="755" t="s">
        <v>46</v>
      </c>
      <c r="N674" s="757" t="s">
        <v>234</v>
      </c>
      <c r="O674" s="758" t="s">
        <v>235</v>
      </c>
      <c r="P674" s="758" t="s">
        <v>236</v>
      </c>
      <c r="Q674" s="759" t="s">
        <v>237</v>
      </c>
      <c r="R674" s="759" t="s">
        <v>238</v>
      </c>
      <c r="S674" s="192" t="s">
        <v>239</v>
      </c>
    </row>
    <row r="675" spans="1:21" s="681" customFormat="1" x14ac:dyDescent="0.2">
      <c r="A675" s="746"/>
      <c r="B675" s="193">
        <v>1</v>
      </c>
      <c r="C675" s="735">
        <v>43588</v>
      </c>
      <c r="D675" s="256">
        <v>43588</v>
      </c>
      <c r="E675" s="195" t="s">
        <v>891</v>
      </c>
      <c r="F675" s="162"/>
      <c r="G675" s="196" t="s">
        <v>47</v>
      </c>
      <c r="H675" s="197" t="str">
        <f>+VLOOKUP(G675,[16]bd!A:C,2,0)</f>
        <v>BANCO CUSCATLAN DE EL SALVADOR S.A.</v>
      </c>
      <c r="I675" s="556"/>
      <c r="J675" s="556"/>
      <c r="K675" s="751">
        <v>133.80000000000001</v>
      </c>
      <c r="L675" s="750"/>
      <c r="M675" s="749">
        <v>17.39</v>
      </c>
      <c r="N675" s="750">
        <f t="shared" ref="N675:N686" si="39">+K675+M675</f>
        <v>151.19</v>
      </c>
      <c r="O675" s="750"/>
      <c r="P675" s="752"/>
      <c r="Q675" s="750"/>
      <c r="R675" s="750"/>
      <c r="S675" s="556"/>
    </row>
    <row r="676" spans="1:21" s="681" customFormat="1" x14ac:dyDescent="0.2">
      <c r="A676" s="746"/>
      <c r="B676" s="193">
        <v>2</v>
      </c>
      <c r="C676" s="735">
        <v>43588</v>
      </c>
      <c r="D676" s="256">
        <v>43588</v>
      </c>
      <c r="E676" s="195" t="s">
        <v>892</v>
      </c>
      <c r="F676" s="162"/>
      <c r="G676" s="196" t="s">
        <v>47</v>
      </c>
      <c r="H676" s="197" t="str">
        <f>+VLOOKUP(G676,[16]bd!A:C,2,0)</f>
        <v>BANCO CUSCATLAN DE EL SALVADOR S.A.</v>
      </c>
      <c r="I676" s="556"/>
      <c r="J676" s="556"/>
      <c r="K676" s="751">
        <v>133.80000000000001</v>
      </c>
      <c r="L676" s="750"/>
      <c r="M676" s="749">
        <v>17.39</v>
      </c>
      <c r="N676" s="750">
        <f t="shared" si="39"/>
        <v>151.19</v>
      </c>
      <c r="O676" s="750"/>
      <c r="P676" s="752"/>
      <c r="Q676" s="750"/>
      <c r="R676" s="750"/>
      <c r="S676" s="556"/>
    </row>
    <row r="677" spans="1:21" s="681" customFormat="1" x14ac:dyDescent="0.2">
      <c r="A677" s="746"/>
      <c r="B677" s="193">
        <v>3</v>
      </c>
      <c r="C677" s="735">
        <v>43600</v>
      </c>
      <c r="D677" s="735">
        <v>43552</v>
      </c>
      <c r="E677" s="195" t="s">
        <v>893</v>
      </c>
      <c r="F677" s="162"/>
      <c r="G677" s="196" t="s">
        <v>341</v>
      </c>
      <c r="H677" s="197" t="str">
        <f>+VLOOKUP(G677,[16]bd!A:C,2,0)</f>
        <v>OPERADORES LOGISTICOS RANSA, S.A. DE C.V.</v>
      </c>
      <c r="I677" s="556"/>
      <c r="J677" s="556"/>
      <c r="K677" s="751">
        <v>376.92</v>
      </c>
      <c r="L677" s="750"/>
      <c r="M677" s="749">
        <v>49</v>
      </c>
      <c r="N677" s="750">
        <f t="shared" si="39"/>
        <v>425.92</v>
      </c>
      <c r="O677" s="750"/>
      <c r="P677" s="752">
        <v>0</v>
      </c>
      <c r="Q677" s="750"/>
      <c r="R677" s="750"/>
      <c r="S677" s="556"/>
    </row>
    <row r="678" spans="1:21" s="681" customFormat="1" x14ac:dyDescent="0.2">
      <c r="A678" s="746"/>
      <c r="B678" s="193"/>
      <c r="C678" s="735">
        <v>43601</v>
      </c>
      <c r="D678" s="735">
        <v>43601</v>
      </c>
      <c r="E678" s="195" t="s">
        <v>894</v>
      </c>
      <c r="F678" s="162"/>
      <c r="G678" s="196" t="s">
        <v>188</v>
      </c>
      <c r="H678" s="197" t="str">
        <f>+VLOOKUP(G678,[16]bd!A:C,2,0)</f>
        <v>BOLSA DE VALORES DE EL SALVADOR, S.A. DE C.V.</v>
      </c>
      <c r="I678" s="556"/>
      <c r="J678" s="556"/>
      <c r="K678" s="751">
        <v>253.1</v>
      </c>
      <c r="L678" s="750"/>
      <c r="M678" s="749">
        <v>32.9</v>
      </c>
      <c r="N678" s="750">
        <f t="shared" si="39"/>
        <v>286</v>
      </c>
      <c r="O678" s="750"/>
      <c r="P678" s="752"/>
      <c r="Q678" s="750"/>
      <c r="R678" s="750"/>
      <c r="S678" s="556"/>
    </row>
    <row r="679" spans="1:21" s="681" customFormat="1" x14ac:dyDescent="0.2">
      <c r="A679" s="746"/>
      <c r="B679" s="193">
        <v>4</v>
      </c>
      <c r="C679" s="735">
        <v>43605</v>
      </c>
      <c r="D679" s="735">
        <v>43605</v>
      </c>
      <c r="E679" s="195" t="s">
        <v>895</v>
      </c>
      <c r="F679" s="162"/>
      <c r="G679" s="196" t="s">
        <v>188</v>
      </c>
      <c r="H679" s="197" t="str">
        <f>+VLOOKUP(G679,[16]bd!A:C,2,0)</f>
        <v>BOLSA DE VALORES DE EL SALVADOR, S.A. DE C.V.</v>
      </c>
      <c r="I679" s="556"/>
      <c r="J679" s="556"/>
      <c r="K679" s="751">
        <v>102.74</v>
      </c>
      <c r="L679" s="750"/>
      <c r="M679" s="749">
        <v>13.36</v>
      </c>
      <c r="N679" s="750">
        <f t="shared" si="39"/>
        <v>116.1</v>
      </c>
      <c r="O679" s="750"/>
      <c r="P679" s="752"/>
      <c r="Q679" s="750"/>
      <c r="R679" s="750"/>
      <c r="S679" s="556"/>
    </row>
    <row r="680" spans="1:21" s="681" customFormat="1" x14ac:dyDescent="0.2">
      <c r="A680" s="746"/>
      <c r="B680" s="193">
        <v>5</v>
      </c>
      <c r="C680" s="735">
        <v>43608</v>
      </c>
      <c r="D680" s="256">
        <v>43585</v>
      </c>
      <c r="E680" s="195" t="s">
        <v>896</v>
      </c>
      <c r="F680" s="162" t="s">
        <v>591</v>
      </c>
      <c r="G680" s="196" t="s">
        <v>212</v>
      </c>
      <c r="H680" s="197" t="str">
        <f>+VLOOKUP(G680,[16]bd!A:C,2,0)</f>
        <v>CENTRAL DE DEPOSITO DE VALORES, S.A. DE C.V.</v>
      </c>
      <c r="I680" s="556"/>
      <c r="J680" s="556"/>
      <c r="K680" s="751">
        <v>1523.26</v>
      </c>
      <c r="L680" s="750"/>
      <c r="M680" s="749">
        <v>198.02</v>
      </c>
      <c r="N680" s="750">
        <f t="shared" si="39"/>
        <v>1721.28</v>
      </c>
      <c r="O680" s="750"/>
      <c r="P680" s="752">
        <f>K680*0.01</f>
        <v>15.2326</v>
      </c>
      <c r="Q680" s="750"/>
      <c r="R680" s="750"/>
      <c r="S680" s="556"/>
    </row>
    <row r="681" spans="1:21" s="748" customFormat="1" ht="12.75" customHeight="1" x14ac:dyDescent="0.2">
      <c r="A681" s="747"/>
      <c r="B681" s="193">
        <v>6</v>
      </c>
      <c r="C681" s="735">
        <v>43608</v>
      </c>
      <c r="D681" s="256">
        <v>43567</v>
      </c>
      <c r="E681" s="195" t="s">
        <v>897</v>
      </c>
      <c r="F681" s="195"/>
      <c r="G681" s="196" t="s">
        <v>188</v>
      </c>
      <c r="H681" s="197" t="str">
        <f>+VLOOKUP(G681,[16]bd!A:C,2,0)</f>
        <v>BOLSA DE VALORES DE EL SALVADOR, S.A. DE C.V.</v>
      </c>
      <c r="I681" s="556"/>
      <c r="J681" s="556"/>
      <c r="K681" s="751">
        <v>195</v>
      </c>
      <c r="L681" s="750"/>
      <c r="M681" s="749">
        <v>25.35</v>
      </c>
      <c r="N681" s="750">
        <f t="shared" si="39"/>
        <v>220.35</v>
      </c>
      <c r="O681" s="750"/>
      <c r="P681" s="752"/>
      <c r="Q681" s="750"/>
      <c r="R681" s="750"/>
      <c r="S681" s="556"/>
      <c r="T681" s="681"/>
      <c r="U681" s="681"/>
    </row>
    <row r="682" spans="1:21" s="748" customFormat="1" x14ac:dyDescent="0.2">
      <c r="A682" s="747"/>
      <c r="B682" s="193">
        <v>7</v>
      </c>
      <c r="C682" s="735">
        <v>43608</v>
      </c>
      <c r="D682" s="256">
        <v>43601</v>
      </c>
      <c r="E682" s="195" t="s">
        <v>898</v>
      </c>
      <c r="F682" s="162"/>
      <c r="G682" s="196" t="s">
        <v>188</v>
      </c>
      <c r="H682" s="197" t="str">
        <f>+VLOOKUP(G682,[16]bd!A:C,2,0)</f>
        <v>BOLSA DE VALORES DE EL SALVADOR, S.A. DE C.V.</v>
      </c>
      <c r="I682" s="556"/>
      <c r="J682" s="556"/>
      <c r="K682" s="751">
        <v>195</v>
      </c>
      <c r="L682" s="750"/>
      <c r="M682" s="749">
        <v>25.35</v>
      </c>
      <c r="N682" s="750">
        <f t="shared" si="39"/>
        <v>220.35</v>
      </c>
      <c r="O682" s="750"/>
      <c r="P682" s="752"/>
      <c r="Q682" s="750"/>
      <c r="R682" s="750"/>
      <c r="S682" s="556"/>
      <c r="T682" s="681"/>
      <c r="U682" s="681"/>
    </row>
    <row r="683" spans="1:21" s="748" customFormat="1" x14ac:dyDescent="0.2">
      <c r="A683" s="747"/>
      <c r="B683" s="193">
        <v>8</v>
      </c>
      <c r="C683" s="735">
        <v>43612</v>
      </c>
      <c r="D683" s="735">
        <v>43612</v>
      </c>
      <c r="E683" s="195" t="s">
        <v>899</v>
      </c>
      <c r="F683" s="162"/>
      <c r="G683" s="196" t="s">
        <v>188</v>
      </c>
      <c r="H683" s="197" t="str">
        <f>+VLOOKUP(G683,[16]bd!A:C,2,0)</f>
        <v>BOLSA DE VALORES DE EL SALVADOR, S.A. DE C.V.</v>
      </c>
      <c r="I683" s="556"/>
      <c r="J683" s="556"/>
      <c r="K683" s="751">
        <v>65.180000000000007</v>
      </c>
      <c r="L683" s="750"/>
      <c r="M683" s="749">
        <v>8.4700000000000006</v>
      </c>
      <c r="N683" s="750">
        <f t="shared" si="39"/>
        <v>73.650000000000006</v>
      </c>
      <c r="O683" s="750"/>
      <c r="P683" s="752"/>
      <c r="Q683" s="750"/>
      <c r="R683" s="750"/>
      <c r="S683" s="556"/>
      <c r="T683" s="681"/>
      <c r="U683" s="681"/>
    </row>
    <row r="684" spans="1:21" s="748" customFormat="1" x14ac:dyDescent="0.2">
      <c r="A684" s="747"/>
      <c r="B684" s="193">
        <v>9</v>
      </c>
      <c r="C684" s="735">
        <v>43614</v>
      </c>
      <c r="D684" s="256">
        <v>43585</v>
      </c>
      <c r="E684" s="195" t="s">
        <v>900</v>
      </c>
      <c r="F684" s="162"/>
      <c r="G684" s="196" t="s">
        <v>341</v>
      </c>
      <c r="H684" s="197" t="str">
        <f>+VLOOKUP(G684,[16]bd!A:C,2,0)</f>
        <v>OPERADORES LOGISTICOS RANSA, S.A. DE C.V.</v>
      </c>
      <c r="I684" s="556"/>
      <c r="J684" s="556"/>
      <c r="K684" s="751">
        <v>376.92</v>
      </c>
      <c r="L684" s="750"/>
      <c r="M684" s="750">
        <v>49</v>
      </c>
      <c r="N684" s="750">
        <f t="shared" si="39"/>
        <v>425.92</v>
      </c>
      <c r="O684" s="750"/>
      <c r="P684" s="752">
        <v>0</v>
      </c>
      <c r="Q684" s="750"/>
      <c r="R684" s="750"/>
      <c r="S684" s="556"/>
      <c r="T684" s="681"/>
      <c r="U684" s="681"/>
    </row>
    <row r="685" spans="1:21" s="748" customFormat="1" x14ac:dyDescent="0.2">
      <c r="A685" s="747"/>
      <c r="B685" s="193">
        <v>10</v>
      </c>
      <c r="C685" s="735">
        <v>43614</v>
      </c>
      <c r="D685" s="735">
        <v>43614</v>
      </c>
      <c r="E685" s="195" t="s">
        <v>901</v>
      </c>
      <c r="F685" s="162"/>
      <c r="G685" s="196" t="s">
        <v>188</v>
      </c>
      <c r="H685" s="197" t="str">
        <f>+VLOOKUP(G685,[16]bd!A:C,2,0)</f>
        <v>BOLSA DE VALORES DE EL SALVADOR, S.A. DE C.V.</v>
      </c>
      <c r="I685" s="556"/>
      <c r="J685" s="556"/>
      <c r="K685" s="751">
        <v>267.49</v>
      </c>
      <c r="L685" s="750"/>
      <c r="M685" s="750">
        <v>34.770000000000003</v>
      </c>
      <c r="N685" s="750">
        <f t="shared" si="39"/>
        <v>302.26</v>
      </c>
      <c r="O685" s="750"/>
      <c r="P685" s="752"/>
      <c r="Q685" s="750"/>
      <c r="R685" s="750"/>
      <c r="S685" s="556"/>
      <c r="T685" s="681"/>
      <c r="U685" s="681"/>
    </row>
    <row r="686" spans="1:21" s="748" customFormat="1" x14ac:dyDescent="0.2">
      <c r="A686" s="747"/>
      <c r="B686" s="193">
        <v>11</v>
      </c>
      <c r="C686" s="256"/>
      <c r="D686" s="256"/>
      <c r="E686" s="195"/>
      <c r="F686" s="162"/>
      <c r="G686" s="196"/>
      <c r="H686" s="197">
        <f>+VLOOKUP(G686,[16]bd!A:C,2,0)</f>
        <v>0</v>
      </c>
      <c r="I686" s="556"/>
      <c r="J686" s="556"/>
      <c r="K686" s="751"/>
      <c r="L686" s="750"/>
      <c r="M686" s="750"/>
      <c r="N686" s="750">
        <f t="shared" si="39"/>
        <v>0</v>
      </c>
      <c r="O686" s="750"/>
      <c r="P686" s="752"/>
      <c r="Q686" s="750"/>
      <c r="R686" s="750"/>
      <c r="S686" s="556"/>
      <c r="T686" s="681"/>
      <c r="U686" s="681"/>
    </row>
    <row r="687" spans="1:21" s="681" customFormat="1" x14ac:dyDescent="0.2">
      <c r="A687" s="746"/>
      <c r="B687" s="193">
        <v>28</v>
      </c>
      <c r="C687" s="194"/>
      <c r="D687" s="194"/>
      <c r="E687" s="195"/>
      <c r="F687" s="162"/>
      <c r="G687" s="196"/>
      <c r="H687" s="197"/>
      <c r="I687" s="556"/>
      <c r="J687" s="556"/>
      <c r="K687" s="751"/>
      <c r="L687" s="750"/>
      <c r="M687" s="750"/>
      <c r="N687" s="750"/>
      <c r="O687" s="750"/>
      <c r="P687" s="752">
        <v>0</v>
      </c>
      <c r="Q687" s="750"/>
      <c r="R687" s="750"/>
      <c r="S687" s="556"/>
    </row>
    <row r="688" spans="1:21" s="681" customFormat="1" x14ac:dyDescent="0.2">
      <c r="A688" s="746"/>
      <c r="B688" s="193"/>
      <c r="C688" s="194"/>
      <c r="D688" s="194"/>
      <c r="E688" s="195"/>
      <c r="F688" s="162"/>
      <c r="G688" s="196"/>
      <c r="H688" s="197" t="s">
        <v>273</v>
      </c>
      <c r="I688" s="556"/>
      <c r="J688" s="556"/>
      <c r="K688" s="753"/>
      <c r="L688" s="750"/>
      <c r="M688" s="750">
        <v>-471</v>
      </c>
      <c r="N688" s="754"/>
      <c r="O688" s="750"/>
      <c r="P688" s="752">
        <v>0</v>
      </c>
      <c r="Q688" s="750"/>
      <c r="R688" s="750"/>
      <c r="S688" s="556"/>
    </row>
    <row r="689" spans="1:19" s="681" customFormat="1" x14ac:dyDescent="0.2">
      <c r="A689" s="746"/>
      <c r="B689" s="193"/>
      <c r="C689" s="194"/>
      <c r="D689" s="194"/>
      <c r="E689" s="195"/>
      <c r="F689" s="162"/>
      <c r="G689" s="196"/>
      <c r="H689" s="197"/>
      <c r="I689" s="556"/>
      <c r="J689" s="556"/>
      <c r="K689" s="751"/>
      <c r="L689" s="750"/>
      <c r="M689" s="750"/>
      <c r="N689" s="750"/>
      <c r="O689" s="750"/>
      <c r="P689" s="752"/>
      <c r="Q689" s="750"/>
      <c r="R689" s="750"/>
      <c r="S689" s="556"/>
    </row>
    <row r="690" spans="1:19" s="681" customFormat="1" x14ac:dyDescent="0.2">
      <c r="A690" s="746"/>
      <c r="B690" s="193"/>
      <c r="C690" s="194"/>
      <c r="D690" s="194"/>
      <c r="E690" s="195"/>
      <c r="F690" s="333"/>
      <c r="G690" s="196"/>
      <c r="H690" s="197"/>
      <c r="I690" s="556"/>
      <c r="J690" s="556"/>
      <c r="K690" s="751"/>
      <c r="L690" s="750"/>
      <c r="M690" s="750"/>
      <c r="N690" s="750"/>
      <c r="O690" s="750"/>
      <c r="P690" s="750"/>
      <c r="Q690" s="750"/>
      <c r="R690" s="750"/>
      <c r="S690" s="556"/>
    </row>
    <row r="691" spans="1:19" s="681" customFormat="1" x14ac:dyDescent="0.2">
      <c r="A691" s="746"/>
      <c r="B691" s="193"/>
      <c r="C691" s="194"/>
      <c r="D691" s="194"/>
      <c r="E691" s="195"/>
      <c r="F691" s="333"/>
      <c r="G691" s="196"/>
      <c r="H691" s="197"/>
      <c r="I691" s="556"/>
      <c r="J691" s="556"/>
      <c r="K691" s="751"/>
      <c r="L691" s="750"/>
      <c r="M691" s="750"/>
      <c r="N691" s="750"/>
      <c r="O691" s="750"/>
      <c r="P691" s="750"/>
      <c r="Q691" s="750"/>
      <c r="R691" s="750"/>
      <c r="S691" s="556"/>
    </row>
    <row r="692" spans="1:19" s="681" customFormat="1" x14ac:dyDescent="0.2">
      <c r="A692" s="746"/>
      <c r="B692" s="193"/>
      <c r="C692" s="194"/>
      <c r="D692" s="194"/>
      <c r="E692" s="195"/>
      <c r="F692" s="333"/>
      <c r="G692" s="196"/>
      <c r="H692" s="197"/>
      <c r="I692" s="556"/>
      <c r="J692" s="556"/>
      <c r="K692" s="751"/>
      <c r="L692" s="750"/>
      <c r="M692" s="750"/>
      <c r="N692" s="750"/>
      <c r="O692" s="750"/>
      <c r="P692" s="750"/>
      <c r="Q692" s="750"/>
      <c r="R692" s="750"/>
      <c r="S692" s="556"/>
    </row>
    <row r="693" spans="1:19" s="681" customFormat="1" ht="12" x14ac:dyDescent="0.2">
      <c r="A693" s="746"/>
      <c r="B693" s="193"/>
      <c r="C693" s="194"/>
      <c r="D693" s="194"/>
      <c r="E693" s="195"/>
      <c r="F693" s="333"/>
      <c r="G693" s="196"/>
      <c r="H693" s="197"/>
      <c r="I693" s="556"/>
      <c r="J693" s="556"/>
      <c r="K693" s="557"/>
      <c r="L693" s="556"/>
      <c r="M693" s="556"/>
      <c r="N693" s="556"/>
      <c r="O693" s="556"/>
      <c r="P693" s="558"/>
      <c r="Q693" s="556"/>
      <c r="R693" s="556"/>
      <c r="S693" s="556"/>
    </row>
    <row r="694" spans="1:19" s="681" customFormat="1" ht="12" x14ac:dyDescent="0.2">
      <c r="A694" s="746"/>
      <c r="B694" s="193"/>
      <c r="C694" s="194"/>
      <c r="D694" s="194"/>
      <c r="E694" s="195"/>
      <c r="F694" s="1041"/>
      <c r="G694" s="196"/>
      <c r="H694" s="197"/>
      <c r="I694" s="564"/>
      <c r="J694" s="556"/>
      <c r="K694" s="557"/>
      <c r="L694" s="556"/>
      <c r="M694" s="556"/>
      <c r="N694" s="556"/>
      <c r="O694" s="556"/>
      <c r="P694" s="556"/>
      <c r="Q694" s="556"/>
      <c r="R694" s="556"/>
      <c r="S694" s="556"/>
    </row>
    <row r="695" spans="1:19" s="681" customFormat="1" ht="12" x14ac:dyDescent="0.2">
      <c r="A695" s="746"/>
      <c r="B695" s="193"/>
      <c r="C695" s="194"/>
      <c r="D695" s="194"/>
      <c r="E695" s="195"/>
      <c r="F695" s="1041"/>
      <c r="G695" s="196"/>
      <c r="H695" s="197"/>
      <c r="I695" s="556"/>
      <c r="J695" s="556"/>
      <c r="K695" s="557"/>
      <c r="L695" s="556"/>
      <c r="M695" s="556"/>
      <c r="N695" s="556"/>
      <c r="O695" s="556"/>
      <c r="P695" s="556"/>
      <c r="Q695" s="556"/>
      <c r="R695" s="556"/>
      <c r="S695" s="556"/>
    </row>
    <row r="696" spans="1:19" s="681" customFormat="1" ht="12" x14ac:dyDescent="0.2">
      <c r="A696" s="746"/>
      <c r="B696" s="193"/>
      <c r="C696" s="194"/>
      <c r="D696" s="194"/>
      <c r="E696" s="195"/>
      <c r="F696" s="320"/>
      <c r="G696" s="196"/>
      <c r="H696" s="197"/>
      <c r="I696" s="556"/>
      <c r="J696" s="556"/>
      <c r="K696" s="557"/>
      <c r="L696" s="556"/>
      <c r="M696" s="556"/>
      <c r="N696" s="556"/>
      <c r="O696" s="556"/>
      <c r="P696" s="556"/>
      <c r="Q696" s="556"/>
      <c r="R696" s="556"/>
      <c r="S696" s="556"/>
    </row>
    <row r="697" spans="1:19" s="681" customFormat="1" ht="12" x14ac:dyDescent="0.2">
      <c r="A697" s="746"/>
      <c r="B697" s="193"/>
      <c r="C697" s="194"/>
      <c r="D697" s="194"/>
      <c r="E697" s="195"/>
      <c r="F697" s="321"/>
      <c r="G697" s="196"/>
      <c r="H697" s="197"/>
      <c r="I697" s="556"/>
      <c r="J697" s="556"/>
      <c r="K697" s="556"/>
      <c r="L697" s="556"/>
      <c r="M697" s="556"/>
      <c r="N697" s="556">
        <f>+K697+M697</f>
        <v>0</v>
      </c>
      <c r="O697" s="556"/>
      <c r="P697" s="556"/>
      <c r="Q697" s="556"/>
      <c r="R697" s="556"/>
      <c r="S697" s="556"/>
    </row>
    <row r="698" spans="1:19" s="168" customFormat="1" ht="13.5" thickBot="1" x14ac:dyDescent="0.25">
      <c r="A698" s="743"/>
      <c r="B698" s="265"/>
      <c r="C698" s="266"/>
      <c r="D698" s="267"/>
      <c r="E698" s="266"/>
      <c r="F698" s="268"/>
      <c r="G698" s="269"/>
      <c r="H698" s="270"/>
      <c r="I698" s="271"/>
      <c r="J698" s="272"/>
      <c r="K698" s="272"/>
      <c r="L698" s="273"/>
      <c r="M698" s="272"/>
      <c r="N698" s="272"/>
      <c r="O698" s="272"/>
      <c r="P698" s="272"/>
      <c r="Q698" s="274"/>
      <c r="R698" s="274"/>
      <c r="S698" s="274"/>
    </row>
    <row r="699" spans="1:19" s="168" customFormat="1" x14ac:dyDescent="0.2">
      <c r="A699" s="743"/>
      <c r="B699" s="175"/>
      <c r="C699" s="176"/>
      <c r="D699" s="275"/>
      <c r="E699" s="176"/>
      <c r="F699" s="276"/>
      <c r="G699" s="277"/>
      <c r="H699" s="178"/>
      <c r="I699" s="278"/>
      <c r="J699" s="171"/>
      <c r="K699" s="171"/>
      <c r="L699" s="279"/>
      <c r="M699" s="171"/>
      <c r="N699" s="171"/>
      <c r="O699" s="171"/>
      <c r="P699" s="171"/>
      <c r="Q699" s="280"/>
      <c r="R699" s="280"/>
      <c r="S699" s="280"/>
    </row>
    <row r="700" spans="1:19" s="168" customFormat="1" x14ac:dyDescent="0.2">
      <c r="A700" s="743"/>
      <c r="B700" s="175"/>
      <c r="C700" s="164"/>
      <c r="D700" s="165"/>
      <c r="E700" s="164"/>
      <c r="F700" s="281"/>
      <c r="G700" s="277"/>
      <c r="H700" s="282" t="s">
        <v>261</v>
      </c>
      <c r="I700" s="279">
        <f t="shared" ref="I700:S700" si="40">SUM(I675:I698)</f>
        <v>0</v>
      </c>
      <c r="J700" s="279">
        <f t="shared" si="40"/>
        <v>0</v>
      </c>
      <c r="K700" s="279">
        <f t="shared" si="40"/>
        <v>3623.21</v>
      </c>
      <c r="L700" s="279">
        <f t="shared" si="40"/>
        <v>0</v>
      </c>
      <c r="M700" s="279">
        <f>SUM(M675:M698)</f>
        <v>0</v>
      </c>
      <c r="N700" s="279">
        <f t="shared" si="40"/>
        <v>4094.21</v>
      </c>
      <c r="O700" s="279">
        <f t="shared" si="40"/>
        <v>0</v>
      </c>
      <c r="P700" s="279">
        <f t="shared" si="40"/>
        <v>15.2326</v>
      </c>
      <c r="Q700" s="279">
        <f t="shared" si="40"/>
        <v>0</v>
      </c>
      <c r="R700" s="279">
        <f t="shared" si="40"/>
        <v>0</v>
      </c>
      <c r="S700" s="279">
        <f t="shared" si="40"/>
        <v>0</v>
      </c>
    </row>
    <row r="701" spans="1:19" s="168" customFormat="1" ht="13.5" thickBot="1" x14ac:dyDescent="0.25">
      <c r="A701" s="743"/>
      <c r="B701" s="265"/>
      <c r="C701" s="283"/>
      <c r="D701" s="284"/>
      <c r="E701" s="283"/>
      <c r="F701" s="285"/>
      <c r="G701" s="269"/>
      <c r="H701" s="286"/>
      <c r="I701" s="273"/>
      <c r="J701" s="287"/>
      <c r="K701" s="287"/>
      <c r="L701" s="287"/>
      <c r="M701" s="287"/>
      <c r="N701" s="287"/>
      <c r="O701" s="287"/>
      <c r="P701" s="287"/>
      <c r="Q701" s="273"/>
      <c r="R701" s="273"/>
      <c r="S701" s="588"/>
    </row>
    <row r="703" spans="1:19" ht="21" x14ac:dyDescent="0.35">
      <c r="B703" s="493" t="s">
        <v>218</v>
      </c>
      <c r="C703" s="494"/>
      <c r="D703" s="495"/>
      <c r="E703" s="495"/>
      <c r="F703" s="495"/>
      <c r="G703" s="496"/>
      <c r="H703" s="497"/>
      <c r="I703" s="497"/>
      <c r="J703" s="497"/>
      <c r="K703" s="497"/>
      <c r="L703" s="497"/>
      <c r="M703" s="497"/>
      <c r="N703" s="498"/>
      <c r="O703" s="492"/>
      <c r="P703" s="492"/>
      <c r="Q703" s="492"/>
      <c r="R703" s="492"/>
      <c r="S703" s="492"/>
    </row>
    <row r="704" spans="1:19" ht="15.75" x14ac:dyDescent="0.25">
      <c r="B704" s="495" t="s">
        <v>134</v>
      </c>
      <c r="C704" s="495"/>
      <c r="D704" s="495"/>
      <c r="E704" s="495"/>
      <c r="F704" s="495"/>
      <c r="G704" s="496"/>
      <c r="H704" s="497"/>
      <c r="I704" s="497"/>
      <c r="J704" s="497"/>
      <c r="K704" s="497"/>
      <c r="L704" s="1044"/>
      <c r="M704" s="1044"/>
      <c r="N704" s="498"/>
      <c r="O704" s="492"/>
      <c r="P704" s="492"/>
      <c r="Q704" s="492"/>
      <c r="R704" s="492"/>
      <c r="S704" s="492"/>
    </row>
    <row r="705" spans="2:19" ht="15.75" x14ac:dyDescent="0.25">
      <c r="B705" s="494" t="s">
        <v>135</v>
      </c>
      <c r="C705" s="495"/>
      <c r="D705" s="495"/>
      <c r="E705" s="495"/>
      <c r="F705" s="495"/>
      <c r="G705" s="496"/>
      <c r="H705" s="497"/>
      <c r="I705" s="497"/>
      <c r="J705" s="497"/>
      <c r="K705" s="497"/>
      <c r="L705" s="497"/>
      <c r="M705" s="497"/>
      <c r="N705" s="498"/>
      <c r="O705" s="492"/>
      <c r="P705" s="492"/>
      <c r="Q705" s="492"/>
      <c r="R705" s="492"/>
      <c r="S705" s="492"/>
    </row>
    <row r="706" spans="2:19" ht="15.75" x14ac:dyDescent="0.25">
      <c r="B706" s="495" t="s">
        <v>190</v>
      </c>
      <c r="C706" s="495"/>
      <c r="D706" s="495"/>
      <c r="E706" s="495"/>
      <c r="F706" s="495"/>
      <c r="G706" s="496"/>
      <c r="H706" s="497"/>
      <c r="I706" s="497"/>
      <c r="J706" s="497"/>
      <c r="K706" s="497"/>
      <c r="L706" s="497"/>
      <c r="M706" s="497"/>
      <c r="N706" s="498"/>
      <c r="O706" s="492"/>
      <c r="P706" s="492"/>
      <c r="Q706" s="492"/>
      <c r="R706" s="492"/>
      <c r="S706" s="492"/>
    </row>
    <row r="707" spans="2:19" ht="15.75" x14ac:dyDescent="0.25">
      <c r="B707" s="499" t="s">
        <v>219</v>
      </c>
      <c r="C707" s="500" t="s">
        <v>86</v>
      </c>
      <c r="D707" s="501"/>
      <c r="E707" s="502">
        <v>2019</v>
      </c>
      <c r="F707" s="495"/>
      <c r="G707" s="496"/>
      <c r="H707" s="162"/>
      <c r="I707" s="504"/>
      <c r="J707" s="504"/>
      <c r="K707" s="504"/>
      <c r="L707" s="504"/>
      <c r="M707" s="504"/>
      <c r="N707" s="498"/>
      <c r="O707" s="492"/>
      <c r="P707" s="492"/>
      <c r="Q707" s="492"/>
      <c r="R707" s="492"/>
      <c r="S707" s="492"/>
    </row>
    <row r="708" spans="2:19" x14ac:dyDescent="0.2">
      <c r="B708" s="163"/>
      <c r="C708" s="164"/>
      <c r="D708" s="165"/>
      <c r="E708" s="166"/>
      <c r="F708" s="167"/>
      <c r="G708" s="168"/>
      <c r="H708" s="168"/>
      <c r="I708" s="169"/>
      <c r="J708" s="170"/>
      <c r="K708" s="171"/>
      <c r="L708" s="170"/>
      <c r="M708" s="171"/>
      <c r="N708" s="171"/>
      <c r="O708" s="170"/>
      <c r="P708" s="170"/>
      <c r="Q708" s="168"/>
      <c r="R708" s="168"/>
      <c r="S708" s="172"/>
    </row>
    <row r="709" spans="2:19" x14ac:dyDescent="0.2">
      <c r="B709" s="163"/>
      <c r="C709" s="164"/>
      <c r="D709" s="165"/>
      <c r="E709" s="166"/>
      <c r="F709" s="243"/>
      <c r="G709" s="173"/>
      <c r="H709" s="174"/>
      <c r="I709" s="169"/>
      <c r="J709" s="170"/>
      <c r="K709" s="171"/>
      <c r="L709" s="170"/>
      <c r="M709" s="171"/>
      <c r="N709" s="171"/>
      <c r="O709" s="170"/>
      <c r="P709" s="170"/>
      <c r="Q709" s="168"/>
      <c r="R709" s="168"/>
      <c r="S709" s="172"/>
    </row>
    <row r="710" spans="2:19" x14ac:dyDescent="0.2">
      <c r="B710" s="175"/>
      <c r="C710" s="176"/>
      <c r="D710" s="177"/>
      <c r="E710" s="166"/>
      <c r="F710" s="167"/>
      <c r="G710" s="178"/>
      <c r="H710" s="168"/>
      <c r="I710" s="169"/>
      <c r="J710" s="170"/>
      <c r="K710" s="171"/>
      <c r="L710" s="170"/>
      <c r="M710" s="171"/>
      <c r="N710" s="171"/>
      <c r="O710" s="170"/>
      <c r="P710" s="522">
        <v>0.01</v>
      </c>
      <c r="Q710" s="168"/>
      <c r="R710" s="168" t="s">
        <v>220</v>
      </c>
      <c r="S710" s="523">
        <v>0.13</v>
      </c>
    </row>
    <row r="711" spans="2:19" x14ac:dyDescent="0.2">
      <c r="B711" s="179" t="s">
        <v>221</v>
      </c>
      <c r="C711" s="180" t="s">
        <v>136</v>
      </c>
      <c r="D711" s="181" t="s">
        <v>136</v>
      </c>
      <c r="E711" s="182" t="s">
        <v>137</v>
      </c>
      <c r="F711" s="182" t="s">
        <v>222</v>
      </c>
      <c r="G711" s="312" t="s">
        <v>223</v>
      </c>
      <c r="H711" s="1042" t="s">
        <v>139</v>
      </c>
      <c r="I711" s="328" t="s">
        <v>224</v>
      </c>
      <c r="J711" s="329"/>
      <c r="K711" s="330" t="s">
        <v>225</v>
      </c>
      <c r="L711" s="331"/>
      <c r="M711" s="332"/>
      <c r="N711" s="313" t="s">
        <v>140</v>
      </c>
      <c r="O711" s="183" t="s">
        <v>226</v>
      </c>
      <c r="P711" s="184" t="s">
        <v>227</v>
      </c>
      <c r="Q711" s="185" t="s">
        <v>228</v>
      </c>
      <c r="R711" s="185" t="s">
        <v>229</v>
      </c>
      <c r="S711" s="185" t="s">
        <v>229</v>
      </c>
    </row>
    <row r="712" spans="2:19" x14ac:dyDescent="0.2">
      <c r="B712" s="186"/>
      <c r="C712" s="732" t="s">
        <v>230</v>
      </c>
      <c r="D712" s="733" t="s">
        <v>141</v>
      </c>
      <c r="E712" s="189" t="s">
        <v>141</v>
      </c>
      <c r="F712" s="190" t="s">
        <v>231</v>
      </c>
      <c r="G712" s="314" t="s">
        <v>142</v>
      </c>
      <c r="H712" s="1043"/>
      <c r="I712" s="315" t="s">
        <v>232</v>
      </c>
      <c r="J712" s="316" t="s">
        <v>233</v>
      </c>
      <c r="K712" s="317" t="s">
        <v>232</v>
      </c>
      <c r="L712" s="318" t="s">
        <v>233</v>
      </c>
      <c r="M712" s="317" t="s">
        <v>46</v>
      </c>
      <c r="N712" s="319" t="s">
        <v>234</v>
      </c>
      <c r="O712" s="191" t="s">
        <v>235</v>
      </c>
      <c r="P712" s="191" t="s">
        <v>236</v>
      </c>
      <c r="Q712" s="192" t="s">
        <v>237</v>
      </c>
      <c r="R712" s="192" t="s">
        <v>238</v>
      </c>
      <c r="S712" s="192" t="s">
        <v>239</v>
      </c>
    </row>
    <row r="713" spans="2:19" x14ac:dyDescent="0.2">
      <c r="B713" s="193">
        <v>1</v>
      </c>
      <c r="C713" s="740" t="s">
        <v>878</v>
      </c>
      <c r="D713" s="256">
        <v>43599</v>
      </c>
      <c r="E713" s="195" t="s">
        <v>597</v>
      </c>
      <c r="F713" s="162" t="s">
        <v>879</v>
      </c>
      <c r="G713" s="196" t="s">
        <v>208</v>
      </c>
      <c r="H713" s="197" t="str">
        <f>+VLOOKUP(G713,[11]bd!A:C,2,0)</f>
        <v>KPMG, S.A.</v>
      </c>
      <c r="I713" s="556"/>
      <c r="J713" s="556"/>
      <c r="K713" s="751">
        <v>688.88</v>
      </c>
      <c r="L713" s="750"/>
      <c r="M713" s="749">
        <v>89.55</v>
      </c>
      <c r="N713" s="750">
        <f t="shared" ref="N713:N723" si="41">+K713+M713</f>
        <v>778.43</v>
      </c>
      <c r="O713" s="750"/>
      <c r="P713" s="752">
        <f>K713*0.01</f>
        <v>6.8887999999999998</v>
      </c>
      <c r="Q713" s="556"/>
      <c r="R713" s="556"/>
      <c r="S713" s="556"/>
    </row>
    <row r="714" spans="2:19" x14ac:dyDescent="0.2">
      <c r="B714" s="193">
        <v>2</v>
      </c>
      <c r="C714" s="735">
        <v>43623</v>
      </c>
      <c r="D714" s="735">
        <v>43623</v>
      </c>
      <c r="E714" s="195" t="s">
        <v>880</v>
      </c>
      <c r="F714" s="162"/>
      <c r="G714" s="196" t="s">
        <v>47</v>
      </c>
      <c r="H714" s="197" t="str">
        <f>+VLOOKUP(G714,[11]bd!A:C,2,0)</f>
        <v>BANCO CUSCATLAN DE EL SALVADOR S.A.</v>
      </c>
      <c r="I714" s="556"/>
      <c r="J714" s="556"/>
      <c r="K714" s="751">
        <v>133.80000000000001</v>
      </c>
      <c r="L714" s="750"/>
      <c r="M714" s="749">
        <v>17.39</v>
      </c>
      <c r="N714" s="750">
        <f t="shared" si="41"/>
        <v>151.19</v>
      </c>
      <c r="O714" s="750"/>
      <c r="P714" s="752"/>
      <c r="Q714" s="556"/>
      <c r="R714" s="556"/>
      <c r="S714" s="556"/>
    </row>
    <row r="715" spans="2:19" x14ac:dyDescent="0.2">
      <c r="B715" s="193">
        <v>3</v>
      </c>
      <c r="C715" s="735">
        <v>43626</v>
      </c>
      <c r="D715" s="735">
        <v>43626</v>
      </c>
      <c r="E715" s="195" t="s">
        <v>881</v>
      </c>
      <c r="F715" s="162"/>
      <c r="G715" s="196" t="s">
        <v>188</v>
      </c>
      <c r="H715" s="197" t="str">
        <f>+VLOOKUP(G715,[11]bd!A:C,2,0)</f>
        <v>BOLSA DE VALORES DE EL SALVADOR, S.A. DE C.V.</v>
      </c>
      <c r="I715" s="556"/>
      <c r="J715" s="556"/>
      <c r="K715" s="751">
        <v>142.4</v>
      </c>
      <c r="L715" s="750"/>
      <c r="M715" s="749">
        <v>18.510000000000002</v>
      </c>
      <c r="N715" s="750">
        <f t="shared" si="41"/>
        <v>160.91</v>
      </c>
      <c r="O715" s="750"/>
      <c r="P715" s="752">
        <v>0</v>
      </c>
      <c r="Q715" s="556"/>
      <c r="R715" s="556"/>
      <c r="S715" s="556"/>
    </row>
    <row r="716" spans="2:19" x14ac:dyDescent="0.2">
      <c r="B716" s="193">
        <v>4</v>
      </c>
      <c r="C716" s="735">
        <v>43627</v>
      </c>
      <c r="D716" s="735">
        <v>43627</v>
      </c>
      <c r="E716" s="195" t="s">
        <v>882</v>
      </c>
      <c r="F716" s="162"/>
      <c r="G716" s="196" t="s">
        <v>188</v>
      </c>
      <c r="H716" s="197" t="str">
        <f>+VLOOKUP(G716,[11]bd!A:C,2,0)</f>
        <v>BOLSA DE VALORES DE EL SALVADOR, S.A. DE C.V.</v>
      </c>
      <c r="I716" s="556"/>
      <c r="J716" s="556"/>
      <c r="K716" s="751">
        <v>143.84</v>
      </c>
      <c r="L716" s="750"/>
      <c r="M716" s="749">
        <v>18.7</v>
      </c>
      <c r="N716" s="750">
        <f t="shared" si="41"/>
        <v>162.54</v>
      </c>
      <c r="O716" s="750"/>
      <c r="P716" s="752"/>
      <c r="Q716" s="556"/>
      <c r="R716" s="556"/>
      <c r="S716" s="556"/>
    </row>
    <row r="717" spans="2:19" x14ac:dyDescent="0.2">
      <c r="B717" s="193">
        <v>5</v>
      </c>
      <c r="C717" s="735">
        <v>43629</v>
      </c>
      <c r="D717" s="735">
        <v>43629</v>
      </c>
      <c r="E717" s="195" t="s">
        <v>883</v>
      </c>
      <c r="F717" s="162"/>
      <c r="G717" s="196" t="s">
        <v>188</v>
      </c>
      <c r="H717" s="197" t="str">
        <f>+VLOOKUP(G717,[11]bd!A:C,2,0)</f>
        <v>BOLSA DE VALORES DE EL SALVADOR, S.A. DE C.V.</v>
      </c>
      <c r="I717" s="556"/>
      <c r="J717" s="556"/>
      <c r="K717" s="751">
        <v>191.78</v>
      </c>
      <c r="L717" s="750"/>
      <c r="M717" s="749">
        <v>24.93</v>
      </c>
      <c r="N717" s="750">
        <f t="shared" si="41"/>
        <v>216.71</v>
      </c>
      <c r="O717" s="750"/>
      <c r="P717" s="752"/>
      <c r="Q717" s="556"/>
      <c r="R717" s="556"/>
      <c r="S717" s="556"/>
    </row>
    <row r="718" spans="2:19" x14ac:dyDescent="0.2">
      <c r="B718" s="193">
        <v>6</v>
      </c>
      <c r="C718" s="735">
        <v>43634</v>
      </c>
      <c r="D718" s="735">
        <v>43634</v>
      </c>
      <c r="E718" s="195" t="s">
        <v>884</v>
      </c>
      <c r="F718" s="162"/>
      <c r="G718" s="196" t="s">
        <v>188</v>
      </c>
      <c r="H718" s="197" t="str">
        <f>+VLOOKUP(G718,[11]bd!A:C,2,0)</f>
        <v>BOLSA DE VALORES DE EL SALVADOR, S.A. DE C.V.</v>
      </c>
      <c r="I718" s="556"/>
      <c r="J718" s="556"/>
      <c r="K718" s="751">
        <v>136.99</v>
      </c>
      <c r="L718" s="750"/>
      <c r="M718" s="749">
        <v>17.809999999999999</v>
      </c>
      <c r="N718" s="750">
        <f t="shared" si="41"/>
        <v>154.80000000000001</v>
      </c>
      <c r="O718" s="750"/>
      <c r="P718" s="752">
        <v>0</v>
      </c>
      <c r="Q718" s="556"/>
      <c r="R718" s="556"/>
      <c r="S718" s="556"/>
    </row>
    <row r="719" spans="2:19" x14ac:dyDescent="0.2">
      <c r="B719" s="193">
        <v>7</v>
      </c>
      <c r="C719" s="735">
        <v>43635</v>
      </c>
      <c r="D719" s="256">
        <v>43635</v>
      </c>
      <c r="E719" s="195" t="s">
        <v>885</v>
      </c>
      <c r="F719" s="195"/>
      <c r="G719" s="196" t="s">
        <v>188</v>
      </c>
      <c r="H719" s="197" t="str">
        <f>+VLOOKUP(G719,[11]bd!A:C,2,0)</f>
        <v>BOLSA DE VALORES DE EL SALVADOR, S.A. DE C.V.</v>
      </c>
      <c r="I719" s="556"/>
      <c r="J719" s="556"/>
      <c r="K719" s="751">
        <v>143.84</v>
      </c>
      <c r="L719" s="750"/>
      <c r="M719" s="749">
        <v>18.7</v>
      </c>
      <c r="N719" s="750">
        <f t="shared" si="41"/>
        <v>162.54</v>
      </c>
      <c r="O719" s="750"/>
      <c r="P719" s="752"/>
      <c r="Q719" s="556"/>
      <c r="R719" s="556"/>
      <c r="S719" s="556"/>
    </row>
    <row r="720" spans="2:19" x14ac:dyDescent="0.2">
      <c r="B720" s="193"/>
      <c r="C720" s="735">
        <v>43635</v>
      </c>
      <c r="D720" s="256">
        <v>43628</v>
      </c>
      <c r="E720" s="195" t="s">
        <v>886</v>
      </c>
      <c r="F720" s="162" t="s">
        <v>887</v>
      </c>
      <c r="G720" s="196" t="s">
        <v>208</v>
      </c>
      <c r="H720" s="197" t="str">
        <f>+VLOOKUP(G720,[11]bd!A:C,2,0)</f>
        <v>KPMG, S.A.</v>
      </c>
      <c r="I720" s="556"/>
      <c r="J720" s="556"/>
      <c r="K720" s="751">
        <v>118.18</v>
      </c>
      <c r="L720" s="750"/>
      <c r="M720" s="749">
        <v>15.36</v>
      </c>
      <c r="N720" s="750">
        <f t="shared" si="41"/>
        <v>133.54000000000002</v>
      </c>
      <c r="O720" s="750"/>
      <c r="P720" s="752">
        <f>K720*0.01</f>
        <v>1.1818000000000002</v>
      </c>
      <c r="Q720" s="556"/>
      <c r="R720" s="556"/>
      <c r="S720" s="556"/>
    </row>
    <row r="721" spans="2:19" x14ac:dyDescent="0.2">
      <c r="B721" s="193"/>
      <c r="C721" s="735">
        <v>43640</v>
      </c>
      <c r="D721" s="735">
        <v>43616</v>
      </c>
      <c r="E721" s="195" t="s">
        <v>888</v>
      </c>
      <c r="F721" s="162"/>
      <c r="G721" s="196" t="s">
        <v>341</v>
      </c>
      <c r="H721" s="197" t="str">
        <f>+VLOOKUP(G721,[11]bd!A:C,2,0)</f>
        <v>OPERADORES LOGISTICOS RANSA, S.A. DE C.V.</v>
      </c>
      <c r="I721" s="556"/>
      <c r="J721" s="556"/>
      <c r="K721" s="751">
        <v>376.92</v>
      </c>
      <c r="L721" s="750"/>
      <c r="M721" s="749">
        <v>49</v>
      </c>
      <c r="N721" s="750">
        <f t="shared" si="41"/>
        <v>425.92</v>
      </c>
      <c r="O721" s="750"/>
      <c r="P721" s="752"/>
      <c r="Q721" s="556"/>
      <c r="R721" s="556"/>
      <c r="S721" s="556"/>
    </row>
    <row r="722" spans="2:19" x14ac:dyDescent="0.2">
      <c r="B722" s="193"/>
      <c r="C722" s="735">
        <v>43641</v>
      </c>
      <c r="D722" s="256">
        <v>43640</v>
      </c>
      <c r="E722" s="195" t="s">
        <v>889</v>
      </c>
      <c r="F722" s="162"/>
      <c r="G722" s="196" t="s">
        <v>554</v>
      </c>
      <c r="H722" s="197" t="str">
        <f>+VLOOKUP(G722,[11]bd!A:C,2,0)</f>
        <v>O &amp; R MARKETING COMMUNICATIONS, S.A DE C.V.</v>
      </c>
      <c r="I722" s="556"/>
      <c r="J722" s="556"/>
      <c r="K722" s="751">
        <v>63</v>
      </c>
      <c r="L722" s="750"/>
      <c r="M722" s="750">
        <v>8.19</v>
      </c>
      <c r="N722" s="750">
        <f t="shared" si="41"/>
        <v>71.19</v>
      </c>
      <c r="O722" s="750"/>
      <c r="P722" s="752">
        <v>0</v>
      </c>
      <c r="Q722" s="556"/>
      <c r="R722" s="556"/>
      <c r="S722" s="556"/>
    </row>
    <row r="723" spans="2:19" x14ac:dyDescent="0.2">
      <c r="B723" s="193"/>
      <c r="C723" s="735">
        <v>43641</v>
      </c>
      <c r="D723" s="735">
        <v>43608</v>
      </c>
      <c r="E723" s="195" t="s">
        <v>890</v>
      </c>
      <c r="F723" s="162"/>
      <c r="G723" s="196" t="s">
        <v>554</v>
      </c>
      <c r="H723" s="197" t="str">
        <f>+VLOOKUP(G723,[11]bd!A:C,2,0)</f>
        <v>O &amp; R MARKETING COMMUNICATIONS, S.A DE C.V.</v>
      </c>
      <c r="I723" s="556"/>
      <c r="J723" s="556"/>
      <c r="K723" s="751">
        <v>63</v>
      </c>
      <c r="L723" s="750"/>
      <c r="M723" s="750">
        <v>8.19</v>
      </c>
      <c r="N723" s="750">
        <f t="shared" si="41"/>
        <v>71.19</v>
      </c>
      <c r="O723" s="750"/>
      <c r="P723" s="752"/>
      <c r="Q723" s="556"/>
      <c r="R723" s="556"/>
      <c r="S723" s="556"/>
    </row>
    <row r="724" spans="2:19" x14ac:dyDescent="0.2">
      <c r="B724" s="193"/>
      <c r="C724" s="194"/>
      <c r="D724" s="194"/>
      <c r="E724" s="195"/>
      <c r="F724" s="162"/>
      <c r="G724" s="196"/>
      <c r="H724" s="197" t="s">
        <v>273</v>
      </c>
      <c r="I724" s="556"/>
      <c r="J724" s="556"/>
      <c r="K724" s="753"/>
      <c r="L724" s="750"/>
      <c r="M724" s="750">
        <v>-286.33</v>
      </c>
      <c r="N724" s="754"/>
      <c r="O724" s="750"/>
      <c r="P724" s="752">
        <v>0</v>
      </c>
      <c r="Q724" s="556"/>
      <c r="R724" s="556"/>
      <c r="S724" s="556"/>
    </row>
    <row r="725" spans="2:19" x14ac:dyDescent="0.2">
      <c r="B725" s="193"/>
      <c r="C725" s="194"/>
      <c r="D725" s="194"/>
      <c r="E725" s="195"/>
      <c r="F725" s="162"/>
      <c r="G725" s="196"/>
      <c r="H725" s="197"/>
      <c r="I725" s="556"/>
      <c r="J725" s="556"/>
      <c r="K725" s="751"/>
      <c r="L725" s="750"/>
      <c r="M725" s="750"/>
      <c r="N725" s="750"/>
      <c r="O725" s="750"/>
      <c r="P725" s="752"/>
      <c r="Q725" s="556"/>
      <c r="R725" s="556"/>
      <c r="S725" s="556"/>
    </row>
    <row r="726" spans="2:19" x14ac:dyDescent="0.2">
      <c r="B726" s="193"/>
      <c r="C726" s="194"/>
      <c r="D726" s="194"/>
      <c r="E726" s="195"/>
      <c r="F726" s="333"/>
      <c r="G726" s="196"/>
      <c r="H726" s="197"/>
      <c r="I726" s="556"/>
      <c r="J726" s="556"/>
      <c r="K726" s="557"/>
      <c r="L726" s="556"/>
      <c r="M726" s="556"/>
      <c r="N726" s="556"/>
      <c r="O726" s="556"/>
      <c r="P726" s="556"/>
      <c r="Q726" s="556"/>
      <c r="R726" s="556"/>
      <c r="S726" s="556"/>
    </row>
    <row r="727" spans="2:19" x14ac:dyDescent="0.2">
      <c r="B727" s="193"/>
      <c r="C727" s="194"/>
      <c r="D727" s="194"/>
      <c r="E727" s="195"/>
      <c r="F727" s="321"/>
      <c r="G727" s="196"/>
      <c r="H727" s="197"/>
      <c r="I727" s="556"/>
      <c r="J727" s="556"/>
      <c r="K727" s="556"/>
      <c r="L727" s="556"/>
      <c r="M727" s="556"/>
      <c r="N727" s="556">
        <f>+K727+M727</f>
        <v>0</v>
      </c>
      <c r="O727" s="556"/>
      <c r="P727" s="556"/>
      <c r="Q727" s="556"/>
      <c r="R727" s="556"/>
      <c r="S727" s="556"/>
    </row>
    <row r="728" spans="2:19" ht="13.5" thickBot="1" x14ac:dyDescent="0.25">
      <c r="B728" s="265"/>
      <c r="C728" s="266"/>
      <c r="D728" s="267"/>
      <c r="E728" s="266"/>
      <c r="F728" s="268"/>
      <c r="G728" s="269"/>
      <c r="H728" s="270"/>
      <c r="I728" s="271"/>
      <c r="J728" s="272"/>
      <c r="K728" s="272"/>
      <c r="L728" s="273"/>
      <c r="M728" s="272"/>
      <c r="N728" s="272"/>
      <c r="O728" s="272"/>
      <c r="P728" s="272"/>
      <c r="Q728" s="274"/>
      <c r="R728" s="274"/>
      <c r="S728" s="274"/>
    </row>
    <row r="729" spans="2:19" x14ac:dyDescent="0.2">
      <c r="B729" s="175"/>
      <c r="C729" s="176"/>
      <c r="D729" s="275"/>
      <c r="E729" s="176"/>
      <c r="F729" s="276"/>
      <c r="G729" s="277"/>
      <c r="H729" s="178"/>
      <c r="I729" s="278"/>
      <c r="J729" s="171"/>
      <c r="K729" s="171"/>
      <c r="L729" s="279"/>
      <c r="M729" s="171"/>
      <c r="N729" s="171"/>
      <c r="O729" s="171"/>
      <c r="P729" s="171"/>
      <c r="Q729" s="280"/>
      <c r="R729" s="280"/>
      <c r="S729" s="280"/>
    </row>
    <row r="730" spans="2:19" x14ac:dyDescent="0.2">
      <c r="B730" s="175"/>
      <c r="C730" s="164"/>
      <c r="D730" s="165"/>
      <c r="E730" s="164"/>
      <c r="F730" s="281"/>
      <c r="G730" s="277"/>
      <c r="H730" s="282" t="s">
        <v>261</v>
      </c>
      <c r="I730" s="279">
        <f t="shared" ref="I730:S730" si="42">SUM(I713:I728)</f>
        <v>0</v>
      </c>
      <c r="J730" s="279">
        <f t="shared" si="42"/>
        <v>0</v>
      </c>
      <c r="K730" s="279">
        <f t="shared" si="42"/>
        <v>2202.63</v>
      </c>
      <c r="L730" s="279">
        <f t="shared" si="42"/>
        <v>0</v>
      </c>
      <c r="M730" s="279">
        <f>SUM(M713:M728)</f>
        <v>0</v>
      </c>
      <c r="N730" s="279">
        <f t="shared" si="42"/>
        <v>2488.96</v>
      </c>
      <c r="O730" s="279">
        <f t="shared" si="42"/>
        <v>0</v>
      </c>
      <c r="P730" s="279">
        <f t="shared" si="42"/>
        <v>8.0706000000000007</v>
      </c>
      <c r="Q730" s="279">
        <f t="shared" si="42"/>
        <v>0</v>
      </c>
      <c r="R730" s="279">
        <f t="shared" si="42"/>
        <v>0</v>
      </c>
      <c r="S730" s="279">
        <f t="shared" si="42"/>
        <v>0</v>
      </c>
    </row>
    <row r="731" spans="2:19" ht="13.5" thickBot="1" x14ac:dyDescent="0.25">
      <c r="B731" s="265"/>
      <c r="C731" s="283"/>
      <c r="D731" s="284"/>
      <c r="E731" s="283"/>
      <c r="F731" s="285"/>
      <c r="G731" s="269"/>
      <c r="H731" s="286"/>
      <c r="I731" s="273"/>
      <c r="J731" s="287"/>
      <c r="K731" s="287"/>
      <c r="L731" s="287"/>
      <c r="M731" s="287"/>
      <c r="N731" s="287"/>
      <c r="O731" s="287"/>
      <c r="P731" s="287"/>
      <c r="Q731" s="273"/>
      <c r="R731" s="273"/>
      <c r="S731" s="588"/>
    </row>
    <row r="734" spans="2:19" ht="21" x14ac:dyDescent="0.35">
      <c r="B734" s="806" t="s">
        <v>218</v>
      </c>
      <c r="C734" s="807"/>
      <c r="D734" s="808"/>
      <c r="E734" s="808"/>
      <c r="F734" s="808"/>
      <c r="G734" s="809"/>
      <c r="H734" s="810"/>
      <c r="I734" s="810"/>
      <c r="J734" s="810"/>
      <c r="K734" s="810"/>
      <c r="L734" s="810"/>
      <c r="M734" s="810"/>
      <c r="N734" s="811"/>
      <c r="O734" s="805"/>
      <c r="P734" s="805"/>
      <c r="Q734" s="805"/>
      <c r="R734" s="805"/>
      <c r="S734" s="805"/>
    </row>
    <row r="735" spans="2:19" ht="15.75" x14ac:dyDescent="0.25">
      <c r="B735" s="808" t="s">
        <v>134</v>
      </c>
      <c r="C735" s="808"/>
      <c r="D735" s="808"/>
      <c r="E735" s="808"/>
      <c r="F735" s="808"/>
      <c r="G735" s="809"/>
      <c r="H735" s="810"/>
      <c r="I735" s="810"/>
      <c r="J735" s="810"/>
      <c r="K735" s="810"/>
      <c r="L735" s="1044"/>
      <c r="M735" s="1044"/>
      <c r="N735" s="811"/>
      <c r="O735" s="805"/>
      <c r="P735" s="805"/>
      <c r="Q735" s="805"/>
      <c r="R735" s="805"/>
      <c r="S735" s="805"/>
    </row>
    <row r="736" spans="2:19" ht="15.75" x14ac:dyDescent="0.25">
      <c r="B736" s="807" t="s">
        <v>135</v>
      </c>
      <c r="C736" s="808"/>
      <c r="D736" s="808"/>
      <c r="E736" s="808"/>
      <c r="F736" s="808"/>
      <c r="G736" s="809"/>
      <c r="H736" s="810"/>
      <c r="I736" s="810"/>
      <c r="J736" s="810"/>
      <c r="K736" s="810"/>
      <c r="L736" s="810"/>
      <c r="M736" s="810"/>
      <c r="N736" s="811"/>
      <c r="O736" s="805"/>
      <c r="P736" s="805"/>
      <c r="Q736" s="805"/>
      <c r="R736" s="805"/>
      <c r="S736" s="805"/>
    </row>
    <row r="737" spans="2:19" ht="15.75" x14ac:dyDescent="0.25">
      <c r="B737" s="808" t="s">
        <v>190</v>
      </c>
      <c r="C737" s="808"/>
      <c r="D737" s="808"/>
      <c r="E737" s="808"/>
      <c r="F737" s="808"/>
      <c r="G737" s="809"/>
      <c r="H737" s="810"/>
      <c r="I737" s="810"/>
      <c r="J737" s="810"/>
      <c r="K737" s="810"/>
      <c r="L737" s="810"/>
      <c r="M737" s="810"/>
      <c r="N737" s="811"/>
      <c r="O737" s="805"/>
      <c r="P737" s="805"/>
      <c r="Q737" s="805"/>
      <c r="R737" s="805"/>
      <c r="S737" s="805"/>
    </row>
    <row r="738" spans="2:19" ht="15.75" x14ac:dyDescent="0.25">
      <c r="B738" s="812" t="s">
        <v>219</v>
      </c>
      <c r="C738" s="813" t="s">
        <v>87</v>
      </c>
      <c r="D738" s="814"/>
      <c r="E738" s="815">
        <v>2019</v>
      </c>
      <c r="F738" s="808"/>
      <c r="G738" s="809"/>
      <c r="H738" s="162"/>
      <c r="I738" s="816"/>
      <c r="J738" s="816"/>
      <c r="K738" s="816"/>
      <c r="L738" s="816"/>
      <c r="M738" s="816"/>
      <c r="N738" s="811"/>
      <c r="O738" s="805"/>
      <c r="P738" s="805"/>
      <c r="Q738" s="805"/>
      <c r="R738" s="805"/>
      <c r="S738" s="805"/>
    </row>
    <row r="739" spans="2:19" x14ac:dyDescent="0.2">
      <c r="B739" s="163"/>
      <c r="C739" s="164"/>
      <c r="D739" s="165"/>
      <c r="E739" s="166"/>
      <c r="F739" s="167"/>
      <c r="G739" s="168"/>
      <c r="H739" s="168"/>
      <c r="I739" s="169"/>
      <c r="J739" s="170"/>
      <c r="K739" s="171"/>
      <c r="L739" s="170"/>
      <c r="M739" s="171"/>
      <c r="N739" s="171"/>
      <c r="O739" s="170"/>
      <c r="P739" s="170"/>
      <c r="Q739" s="168"/>
      <c r="R739" s="168"/>
      <c r="S739" s="172"/>
    </row>
    <row r="740" spans="2:19" x14ac:dyDescent="0.2">
      <c r="B740" s="163"/>
      <c r="C740" s="164"/>
      <c r="D740" s="165"/>
      <c r="E740" s="166"/>
      <c r="F740" s="243"/>
      <c r="G740" s="173"/>
      <c r="H740" s="174"/>
      <c r="I740" s="169"/>
      <c r="J740" s="170"/>
      <c r="K740" s="171"/>
      <c r="L740" s="170"/>
      <c r="M740" s="171"/>
      <c r="N740" s="171"/>
      <c r="O740" s="170"/>
      <c r="P740" s="170"/>
      <c r="Q740" s="168"/>
      <c r="R740" s="168"/>
      <c r="S740" s="172"/>
    </row>
    <row r="741" spans="2:19" x14ac:dyDescent="0.2">
      <c r="B741" s="175"/>
      <c r="C741" s="176"/>
      <c r="D741" s="177"/>
      <c r="E741" s="166"/>
      <c r="F741" s="167"/>
      <c r="G741" s="178"/>
      <c r="H741" s="168"/>
      <c r="I741" s="169"/>
      <c r="J741" s="170"/>
      <c r="K741" s="171"/>
      <c r="L741" s="170"/>
      <c r="M741" s="171"/>
      <c r="N741" s="171"/>
      <c r="O741" s="170"/>
      <c r="P741" s="817">
        <v>0.01</v>
      </c>
      <c r="Q741" s="168"/>
      <c r="R741" s="168" t="s">
        <v>220</v>
      </c>
      <c r="S741" s="818">
        <v>0.13</v>
      </c>
    </row>
    <row r="742" spans="2:19" x14ac:dyDescent="0.2">
      <c r="B742" s="179" t="s">
        <v>221</v>
      </c>
      <c r="C742" s="180" t="s">
        <v>136</v>
      </c>
      <c r="D742" s="181" t="s">
        <v>136</v>
      </c>
      <c r="E742" s="182" t="s">
        <v>137</v>
      </c>
      <c r="F742" s="182" t="s">
        <v>222</v>
      </c>
      <c r="G742" s="312" t="s">
        <v>223</v>
      </c>
      <c r="H742" s="1042" t="s">
        <v>139</v>
      </c>
      <c r="I742" s="328" t="s">
        <v>224</v>
      </c>
      <c r="J742" s="329"/>
      <c r="K742" s="330" t="s">
        <v>225</v>
      </c>
      <c r="L742" s="331"/>
      <c r="M742" s="332"/>
      <c r="N742" s="313" t="s">
        <v>140</v>
      </c>
      <c r="O742" s="183" t="s">
        <v>226</v>
      </c>
      <c r="P742" s="184" t="s">
        <v>227</v>
      </c>
      <c r="Q742" s="185" t="s">
        <v>228</v>
      </c>
      <c r="R742" s="185" t="s">
        <v>229</v>
      </c>
      <c r="S742" s="185" t="s">
        <v>229</v>
      </c>
    </row>
    <row r="743" spans="2:19" x14ac:dyDescent="0.2">
      <c r="B743" s="186"/>
      <c r="C743" s="732" t="s">
        <v>230</v>
      </c>
      <c r="D743" s="733" t="s">
        <v>141</v>
      </c>
      <c r="E743" s="189" t="s">
        <v>141</v>
      </c>
      <c r="F743" s="190" t="s">
        <v>231</v>
      </c>
      <c r="G743" s="314" t="s">
        <v>142</v>
      </c>
      <c r="H743" s="1043"/>
      <c r="I743" s="315" t="s">
        <v>232</v>
      </c>
      <c r="J743" s="316" t="s">
        <v>233</v>
      </c>
      <c r="K743" s="317" t="s">
        <v>232</v>
      </c>
      <c r="L743" s="318" t="s">
        <v>233</v>
      </c>
      <c r="M743" s="317" t="s">
        <v>46</v>
      </c>
      <c r="N743" s="319" t="s">
        <v>234</v>
      </c>
      <c r="O743" s="191" t="s">
        <v>235</v>
      </c>
      <c r="P743" s="191" t="s">
        <v>236</v>
      </c>
      <c r="Q743" s="192" t="s">
        <v>237</v>
      </c>
      <c r="R743" s="192" t="s">
        <v>238</v>
      </c>
      <c r="S743" s="192" t="s">
        <v>239</v>
      </c>
    </row>
    <row r="744" spans="2:19" x14ac:dyDescent="0.2">
      <c r="B744" s="193"/>
      <c r="C744" s="256">
        <v>43647</v>
      </c>
      <c r="D744" s="256">
        <v>43647</v>
      </c>
      <c r="E744" s="195" t="s">
        <v>997</v>
      </c>
      <c r="F744" s="162"/>
      <c r="G744" s="196" t="s">
        <v>188</v>
      </c>
      <c r="H744" s="197" t="str">
        <f>+VLOOKUP(G744,[17]bd!A:C,2,0)</f>
        <v>BOLSA DE VALORES DE EL SALVADOR, S.A. DE C.V.</v>
      </c>
      <c r="I744" s="819"/>
      <c r="J744" s="819"/>
      <c r="K744" s="820">
        <v>61.49</v>
      </c>
      <c r="L744" s="819"/>
      <c r="M744" s="876">
        <v>7.99</v>
      </c>
      <c r="N744" s="819">
        <f t="shared" ref="N744:N767" si="43">+K744+M744</f>
        <v>69.48</v>
      </c>
      <c r="O744" s="819"/>
      <c r="P744" s="866">
        <v>0</v>
      </c>
      <c r="Q744" s="819"/>
      <c r="R744" s="819"/>
      <c r="S744" s="819"/>
    </row>
    <row r="745" spans="2:19" x14ac:dyDescent="0.2">
      <c r="B745" s="193"/>
      <c r="C745" s="256">
        <v>43648</v>
      </c>
      <c r="D745" s="256">
        <v>43648</v>
      </c>
      <c r="E745" s="195" t="s">
        <v>998</v>
      </c>
      <c r="F745" s="162"/>
      <c r="G745" s="196" t="s">
        <v>188</v>
      </c>
      <c r="H745" s="197" t="str">
        <f>+VLOOKUP(G745,[17]bd!A:C,2,0)</f>
        <v>BOLSA DE VALORES DE EL SALVADOR, S.A. DE C.V.</v>
      </c>
      <c r="I745" s="819"/>
      <c r="J745" s="819"/>
      <c r="K745" s="820">
        <v>41.56</v>
      </c>
      <c r="L745" s="819"/>
      <c r="M745" s="876">
        <v>5.4</v>
      </c>
      <c r="N745" s="819">
        <f t="shared" si="43"/>
        <v>46.96</v>
      </c>
      <c r="O745" s="819"/>
      <c r="P745" s="866"/>
      <c r="Q745" s="819"/>
      <c r="R745" s="819"/>
      <c r="S745" s="819"/>
    </row>
    <row r="746" spans="2:19" x14ac:dyDescent="0.2">
      <c r="B746" s="193"/>
      <c r="C746" s="256">
        <v>43648</v>
      </c>
      <c r="D746" s="256">
        <v>43619</v>
      </c>
      <c r="E746" s="195" t="s">
        <v>999</v>
      </c>
      <c r="F746" s="162"/>
      <c r="G746" s="196" t="s">
        <v>208</v>
      </c>
      <c r="H746" s="197" t="str">
        <f>+VLOOKUP(G746,[17]bd!A:C,2,0)</f>
        <v>KPMG, S.A.</v>
      </c>
      <c r="I746" s="819"/>
      <c r="J746" s="819"/>
      <c r="K746" s="820">
        <v>344.44</v>
      </c>
      <c r="L746" s="819"/>
      <c r="M746" s="876">
        <v>44.78</v>
      </c>
      <c r="N746" s="819">
        <f t="shared" si="43"/>
        <v>389.22</v>
      </c>
      <c r="O746" s="819"/>
      <c r="P746" s="866">
        <f>K746*0.01</f>
        <v>3.4443999999999999</v>
      </c>
      <c r="Q746" s="819"/>
      <c r="R746" s="819"/>
      <c r="S746" s="819"/>
    </row>
    <row r="747" spans="2:19" x14ac:dyDescent="0.2">
      <c r="B747" s="193"/>
      <c r="C747" s="256">
        <v>43650</v>
      </c>
      <c r="D747" s="256">
        <v>43629</v>
      </c>
      <c r="E747" s="195" t="s">
        <v>1000</v>
      </c>
      <c r="F747" s="162"/>
      <c r="G747" s="196" t="s">
        <v>188</v>
      </c>
      <c r="H747" s="197" t="str">
        <f>+VLOOKUP(G747,[17]bd!A:C,2,0)</f>
        <v>BOLSA DE VALORES DE EL SALVADOR, S.A. DE C.V.</v>
      </c>
      <c r="I747" s="819"/>
      <c r="J747" s="819"/>
      <c r="K747" s="820">
        <v>195</v>
      </c>
      <c r="L747" s="819"/>
      <c r="M747" s="876">
        <v>25.35</v>
      </c>
      <c r="N747" s="819">
        <f t="shared" si="43"/>
        <v>220.35</v>
      </c>
      <c r="O747" s="819"/>
      <c r="P747" s="866"/>
      <c r="Q747" s="819"/>
      <c r="R747" s="819"/>
      <c r="S747" s="819"/>
    </row>
    <row r="748" spans="2:19" x14ac:dyDescent="0.2">
      <c r="B748" s="193"/>
      <c r="C748" s="256">
        <v>43650</v>
      </c>
      <c r="D748" s="256">
        <v>43616</v>
      </c>
      <c r="E748" s="195" t="s">
        <v>1001</v>
      </c>
      <c r="F748" s="162"/>
      <c r="G748" s="196" t="s">
        <v>212</v>
      </c>
      <c r="H748" s="197" t="str">
        <f>+VLOOKUP(G748,[17]bd!A:C,2,0)</f>
        <v>CENTRAL DE DEPOSITO DE VALORES, S.A. DE C.V.</v>
      </c>
      <c r="I748" s="819"/>
      <c r="J748" s="819"/>
      <c r="K748" s="820">
        <v>1985.55</v>
      </c>
      <c r="L748" s="819"/>
      <c r="M748" s="876">
        <v>258.12</v>
      </c>
      <c r="N748" s="819">
        <f t="shared" si="43"/>
        <v>2243.67</v>
      </c>
      <c r="O748" s="819"/>
      <c r="P748" s="866">
        <f>K748*0.01</f>
        <v>19.855499999999999</v>
      </c>
      <c r="Q748" s="819"/>
      <c r="R748" s="819"/>
      <c r="S748" s="819"/>
    </row>
    <row r="749" spans="2:19" x14ac:dyDescent="0.2">
      <c r="B749" s="193"/>
      <c r="C749" s="256">
        <v>43651</v>
      </c>
      <c r="D749" s="256">
        <v>43647</v>
      </c>
      <c r="E749" s="195" t="s">
        <v>1002</v>
      </c>
      <c r="F749" s="162"/>
      <c r="G749" s="195" t="s">
        <v>208</v>
      </c>
      <c r="H749" s="197" t="str">
        <f>+VLOOKUP(G749,[17]bd!A:C,2,0)</f>
        <v>KPMG, S.A.</v>
      </c>
      <c r="I749" s="819"/>
      <c r="J749" s="819"/>
      <c r="K749" s="820">
        <v>118.18</v>
      </c>
      <c r="L749" s="819"/>
      <c r="M749" s="876">
        <v>15.36</v>
      </c>
      <c r="N749" s="819">
        <f t="shared" si="43"/>
        <v>133.54000000000002</v>
      </c>
      <c r="O749" s="819"/>
      <c r="P749" s="866">
        <f>K749*0.01</f>
        <v>1.1818000000000002</v>
      </c>
      <c r="Q749" s="819"/>
      <c r="R749" s="819"/>
      <c r="S749" s="819"/>
    </row>
    <row r="750" spans="2:19" x14ac:dyDescent="0.2">
      <c r="B750" s="193"/>
      <c r="C750" s="256">
        <v>43654</v>
      </c>
      <c r="D750" s="256">
        <v>43654</v>
      </c>
      <c r="E750" s="195" t="s">
        <v>1003</v>
      </c>
      <c r="F750" s="195"/>
      <c r="G750" s="196" t="s">
        <v>188</v>
      </c>
      <c r="H750" s="197" t="str">
        <f>+VLOOKUP(G750,[17]bd!A:C,2,0)</f>
        <v>BOLSA DE VALORES DE EL SALVADOR, S.A. DE C.V.</v>
      </c>
      <c r="I750" s="819"/>
      <c r="J750" s="819"/>
      <c r="K750" s="820">
        <v>495.72</v>
      </c>
      <c r="L750" s="819"/>
      <c r="M750" s="876">
        <v>64.44</v>
      </c>
      <c r="N750" s="819">
        <f t="shared" si="43"/>
        <v>560.16000000000008</v>
      </c>
      <c r="O750" s="819"/>
      <c r="P750" s="866"/>
      <c r="Q750" s="819"/>
      <c r="R750" s="819"/>
      <c r="S750" s="819"/>
    </row>
    <row r="751" spans="2:19" x14ac:dyDescent="0.2">
      <c r="B751" s="193"/>
      <c r="C751" s="256">
        <v>43654</v>
      </c>
      <c r="D751" s="256">
        <v>43656</v>
      </c>
      <c r="E751" s="195" t="s">
        <v>1004</v>
      </c>
      <c r="F751" s="162"/>
      <c r="G751" s="196" t="s">
        <v>188</v>
      </c>
      <c r="H751" s="197" t="str">
        <f>+VLOOKUP(G751,[17]bd!A:C,2,0)</f>
        <v>BOLSA DE VALORES DE EL SALVADOR, S.A. DE C.V.</v>
      </c>
      <c r="I751" s="819"/>
      <c r="J751" s="819"/>
      <c r="K751" s="820">
        <v>95.89</v>
      </c>
      <c r="L751" s="819"/>
      <c r="M751" s="876">
        <v>12.47</v>
      </c>
      <c r="N751" s="819">
        <f t="shared" si="43"/>
        <v>108.36</v>
      </c>
      <c r="O751" s="819"/>
      <c r="P751" s="866">
        <v>0</v>
      </c>
      <c r="Q751" s="819"/>
      <c r="R751" s="819"/>
      <c r="S751" s="819"/>
    </row>
    <row r="752" spans="2:19" x14ac:dyDescent="0.2">
      <c r="B752" s="193"/>
      <c r="C752" s="256">
        <v>43657</v>
      </c>
      <c r="D752" s="256">
        <v>43657</v>
      </c>
      <c r="E752" s="195" t="s">
        <v>1005</v>
      </c>
      <c r="F752" s="162"/>
      <c r="G752" s="196" t="s">
        <v>188</v>
      </c>
      <c r="H752" s="197" t="str">
        <f>+VLOOKUP(G752,[17]bd!A:C,2,0)</f>
        <v>BOLSA DE VALORES DE EL SALVADOR, S.A. DE C.V.</v>
      </c>
      <c r="I752" s="819"/>
      <c r="J752" s="819"/>
      <c r="K752" s="820">
        <v>164.64</v>
      </c>
      <c r="L752" s="819"/>
      <c r="M752" s="876">
        <v>21.4</v>
      </c>
      <c r="N752" s="819">
        <f t="shared" si="43"/>
        <v>186.04</v>
      </c>
      <c r="O752" s="819"/>
      <c r="P752" s="866"/>
      <c r="Q752" s="819"/>
      <c r="R752" s="819"/>
      <c r="S752" s="819"/>
    </row>
    <row r="753" spans="2:19" x14ac:dyDescent="0.2">
      <c r="B753" s="193"/>
      <c r="C753" s="256">
        <v>43661</v>
      </c>
      <c r="D753" s="256">
        <v>43661</v>
      </c>
      <c r="E753" s="195" t="s">
        <v>1006</v>
      </c>
      <c r="F753" s="162"/>
      <c r="G753" s="196" t="s">
        <v>188</v>
      </c>
      <c r="H753" s="197" t="str">
        <f>+VLOOKUP(G753,[17]bd!A:C,2,0)</f>
        <v>BOLSA DE VALORES DE EL SALVADOR, S.A. DE C.V.</v>
      </c>
      <c r="I753" s="819"/>
      <c r="J753" s="819"/>
      <c r="K753" s="820">
        <v>47.95</v>
      </c>
      <c r="L753" s="819"/>
      <c r="M753" s="819">
        <v>6.23</v>
      </c>
      <c r="N753" s="819">
        <f t="shared" si="43"/>
        <v>54.180000000000007</v>
      </c>
      <c r="O753" s="819"/>
      <c r="P753" s="866">
        <v>0</v>
      </c>
      <c r="Q753" s="819"/>
      <c r="R753" s="819"/>
      <c r="S753" s="819"/>
    </row>
    <row r="754" spans="2:19" x14ac:dyDescent="0.2">
      <c r="B754" s="193"/>
      <c r="C754" s="877">
        <v>43662</v>
      </c>
      <c r="D754" s="877">
        <v>43662</v>
      </c>
      <c r="E754" s="195" t="s">
        <v>1007</v>
      </c>
      <c r="F754" s="162"/>
      <c r="G754" s="196" t="s">
        <v>188</v>
      </c>
      <c r="H754" s="197" t="str">
        <f>+VLOOKUP(G754,[17]bd!A:C,2,0)</f>
        <v>BOLSA DE VALORES DE EL SALVADOR, S.A. DE C.V.</v>
      </c>
      <c r="I754" s="819"/>
      <c r="J754" s="819"/>
      <c r="K754" s="820">
        <v>151.04</v>
      </c>
      <c r="L754" s="819"/>
      <c r="M754" s="819">
        <v>19.63</v>
      </c>
      <c r="N754" s="819">
        <f t="shared" si="43"/>
        <v>170.67</v>
      </c>
      <c r="O754" s="819"/>
      <c r="P754" s="866"/>
      <c r="Q754" s="819"/>
      <c r="R754" s="819"/>
      <c r="S754" s="819"/>
    </row>
    <row r="755" spans="2:19" x14ac:dyDescent="0.2">
      <c r="B755" s="193"/>
      <c r="C755" s="256">
        <v>43662</v>
      </c>
      <c r="D755" s="256">
        <v>43661</v>
      </c>
      <c r="E755" s="195" t="s">
        <v>1008</v>
      </c>
      <c r="F755" s="162"/>
      <c r="G755" s="196" t="s">
        <v>47</v>
      </c>
      <c r="H755" s="197" t="str">
        <f>+VLOOKUP(G755,[17]bd!A:C,2,0)</f>
        <v>BANCO CUSCATLAN DE EL SALVADOR S.A.</v>
      </c>
      <c r="I755" s="819"/>
      <c r="J755" s="819"/>
      <c r="K755" s="820">
        <v>133.80000000000001</v>
      </c>
      <c r="L755" s="819"/>
      <c r="M755" s="819">
        <v>17.39</v>
      </c>
      <c r="N755" s="819">
        <f t="shared" si="43"/>
        <v>151.19</v>
      </c>
      <c r="O755" s="819"/>
      <c r="P755" s="866"/>
      <c r="Q755" s="819"/>
      <c r="R755" s="819"/>
      <c r="S755" s="819"/>
    </row>
    <row r="756" spans="2:19" x14ac:dyDescent="0.2">
      <c r="B756" s="193"/>
      <c r="C756" s="877">
        <v>43662</v>
      </c>
      <c r="D756" s="256">
        <v>43647</v>
      </c>
      <c r="E756" s="195" t="s">
        <v>1009</v>
      </c>
      <c r="F756" s="162"/>
      <c r="G756" s="196" t="s">
        <v>208</v>
      </c>
      <c r="H756" s="197" t="str">
        <f>+VLOOKUP(G756,[17]bd!A:C,2,0)</f>
        <v>KPMG, S.A.</v>
      </c>
      <c r="I756" s="819"/>
      <c r="J756" s="819"/>
      <c r="K756" s="820">
        <v>344.44</v>
      </c>
      <c r="L756" s="819"/>
      <c r="M756" s="820">
        <v>44.78</v>
      </c>
      <c r="N756" s="819">
        <f t="shared" si="43"/>
        <v>389.22</v>
      </c>
      <c r="O756" s="819"/>
      <c r="P756" s="866">
        <f>K756*0.01</f>
        <v>3.4443999999999999</v>
      </c>
      <c r="Q756" s="819"/>
      <c r="R756" s="819"/>
      <c r="S756" s="819"/>
    </row>
    <row r="757" spans="2:19" x14ac:dyDescent="0.2">
      <c r="B757" s="193"/>
      <c r="C757" s="877">
        <v>43663</v>
      </c>
      <c r="D757" s="256">
        <v>43644</v>
      </c>
      <c r="E757" s="195" t="s">
        <v>1010</v>
      </c>
      <c r="F757" s="162"/>
      <c r="G757" s="196" t="s">
        <v>341</v>
      </c>
      <c r="H757" s="197" t="str">
        <f>+VLOOKUP(G757,[17]bd!A:C,2,0)</f>
        <v>OPERADORES LOGISTICOS RANSA, S.A. DE C.V.</v>
      </c>
      <c r="I757" s="819"/>
      <c r="J757" s="819"/>
      <c r="K757" s="820">
        <v>376.92</v>
      </c>
      <c r="L757" s="819"/>
      <c r="M757" s="819">
        <v>49</v>
      </c>
      <c r="N757" s="819">
        <f t="shared" si="43"/>
        <v>425.92</v>
      </c>
      <c r="O757" s="819"/>
      <c r="P757" s="866">
        <v>0</v>
      </c>
      <c r="Q757" s="819"/>
      <c r="R757" s="819"/>
      <c r="S757" s="819"/>
    </row>
    <row r="758" spans="2:19" x14ac:dyDescent="0.2">
      <c r="B758" s="193"/>
      <c r="C758" s="877">
        <v>43663</v>
      </c>
      <c r="D758" s="256">
        <v>43659</v>
      </c>
      <c r="E758" s="195" t="s">
        <v>1011</v>
      </c>
      <c r="F758" s="162"/>
      <c r="G758" s="196" t="s">
        <v>341</v>
      </c>
      <c r="H758" s="197" t="str">
        <f>+VLOOKUP(G758,[17]bd!A:C,2,0)</f>
        <v>OPERADORES LOGISTICOS RANSA, S.A. DE C.V.</v>
      </c>
      <c r="I758" s="819"/>
      <c r="J758" s="819"/>
      <c r="K758" s="820">
        <v>376.92</v>
      </c>
      <c r="L758" s="819"/>
      <c r="M758" s="819">
        <v>49</v>
      </c>
      <c r="N758" s="819">
        <f t="shared" si="43"/>
        <v>425.92</v>
      </c>
      <c r="O758" s="819"/>
      <c r="P758" s="866">
        <v>0</v>
      </c>
      <c r="Q758" s="819"/>
      <c r="R758" s="819"/>
      <c r="S758" s="819"/>
    </row>
    <row r="759" spans="2:19" x14ac:dyDescent="0.2">
      <c r="B759" s="193"/>
      <c r="C759" s="256">
        <v>43663</v>
      </c>
      <c r="D759" s="256">
        <v>43663</v>
      </c>
      <c r="E759" s="195" t="s">
        <v>1012</v>
      </c>
      <c r="F759" s="767"/>
      <c r="G759" s="196" t="s">
        <v>188</v>
      </c>
      <c r="H759" s="197" t="str">
        <f>+VLOOKUP(G759,[17]bd!A:C,2,0)</f>
        <v>BOLSA DE VALORES DE EL SALVADOR, S.A. DE C.V.</v>
      </c>
      <c r="I759" s="819"/>
      <c r="J759" s="819"/>
      <c r="K759" s="820">
        <v>191.79</v>
      </c>
      <c r="L759" s="819"/>
      <c r="M759" s="819">
        <v>24.93</v>
      </c>
      <c r="N759" s="819">
        <f t="shared" si="43"/>
        <v>216.72</v>
      </c>
      <c r="O759" s="819"/>
      <c r="P759" s="866"/>
      <c r="Q759" s="819"/>
      <c r="R759" s="819"/>
      <c r="S759" s="819"/>
    </row>
    <row r="760" spans="2:19" x14ac:dyDescent="0.2">
      <c r="B760" s="193"/>
      <c r="C760" s="256">
        <v>43664</v>
      </c>
      <c r="D760" s="256">
        <v>43663</v>
      </c>
      <c r="E760" s="681">
        <v>2930</v>
      </c>
      <c r="F760" s="767"/>
      <c r="G760" s="681" t="s">
        <v>188</v>
      </c>
      <c r="H760" s="197" t="str">
        <f>+VLOOKUP(G760,[17]bd!A:C,2,0)</f>
        <v>BOLSA DE VALORES DE EL SALVADOR, S.A. DE C.V.</v>
      </c>
      <c r="I760" s="819"/>
      <c r="J760" s="819"/>
      <c r="K760" s="820">
        <v>47.95</v>
      </c>
      <c r="L760" s="819"/>
      <c r="M760" s="819">
        <v>6.23</v>
      </c>
      <c r="N760" s="819">
        <f t="shared" si="43"/>
        <v>54.180000000000007</v>
      </c>
      <c r="O760" s="819"/>
      <c r="P760" s="866">
        <v>0</v>
      </c>
      <c r="Q760" s="819"/>
      <c r="R760" s="819"/>
      <c r="S760" s="819"/>
    </row>
    <row r="761" spans="2:19" x14ac:dyDescent="0.2">
      <c r="B761" s="193"/>
      <c r="C761" s="256">
        <v>43668</v>
      </c>
      <c r="D761" s="256">
        <v>43668</v>
      </c>
      <c r="E761" s="195" t="s">
        <v>1013</v>
      </c>
      <c r="F761" s="767"/>
      <c r="G761" s="681" t="s">
        <v>188</v>
      </c>
      <c r="H761" s="197" t="str">
        <f>+VLOOKUP(G761,[17]bd!A:C,2,0)</f>
        <v>BOLSA DE VALORES DE EL SALVADOR, S.A. DE C.V.</v>
      </c>
      <c r="I761" s="819"/>
      <c r="J761" s="819"/>
      <c r="K761" s="820">
        <v>244.76</v>
      </c>
      <c r="L761" s="819"/>
      <c r="M761" s="819">
        <v>31.82</v>
      </c>
      <c r="N761" s="819">
        <f t="shared" si="43"/>
        <v>276.58</v>
      </c>
      <c r="O761" s="819"/>
      <c r="P761" s="866"/>
      <c r="Q761" s="819"/>
      <c r="R761" s="819"/>
      <c r="S761" s="819"/>
    </row>
    <row r="762" spans="2:19" x14ac:dyDescent="0.2">
      <c r="B762" s="193"/>
      <c r="C762" s="194">
        <v>43669</v>
      </c>
      <c r="D762" s="194">
        <v>43669</v>
      </c>
      <c r="E762" s="195" t="s">
        <v>1014</v>
      </c>
      <c r="F762" s="767"/>
      <c r="G762" s="681" t="s">
        <v>188</v>
      </c>
      <c r="H762" s="197" t="str">
        <f>+VLOOKUP(G762,[17]bd!A:C,2,0)</f>
        <v>BOLSA DE VALORES DE EL SALVADOR, S.A. DE C.V.</v>
      </c>
      <c r="I762" s="819"/>
      <c r="J762" s="819"/>
      <c r="K762" s="820">
        <v>95.89</v>
      </c>
      <c r="L762" s="819"/>
      <c r="M762" s="819">
        <v>12.47</v>
      </c>
      <c r="N762" s="819">
        <f t="shared" si="43"/>
        <v>108.36</v>
      </c>
      <c r="O762" s="819"/>
      <c r="P762" s="866"/>
      <c r="Q762" s="819"/>
      <c r="R762" s="819"/>
      <c r="S762" s="819"/>
    </row>
    <row r="763" spans="2:19" x14ac:dyDescent="0.2">
      <c r="B763" s="193"/>
      <c r="C763" s="194">
        <v>43670</v>
      </c>
      <c r="D763" s="194">
        <v>43664</v>
      </c>
      <c r="E763" s="195" t="s">
        <v>1015</v>
      </c>
      <c r="F763" s="767"/>
      <c r="G763" s="196" t="s">
        <v>554</v>
      </c>
      <c r="H763" s="197" t="str">
        <f>+VLOOKUP(G763,[17]bd!A:C,2,0)</f>
        <v>O &amp; R MARKETING COMMUNICATIONS, S.A DE C.V.</v>
      </c>
      <c r="I763" s="819"/>
      <c r="J763" s="819"/>
      <c r="K763" s="820">
        <v>63</v>
      </c>
      <c r="L763" s="819"/>
      <c r="M763" s="819">
        <v>8.19</v>
      </c>
      <c r="N763" s="819">
        <f t="shared" si="43"/>
        <v>71.19</v>
      </c>
      <c r="O763" s="819">
        <v>0</v>
      </c>
      <c r="P763" s="866">
        <v>0</v>
      </c>
      <c r="Q763" s="819"/>
      <c r="R763" s="819"/>
      <c r="S763" s="819"/>
    </row>
    <row r="764" spans="2:19" x14ac:dyDescent="0.2">
      <c r="B764" s="193"/>
      <c r="C764" s="194">
        <v>43670</v>
      </c>
      <c r="D764" s="194">
        <v>43670</v>
      </c>
      <c r="E764" s="195" t="s">
        <v>1016</v>
      </c>
      <c r="F764" s="162"/>
      <c r="G764" s="196" t="s">
        <v>188</v>
      </c>
      <c r="H764" s="197" t="str">
        <f>+VLOOKUP(G764,[17]bd!A:C,2,0)</f>
        <v>BOLSA DE VALORES DE EL SALVADOR, S.A. DE C.V.</v>
      </c>
      <c r="I764" s="819"/>
      <c r="J764" s="819"/>
      <c r="K764" s="820">
        <v>95.89</v>
      </c>
      <c r="L764" s="819"/>
      <c r="M764" s="819">
        <v>12.47</v>
      </c>
      <c r="N764" s="819">
        <f t="shared" si="43"/>
        <v>108.36</v>
      </c>
      <c r="O764" s="819">
        <v>0</v>
      </c>
      <c r="P764" s="866">
        <v>0</v>
      </c>
      <c r="Q764" s="819"/>
      <c r="R764" s="819"/>
      <c r="S764" s="819"/>
    </row>
    <row r="765" spans="2:19" x14ac:dyDescent="0.2">
      <c r="B765" s="193"/>
      <c r="C765" s="194">
        <v>43671</v>
      </c>
      <c r="D765" s="194">
        <v>43671</v>
      </c>
      <c r="E765" s="195" t="s">
        <v>1017</v>
      </c>
      <c r="F765" s="162"/>
      <c r="G765" s="196" t="s">
        <v>188</v>
      </c>
      <c r="H765" s="197" t="str">
        <f>+VLOOKUP(G765,[17]bd!A:C,2,0)</f>
        <v>BOLSA DE VALORES DE EL SALVADOR, S.A. DE C.V.</v>
      </c>
      <c r="I765" s="819"/>
      <c r="J765" s="819"/>
      <c r="K765" s="820">
        <v>88.2</v>
      </c>
      <c r="L765" s="819"/>
      <c r="M765" s="819">
        <v>11.47</v>
      </c>
      <c r="N765" s="819">
        <f t="shared" si="43"/>
        <v>99.67</v>
      </c>
      <c r="O765" s="819">
        <v>0</v>
      </c>
      <c r="P765" s="866">
        <v>0</v>
      </c>
      <c r="Q765" s="819"/>
      <c r="R765" s="819"/>
      <c r="S765" s="819"/>
    </row>
    <row r="766" spans="2:19" x14ac:dyDescent="0.2">
      <c r="B766" s="193"/>
      <c r="C766" s="194">
        <v>43672</v>
      </c>
      <c r="D766" s="194">
        <v>43672</v>
      </c>
      <c r="E766" s="195" t="s">
        <v>1018</v>
      </c>
      <c r="F766" s="162"/>
      <c r="G766" s="196" t="s">
        <v>188</v>
      </c>
      <c r="H766" s="197" t="str">
        <f>+VLOOKUP(G766,[17]bd!A:C,2,0)</f>
        <v>BOLSA DE VALORES DE EL SALVADOR, S.A. DE C.V.</v>
      </c>
      <c r="I766" s="819"/>
      <c r="J766" s="819"/>
      <c r="K766" s="820">
        <v>114.06</v>
      </c>
      <c r="L766" s="819"/>
      <c r="M766" s="819">
        <v>14.83</v>
      </c>
      <c r="N766" s="819">
        <f t="shared" si="43"/>
        <v>128.89000000000001</v>
      </c>
      <c r="O766" s="819">
        <v>0</v>
      </c>
      <c r="P766" s="866">
        <v>0</v>
      </c>
      <c r="Q766" s="819"/>
      <c r="R766" s="819"/>
      <c r="S766" s="819"/>
    </row>
    <row r="767" spans="2:19" x14ac:dyDescent="0.2">
      <c r="B767" s="193"/>
      <c r="C767" s="194">
        <v>43675</v>
      </c>
      <c r="D767" s="194">
        <v>43675</v>
      </c>
      <c r="E767" s="195" t="s">
        <v>1019</v>
      </c>
      <c r="F767" s="767"/>
      <c r="G767" s="196" t="s">
        <v>188</v>
      </c>
      <c r="H767" s="197" t="str">
        <f>+VLOOKUP(G767,[17]bd!A:C,2,0)</f>
        <v>BOLSA DE VALORES DE EL SALVADOR, S.A. DE C.V.</v>
      </c>
      <c r="I767" s="819"/>
      <c r="J767" s="819"/>
      <c r="K767" s="820">
        <v>95.89</v>
      </c>
      <c r="L767" s="819"/>
      <c r="M767" s="819">
        <v>12.47</v>
      </c>
      <c r="N767" s="819">
        <f t="shared" si="43"/>
        <v>108.36</v>
      </c>
      <c r="O767" s="819">
        <v>0</v>
      </c>
      <c r="P767" s="866">
        <v>0</v>
      </c>
      <c r="Q767" s="819"/>
      <c r="R767" s="819"/>
      <c r="S767" s="819"/>
    </row>
    <row r="768" spans="2:19" x14ac:dyDescent="0.2">
      <c r="B768" s="193"/>
      <c r="C768" s="194"/>
      <c r="D768" s="194"/>
      <c r="E768" s="195"/>
      <c r="F768" s="162"/>
      <c r="G768" s="196"/>
      <c r="H768" s="197"/>
      <c r="I768" s="819"/>
      <c r="J768" s="819"/>
      <c r="K768" s="820"/>
      <c r="L768" s="819"/>
      <c r="M768" s="819"/>
      <c r="N768" s="819"/>
      <c r="O768" s="819"/>
      <c r="P768" s="866"/>
      <c r="Q768" s="819"/>
      <c r="R768" s="819"/>
      <c r="S768" s="819"/>
    </row>
    <row r="769" spans="2:19" x14ac:dyDescent="0.2">
      <c r="B769" s="193"/>
      <c r="C769" s="194"/>
      <c r="D769" s="194"/>
      <c r="E769" s="195"/>
      <c r="F769" s="162"/>
      <c r="G769" s="196"/>
      <c r="H769" s="197"/>
      <c r="I769" s="819"/>
      <c r="J769" s="819"/>
      <c r="K769" s="820"/>
      <c r="L769" s="819"/>
      <c r="M769" s="819"/>
      <c r="N769" s="819"/>
      <c r="O769" s="819"/>
      <c r="P769" s="866"/>
      <c r="Q769" s="819"/>
      <c r="R769" s="819"/>
      <c r="S769" s="819"/>
    </row>
    <row r="770" spans="2:19" x14ac:dyDescent="0.2">
      <c r="B770" s="193"/>
      <c r="C770" s="194"/>
      <c r="D770" s="194"/>
      <c r="E770" s="195"/>
      <c r="F770" s="162"/>
      <c r="G770" s="196"/>
      <c r="H770" s="197"/>
      <c r="I770" s="819"/>
      <c r="J770" s="819"/>
      <c r="K770" s="820"/>
      <c r="L770" s="819"/>
      <c r="M770" s="819"/>
      <c r="N770" s="819"/>
      <c r="O770" s="819"/>
      <c r="P770" s="866"/>
      <c r="Q770" s="819"/>
      <c r="R770" s="819"/>
      <c r="S770" s="819"/>
    </row>
    <row r="771" spans="2:19" x14ac:dyDescent="0.2">
      <c r="B771" s="193"/>
      <c r="C771" s="194"/>
      <c r="D771" s="194"/>
      <c r="E771" s="195"/>
      <c r="F771" s="162"/>
      <c r="G771" s="196"/>
      <c r="H771" s="197"/>
      <c r="I771" s="819"/>
      <c r="J771" s="819"/>
      <c r="K771" s="820"/>
      <c r="L771" s="819"/>
      <c r="M771" s="819"/>
      <c r="N771" s="819"/>
      <c r="O771" s="819"/>
      <c r="P771" s="866">
        <v>0</v>
      </c>
      <c r="Q771" s="819"/>
      <c r="R771" s="819"/>
      <c r="S771" s="819"/>
    </row>
    <row r="772" spans="2:19" x14ac:dyDescent="0.2">
      <c r="B772" s="193"/>
      <c r="C772" s="194"/>
      <c r="D772" s="194"/>
      <c r="E772" s="195"/>
      <c r="F772" s="162"/>
      <c r="G772" s="196"/>
      <c r="H772" s="197" t="s">
        <v>273</v>
      </c>
      <c r="I772" s="819"/>
      <c r="J772" s="819"/>
      <c r="K772" s="869"/>
      <c r="L772" s="819"/>
      <c r="M772" s="819">
        <v>-776.22</v>
      </c>
      <c r="N772" s="681"/>
      <c r="O772" s="819"/>
      <c r="P772" s="866">
        <v>0</v>
      </c>
      <c r="Q772" s="819"/>
      <c r="R772" s="819"/>
      <c r="S772" s="819"/>
    </row>
    <row r="773" spans="2:19" x14ac:dyDescent="0.2">
      <c r="B773" s="193"/>
      <c r="C773" s="194"/>
      <c r="D773" s="194"/>
      <c r="E773" s="195"/>
      <c r="F773" s="162"/>
      <c r="G773" s="196"/>
      <c r="H773" s="197"/>
      <c r="I773" s="819"/>
      <c r="J773" s="819"/>
      <c r="K773" s="820"/>
      <c r="L773" s="819"/>
      <c r="M773" s="819"/>
      <c r="N773" s="819"/>
      <c r="O773" s="819"/>
      <c r="P773" s="866"/>
      <c r="Q773" s="819"/>
      <c r="R773" s="819"/>
      <c r="S773" s="819"/>
    </row>
    <row r="774" spans="2:19" x14ac:dyDescent="0.2">
      <c r="B774" s="193"/>
      <c r="C774" s="194"/>
      <c r="D774" s="194"/>
      <c r="E774" s="195"/>
      <c r="F774" s="333"/>
      <c r="G774" s="196"/>
      <c r="H774" s="197"/>
      <c r="I774" s="819"/>
      <c r="J774" s="819"/>
      <c r="K774" s="820"/>
      <c r="L774" s="819"/>
      <c r="M774" s="819"/>
      <c r="N774" s="819"/>
      <c r="O774" s="819"/>
      <c r="P774" s="819"/>
      <c r="Q774" s="819"/>
      <c r="R774" s="819"/>
      <c r="S774" s="819"/>
    </row>
    <row r="775" spans="2:19" x14ac:dyDescent="0.2">
      <c r="B775" s="193"/>
      <c r="C775" s="194"/>
      <c r="D775" s="194"/>
      <c r="E775" s="195"/>
      <c r="F775" s="333"/>
      <c r="G775" s="196"/>
      <c r="H775" s="197"/>
      <c r="I775" s="819"/>
      <c r="J775" s="819"/>
      <c r="K775" s="820"/>
      <c r="L775" s="819"/>
      <c r="M775" s="819"/>
      <c r="N775" s="819"/>
      <c r="O775" s="819"/>
      <c r="P775" s="819"/>
      <c r="Q775" s="819"/>
      <c r="R775" s="819"/>
      <c r="S775" s="819"/>
    </row>
    <row r="776" spans="2:19" x14ac:dyDescent="0.2">
      <c r="B776" s="193"/>
      <c r="C776" s="194"/>
      <c r="D776" s="194"/>
      <c r="E776" s="195"/>
      <c r="F776" s="333"/>
      <c r="G776" s="196"/>
      <c r="H776" s="197"/>
      <c r="I776" s="819"/>
      <c r="J776" s="819"/>
      <c r="K776" s="820"/>
      <c r="L776" s="819"/>
      <c r="M776" s="819"/>
      <c r="N776" s="819"/>
      <c r="O776" s="819"/>
      <c r="P776" s="819"/>
      <c r="Q776" s="819"/>
      <c r="R776" s="819"/>
      <c r="S776" s="819"/>
    </row>
    <row r="777" spans="2:19" x14ac:dyDescent="0.2">
      <c r="B777" s="193"/>
      <c r="C777" s="194"/>
      <c r="D777" s="194"/>
      <c r="E777" s="195"/>
      <c r="F777" s="333"/>
      <c r="G777" s="196"/>
      <c r="H777" s="197"/>
      <c r="I777" s="819"/>
      <c r="J777" s="819"/>
      <c r="K777" s="820"/>
      <c r="L777" s="819"/>
      <c r="M777" s="819"/>
      <c r="N777" s="819"/>
      <c r="O777" s="819"/>
      <c r="P777" s="866"/>
      <c r="Q777" s="819"/>
      <c r="R777" s="819"/>
      <c r="S777" s="819"/>
    </row>
    <row r="778" spans="2:19" x14ac:dyDescent="0.2">
      <c r="B778" s="193"/>
      <c r="C778" s="194"/>
      <c r="D778" s="194"/>
      <c r="E778" s="195"/>
      <c r="F778" s="1041"/>
      <c r="G778" s="196"/>
      <c r="H778" s="197"/>
      <c r="I778" s="821"/>
      <c r="J778" s="819"/>
      <c r="K778" s="820"/>
      <c r="L778" s="819"/>
      <c r="M778" s="819"/>
      <c r="N778" s="819"/>
      <c r="O778" s="819"/>
      <c r="P778" s="819"/>
      <c r="Q778" s="819"/>
      <c r="R778" s="819"/>
      <c r="S778" s="819"/>
    </row>
    <row r="779" spans="2:19" x14ac:dyDescent="0.2">
      <c r="B779" s="193"/>
      <c r="C779" s="194"/>
      <c r="D779" s="194"/>
      <c r="E779" s="195"/>
      <c r="F779" s="1041"/>
      <c r="G779" s="196"/>
      <c r="H779" s="197"/>
      <c r="I779" s="819"/>
      <c r="J779" s="819"/>
      <c r="K779" s="820"/>
      <c r="L779" s="819"/>
      <c r="M779" s="819"/>
      <c r="N779" s="819"/>
      <c r="O779" s="819"/>
      <c r="P779" s="819"/>
      <c r="Q779" s="819"/>
      <c r="R779" s="819"/>
      <c r="S779" s="819"/>
    </row>
    <row r="780" spans="2:19" x14ac:dyDescent="0.2">
      <c r="B780" s="193"/>
      <c r="C780" s="194"/>
      <c r="D780" s="194"/>
      <c r="E780" s="195"/>
      <c r="F780" s="320"/>
      <c r="G780" s="196"/>
      <c r="H780" s="197"/>
      <c r="I780" s="819"/>
      <c r="J780" s="819"/>
      <c r="K780" s="820"/>
      <c r="L780" s="819"/>
      <c r="M780" s="819"/>
      <c r="N780" s="819"/>
      <c r="O780" s="819"/>
      <c r="P780" s="819"/>
      <c r="Q780" s="819"/>
      <c r="R780" s="819"/>
      <c r="S780" s="819"/>
    </row>
    <row r="781" spans="2:19" x14ac:dyDescent="0.2">
      <c r="B781" s="193"/>
      <c r="C781" s="194"/>
      <c r="D781" s="194"/>
      <c r="E781" s="195"/>
      <c r="F781" s="321"/>
      <c r="G781" s="196"/>
      <c r="H781" s="197"/>
      <c r="I781" s="819"/>
      <c r="J781" s="819"/>
      <c r="K781" s="819"/>
      <c r="L781" s="819"/>
      <c r="M781" s="819"/>
      <c r="N781" s="819">
        <f>+K781+M781</f>
        <v>0</v>
      </c>
      <c r="O781" s="819"/>
      <c r="P781" s="819"/>
      <c r="Q781" s="819"/>
      <c r="R781" s="819"/>
      <c r="S781" s="819"/>
    </row>
    <row r="782" spans="2:19" ht="13.5" thickBot="1" x14ac:dyDescent="0.25">
      <c r="B782" s="265"/>
      <c r="C782" s="266"/>
      <c r="D782" s="267"/>
      <c r="E782" s="266"/>
      <c r="F782" s="268"/>
      <c r="G782" s="269"/>
      <c r="H782" s="270"/>
      <c r="I782" s="271"/>
      <c r="J782" s="272"/>
      <c r="K782" s="272"/>
      <c r="L782" s="273"/>
      <c r="M782" s="272"/>
      <c r="N782" s="272"/>
      <c r="O782" s="272"/>
      <c r="P782" s="272"/>
      <c r="Q782" s="274"/>
      <c r="R782" s="274"/>
      <c r="S782" s="274"/>
    </row>
    <row r="783" spans="2:19" x14ac:dyDescent="0.2">
      <c r="B783" s="175"/>
      <c r="C783" s="176"/>
      <c r="D783" s="275"/>
      <c r="E783" s="176"/>
      <c r="F783" s="276"/>
      <c r="G783" s="277"/>
      <c r="H783" s="178"/>
      <c r="I783" s="278"/>
      <c r="J783" s="171"/>
      <c r="K783" s="171"/>
      <c r="L783" s="279"/>
      <c r="M783" s="171"/>
      <c r="N783" s="171"/>
      <c r="O783" s="171"/>
      <c r="P783" s="171"/>
      <c r="Q783" s="280"/>
      <c r="R783" s="280"/>
      <c r="S783" s="280"/>
    </row>
    <row r="784" spans="2:19" x14ac:dyDescent="0.2">
      <c r="B784" s="175"/>
      <c r="C784" s="164"/>
      <c r="D784" s="165"/>
      <c r="E784" s="164"/>
      <c r="F784" s="281"/>
      <c r="G784" s="277"/>
      <c r="H784" s="282" t="s">
        <v>261</v>
      </c>
      <c r="I784" s="279">
        <f t="shared" ref="I784:S784" si="44">SUM(I744:I782)</f>
        <v>0</v>
      </c>
      <c r="J784" s="279">
        <f t="shared" si="44"/>
        <v>0</v>
      </c>
      <c r="K784" s="279">
        <f t="shared" si="44"/>
        <v>5970.97</v>
      </c>
      <c r="L784" s="279">
        <f t="shared" si="44"/>
        <v>0</v>
      </c>
      <c r="M784" s="279">
        <f>SUM(M744:M782)</f>
        <v>0</v>
      </c>
      <c r="N784" s="279">
        <f t="shared" si="44"/>
        <v>6747.19</v>
      </c>
      <c r="O784" s="279">
        <f t="shared" si="44"/>
        <v>0</v>
      </c>
      <c r="P784" s="279">
        <f t="shared" si="44"/>
        <v>27.926099999999998</v>
      </c>
      <c r="Q784" s="279">
        <f t="shared" si="44"/>
        <v>0</v>
      </c>
      <c r="R784" s="279">
        <f t="shared" si="44"/>
        <v>0</v>
      </c>
      <c r="S784" s="279">
        <f t="shared" si="44"/>
        <v>0</v>
      </c>
    </row>
    <row r="785" spans="2:19" ht="13.5" thickBot="1" x14ac:dyDescent="0.25">
      <c r="B785" s="265"/>
      <c r="C785" s="283"/>
      <c r="D785" s="284"/>
      <c r="E785" s="283"/>
      <c r="F785" s="285"/>
      <c r="G785" s="269"/>
      <c r="H785" s="286"/>
      <c r="I785" s="273"/>
      <c r="J785" s="287"/>
      <c r="K785" s="287"/>
      <c r="L785" s="287"/>
      <c r="M785" s="287"/>
      <c r="N785" s="287"/>
      <c r="O785" s="287"/>
      <c r="P785" s="287"/>
      <c r="Q785" s="273"/>
      <c r="R785" s="273"/>
      <c r="S785" s="822"/>
    </row>
    <row r="789" spans="2:19" ht="21" x14ac:dyDescent="0.35">
      <c r="B789" s="883" t="s">
        <v>218</v>
      </c>
      <c r="C789" s="884"/>
      <c r="D789" s="885"/>
      <c r="E789" s="885"/>
      <c r="F789" s="885"/>
      <c r="G789" s="886"/>
      <c r="H789" s="887"/>
      <c r="I789" s="887"/>
      <c r="J789" s="887"/>
      <c r="K789" s="887"/>
      <c r="L789" s="887"/>
      <c r="M789" s="887"/>
      <c r="N789" s="888"/>
      <c r="O789" s="882"/>
      <c r="P789" s="882"/>
      <c r="Q789" s="882"/>
      <c r="R789" s="882"/>
      <c r="S789" s="882"/>
    </row>
    <row r="790" spans="2:19" ht="15.75" x14ac:dyDescent="0.25">
      <c r="B790" s="885" t="s">
        <v>134</v>
      </c>
      <c r="C790" s="885"/>
      <c r="D790" s="885"/>
      <c r="E790" s="885"/>
      <c r="F790" s="885"/>
      <c r="G790" s="886"/>
      <c r="H790" s="887"/>
      <c r="I790" s="887"/>
      <c r="J790" s="887"/>
      <c r="K790" s="887"/>
      <c r="L790" s="1044"/>
      <c r="M790" s="1044"/>
      <c r="N790" s="888"/>
      <c r="O790" s="882"/>
      <c r="P790" s="882"/>
      <c r="Q790" s="882"/>
      <c r="R790" s="882"/>
      <c r="S790" s="882"/>
    </row>
    <row r="791" spans="2:19" ht="15.75" x14ac:dyDescent="0.25">
      <c r="B791" s="884" t="s">
        <v>135</v>
      </c>
      <c r="C791" s="885"/>
      <c r="D791" s="885"/>
      <c r="E791" s="885"/>
      <c r="F791" s="885"/>
      <c r="G791" s="886"/>
      <c r="H791" s="887"/>
      <c r="I791" s="887"/>
      <c r="J791" s="887"/>
      <c r="K791" s="887"/>
      <c r="L791" s="887"/>
      <c r="M791" s="887"/>
      <c r="N791" s="888"/>
      <c r="O791" s="882"/>
      <c r="P791" s="882"/>
      <c r="Q791" s="882"/>
      <c r="R791" s="882"/>
      <c r="S791" s="882"/>
    </row>
    <row r="792" spans="2:19" ht="15.75" x14ac:dyDescent="0.25">
      <c r="B792" s="885" t="s">
        <v>190</v>
      </c>
      <c r="C792" s="885"/>
      <c r="D792" s="885"/>
      <c r="E792" s="885"/>
      <c r="F792" s="885"/>
      <c r="G792" s="886"/>
      <c r="H792" s="887"/>
      <c r="I792" s="887"/>
      <c r="J792" s="887"/>
      <c r="K792" s="887"/>
      <c r="L792" s="887"/>
      <c r="M792" s="887"/>
      <c r="N792" s="888"/>
      <c r="O792" s="882"/>
      <c r="P792" s="882"/>
      <c r="Q792" s="882"/>
      <c r="R792" s="882"/>
      <c r="S792" s="882"/>
    </row>
    <row r="793" spans="2:19" ht="15.75" x14ac:dyDescent="0.25">
      <c r="B793" s="889" t="s">
        <v>219</v>
      </c>
      <c r="C793" s="890" t="s">
        <v>88</v>
      </c>
      <c r="D793" s="891"/>
      <c r="E793" s="892">
        <v>2019</v>
      </c>
      <c r="F793" s="885"/>
      <c r="G793" s="886"/>
      <c r="H793" s="965"/>
      <c r="I793" s="893"/>
      <c r="J793" s="893"/>
      <c r="K793" s="893"/>
      <c r="L793" s="893"/>
      <c r="M793" s="893"/>
      <c r="N793" s="888"/>
      <c r="O793" s="882"/>
      <c r="P793" s="882"/>
      <c r="Q793" s="882"/>
      <c r="R793" s="882"/>
      <c r="S793" s="882"/>
    </row>
    <row r="794" spans="2:19" x14ac:dyDescent="0.2">
      <c r="B794" s="894"/>
      <c r="C794" s="895"/>
      <c r="D794" s="896"/>
      <c r="E794" s="897"/>
      <c r="F794" s="898"/>
      <c r="G794" s="880"/>
      <c r="H794" s="880"/>
      <c r="I794" s="899"/>
      <c r="J794" s="900"/>
      <c r="K794" s="901"/>
      <c r="L794" s="900"/>
      <c r="M794" s="901"/>
      <c r="N794" s="901"/>
      <c r="O794" s="900"/>
      <c r="P794" s="900"/>
      <c r="Q794" s="880"/>
      <c r="R794" s="880"/>
      <c r="S794" s="902"/>
    </row>
    <row r="795" spans="2:19" x14ac:dyDescent="0.2">
      <c r="B795" s="894"/>
      <c r="C795" s="895"/>
      <c r="D795" s="896"/>
      <c r="E795" s="897"/>
      <c r="F795" s="967"/>
      <c r="G795" s="903"/>
      <c r="H795" s="904"/>
      <c r="I795" s="899"/>
      <c r="J795" s="900"/>
      <c r="K795" s="901"/>
      <c r="L795" s="900"/>
      <c r="M795" s="901"/>
      <c r="N795" s="901"/>
      <c r="O795" s="900"/>
      <c r="P795" s="900"/>
      <c r="Q795" s="880"/>
      <c r="R795" s="880"/>
      <c r="S795" s="902"/>
    </row>
    <row r="796" spans="2:19" x14ac:dyDescent="0.2">
      <c r="B796" s="905"/>
      <c r="C796" s="906"/>
      <c r="D796" s="907"/>
      <c r="E796" s="897"/>
      <c r="F796" s="898"/>
      <c r="G796" s="879"/>
      <c r="H796" s="880"/>
      <c r="I796" s="899"/>
      <c r="J796" s="900"/>
      <c r="K796" s="901"/>
      <c r="L796" s="900"/>
      <c r="M796" s="901"/>
      <c r="N796" s="901"/>
      <c r="O796" s="900"/>
      <c r="P796" s="908">
        <v>0.01</v>
      </c>
      <c r="Q796" s="880"/>
      <c r="R796" s="880" t="s">
        <v>220</v>
      </c>
      <c r="S796" s="909">
        <v>0.13</v>
      </c>
    </row>
    <row r="797" spans="2:19" x14ac:dyDescent="0.2">
      <c r="B797" s="910" t="s">
        <v>221</v>
      </c>
      <c r="C797" s="911" t="s">
        <v>136</v>
      </c>
      <c r="D797" s="912" t="s">
        <v>136</v>
      </c>
      <c r="E797" s="913" t="s">
        <v>137</v>
      </c>
      <c r="F797" s="913" t="s">
        <v>222</v>
      </c>
      <c r="G797" s="914" t="s">
        <v>223</v>
      </c>
      <c r="H797" s="1045" t="s">
        <v>139</v>
      </c>
      <c r="I797" s="915" t="s">
        <v>224</v>
      </c>
      <c r="J797" s="916"/>
      <c r="K797" s="917" t="s">
        <v>225</v>
      </c>
      <c r="L797" s="918"/>
      <c r="M797" s="919"/>
      <c r="N797" s="970" t="s">
        <v>140</v>
      </c>
      <c r="O797" s="920" t="s">
        <v>226</v>
      </c>
      <c r="P797" s="921" t="s">
        <v>227</v>
      </c>
      <c r="Q797" s="922" t="s">
        <v>228</v>
      </c>
      <c r="R797" s="922" t="s">
        <v>229</v>
      </c>
      <c r="S797" s="922" t="s">
        <v>229</v>
      </c>
    </row>
    <row r="798" spans="2:19" x14ac:dyDescent="0.2">
      <c r="B798" s="923"/>
      <c r="C798" s="974" t="s">
        <v>230</v>
      </c>
      <c r="D798" s="975" t="s">
        <v>141</v>
      </c>
      <c r="E798" s="924" t="s">
        <v>141</v>
      </c>
      <c r="F798" s="925" t="s">
        <v>231</v>
      </c>
      <c r="G798" s="926" t="s">
        <v>142</v>
      </c>
      <c r="H798" s="1046"/>
      <c r="I798" s="927" t="s">
        <v>232</v>
      </c>
      <c r="J798" s="928" t="s">
        <v>233</v>
      </c>
      <c r="K798" s="969" t="s">
        <v>232</v>
      </c>
      <c r="L798" s="929" t="s">
        <v>233</v>
      </c>
      <c r="M798" s="969" t="s">
        <v>46</v>
      </c>
      <c r="N798" s="971" t="s">
        <v>234</v>
      </c>
      <c r="O798" s="930" t="s">
        <v>235</v>
      </c>
      <c r="P798" s="930" t="s">
        <v>236</v>
      </c>
      <c r="Q798" s="931" t="s">
        <v>237</v>
      </c>
      <c r="R798" s="931" t="s">
        <v>238</v>
      </c>
      <c r="S798" s="931" t="s">
        <v>239</v>
      </c>
    </row>
    <row r="799" spans="2:19" x14ac:dyDescent="0.2">
      <c r="B799" s="932"/>
      <c r="C799" s="968" t="s">
        <v>1020</v>
      </c>
      <c r="D799" s="968" t="s">
        <v>1020</v>
      </c>
      <c r="E799" s="935" t="s">
        <v>527</v>
      </c>
      <c r="F799" s="965"/>
      <c r="G799" s="936" t="s">
        <v>188</v>
      </c>
      <c r="H799" s="937" t="s">
        <v>207</v>
      </c>
      <c r="I799" s="938"/>
      <c r="J799" s="938"/>
      <c r="K799" s="939">
        <v>68.5</v>
      </c>
      <c r="L799" s="938"/>
      <c r="M799" s="973">
        <v>8.9</v>
      </c>
      <c r="N799" s="938">
        <v>77.400000000000006</v>
      </c>
      <c r="O799" s="938"/>
      <c r="P799" s="966">
        <v>0</v>
      </c>
      <c r="Q799" s="938"/>
      <c r="R799" s="938"/>
      <c r="S799" s="938"/>
    </row>
    <row r="800" spans="2:19" x14ac:dyDescent="0.2">
      <c r="B800" s="932"/>
      <c r="C800" s="968" t="s">
        <v>1021</v>
      </c>
      <c r="D800" s="968">
        <v>43685</v>
      </c>
      <c r="E800" s="935" t="s">
        <v>1022</v>
      </c>
      <c r="F800" s="965"/>
      <c r="G800" s="936" t="s">
        <v>47</v>
      </c>
      <c r="H800" s="937" t="s">
        <v>242</v>
      </c>
      <c r="I800" s="938"/>
      <c r="J800" s="938"/>
      <c r="K800" s="939">
        <v>133.80000000000001</v>
      </c>
      <c r="L800" s="938"/>
      <c r="M800" s="973">
        <v>17.39</v>
      </c>
      <c r="N800" s="938">
        <v>151.19</v>
      </c>
      <c r="O800" s="938"/>
      <c r="P800" s="966"/>
      <c r="Q800" s="938"/>
      <c r="R800" s="938"/>
      <c r="S800" s="938"/>
    </row>
    <row r="801" spans="2:19" x14ac:dyDescent="0.2">
      <c r="B801" s="932"/>
      <c r="C801" s="968" t="s">
        <v>1021</v>
      </c>
      <c r="D801" s="968">
        <v>43644</v>
      </c>
      <c r="E801" s="935" t="s">
        <v>1023</v>
      </c>
      <c r="F801" s="935" t="s">
        <v>1024</v>
      </c>
      <c r="G801" s="936" t="s">
        <v>212</v>
      </c>
      <c r="H801" s="937" t="s">
        <v>213</v>
      </c>
      <c r="I801" s="938"/>
      <c r="J801" s="938"/>
      <c r="K801" s="939">
        <v>1744.09</v>
      </c>
      <c r="L801" s="938"/>
      <c r="M801" s="973">
        <v>226.73</v>
      </c>
      <c r="N801" s="938">
        <v>1970.82</v>
      </c>
      <c r="O801" s="938"/>
      <c r="P801" s="966">
        <v>17.440899999999999</v>
      </c>
      <c r="Q801" s="938"/>
      <c r="R801" s="938"/>
      <c r="S801" s="938"/>
    </row>
    <row r="802" spans="2:19" x14ac:dyDescent="0.2">
      <c r="B802" s="932"/>
      <c r="C802" s="968" t="s">
        <v>1025</v>
      </c>
      <c r="D802" s="968">
        <v>43678</v>
      </c>
      <c r="E802" s="935" t="s">
        <v>655</v>
      </c>
      <c r="F802" s="935" t="s">
        <v>1026</v>
      </c>
      <c r="G802" s="936" t="s">
        <v>208</v>
      </c>
      <c r="H802" s="937" t="s">
        <v>209</v>
      </c>
      <c r="I802" s="938"/>
      <c r="J802" s="938"/>
      <c r="K802" s="939">
        <v>118.18</v>
      </c>
      <c r="L802" s="938"/>
      <c r="M802" s="973">
        <v>15.36</v>
      </c>
      <c r="N802" s="938">
        <v>133.54000000000002</v>
      </c>
      <c r="O802" s="938"/>
      <c r="P802" s="966">
        <v>1.1818000000000002</v>
      </c>
      <c r="Q802" s="938"/>
      <c r="R802" s="938"/>
      <c r="S802" s="938"/>
    </row>
    <row r="803" spans="2:19" x14ac:dyDescent="0.2">
      <c r="B803" s="932"/>
      <c r="C803" s="968" t="s">
        <v>952</v>
      </c>
      <c r="D803" s="968">
        <v>43692</v>
      </c>
      <c r="E803" s="935" t="s">
        <v>1027</v>
      </c>
      <c r="F803" s="965"/>
      <c r="G803" s="936" t="s">
        <v>188</v>
      </c>
      <c r="H803" s="937" t="s">
        <v>207</v>
      </c>
      <c r="I803" s="938"/>
      <c r="J803" s="938"/>
      <c r="K803" s="939">
        <v>47.95</v>
      </c>
      <c r="L803" s="938"/>
      <c r="M803" s="973">
        <v>6.23</v>
      </c>
      <c r="N803" s="938">
        <v>54.180000000000007</v>
      </c>
      <c r="O803" s="938"/>
      <c r="P803" s="966">
        <v>0</v>
      </c>
      <c r="Q803" s="938"/>
      <c r="R803" s="938"/>
      <c r="S803" s="938"/>
    </row>
    <row r="804" spans="2:19" x14ac:dyDescent="0.2">
      <c r="B804" s="932"/>
      <c r="C804" s="968" t="s">
        <v>1028</v>
      </c>
      <c r="D804" s="968">
        <v>43689</v>
      </c>
      <c r="E804" s="935" t="s">
        <v>1029</v>
      </c>
      <c r="F804" s="965"/>
      <c r="G804" s="935" t="s">
        <v>188</v>
      </c>
      <c r="H804" s="937" t="s">
        <v>207</v>
      </c>
      <c r="I804" s="938"/>
      <c r="J804" s="938"/>
      <c r="K804" s="939">
        <v>195</v>
      </c>
      <c r="L804" s="938"/>
      <c r="M804" s="973">
        <v>25.35</v>
      </c>
      <c r="N804" s="938">
        <v>220.35</v>
      </c>
      <c r="O804" s="938"/>
      <c r="P804" s="966">
        <v>0</v>
      </c>
      <c r="Q804" s="938"/>
      <c r="R804" s="938"/>
      <c r="S804" s="938"/>
    </row>
    <row r="805" spans="2:19" x14ac:dyDescent="0.2">
      <c r="B805" s="932"/>
      <c r="C805" s="968" t="s">
        <v>1028</v>
      </c>
      <c r="D805" s="968">
        <v>43677</v>
      </c>
      <c r="E805" s="935" t="s">
        <v>1030</v>
      </c>
      <c r="F805" s="935" t="s">
        <v>1031</v>
      </c>
      <c r="G805" s="936" t="s">
        <v>212</v>
      </c>
      <c r="H805" s="937" t="s">
        <v>213</v>
      </c>
      <c r="I805" s="938"/>
      <c r="J805" s="938"/>
      <c r="K805" s="939">
        <v>1440.46</v>
      </c>
      <c r="L805" s="938"/>
      <c r="M805" s="973">
        <v>187.26</v>
      </c>
      <c r="N805" s="938">
        <v>1627.72</v>
      </c>
      <c r="O805" s="938"/>
      <c r="P805" s="966">
        <v>14.4046</v>
      </c>
      <c r="Q805" s="938"/>
      <c r="R805" s="938"/>
      <c r="S805" s="938"/>
    </row>
    <row r="806" spans="2:19" x14ac:dyDescent="0.2">
      <c r="B806" s="932"/>
      <c r="C806" s="968">
        <v>43698</v>
      </c>
      <c r="D806" s="968">
        <v>43678</v>
      </c>
      <c r="E806" s="935" t="s">
        <v>1032</v>
      </c>
      <c r="F806" s="935" t="s">
        <v>632</v>
      </c>
      <c r="G806" s="936" t="s">
        <v>208</v>
      </c>
      <c r="H806" s="937" t="s">
        <v>209</v>
      </c>
      <c r="I806" s="938"/>
      <c r="J806" s="938"/>
      <c r="K806" s="939">
        <v>344.44</v>
      </c>
      <c r="L806" s="938"/>
      <c r="M806" s="973">
        <v>44.78</v>
      </c>
      <c r="N806" s="938">
        <v>389.22</v>
      </c>
      <c r="O806" s="938"/>
      <c r="P806" s="966">
        <v>3.4443999999999999</v>
      </c>
      <c r="Q806" s="938"/>
      <c r="R806" s="938"/>
      <c r="S806" s="938"/>
    </row>
    <row r="807" spans="2:19" x14ac:dyDescent="0.2">
      <c r="B807" s="932"/>
      <c r="C807" s="968">
        <v>43699</v>
      </c>
      <c r="D807" s="968">
        <v>43699</v>
      </c>
      <c r="E807" s="935" t="s">
        <v>1033</v>
      </c>
      <c r="F807" s="965"/>
      <c r="G807" s="936" t="s">
        <v>188</v>
      </c>
      <c r="H807" s="937" t="s">
        <v>207</v>
      </c>
      <c r="I807" s="938"/>
      <c r="J807" s="938"/>
      <c r="K807" s="939">
        <v>191.78</v>
      </c>
      <c r="L807" s="938"/>
      <c r="M807" s="973">
        <v>24.93</v>
      </c>
      <c r="N807" s="938">
        <v>216.71</v>
      </c>
      <c r="O807" s="938"/>
      <c r="P807" s="966"/>
      <c r="Q807" s="938"/>
      <c r="R807" s="938"/>
      <c r="S807" s="938"/>
    </row>
    <row r="808" spans="2:19" x14ac:dyDescent="0.2">
      <c r="B808" s="932"/>
      <c r="C808" s="968">
        <v>43700</v>
      </c>
      <c r="D808" s="968">
        <v>43698</v>
      </c>
      <c r="E808" s="935" t="s">
        <v>1034</v>
      </c>
      <c r="F808" s="965"/>
      <c r="G808" s="936" t="s">
        <v>554</v>
      </c>
      <c r="H808" s="937" t="s">
        <v>1035</v>
      </c>
      <c r="I808" s="938"/>
      <c r="J808" s="938"/>
      <c r="K808" s="939">
        <v>63</v>
      </c>
      <c r="L808" s="938"/>
      <c r="M808" s="973">
        <v>8.19</v>
      </c>
      <c r="N808" s="938">
        <v>71.19</v>
      </c>
      <c r="O808" s="938"/>
      <c r="P808" s="966">
        <v>0</v>
      </c>
      <c r="Q808" s="938"/>
      <c r="R808" s="938"/>
      <c r="S808" s="938"/>
    </row>
    <row r="809" spans="2:19" x14ac:dyDescent="0.2">
      <c r="B809" s="932"/>
      <c r="C809" s="968">
        <v>43703</v>
      </c>
      <c r="D809" s="968">
        <v>43699</v>
      </c>
      <c r="E809" s="935" t="s">
        <v>1036</v>
      </c>
      <c r="F809" s="965"/>
      <c r="G809" s="936" t="s">
        <v>341</v>
      </c>
      <c r="H809" s="937" t="s">
        <v>347</v>
      </c>
      <c r="I809" s="938"/>
      <c r="J809" s="938"/>
      <c r="K809" s="939">
        <v>376.92</v>
      </c>
      <c r="L809" s="938"/>
      <c r="M809" s="938">
        <v>49</v>
      </c>
      <c r="N809" s="938">
        <v>425.92</v>
      </c>
      <c r="O809" s="938"/>
      <c r="P809" s="966"/>
      <c r="Q809" s="938"/>
      <c r="R809" s="938"/>
      <c r="S809" s="938"/>
    </row>
    <row r="810" spans="2:19" x14ac:dyDescent="0.2">
      <c r="B810" s="932"/>
      <c r="C810" s="968"/>
      <c r="D810" s="968"/>
      <c r="E810" s="935"/>
      <c r="F810" s="965"/>
      <c r="G810" s="936"/>
      <c r="H810" s="937"/>
      <c r="I810" s="938"/>
      <c r="J810" s="938"/>
      <c r="K810" s="939"/>
      <c r="L810" s="938"/>
      <c r="M810" s="938"/>
      <c r="N810" s="938">
        <v>0</v>
      </c>
      <c r="O810" s="938"/>
      <c r="P810" s="966"/>
      <c r="Q810" s="938"/>
      <c r="R810" s="938"/>
      <c r="S810" s="938"/>
    </row>
    <row r="811" spans="2:19" x14ac:dyDescent="0.2">
      <c r="B811" s="932"/>
      <c r="C811" s="968"/>
      <c r="D811" s="968"/>
      <c r="E811" s="935"/>
      <c r="F811" s="965"/>
      <c r="G811" s="936"/>
      <c r="H811" s="937"/>
      <c r="I811" s="938"/>
      <c r="J811" s="938"/>
      <c r="K811" s="939"/>
      <c r="L811" s="938"/>
      <c r="M811" s="939"/>
      <c r="N811" s="938">
        <v>0</v>
      </c>
      <c r="O811" s="938"/>
      <c r="P811" s="966">
        <v>0</v>
      </c>
      <c r="Q811" s="938"/>
      <c r="R811" s="938"/>
      <c r="S811" s="938"/>
    </row>
    <row r="812" spans="2:19" x14ac:dyDescent="0.2">
      <c r="B812" s="932"/>
      <c r="C812" s="968"/>
      <c r="D812" s="968"/>
      <c r="E812" s="935"/>
      <c r="F812" s="965"/>
      <c r="G812" s="936"/>
      <c r="H812" s="937"/>
      <c r="I812" s="938"/>
      <c r="J812" s="938"/>
      <c r="K812" s="939"/>
      <c r="L812" s="938"/>
      <c r="M812" s="938"/>
      <c r="N812" s="938">
        <v>0</v>
      </c>
      <c r="O812" s="938"/>
      <c r="P812" s="966">
        <v>0</v>
      </c>
      <c r="Q812" s="938"/>
      <c r="R812" s="938"/>
      <c r="S812" s="938"/>
    </row>
    <row r="813" spans="2:19" x14ac:dyDescent="0.2">
      <c r="B813" s="932"/>
      <c r="C813" s="934"/>
      <c r="D813" s="934"/>
      <c r="E813" s="935"/>
      <c r="F813" s="965"/>
      <c r="G813" s="936"/>
      <c r="H813" s="937"/>
      <c r="I813" s="938"/>
      <c r="J813" s="938"/>
      <c r="K813" s="939"/>
      <c r="L813" s="938"/>
      <c r="M813" s="938"/>
      <c r="N813" s="938"/>
      <c r="O813" s="938"/>
      <c r="P813" s="966">
        <v>0</v>
      </c>
      <c r="Q813" s="938"/>
      <c r="R813" s="938"/>
      <c r="S813" s="938"/>
    </row>
    <row r="814" spans="2:19" x14ac:dyDescent="0.2">
      <c r="B814" s="932"/>
      <c r="C814" s="934"/>
      <c r="D814" s="934"/>
      <c r="E814" s="935"/>
      <c r="F814" s="965"/>
      <c r="G814" s="936"/>
      <c r="H814" s="937"/>
      <c r="I814" s="938"/>
      <c r="J814" s="938"/>
      <c r="K814" s="939"/>
      <c r="L814" s="938"/>
      <c r="M814" s="938"/>
      <c r="N814" s="938"/>
      <c r="O814" s="938"/>
      <c r="P814" s="966">
        <v>0</v>
      </c>
      <c r="Q814" s="938"/>
      <c r="R814" s="938"/>
      <c r="S814" s="938"/>
    </row>
    <row r="815" spans="2:19" x14ac:dyDescent="0.2">
      <c r="B815" s="932"/>
      <c r="C815" s="934"/>
      <c r="D815" s="934"/>
      <c r="E815" s="935"/>
      <c r="F815" s="965"/>
      <c r="G815" s="936"/>
      <c r="H815" s="937" t="s">
        <v>273</v>
      </c>
      <c r="I815" s="938"/>
      <c r="J815" s="938"/>
      <c r="K815" s="972"/>
      <c r="L815" s="938"/>
      <c r="M815" s="933">
        <v>-614.12</v>
      </c>
      <c r="N815" s="933">
        <v>0</v>
      </c>
      <c r="O815" s="938"/>
      <c r="P815" s="966">
        <v>0</v>
      </c>
      <c r="Q815" s="938"/>
      <c r="R815" s="938"/>
      <c r="S815" s="938"/>
    </row>
    <row r="816" spans="2:19" x14ac:dyDescent="0.2">
      <c r="B816" s="932"/>
      <c r="C816" s="934"/>
      <c r="D816" s="934"/>
      <c r="E816" s="935"/>
      <c r="F816" s="965"/>
      <c r="G816" s="936"/>
      <c r="H816" s="937"/>
      <c r="I816" s="938"/>
      <c r="J816" s="938"/>
      <c r="K816" s="939"/>
      <c r="L816" s="938"/>
      <c r="M816" s="938"/>
      <c r="N816" s="938"/>
      <c r="O816" s="938"/>
      <c r="P816" s="966"/>
      <c r="Q816" s="938"/>
      <c r="R816" s="938"/>
      <c r="S816" s="938"/>
    </row>
    <row r="817" spans="2:19" x14ac:dyDescent="0.2">
      <c r="B817" s="932"/>
      <c r="C817" s="934"/>
      <c r="D817" s="934"/>
      <c r="E817" s="935"/>
      <c r="F817" s="964"/>
      <c r="G817" s="936"/>
      <c r="H817" s="937"/>
      <c r="I817" s="938"/>
      <c r="J817" s="938"/>
      <c r="K817" s="939"/>
      <c r="L817" s="938"/>
      <c r="M817" s="938"/>
      <c r="N817" s="938"/>
      <c r="O817" s="938"/>
      <c r="P817" s="938"/>
      <c r="Q817" s="938"/>
      <c r="R817" s="938"/>
      <c r="S817" s="938"/>
    </row>
    <row r="818" spans="2:19" x14ac:dyDescent="0.2">
      <c r="B818" s="932"/>
      <c r="C818" s="934"/>
      <c r="D818" s="934"/>
      <c r="E818" s="935"/>
      <c r="F818" s="963"/>
      <c r="G818" s="936"/>
      <c r="H818" s="937"/>
      <c r="I818" s="938"/>
      <c r="J818" s="938"/>
      <c r="K818" s="938"/>
      <c r="L818" s="938"/>
      <c r="M818" s="938"/>
      <c r="N818" s="938">
        <v>0</v>
      </c>
      <c r="O818" s="938"/>
      <c r="P818" s="938"/>
      <c r="Q818" s="938"/>
      <c r="R818" s="938"/>
      <c r="S818" s="938"/>
    </row>
    <row r="819" spans="2:19" ht="13.5" thickBot="1" x14ac:dyDescent="0.25">
      <c r="B819" s="941"/>
      <c r="C819" s="942"/>
      <c r="D819" s="943"/>
      <c r="E819" s="942"/>
      <c r="F819" s="944"/>
      <c r="G819" s="945"/>
      <c r="H819" s="946"/>
      <c r="I819" s="947"/>
      <c r="J819" s="948"/>
      <c r="K819" s="948"/>
      <c r="L819" s="949"/>
      <c r="M819" s="948"/>
      <c r="N819" s="948"/>
      <c r="O819" s="948"/>
      <c r="P819" s="948"/>
      <c r="Q819" s="950"/>
      <c r="R819" s="950"/>
      <c r="S819" s="950"/>
    </row>
    <row r="820" spans="2:19" x14ac:dyDescent="0.2">
      <c r="B820" s="905"/>
      <c r="C820" s="906"/>
      <c r="D820" s="951"/>
      <c r="E820" s="906"/>
      <c r="F820" s="952"/>
      <c r="G820" s="878"/>
      <c r="H820" s="879"/>
      <c r="I820" s="953"/>
      <c r="J820" s="901"/>
      <c r="K820" s="901"/>
      <c r="L820" s="954"/>
      <c r="M820" s="901"/>
      <c r="N820" s="901"/>
      <c r="O820" s="901"/>
      <c r="P820" s="901"/>
      <c r="Q820" s="955"/>
      <c r="R820" s="955"/>
      <c r="S820" s="955"/>
    </row>
    <row r="821" spans="2:19" x14ac:dyDescent="0.2">
      <c r="B821" s="905"/>
      <c r="C821" s="895"/>
      <c r="D821" s="896"/>
      <c r="E821" s="895"/>
      <c r="F821" s="881"/>
      <c r="G821" s="878"/>
      <c r="H821" s="956" t="s">
        <v>261</v>
      </c>
      <c r="I821" s="954">
        <v>0</v>
      </c>
      <c r="J821" s="954">
        <v>0</v>
      </c>
      <c r="K821" s="954">
        <v>4724.12</v>
      </c>
      <c r="L821" s="954">
        <v>0</v>
      </c>
      <c r="M821" s="954">
        <v>0</v>
      </c>
      <c r="N821" s="954">
        <v>5338.24</v>
      </c>
      <c r="O821" s="954">
        <v>0</v>
      </c>
      <c r="P821" s="954">
        <v>36.471699999999998</v>
      </c>
      <c r="Q821" s="954">
        <v>0</v>
      </c>
      <c r="R821" s="954">
        <v>0</v>
      </c>
      <c r="S821" s="954">
        <v>0</v>
      </c>
    </row>
    <row r="822" spans="2:19" ht="13.5" thickBot="1" x14ac:dyDescent="0.25">
      <c r="B822" s="941"/>
      <c r="C822" s="957"/>
      <c r="D822" s="958"/>
      <c r="E822" s="957"/>
      <c r="F822" s="959"/>
      <c r="G822" s="945"/>
      <c r="H822" s="960"/>
      <c r="I822" s="949"/>
      <c r="J822" s="961"/>
      <c r="K822" s="961"/>
      <c r="L822" s="961"/>
      <c r="M822" s="961"/>
      <c r="N822" s="961"/>
      <c r="O822" s="961"/>
      <c r="P822" s="961"/>
      <c r="Q822" s="949"/>
      <c r="R822" s="949"/>
      <c r="S822" s="962"/>
    </row>
    <row r="823" spans="2:19" x14ac:dyDescent="0.2">
      <c r="B823" s="905"/>
      <c r="C823" s="895"/>
      <c r="D823" s="896"/>
      <c r="E823" s="895"/>
      <c r="F823" s="881"/>
      <c r="G823" s="878"/>
      <c r="H823" s="956"/>
      <c r="I823" s="880"/>
      <c r="J823" s="954"/>
      <c r="K823" s="954"/>
      <c r="L823" s="880"/>
      <c r="M823" s="954"/>
      <c r="N823" s="954"/>
      <c r="O823" s="954"/>
      <c r="P823" s="954"/>
      <c r="Q823" s="880"/>
      <c r="R823" s="880"/>
      <c r="S823" s="956"/>
    </row>
    <row r="827" spans="2:19" ht="21" x14ac:dyDescent="0.35">
      <c r="B827" s="883" t="s">
        <v>218</v>
      </c>
      <c r="C827" s="884"/>
      <c r="D827" s="885"/>
      <c r="E827" s="885"/>
      <c r="F827" s="885"/>
      <c r="G827" s="886"/>
      <c r="H827" s="887"/>
      <c r="I827" s="887"/>
      <c r="J827" s="887"/>
      <c r="K827" s="887"/>
      <c r="L827" s="887"/>
      <c r="M827" s="887"/>
      <c r="N827" s="888"/>
      <c r="O827" s="882"/>
      <c r="P827" s="882"/>
      <c r="Q827" s="882"/>
      <c r="R827" s="882"/>
      <c r="S827" s="882"/>
    </row>
    <row r="828" spans="2:19" ht="15.75" x14ac:dyDescent="0.25">
      <c r="B828" s="885" t="s">
        <v>134</v>
      </c>
      <c r="C828" s="885"/>
      <c r="D828" s="885"/>
      <c r="E828" s="885"/>
      <c r="F828" s="885"/>
      <c r="G828" s="886"/>
      <c r="H828" s="887"/>
      <c r="I828" s="887"/>
      <c r="J828" s="887"/>
      <c r="K828" s="887"/>
      <c r="L828" s="1044"/>
      <c r="M828" s="1044"/>
      <c r="N828" s="888"/>
      <c r="O828" s="882"/>
      <c r="P828" s="882"/>
      <c r="Q828" s="882"/>
      <c r="R828" s="882"/>
      <c r="S828" s="882"/>
    </row>
    <row r="829" spans="2:19" ht="15.75" x14ac:dyDescent="0.25">
      <c r="B829" s="884" t="s">
        <v>135</v>
      </c>
      <c r="C829" s="885"/>
      <c r="D829" s="885"/>
      <c r="E829" s="885"/>
      <c r="F829" s="885"/>
      <c r="G829" s="886"/>
      <c r="H829" s="887"/>
      <c r="I829" s="887"/>
      <c r="J829" s="887"/>
      <c r="K829" s="887"/>
      <c r="L829" s="887"/>
      <c r="M829" s="887"/>
      <c r="N829" s="888"/>
      <c r="O829" s="882"/>
      <c r="P829" s="882"/>
      <c r="Q829" s="882"/>
      <c r="R829" s="882"/>
      <c r="S829" s="882"/>
    </row>
    <row r="830" spans="2:19" ht="15.75" x14ac:dyDescent="0.25">
      <c r="B830" s="885" t="s">
        <v>190</v>
      </c>
      <c r="C830" s="885"/>
      <c r="D830" s="885"/>
      <c r="E830" s="885"/>
      <c r="F830" s="885"/>
      <c r="G830" s="886"/>
      <c r="H830" s="887"/>
      <c r="I830" s="887"/>
      <c r="J830" s="887"/>
      <c r="K830" s="887"/>
      <c r="L830" s="887"/>
      <c r="M830" s="887"/>
      <c r="N830" s="888"/>
      <c r="O830" s="882"/>
      <c r="P830" s="882"/>
      <c r="Q830" s="882"/>
      <c r="R830" s="882"/>
      <c r="S830" s="882"/>
    </row>
    <row r="831" spans="2:19" ht="15.75" x14ac:dyDescent="0.25">
      <c r="B831" s="889" t="s">
        <v>219</v>
      </c>
      <c r="C831" s="890" t="s">
        <v>1037</v>
      </c>
      <c r="D831" s="891"/>
      <c r="E831" s="892">
        <v>2019</v>
      </c>
      <c r="F831" s="885"/>
      <c r="G831" s="886"/>
      <c r="H831" s="162"/>
      <c r="I831" s="893"/>
      <c r="J831" s="893"/>
      <c r="K831" s="893"/>
      <c r="L831" s="893"/>
      <c r="M831" s="893"/>
      <c r="N831" s="888"/>
      <c r="O831" s="882"/>
      <c r="P831" s="882"/>
      <c r="Q831" s="882"/>
      <c r="R831" s="882"/>
      <c r="S831" s="882"/>
    </row>
    <row r="832" spans="2:19" x14ac:dyDescent="0.2">
      <c r="B832" s="163"/>
      <c r="C832" s="164"/>
      <c r="D832" s="165"/>
      <c r="E832" s="166"/>
      <c r="F832" s="167"/>
      <c r="G832" s="168"/>
      <c r="H832" s="168"/>
      <c r="I832" s="169"/>
      <c r="J832" s="170"/>
      <c r="K832" s="171"/>
      <c r="L832" s="170"/>
      <c r="M832" s="171"/>
      <c r="N832" s="171"/>
      <c r="O832" s="170"/>
      <c r="P832" s="170"/>
      <c r="Q832" s="168"/>
      <c r="R832" s="168"/>
      <c r="S832" s="172"/>
    </row>
    <row r="833" spans="2:19" x14ac:dyDescent="0.2">
      <c r="B833" s="163"/>
      <c r="C833" s="164"/>
      <c r="D833" s="165"/>
      <c r="E833" s="166"/>
      <c r="F833" s="243"/>
      <c r="G833" s="173"/>
      <c r="H833" s="174"/>
      <c r="I833" s="169"/>
      <c r="J833" s="170"/>
      <c r="K833" s="171"/>
      <c r="L833" s="170"/>
      <c r="M833" s="171"/>
      <c r="N833" s="171"/>
      <c r="O833" s="170"/>
      <c r="P833" s="170"/>
      <c r="Q833" s="168"/>
      <c r="R833" s="168"/>
      <c r="S833" s="172"/>
    </row>
    <row r="834" spans="2:19" x14ac:dyDescent="0.2">
      <c r="B834" s="175"/>
      <c r="C834" s="176"/>
      <c r="D834" s="177"/>
      <c r="E834" s="166"/>
      <c r="F834" s="167"/>
      <c r="G834" s="178"/>
      <c r="H834" s="168"/>
      <c r="I834" s="169"/>
      <c r="J834" s="170"/>
      <c r="K834" s="171"/>
      <c r="L834" s="170"/>
      <c r="M834" s="171"/>
      <c r="N834" s="171"/>
      <c r="O834" s="170"/>
      <c r="P834" s="908">
        <v>0.01</v>
      </c>
      <c r="Q834" s="168"/>
      <c r="R834" s="168" t="s">
        <v>220</v>
      </c>
      <c r="S834" s="909">
        <v>0.13</v>
      </c>
    </row>
    <row r="835" spans="2:19" x14ac:dyDescent="0.2">
      <c r="B835" s="179" t="s">
        <v>221</v>
      </c>
      <c r="C835" s="180" t="s">
        <v>136</v>
      </c>
      <c r="D835" s="181" t="s">
        <v>136</v>
      </c>
      <c r="E835" s="182" t="s">
        <v>137</v>
      </c>
      <c r="F835" s="182" t="s">
        <v>222</v>
      </c>
      <c r="G835" s="312" t="s">
        <v>223</v>
      </c>
      <c r="H835" s="1042" t="s">
        <v>139</v>
      </c>
      <c r="I835" s="328" t="s">
        <v>224</v>
      </c>
      <c r="J835" s="329"/>
      <c r="K835" s="330" t="s">
        <v>225</v>
      </c>
      <c r="L835" s="331"/>
      <c r="M835" s="332"/>
      <c r="N835" s="313" t="s">
        <v>140</v>
      </c>
      <c r="O835" s="183" t="s">
        <v>226</v>
      </c>
      <c r="P835" s="184" t="s">
        <v>227</v>
      </c>
      <c r="Q835" s="185" t="s">
        <v>228</v>
      </c>
      <c r="R835" s="185" t="s">
        <v>229</v>
      </c>
      <c r="S835" s="185" t="s">
        <v>229</v>
      </c>
    </row>
    <row r="836" spans="2:19" x14ac:dyDescent="0.2">
      <c r="B836" s="186"/>
      <c r="C836" s="732" t="s">
        <v>230</v>
      </c>
      <c r="D836" s="733" t="s">
        <v>141</v>
      </c>
      <c r="E836" s="189" t="s">
        <v>141</v>
      </c>
      <c r="F836" s="190" t="s">
        <v>231</v>
      </c>
      <c r="G836" s="314" t="s">
        <v>142</v>
      </c>
      <c r="H836" s="1043"/>
      <c r="I836" s="315" t="s">
        <v>232</v>
      </c>
      <c r="J836" s="316" t="s">
        <v>233</v>
      </c>
      <c r="K836" s="317" t="s">
        <v>232</v>
      </c>
      <c r="L836" s="318" t="s">
        <v>233</v>
      </c>
      <c r="M836" s="317" t="s">
        <v>46</v>
      </c>
      <c r="N836" s="319" t="s">
        <v>234</v>
      </c>
      <c r="O836" s="191" t="s">
        <v>235</v>
      </c>
      <c r="P836" s="191" t="s">
        <v>236</v>
      </c>
      <c r="Q836" s="192" t="s">
        <v>237</v>
      </c>
      <c r="R836" s="192" t="s">
        <v>238</v>
      </c>
      <c r="S836" s="192" t="s">
        <v>239</v>
      </c>
    </row>
    <row r="837" spans="2:19" x14ac:dyDescent="0.2">
      <c r="B837" s="193"/>
      <c r="C837" s="256">
        <v>43711</v>
      </c>
      <c r="D837" s="256">
        <v>43711</v>
      </c>
      <c r="E837" s="195" t="s">
        <v>1038</v>
      </c>
      <c r="F837" s="162"/>
      <c r="G837" s="196" t="s">
        <v>188</v>
      </c>
      <c r="H837" s="197" t="e">
        <f>+VLOOKUP(G837,#REF!,2,0)</f>
        <v>#REF!</v>
      </c>
      <c r="I837" s="938"/>
      <c r="J837" s="938"/>
      <c r="K837" s="939">
        <v>980.96</v>
      </c>
      <c r="L837" s="938"/>
      <c r="M837" s="973">
        <v>127.52</v>
      </c>
      <c r="N837" s="938">
        <f t="shared" ref="N837:N857" si="45">+K837+M837</f>
        <v>1108.48</v>
      </c>
      <c r="O837" s="938"/>
      <c r="P837" s="966">
        <v>0</v>
      </c>
      <c r="Q837" s="938"/>
      <c r="R837" s="938"/>
      <c r="S837" s="938"/>
    </row>
    <row r="838" spans="2:19" x14ac:dyDescent="0.2">
      <c r="B838" s="193"/>
      <c r="C838" s="256">
        <v>43712</v>
      </c>
      <c r="D838" s="256">
        <v>43712</v>
      </c>
      <c r="E838" s="195" t="s">
        <v>1039</v>
      </c>
      <c r="F838" s="162"/>
      <c r="G838" s="196" t="s">
        <v>188</v>
      </c>
      <c r="H838" s="197" t="e">
        <f>+VLOOKUP(G838,#REF!,2,0)</f>
        <v>#REF!</v>
      </c>
      <c r="I838" s="938"/>
      <c r="J838" s="938"/>
      <c r="K838" s="939">
        <v>55.48</v>
      </c>
      <c r="L838" s="938"/>
      <c r="M838" s="973">
        <v>7.21</v>
      </c>
      <c r="N838" s="938">
        <f t="shared" si="45"/>
        <v>62.69</v>
      </c>
      <c r="O838" s="938"/>
      <c r="P838" s="966"/>
      <c r="Q838" s="938"/>
      <c r="R838" s="938"/>
      <c r="S838" s="938"/>
    </row>
    <row r="839" spans="2:19" x14ac:dyDescent="0.2">
      <c r="B839" s="193"/>
      <c r="C839" s="256">
        <v>43713</v>
      </c>
      <c r="D839" s="256">
        <v>43713</v>
      </c>
      <c r="E839" s="195" t="s">
        <v>1040</v>
      </c>
      <c r="F839" s="195"/>
      <c r="G839" s="196" t="s">
        <v>188</v>
      </c>
      <c r="H839" s="197" t="e">
        <f>+VLOOKUP(G839,#REF!,2,0)</f>
        <v>#REF!</v>
      </c>
      <c r="I839" s="938"/>
      <c r="J839" s="938"/>
      <c r="K839" s="939">
        <v>47.95</v>
      </c>
      <c r="L839" s="938"/>
      <c r="M839" s="973">
        <v>6.23</v>
      </c>
      <c r="N839" s="938">
        <f t="shared" si="45"/>
        <v>54.180000000000007</v>
      </c>
      <c r="O839" s="938"/>
      <c r="P839" s="966">
        <v>0</v>
      </c>
      <c r="Q839" s="938"/>
      <c r="R839" s="938"/>
      <c r="S839" s="938"/>
    </row>
    <row r="840" spans="2:19" x14ac:dyDescent="0.2">
      <c r="B840" s="193"/>
      <c r="C840" s="256">
        <v>43713</v>
      </c>
      <c r="D840" s="256">
        <v>43710</v>
      </c>
      <c r="E840" s="195" t="s">
        <v>1010</v>
      </c>
      <c r="F840" s="195" t="s">
        <v>633</v>
      </c>
      <c r="G840" s="196" t="s">
        <v>208</v>
      </c>
      <c r="H840" s="197" t="e">
        <f>+VLOOKUP(G840,#REF!,2,0)</f>
        <v>#REF!</v>
      </c>
      <c r="I840" s="938"/>
      <c r="J840" s="938"/>
      <c r="K840" s="939">
        <v>118.18</v>
      </c>
      <c r="L840" s="938"/>
      <c r="M840" s="973">
        <v>15.36</v>
      </c>
      <c r="N840" s="938">
        <f t="shared" si="45"/>
        <v>133.54000000000002</v>
      </c>
      <c r="O840" s="938"/>
      <c r="P840" s="966">
        <f>K840*0.01</f>
        <v>1.1818000000000002</v>
      </c>
      <c r="Q840" s="938"/>
      <c r="R840" s="938"/>
      <c r="S840" s="938"/>
    </row>
    <row r="841" spans="2:19" x14ac:dyDescent="0.2">
      <c r="B841" s="193"/>
      <c r="C841" s="772" t="s">
        <v>1041</v>
      </c>
      <c r="D841" s="772" t="s">
        <v>1041</v>
      </c>
      <c r="E841" s="195" t="s">
        <v>1042</v>
      </c>
      <c r="F841" s="162"/>
      <c r="G841" s="196" t="s">
        <v>188</v>
      </c>
      <c r="H841" s="197" t="e">
        <f>+VLOOKUP(G841,#REF!,2,0)</f>
        <v>#REF!</v>
      </c>
      <c r="I841" s="938"/>
      <c r="J841" s="938"/>
      <c r="K841" s="939">
        <v>41.1</v>
      </c>
      <c r="L841" s="938"/>
      <c r="M841" s="973">
        <v>5.34</v>
      </c>
      <c r="N841" s="938">
        <f t="shared" si="45"/>
        <v>46.44</v>
      </c>
      <c r="O841" s="938"/>
      <c r="P841" s="966">
        <v>0</v>
      </c>
      <c r="Q841" s="938"/>
      <c r="R841" s="938"/>
      <c r="S841" s="938"/>
    </row>
    <row r="842" spans="2:19" x14ac:dyDescent="0.2">
      <c r="B842" s="193"/>
      <c r="C842" s="256">
        <v>43720</v>
      </c>
      <c r="D842" s="256">
        <v>43720</v>
      </c>
      <c r="E842" s="195" t="s">
        <v>1043</v>
      </c>
      <c r="F842" s="162"/>
      <c r="G842" s="195" t="s">
        <v>188</v>
      </c>
      <c r="H842" s="197" t="e">
        <f>+VLOOKUP(G842,#REF!,2,0)</f>
        <v>#REF!</v>
      </c>
      <c r="I842" s="938"/>
      <c r="J842" s="938"/>
      <c r="K842" s="939">
        <v>47.95</v>
      </c>
      <c r="L842" s="938"/>
      <c r="M842" s="973">
        <v>6.23</v>
      </c>
      <c r="N842" s="938">
        <f t="shared" si="45"/>
        <v>54.180000000000007</v>
      </c>
      <c r="O842" s="938"/>
      <c r="P842" s="966">
        <v>0</v>
      </c>
      <c r="Q842" s="938"/>
      <c r="R842" s="938"/>
      <c r="S842" s="938"/>
    </row>
    <row r="843" spans="2:19" x14ac:dyDescent="0.2">
      <c r="B843" s="193"/>
      <c r="C843" s="256">
        <v>43720</v>
      </c>
      <c r="D843" s="256">
        <v>43720</v>
      </c>
      <c r="E843" s="195" t="s">
        <v>1044</v>
      </c>
      <c r="F843" s="195"/>
      <c r="G843" s="196" t="s">
        <v>47</v>
      </c>
      <c r="H843" s="197" t="e">
        <f>+VLOOKUP(G843,#REF!,2,0)</f>
        <v>#REF!</v>
      </c>
      <c r="I843" s="938"/>
      <c r="J843" s="938"/>
      <c r="K843" s="939">
        <v>133.80000000000001</v>
      </c>
      <c r="L843" s="938"/>
      <c r="M843" s="973">
        <v>17.39</v>
      </c>
      <c r="N843" s="938">
        <f t="shared" si="45"/>
        <v>151.19</v>
      </c>
      <c r="O843" s="938"/>
      <c r="P843" s="966">
        <f>K843*0.01</f>
        <v>1.3380000000000001</v>
      </c>
      <c r="Q843" s="938"/>
      <c r="R843" s="938"/>
      <c r="S843" s="938"/>
    </row>
    <row r="844" spans="2:19" x14ac:dyDescent="0.2">
      <c r="B844" s="193"/>
      <c r="C844" s="256">
        <v>43725</v>
      </c>
      <c r="D844" s="256">
        <v>43725</v>
      </c>
      <c r="E844" s="195" t="s">
        <v>1045</v>
      </c>
      <c r="F844" s="195"/>
      <c r="G844" s="196" t="s">
        <v>188</v>
      </c>
      <c r="H844" s="197" t="e">
        <f>+VLOOKUP(G844,#REF!,2,0)</f>
        <v>#REF!</v>
      </c>
      <c r="I844" s="938"/>
      <c r="J844" s="938"/>
      <c r="K844" s="939">
        <v>1187.3399999999999</v>
      </c>
      <c r="L844" s="938"/>
      <c r="M844" s="973">
        <v>154.35</v>
      </c>
      <c r="N844" s="938">
        <f t="shared" si="45"/>
        <v>1341.6899999999998</v>
      </c>
      <c r="O844" s="938"/>
      <c r="P844" s="966">
        <f>K844*0.01</f>
        <v>11.8734</v>
      </c>
      <c r="Q844" s="938"/>
      <c r="R844" s="938"/>
      <c r="S844" s="938"/>
    </row>
    <row r="845" spans="2:19" x14ac:dyDescent="0.2">
      <c r="B845" s="193"/>
      <c r="C845" s="804" t="s">
        <v>1046</v>
      </c>
      <c r="D845" s="256">
        <v>43710</v>
      </c>
      <c r="E845" s="195" t="s">
        <v>1047</v>
      </c>
      <c r="F845" s="162" t="s">
        <v>1048</v>
      </c>
      <c r="G845" s="196" t="s">
        <v>208</v>
      </c>
      <c r="H845" s="197" t="e">
        <f>+VLOOKUP(G845,#REF!,2,0)</f>
        <v>#REF!</v>
      </c>
      <c r="I845" s="938"/>
      <c r="J845" s="938"/>
      <c r="K845" s="939">
        <v>344.44</v>
      </c>
      <c r="L845" s="938"/>
      <c r="M845" s="973">
        <v>44.78</v>
      </c>
      <c r="N845" s="938">
        <f t="shared" si="45"/>
        <v>389.22</v>
      </c>
      <c r="O845" s="938"/>
      <c r="P845" s="966">
        <f>K845*0.01</f>
        <v>3.4443999999999999</v>
      </c>
      <c r="Q845" s="938"/>
      <c r="R845" s="938"/>
      <c r="S845" s="938"/>
    </row>
    <row r="846" spans="2:19" x14ac:dyDescent="0.2">
      <c r="B846" s="193"/>
      <c r="C846" s="256">
        <v>43732</v>
      </c>
      <c r="D846" s="256">
        <v>43728</v>
      </c>
      <c r="E846" s="195" t="s">
        <v>1049</v>
      </c>
      <c r="F846" s="162"/>
      <c r="G846" s="196" t="s">
        <v>554</v>
      </c>
      <c r="H846" s="197" t="e">
        <f>+VLOOKUP(G846,#REF!,2,0)</f>
        <v>#REF!</v>
      </c>
      <c r="I846" s="938"/>
      <c r="J846" s="938"/>
      <c r="K846" s="939">
        <v>63</v>
      </c>
      <c r="L846" s="938"/>
      <c r="M846" s="973">
        <v>8.19</v>
      </c>
      <c r="N846" s="938">
        <f t="shared" si="45"/>
        <v>71.19</v>
      </c>
      <c r="O846" s="938"/>
      <c r="P846" s="966">
        <v>0</v>
      </c>
      <c r="Q846" s="938"/>
      <c r="R846" s="938"/>
      <c r="S846" s="938"/>
    </row>
    <row r="847" spans="2:19" x14ac:dyDescent="0.2">
      <c r="B847" s="193"/>
      <c r="C847" s="256">
        <v>43732</v>
      </c>
      <c r="D847" s="256">
        <v>43705</v>
      </c>
      <c r="E847" s="195" t="s">
        <v>1050</v>
      </c>
      <c r="F847" s="162"/>
      <c r="G847" s="196" t="s">
        <v>462</v>
      </c>
      <c r="H847" s="197" t="e">
        <f>+VLOOKUP(G847,#REF!,2,0)</f>
        <v>#REF!</v>
      </c>
      <c r="I847" s="938"/>
      <c r="J847" s="938"/>
      <c r="K847" s="939">
        <v>3.15</v>
      </c>
      <c r="L847" s="938"/>
      <c r="M847" s="938">
        <v>0.41</v>
      </c>
      <c r="N847" s="938">
        <f t="shared" si="45"/>
        <v>3.56</v>
      </c>
      <c r="O847" s="938"/>
      <c r="P847" s="966"/>
      <c r="Q847" s="938"/>
      <c r="R847" s="938"/>
      <c r="S847" s="938"/>
    </row>
    <row r="848" spans="2:19" x14ac:dyDescent="0.2">
      <c r="B848" s="193"/>
      <c r="C848" s="256">
        <v>43732</v>
      </c>
      <c r="D848" s="256">
        <v>43705</v>
      </c>
      <c r="E848" s="195" t="s">
        <v>1051</v>
      </c>
      <c r="F848" s="162"/>
      <c r="G848" s="196" t="s">
        <v>462</v>
      </c>
      <c r="H848" s="197" t="e">
        <f>+VLOOKUP(G848,#REF!,2,0)</f>
        <v>#REF!</v>
      </c>
      <c r="I848" s="938"/>
      <c r="J848" s="938"/>
      <c r="K848" s="939">
        <v>41.94</v>
      </c>
      <c r="L848" s="938"/>
      <c r="M848" s="938">
        <v>5.46</v>
      </c>
      <c r="N848" s="938">
        <f t="shared" si="45"/>
        <v>47.4</v>
      </c>
      <c r="O848" s="938"/>
      <c r="P848" s="966"/>
      <c r="Q848" s="938"/>
      <c r="R848" s="938"/>
      <c r="S848" s="938"/>
    </row>
    <row r="849" spans="2:19" x14ac:dyDescent="0.2">
      <c r="B849" s="193"/>
      <c r="C849" s="256">
        <v>43732</v>
      </c>
      <c r="D849" s="256">
        <v>43705</v>
      </c>
      <c r="E849" s="195" t="s">
        <v>1052</v>
      </c>
      <c r="F849" s="162"/>
      <c r="G849" s="196" t="s">
        <v>462</v>
      </c>
      <c r="H849" s="197" t="e">
        <f>+VLOOKUP(G849,#REF!,2,0)</f>
        <v>#REF!</v>
      </c>
      <c r="I849" s="938"/>
      <c r="J849" s="938"/>
      <c r="K849" s="939">
        <v>256.97000000000003</v>
      </c>
      <c r="L849" s="938"/>
      <c r="M849" s="939">
        <v>33.409999999999997</v>
      </c>
      <c r="N849" s="938">
        <f t="shared" si="45"/>
        <v>290.38</v>
      </c>
      <c r="O849" s="938"/>
      <c r="P849" s="966">
        <v>0</v>
      </c>
      <c r="Q849" s="938"/>
      <c r="R849" s="938"/>
      <c r="S849" s="938"/>
    </row>
    <row r="850" spans="2:19" x14ac:dyDescent="0.2">
      <c r="B850" s="193"/>
      <c r="C850" s="256">
        <v>43732</v>
      </c>
      <c r="D850" s="256">
        <v>43705</v>
      </c>
      <c r="E850" s="195" t="s">
        <v>1053</v>
      </c>
      <c r="F850" s="162"/>
      <c r="G850" s="196" t="s">
        <v>462</v>
      </c>
      <c r="H850" s="197" t="e">
        <f>+VLOOKUP(G850,#REF!,2,0)</f>
        <v>#REF!</v>
      </c>
      <c r="I850" s="938"/>
      <c r="J850" s="938"/>
      <c r="K850" s="939">
        <v>3.45</v>
      </c>
      <c r="L850" s="938"/>
      <c r="M850" s="938">
        <v>0.45</v>
      </c>
      <c r="N850" s="938">
        <f t="shared" si="45"/>
        <v>3.9000000000000004</v>
      </c>
      <c r="O850" s="938"/>
      <c r="P850" s="966">
        <v>0</v>
      </c>
      <c r="Q850" s="938"/>
      <c r="R850" s="938"/>
      <c r="S850" s="938"/>
    </row>
    <row r="851" spans="2:19" x14ac:dyDescent="0.2">
      <c r="B851" s="193"/>
      <c r="C851" s="256">
        <v>43732</v>
      </c>
      <c r="D851" s="256">
        <v>43705</v>
      </c>
      <c r="E851" s="195" t="s">
        <v>1054</v>
      </c>
      <c r="F851" s="162"/>
      <c r="G851" s="196" t="s">
        <v>462</v>
      </c>
      <c r="H851" s="197" t="e">
        <f>+VLOOKUP(G851,#REF!,2,0)</f>
        <v>#REF!</v>
      </c>
      <c r="I851" s="938"/>
      <c r="J851" s="938"/>
      <c r="K851" s="939">
        <v>69.09</v>
      </c>
      <c r="L851" s="938"/>
      <c r="M851" s="938">
        <v>8.98</v>
      </c>
      <c r="N851" s="938">
        <f t="shared" si="45"/>
        <v>78.070000000000007</v>
      </c>
      <c r="O851" s="938"/>
      <c r="P851" s="966">
        <v>0</v>
      </c>
      <c r="Q851" s="938"/>
      <c r="R851" s="938"/>
      <c r="S851" s="938"/>
    </row>
    <row r="852" spans="2:19" x14ac:dyDescent="0.2">
      <c r="B852" s="193"/>
      <c r="C852" s="256">
        <v>43732</v>
      </c>
      <c r="D852" s="256">
        <v>43705</v>
      </c>
      <c r="E852" s="195" t="s">
        <v>1055</v>
      </c>
      <c r="F852" s="767"/>
      <c r="G852" s="196" t="s">
        <v>462</v>
      </c>
      <c r="H852" s="197" t="e">
        <f>+VLOOKUP(G852,#REF!,2,0)</f>
        <v>#REF!</v>
      </c>
      <c r="I852" s="938"/>
      <c r="J852" s="938"/>
      <c r="K852" s="939">
        <v>17.05</v>
      </c>
      <c r="L852" s="938"/>
      <c r="M852" s="940">
        <v>2.21</v>
      </c>
      <c r="N852" s="938">
        <f t="shared" si="45"/>
        <v>19.260000000000002</v>
      </c>
      <c r="O852" s="938"/>
      <c r="P852" s="966"/>
      <c r="Q852" s="938"/>
      <c r="R852" s="938"/>
      <c r="S852" s="938"/>
    </row>
    <row r="853" spans="2:19" x14ac:dyDescent="0.2">
      <c r="B853" s="193"/>
      <c r="C853" s="256">
        <v>43732</v>
      </c>
      <c r="D853" s="256">
        <v>43705</v>
      </c>
      <c r="E853" s="681">
        <v>217719</v>
      </c>
      <c r="F853" s="767"/>
      <c r="G853" s="196" t="s">
        <v>462</v>
      </c>
      <c r="H853" s="197" t="e">
        <f>+VLOOKUP(G853,#REF!,2,0)</f>
        <v>#REF!</v>
      </c>
      <c r="I853" s="938"/>
      <c r="J853" s="938"/>
      <c r="K853" s="939">
        <v>20.56</v>
      </c>
      <c r="L853" s="938"/>
      <c r="M853" s="940">
        <v>2.66</v>
      </c>
      <c r="N853" s="938">
        <f t="shared" si="45"/>
        <v>23.22</v>
      </c>
      <c r="O853" s="938"/>
      <c r="P853" s="966">
        <v>0</v>
      </c>
      <c r="Q853" s="938"/>
      <c r="R853" s="938"/>
      <c r="S853" s="938"/>
    </row>
    <row r="854" spans="2:19" x14ac:dyDescent="0.2">
      <c r="B854" s="193"/>
      <c r="C854" s="256">
        <v>43732</v>
      </c>
      <c r="D854" s="256">
        <v>43705</v>
      </c>
      <c r="E854" s="195" t="s">
        <v>1056</v>
      </c>
      <c r="F854" s="767"/>
      <c r="G854" s="196" t="s">
        <v>462</v>
      </c>
      <c r="H854" s="197" t="e">
        <f>+VLOOKUP(G854,#REF!,2,0)</f>
        <v>#REF!</v>
      </c>
      <c r="I854" s="938"/>
      <c r="J854" s="938"/>
      <c r="K854" s="939">
        <v>12.62</v>
      </c>
      <c r="L854" s="938"/>
      <c r="M854" s="940">
        <v>1.64</v>
      </c>
      <c r="N854" s="938">
        <f t="shared" si="45"/>
        <v>14.26</v>
      </c>
      <c r="O854" s="938"/>
      <c r="P854" s="966"/>
      <c r="Q854" s="938"/>
      <c r="R854" s="938"/>
      <c r="S854" s="938"/>
    </row>
    <row r="855" spans="2:19" x14ac:dyDescent="0.2">
      <c r="B855" s="193"/>
      <c r="C855" s="256">
        <v>43732</v>
      </c>
      <c r="D855" s="256">
        <v>43705</v>
      </c>
      <c r="E855" s="195" t="s">
        <v>1057</v>
      </c>
      <c r="F855" s="767"/>
      <c r="G855" s="196" t="s">
        <v>462</v>
      </c>
      <c r="H855" s="197" t="e">
        <f>+VLOOKUP(G855,#REF!,2,0)</f>
        <v>#REF!</v>
      </c>
      <c r="I855" s="938"/>
      <c r="J855" s="938"/>
      <c r="K855" s="939">
        <v>143.26</v>
      </c>
      <c r="L855" s="938"/>
      <c r="M855" s="940">
        <v>18.62</v>
      </c>
      <c r="N855" s="938">
        <f t="shared" si="45"/>
        <v>161.88</v>
      </c>
      <c r="O855" s="938"/>
      <c r="P855" s="966"/>
      <c r="Q855" s="938"/>
      <c r="R855" s="938"/>
      <c r="S855" s="938"/>
    </row>
    <row r="856" spans="2:19" x14ac:dyDescent="0.2">
      <c r="B856" s="193"/>
      <c r="C856" s="194">
        <v>43733</v>
      </c>
      <c r="D856" s="194">
        <v>43733</v>
      </c>
      <c r="E856" s="195" t="s">
        <v>1058</v>
      </c>
      <c r="F856" s="767"/>
      <c r="G856" s="196" t="s">
        <v>188</v>
      </c>
      <c r="H856" s="197" t="e">
        <f>+VLOOKUP(G856,#REF!,2,0)</f>
        <v>#REF!</v>
      </c>
      <c r="I856" s="938"/>
      <c r="J856" s="938"/>
      <c r="K856" s="939">
        <v>41.1</v>
      </c>
      <c r="L856" s="938"/>
      <c r="M856" s="938">
        <v>5.34</v>
      </c>
      <c r="N856" s="938">
        <f t="shared" si="45"/>
        <v>46.44</v>
      </c>
      <c r="O856" s="938">
        <v>0</v>
      </c>
      <c r="P856" s="966">
        <v>0</v>
      </c>
      <c r="Q856" s="938"/>
      <c r="R856" s="938"/>
      <c r="S856" s="938"/>
    </row>
    <row r="857" spans="2:19" x14ac:dyDescent="0.2">
      <c r="B857" s="193"/>
      <c r="C857" s="194">
        <v>43734</v>
      </c>
      <c r="D857" s="194">
        <v>43734</v>
      </c>
      <c r="E857" s="195" t="s">
        <v>1059</v>
      </c>
      <c r="F857" s="162"/>
      <c r="G857" s="196"/>
      <c r="H857" s="197" t="s">
        <v>430</v>
      </c>
      <c r="I857" s="938"/>
      <c r="J857" s="938"/>
      <c r="K857" s="939">
        <v>321</v>
      </c>
      <c r="L857" s="938"/>
      <c r="M857" s="938">
        <v>41.73</v>
      </c>
      <c r="N857" s="938">
        <f t="shared" si="45"/>
        <v>362.73</v>
      </c>
      <c r="O857" s="938">
        <v>0</v>
      </c>
      <c r="P857" s="966">
        <v>0</v>
      </c>
      <c r="Q857" s="938"/>
      <c r="R857" s="938"/>
      <c r="S857" s="938">
        <v>41.73</v>
      </c>
    </row>
    <row r="859" spans="2:19" x14ac:dyDescent="0.2">
      <c r="B859" s="193"/>
      <c r="C859" s="194"/>
      <c r="D859" s="194"/>
      <c r="E859" s="195"/>
      <c r="F859" s="321"/>
      <c r="G859" s="196"/>
      <c r="H859" s="197"/>
      <c r="I859" s="938"/>
      <c r="J859" s="938"/>
      <c r="K859" s="938"/>
      <c r="L859" s="938"/>
      <c r="M859" s="938"/>
      <c r="N859" s="938">
        <f>+K859+M859</f>
        <v>0</v>
      </c>
      <c r="O859" s="938"/>
      <c r="P859" s="938"/>
      <c r="Q859" s="938"/>
      <c r="R859" s="938"/>
      <c r="S859" s="938"/>
    </row>
    <row r="860" spans="2:19" ht="13.5" thickBot="1" x14ac:dyDescent="0.25">
      <c r="B860" s="265"/>
      <c r="C860" s="266"/>
      <c r="D860" s="267"/>
      <c r="E860" s="266"/>
      <c r="F860" s="268"/>
      <c r="G860" s="269"/>
      <c r="H860" s="270"/>
      <c r="I860" s="271"/>
      <c r="J860" s="272"/>
      <c r="K860" s="272"/>
      <c r="L860" s="273"/>
      <c r="M860" s="272"/>
      <c r="N860" s="272"/>
      <c r="O860" s="272"/>
      <c r="P860" s="272"/>
      <c r="Q860" s="274"/>
      <c r="R860" s="274"/>
      <c r="S860" s="274"/>
    </row>
    <row r="861" spans="2:19" x14ac:dyDescent="0.2">
      <c r="B861" s="175"/>
      <c r="C861" s="176"/>
      <c r="D861" s="275"/>
      <c r="E861" s="176"/>
      <c r="F861" s="276"/>
      <c r="G861" s="277"/>
      <c r="H861" s="178"/>
      <c r="I861" s="278"/>
      <c r="J861" s="171"/>
      <c r="K861" s="171"/>
      <c r="L861" s="279"/>
      <c r="M861" s="171"/>
      <c r="N861" s="171"/>
      <c r="O861" s="171"/>
      <c r="P861" s="171"/>
      <c r="Q861" s="280"/>
      <c r="R861" s="280"/>
      <c r="S861" s="280"/>
    </row>
    <row r="862" spans="2:19" x14ac:dyDescent="0.2">
      <c r="B862" s="175"/>
      <c r="C862" s="164"/>
      <c r="D862" s="165"/>
      <c r="E862" s="164"/>
      <c r="F862" s="281"/>
      <c r="G862" s="277"/>
      <c r="H862" s="282" t="s">
        <v>261</v>
      </c>
      <c r="I862" s="279">
        <f t="shared" ref="I862:M862" si="46">SUM(I837:I860)</f>
        <v>0</v>
      </c>
      <c r="J862" s="279">
        <f t="shared" si="46"/>
        <v>0</v>
      </c>
      <c r="K862" s="279">
        <f t="shared" si="46"/>
        <v>3950.39</v>
      </c>
      <c r="L862" s="279">
        <f t="shared" si="46"/>
        <v>0</v>
      </c>
      <c r="M862" s="279">
        <f t="shared" si="46"/>
        <v>513.51</v>
      </c>
      <c r="N862" s="279">
        <f>SUM(N837:N860)</f>
        <v>4463.9000000000015</v>
      </c>
      <c r="O862" s="279">
        <f t="shared" ref="O862:S862" si="47">SUM(O837:O860)</f>
        <v>0</v>
      </c>
      <c r="P862" s="279">
        <f t="shared" si="47"/>
        <v>17.837600000000002</v>
      </c>
      <c r="Q862" s="279">
        <f t="shared" si="47"/>
        <v>0</v>
      </c>
      <c r="R862" s="279">
        <f t="shared" si="47"/>
        <v>0</v>
      </c>
      <c r="S862" s="279">
        <f t="shared" si="47"/>
        <v>41.73</v>
      </c>
    </row>
    <row r="863" spans="2:19" ht="13.5" thickBot="1" x14ac:dyDescent="0.25">
      <c r="B863" s="265"/>
      <c r="C863" s="283"/>
      <c r="D863" s="284"/>
      <c r="E863" s="283"/>
      <c r="F863" s="285"/>
      <c r="G863" s="269"/>
      <c r="H863" s="286"/>
      <c r="I863" s="273"/>
      <c r="J863" s="287"/>
      <c r="K863" s="287"/>
      <c r="L863" s="287"/>
      <c r="M863" s="287"/>
      <c r="N863" s="287"/>
      <c r="O863" s="287"/>
      <c r="P863" s="287"/>
      <c r="Q863" s="273"/>
      <c r="R863" s="273"/>
      <c r="S863" s="962"/>
    </row>
    <row r="865" spans="2:19" ht="21" x14ac:dyDescent="0.35">
      <c r="B865" s="883" t="s">
        <v>218</v>
      </c>
      <c r="C865" s="884"/>
      <c r="D865" s="885"/>
      <c r="E865" s="885"/>
      <c r="F865" s="885"/>
      <c r="G865" s="886"/>
      <c r="H865" s="887"/>
      <c r="I865" s="887"/>
      <c r="J865" s="887"/>
      <c r="K865" s="887"/>
      <c r="L865" s="887"/>
      <c r="M865" s="887"/>
      <c r="N865" s="888"/>
      <c r="O865" s="882"/>
      <c r="P865" s="882"/>
      <c r="Q865" s="882"/>
      <c r="R865" s="882"/>
      <c r="S865" s="882"/>
    </row>
    <row r="866" spans="2:19" ht="15.75" x14ac:dyDescent="0.25">
      <c r="B866" s="885" t="s">
        <v>134</v>
      </c>
      <c r="C866" s="885"/>
      <c r="D866" s="885"/>
      <c r="E866" s="885"/>
      <c r="F866" s="885"/>
      <c r="G866" s="886"/>
      <c r="H866" s="887"/>
      <c r="I866" s="887"/>
      <c r="J866" s="887"/>
      <c r="K866" s="887"/>
      <c r="L866" s="1044"/>
      <c r="M866" s="1044"/>
      <c r="N866" s="888"/>
      <c r="O866" s="882"/>
      <c r="P866" s="882"/>
      <c r="Q866" s="882"/>
      <c r="R866" s="882"/>
      <c r="S866" s="882"/>
    </row>
    <row r="867" spans="2:19" ht="15.75" x14ac:dyDescent="0.25">
      <c r="B867" s="884" t="s">
        <v>135</v>
      </c>
      <c r="C867" s="885"/>
      <c r="D867" s="885"/>
      <c r="E867" s="885"/>
      <c r="F867" s="885"/>
      <c r="G867" s="886"/>
      <c r="H867" s="887"/>
      <c r="I867" s="887"/>
      <c r="J867" s="887"/>
      <c r="K867" s="887"/>
      <c r="L867" s="887"/>
      <c r="M867" s="887"/>
      <c r="N867" s="888"/>
      <c r="O867" s="882"/>
      <c r="P867" s="882"/>
      <c r="Q867" s="882"/>
      <c r="R867" s="882"/>
      <c r="S867" s="882"/>
    </row>
    <row r="868" spans="2:19" ht="15.75" x14ac:dyDescent="0.25">
      <c r="B868" s="885" t="s">
        <v>190</v>
      </c>
      <c r="C868" s="885"/>
      <c r="D868" s="885"/>
      <c r="E868" s="885"/>
      <c r="F868" s="885"/>
      <c r="G868" s="886"/>
      <c r="H868" s="887"/>
      <c r="I868" s="887"/>
      <c r="J868" s="887"/>
      <c r="K868" s="887"/>
      <c r="L868" s="887"/>
      <c r="M868" s="887"/>
      <c r="N868" s="888"/>
      <c r="O868" s="882"/>
      <c r="P868" s="882"/>
      <c r="Q868" s="882"/>
      <c r="R868" s="882"/>
      <c r="S868" s="882"/>
    </row>
    <row r="869" spans="2:19" ht="15.75" x14ac:dyDescent="0.25">
      <c r="B869" s="889" t="s">
        <v>219</v>
      </c>
      <c r="C869" s="890" t="s">
        <v>528</v>
      </c>
      <c r="D869" s="891"/>
      <c r="E869" s="892">
        <v>2019</v>
      </c>
      <c r="F869" s="885"/>
      <c r="G869" s="886"/>
      <c r="H869" s="162"/>
      <c r="I869" s="893"/>
      <c r="J869" s="893"/>
      <c r="K869" s="893"/>
      <c r="L869" s="893"/>
      <c r="M869" s="893"/>
      <c r="N869" s="888"/>
      <c r="O869" s="882"/>
      <c r="P869" s="882"/>
      <c r="Q869" s="882"/>
      <c r="R869" s="882"/>
      <c r="S869" s="882"/>
    </row>
    <row r="870" spans="2:19" x14ac:dyDescent="0.2">
      <c r="B870" s="163"/>
      <c r="C870" s="164"/>
      <c r="D870" s="165"/>
      <c r="E870" s="166"/>
      <c r="F870" s="167"/>
      <c r="G870" s="168"/>
      <c r="H870" s="168"/>
      <c r="I870" s="169"/>
      <c r="J870" s="170"/>
      <c r="K870" s="171"/>
      <c r="L870" s="170"/>
      <c r="M870" s="171"/>
      <c r="N870" s="171"/>
      <c r="O870" s="170"/>
      <c r="P870" s="170"/>
      <c r="Q870" s="168"/>
      <c r="R870" s="168"/>
      <c r="S870" s="172"/>
    </row>
    <row r="871" spans="2:19" x14ac:dyDescent="0.2">
      <c r="B871" s="163"/>
      <c r="C871" s="164"/>
      <c r="D871" s="165"/>
      <c r="E871" s="166"/>
      <c r="F871" s="243"/>
      <c r="G871" s="173"/>
      <c r="H871" s="174"/>
      <c r="I871" s="169"/>
      <c r="J871" s="170"/>
      <c r="K871" s="171"/>
      <c r="L871" s="170"/>
      <c r="M871" s="171"/>
      <c r="N871" s="171"/>
      <c r="O871" s="170"/>
      <c r="P871" s="170"/>
      <c r="Q871" s="168"/>
      <c r="R871" s="168"/>
      <c r="S871" s="172"/>
    </row>
    <row r="872" spans="2:19" x14ac:dyDescent="0.2">
      <c r="B872" s="175"/>
      <c r="C872" s="176"/>
      <c r="D872" s="177"/>
      <c r="E872" s="166"/>
      <c r="F872" s="167"/>
      <c r="G872" s="178"/>
      <c r="H872" s="168"/>
      <c r="I872" s="169"/>
      <c r="J872" s="170"/>
      <c r="K872" s="171"/>
      <c r="L872" s="170"/>
      <c r="M872" s="171"/>
      <c r="N872" s="171"/>
      <c r="O872" s="170"/>
      <c r="P872" s="908">
        <v>0.01</v>
      </c>
      <c r="Q872" s="168"/>
      <c r="R872" s="168" t="s">
        <v>220</v>
      </c>
      <c r="S872" s="909">
        <v>0.13</v>
      </c>
    </row>
    <row r="873" spans="2:19" x14ac:dyDescent="0.2">
      <c r="B873" s="179" t="s">
        <v>221</v>
      </c>
      <c r="C873" s="180" t="s">
        <v>136</v>
      </c>
      <c r="D873" s="181" t="s">
        <v>136</v>
      </c>
      <c r="E873" s="182" t="s">
        <v>137</v>
      </c>
      <c r="F873" s="182" t="s">
        <v>222</v>
      </c>
      <c r="G873" s="312" t="s">
        <v>223</v>
      </c>
      <c r="H873" s="1042" t="s">
        <v>139</v>
      </c>
      <c r="I873" s="328" t="s">
        <v>224</v>
      </c>
      <c r="J873" s="329"/>
      <c r="K873" s="330" t="s">
        <v>225</v>
      </c>
      <c r="L873" s="331"/>
      <c r="M873" s="332"/>
      <c r="N873" s="313" t="s">
        <v>140</v>
      </c>
      <c r="O873" s="183" t="s">
        <v>226</v>
      </c>
      <c r="P873" s="184" t="s">
        <v>227</v>
      </c>
      <c r="Q873" s="185" t="s">
        <v>228</v>
      </c>
      <c r="R873" s="185" t="s">
        <v>229</v>
      </c>
      <c r="S873" s="185" t="s">
        <v>229</v>
      </c>
    </row>
    <row r="874" spans="2:19" x14ac:dyDescent="0.2">
      <c r="B874" s="186"/>
      <c r="C874" s="732" t="s">
        <v>230</v>
      </c>
      <c r="D874" s="733" t="s">
        <v>141</v>
      </c>
      <c r="E874" s="189" t="s">
        <v>141</v>
      </c>
      <c r="F874" s="190" t="s">
        <v>231</v>
      </c>
      <c r="G874" s="314" t="s">
        <v>142</v>
      </c>
      <c r="H874" s="1043"/>
      <c r="I874" s="315" t="s">
        <v>232</v>
      </c>
      <c r="J874" s="316" t="s">
        <v>233</v>
      </c>
      <c r="K874" s="317" t="s">
        <v>232</v>
      </c>
      <c r="L874" s="318" t="s">
        <v>233</v>
      </c>
      <c r="M874" s="317" t="s">
        <v>46</v>
      </c>
      <c r="N874" s="319" t="s">
        <v>234</v>
      </c>
      <c r="O874" s="191" t="s">
        <v>235</v>
      </c>
      <c r="P874" s="191" t="s">
        <v>236</v>
      </c>
      <c r="Q874" s="192" t="s">
        <v>237</v>
      </c>
      <c r="R874" s="192" t="s">
        <v>238</v>
      </c>
      <c r="S874" s="192" t="s">
        <v>239</v>
      </c>
    </row>
    <row r="875" spans="2:19" x14ac:dyDescent="0.2">
      <c r="B875" s="193"/>
      <c r="C875" s="977" t="s">
        <v>1060</v>
      </c>
      <c r="D875" s="256">
        <v>43739</v>
      </c>
      <c r="E875" s="195" t="s">
        <v>1061</v>
      </c>
      <c r="F875" s="162"/>
      <c r="G875" s="196" t="s">
        <v>188</v>
      </c>
      <c r="H875" s="197" t="str">
        <f>+VLOOKUP(G875,[12]bd!A:C,2,0)</f>
        <v>BOLSA DE VALORES DE EL SALVADOR, S.A. DE C.V.</v>
      </c>
      <c r="I875" s="938"/>
      <c r="J875" s="938"/>
      <c r="K875" s="939">
        <v>93.59</v>
      </c>
      <c r="L875" s="938"/>
      <c r="M875" s="724">
        <v>12.17</v>
      </c>
      <c r="N875" s="938">
        <f t="shared" ref="N875:N891" si="48">+K875+M875</f>
        <v>105.76</v>
      </c>
      <c r="O875" s="938"/>
      <c r="P875" s="966">
        <v>0</v>
      </c>
      <c r="Q875" s="938"/>
      <c r="R875" s="938"/>
      <c r="S875" s="938"/>
    </row>
    <row r="876" spans="2:19" x14ac:dyDescent="0.2">
      <c r="B876" s="193"/>
      <c r="C876" s="977" t="s">
        <v>1060</v>
      </c>
      <c r="D876" s="256">
        <v>43735</v>
      </c>
      <c r="E876" s="195" t="s">
        <v>1062</v>
      </c>
      <c r="F876" s="162"/>
      <c r="G876" s="196" t="s">
        <v>462</v>
      </c>
      <c r="H876" s="197" t="str">
        <f>+VLOOKUP(G876,[12]bd!A:C,2,0)</f>
        <v>SEGUROS E INVERSIONES, S.A DE C.V.</v>
      </c>
      <c r="I876" s="938"/>
      <c r="J876" s="938"/>
      <c r="K876" s="939">
        <v>61.62</v>
      </c>
      <c r="L876" s="938"/>
      <c r="M876" s="724">
        <v>8.01</v>
      </c>
      <c r="N876" s="938">
        <f t="shared" si="48"/>
        <v>69.63</v>
      </c>
      <c r="O876" s="938"/>
      <c r="P876" s="966"/>
      <c r="Q876" s="938"/>
      <c r="R876" s="938"/>
      <c r="S876" s="938"/>
    </row>
    <row r="877" spans="2:19" x14ac:dyDescent="0.2">
      <c r="B877" s="193"/>
      <c r="C877" s="256">
        <v>43740</v>
      </c>
      <c r="D877" s="256">
        <v>43740</v>
      </c>
      <c r="E877" s="195" t="s">
        <v>1063</v>
      </c>
      <c r="F877" s="195"/>
      <c r="G877" s="196" t="s">
        <v>188</v>
      </c>
      <c r="H877" s="197" t="str">
        <f>+VLOOKUP(G877,[12]bd!A:C,2,0)</f>
        <v>BOLSA DE VALORES DE EL SALVADOR, S.A. DE C.V.</v>
      </c>
      <c r="I877" s="938"/>
      <c r="J877" s="938"/>
      <c r="K877" s="939">
        <v>81.55</v>
      </c>
      <c r="L877" s="938"/>
      <c r="M877" s="724">
        <v>10.6</v>
      </c>
      <c r="N877" s="938">
        <f t="shared" si="48"/>
        <v>92.149999999999991</v>
      </c>
      <c r="O877" s="938"/>
      <c r="P877" s="966">
        <v>0</v>
      </c>
      <c r="Q877" s="938"/>
      <c r="R877" s="938"/>
      <c r="S877" s="938"/>
    </row>
    <row r="878" spans="2:19" x14ac:dyDescent="0.2">
      <c r="B878" s="193"/>
      <c r="C878" s="256">
        <v>43741</v>
      </c>
      <c r="D878" s="256">
        <v>43741</v>
      </c>
      <c r="E878" s="195" t="s">
        <v>1064</v>
      </c>
      <c r="F878" s="195"/>
      <c r="G878" s="196" t="s">
        <v>188</v>
      </c>
      <c r="H878" s="197" t="str">
        <f>+VLOOKUP(G878,[12]bd!A:C,2,0)</f>
        <v>BOLSA DE VALORES DE EL SALVADOR, S.A. DE C.V.</v>
      </c>
      <c r="I878" s="938"/>
      <c r="J878" s="938"/>
      <c r="K878" s="939">
        <v>50.35</v>
      </c>
      <c r="L878" s="938"/>
      <c r="M878" s="724">
        <v>6.54</v>
      </c>
      <c r="N878" s="938">
        <f t="shared" si="48"/>
        <v>56.89</v>
      </c>
      <c r="O878" s="938"/>
      <c r="P878" s="966">
        <v>0</v>
      </c>
      <c r="Q878" s="938"/>
      <c r="R878" s="938"/>
      <c r="S878" s="938"/>
    </row>
    <row r="879" spans="2:19" x14ac:dyDescent="0.2">
      <c r="B879" s="193"/>
      <c r="C879" s="977" t="s">
        <v>1065</v>
      </c>
      <c r="D879" s="978">
        <v>43713</v>
      </c>
      <c r="E879" s="195" t="s">
        <v>1066</v>
      </c>
      <c r="F879" s="162"/>
      <c r="G879" s="196" t="s">
        <v>188</v>
      </c>
      <c r="H879" s="197" t="str">
        <f>+VLOOKUP(G879,[12]bd!A:C,2,0)</f>
        <v>BOLSA DE VALORES DE EL SALVADOR, S.A. DE C.V.</v>
      </c>
      <c r="I879" s="938"/>
      <c r="J879" s="938"/>
      <c r="K879" s="939">
        <v>195</v>
      </c>
      <c r="L879" s="938"/>
      <c r="M879" s="724">
        <v>25.35</v>
      </c>
      <c r="N879" s="938">
        <f t="shared" si="48"/>
        <v>220.35</v>
      </c>
      <c r="O879" s="938"/>
      <c r="P879" s="966">
        <v>0</v>
      </c>
      <c r="Q879" s="938"/>
      <c r="R879" s="938"/>
      <c r="S879" s="938"/>
    </row>
    <row r="880" spans="2:19" x14ac:dyDescent="0.2">
      <c r="B880" s="193"/>
      <c r="C880" s="977" t="s">
        <v>1065</v>
      </c>
      <c r="D880" s="256">
        <v>43707</v>
      </c>
      <c r="E880" s="195" t="s">
        <v>1067</v>
      </c>
      <c r="F880" s="162" t="s">
        <v>1068</v>
      </c>
      <c r="G880" s="195" t="s">
        <v>212</v>
      </c>
      <c r="H880" s="197" t="str">
        <f>+VLOOKUP(G880,[12]bd!A:C,2,0)</f>
        <v>CENTRAL DE DEPOSITO DE VALORES, S.A. DE C.V.</v>
      </c>
      <c r="I880" s="938"/>
      <c r="J880" s="938"/>
      <c r="K880" s="939">
        <v>1830.63</v>
      </c>
      <c r="L880" s="938"/>
      <c r="M880" s="724">
        <v>237.98</v>
      </c>
      <c r="N880" s="938">
        <f t="shared" si="48"/>
        <v>2068.61</v>
      </c>
      <c r="O880" s="938"/>
      <c r="P880" s="966">
        <f>K880*0.01</f>
        <v>18.3063</v>
      </c>
      <c r="Q880" s="938"/>
      <c r="R880" s="938"/>
      <c r="S880" s="938"/>
    </row>
    <row r="881" spans="1:19" x14ac:dyDescent="0.2">
      <c r="B881" s="193"/>
      <c r="C881" s="977" t="s">
        <v>1069</v>
      </c>
      <c r="D881" s="256">
        <v>43746</v>
      </c>
      <c r="E881" s="195" t="s">
        <v>1070</v>
      </c>
      <c r="F881" s="195"/>
      <c r="G881" s="196" t="s">
        <v>188</v>
      </c>
      <c r="H881" s="197" t="str">
        <f>+VLOOKUP(G881,[12]bd!A:C,2,0)</f>
        <v>BOLSA DE VALORES DE EL SALVADOR, S.A. DE C.V.</v>
      </c>
      <c r="I881" s="938"/>
      <c r="J881" s="938"/>
      <c r="K881" s="939">
        <v>32.99</v>
      </c>
      <c r="L881" s="938"/>
      <c r="M881" s="724">
        <v>4.29</v>
      </c>
      <c r="N881" s="938">
        <f t="shared" si="48"/>
        <v>37.28</v>
      </c>
      <c r="O881" s="938"/>
      <c r="P881" s="966">
        <v>0</v>
      </c>
      <c r="Q881" s="938"/>
      <c r="R881" s="938"/>
      <c r="S881" s="938"/>
    </row>
    <row r="882" spans="1:19" x14ac:dyDescent="0.2">
      <c r="B882" s="193"/>
      <c r="C882" s="256">
        <v>43748</v>
      </c>
      <c r="D882" s="256">
        <v>43739</v>
      </c>
      <c r="E882" s="195" t="s">
        <v>1071</v>
      </c>
      <c r="F882" s="195" t="s">
        <v>1072</v>
      </c>
      <c r="G882" s="196" t="s">
        <v>208</v>
      </c>
      <c r="H882" s="197" t="str">
        <f>+VLOOKUP(G882,[12]bd!A:C,2,0)</f>
        <v>KPMG, S.A.</v>
      </c>
      <c r="I882" s="938"/>
      <c r="J882" s="938"/>
      <c r="K882" s="939">
        <v>118.18</v>
      </c>
      <c r="L882" s="938"/>
      <c r="M882" s="724">
        <v>15.36</v>
      </c>
      <c r="N882" s="938">
        <f t="shared" si="48"/>
        <v>133.54000000000002</v>
      </c>
      <c r="O882" s="938"/>
      <c r="P882" s="966">
        <f>K882*0.01</f>
        <v>1.1818000000000002</v>
      </c>
      <c r="Q882" s="938"/>
      <c r="R882" s="938"/>
      <c r="S882" s="938"/>
    </row>
    <row r="883" spans="1:19" x14ac:dyDescent="0.2">
      <c r="B883" s="193"/>
      <c r="C883" s="979">
        <v>43748</v>
      </c>
      <c r="D883" s="979">
        <v>43748</v>
      </c>
      <c r="E883" s="195" t="s">
        <v>1073</v>
      </c>
      <c r="F883" s="162"/>
      <c r="G883" s="196" t="s">
        <v>188</v>
      </c>
      <c r="H883" s="197" t="str">
        <f>+VLOOKUP(G883,[12]bd!A:C,2,0)</f>
        <v>BOLSA DE VALORES DE EL SALVADOR, S.A. DE C.V.</v>
      </c>
      <c r="I883" s="938"/>
      <c r="J883" s="938"/>
      <c r="K883" s="939">
        <v>53.81</v>
      </c>
      <c r="L883" s="938"/>
      <c r="M883" s="724">
        <v>6.99</v>
      </c>
      <c r="N883" s="938">
        <f t="shared" si="48"/>
        <v>60.800000000000004</v>
      </c>
      <c r="O883" s="938"/>
      <c r="P883" s="966">
        <v>0</v>
      </c>
      <c r="Q883" s="938"/>
      <c r="R883" s="938"/>
      <c r="S883" s="938"/>
    </row>
    <row r="884" spans="1:19" x14ac:dyDescent="0.2">
      <c r="B884" s="193"/>
      <c r="C884" s="256">
        <v>43753</v>
      </c>
      <c r="D884" s="256">
        <v>43753</v>
      </c>
      <c r="E884" s="195" t="s">
        <v>1074</v>
      </c>
      <c r="F884" s="162"/>
      <c r="G884" s="196" t="s">
        <v>188</v>
      </c>
      <c r="H884" s="197" t="str">
        <f>+VLOOKUP(G884,[12]bd!A:C,2,0)</f>
        <v>BOLSA DE VALORES DE EL SALVADOR, S.A. DE C.V.</v>
      </c>
      <c r="I884" s="938"/>
      <c r="J884" s="938"/>
      <c r="K884" s="939">
        <v>42.34</v>
      </c>
      <c r="L884" s="938"/>
      <c r="M884" s="724">
        <v>5.5</v>
      </c>
      <c r="N884" s="938">
        <f t="shared" si="48"/>
        <v>47.84</v>
      </c>
      <c r="O884" s="938"/>
      <c r="P884" s="966">
        <v>0</v>
      </c>
      <c r="Q884" s="938"/>
      <c r="R884" s="938"/>
      <c r="S884" s="938"/>
    </row>
    <row r="885" spans="1:19" x14ac:dyDescent="0.2">
      <c r="B885" s="193"/>
      <c r="C885" s="256">
        <v>43753</v>
      </c>
      <c r="D885" s="256">
        <v>43748</v>
      </c>
      <c r="E885" s="195" t="s">
        <v>1075</v>
      </c>
      <c r="F885" s="162"/>
      <c r="G885" s="196" t="s">
        <v>47</v>
      </c>
      <c r="H885" s="197" t="str">
        <f>+VLOOKUP(G885,[12]bd!A:C,2,0)</f>
        <v>BANCO CUSCATLAN DE EL SALVADOR S.A.</v>
      </c>
      <c r="I885" s="938"/>
      <c r="J885" s="938"/>
      <c r="K885" s="939">
        <v>113.8</v>
      </c>
      <c r="L885" s="938"/>
      <c r="M885" s="938">
        <v>17.39</v>
      </c>
      <c r="N885" s="938">
        <f t="shared" si="48"/>
        <v>131.19</v>
      </c>
      <c r="O885" s="938"/>
      <c r="P885" s="966"/>
      <c r="Q885" s="938"/>
      <c r="R885" s="938"/>
      <c r="S885" s="938"/>
    </row>
    <row r="886" spans="1:19" x14ac:dyDescent="0.2">
      <c r="B886" s="193"/>
      <c r="C886" s="256">
        <v>43759</v>
      </c>
      <c r="D886" s="256">
        <v>43759</v>
      </c>
      <c r="E886" s="195" t="s">
        <v>1076</v>
      </c>
      <c r="F886" s="162" t="s">
        <v>1077</v>
      </c>
      <c r="G886" s="196" t="s">
        <v>208</v>
      </c>
      <c r="H886" s="197" t="str">
        <f>+VLOOKUP(G886,[12]bd!A:C,2,0)</f>
        <v>KPMG, S.A.</v>
      </c>
      <c r="I886" s="938"/>
      <c r="J886" s="938"/>
      <c r="K886" s="939">
        <v>344.44</v>
      </c>
      <c r="L886" s="938"/>
      <c r="M886" s="938">
        <v>44.78</v>
      </c>
      <c r="N886" s="938">
        <f t="shared" si="48"/>
        <v>389.22</v>
      </c>
      <c r="O886" s="938"/>
      <c r="P886" s="966">
        <f>K886*0.01</f>
        <v>3.4443999999999999</v>
      </c>
      <c r="Q886" s="938"/>
      <c r="R886" s="938"/>
      <c r="S886" s="938"/>
    </row>
    <row r="887" spans="1:19" x14ac:dyDescent="0.2">
      <c r="B887" s="193"/>
      <c r="C887" s="980" t="s">
        <v>1078</v>
      </c>
      <c r="D887" s="256">
        <v>43738</v>
      </c>
      <c r="E887" s="195" t="s">
        <v>1079</v>
      </c>
      <c r="F887" s="162"/>
      <c r="G887" s="196" t="s">
        <v>341</v>
      </c>
      <c r="H887" s="197" t="str">
        <f>+VLOOKUP(G887,[12]bd!A:C,2,0)</f>
        <v>OPERADORES LOGISTICOS RANSA, S.A. DE C.V.</v>
      </c>
      <c r="I887" s="938"/>
      <c r="J887" s="938"/>
      <c r="K887" s="939">
        <v>376.92</v>
      </c>
      <c r="L887" s="938"/>
      <c r="M887" s="939">
        <v>49</v>
      </c>
      <c r="N887" s="938">
        <f t="shared" si="48"/>
        <v>425.92</v>
      </c>
      <c r="O887" s="938"/>
      <c r="P887" s="966">
        <v>0</v>
      </c>
      <c r="Q887" s="938"/>
      <c r="R887" s="938"/>
      <c r="S887" s="938"/>
    </row>
    <row r="888" spans="1:19" x14ac:dyDescent="0.2">
      <c r="B888" s="193"/>
      <c r="C888" s="980" t="s">
        <v>1078</v>
      </c>
      <c r="D888" s="256">
        <v>43760</v>
      </c>
      <c r="E888" s="195" t="s">
        <v>1080</v>
      </c>
      <c r="F888" s="162" t="s">
        <v>1081</v>
      </c>
      <c r="G888" s="196" t="s">
        <v>554</v>
      </c>
      <c r="H888" s="197" t="str">
        <f>+VLOOKUP(G888,[12]bd!A:C,2,0)</f>
        <v>O &amp; R MARKETING COMMUNICATIONS, S.A DE C.V.</v>
      </c>
      <c r="I888" s="938"/>
      <c r="J888" s="938"/>
      <c r="K888" s="939">
        <v>2562</v>
      </c>
      <c r="L888" s="938"/>
      <c r="M888" s="938">
        <v>333.06</v>
      </c>
      <c r="N888" s="938">
        <f t="shared" si="48"/>
        <v>2895.06</v>
      </c>
      <c r="O888" s="938"/>
      <c r="P888" s="966">
        <f>K888*0.01</f>
        <v>25.62</v>
      </c>
      <c r="Q888" s="938"/>
      <c r="R888" s="938"/>
      <c r="S888" s="938"/>
    </row>
    <row r="889" spans="1:19" x14ac:dyDescent="0.2">
      <c r="B889" s="193"/>
      <c r="C889" s="980" t="s">
        <v>1078</v>
      </c>
      <c r="D889" s="256">
        <v>43759</v>
      </c>
      <c r="E889" s="195" t="s">
        <v>1082</v>
      </c>
      <c r="F889" s="162" t="s">
        <v>1081</v>
      </c>
      <c r="G889" s="196" t="s">
        <v>554</v>
      </c>
      <c r="H889" s="197" t="str">
        <f>+VLOOKUP(G889,[12]bd!A:C,2,0)</f>
        <v>O &amp; R MARKETING COMMUNICATIONS, S.A DE C.V.</v>
      </c>
      <c r="I889" s="938"/>
      <c r="J889" s="938"/>
      <c r="K889" s="939">
        <v>312.5</v>
      </c>
      <c r="L889" s="938"/>
      <c r="M889" s="938">
        <v>40.630000000000003</v>
      </c>
      <c r="N889" s="938">
        <f t="shared" si="48"/>
        <v>353.13</v>
      </c>
      <c r="O889" s="938"/>
      <c r="P889" s="966">
        <f>K889*0.01</f>
        <v>3.125</v>
      </c>
      <c r="Q889" s="938"/>
      <c r="R889" s="938"/>
      <c r="S889" s="938"/>
    </row>
    <row r="890" spans="1:19" x14ac:dyDescent="0.2">
      <c r="B890" s="193"/>
      <c r="C890" s="980" t="s">
        <v>1083</v>
      </c>
      <c r="D890" s="980" t="s">
        <v>1083</v>
      </c>
      <c r="E890" s="195" t="s">
        <v>1084</v>
      </c>
      <c r="F890" s="976"/>
      <c r="G890" s="196" t="s">
        <v>188</v>
      </c>
      <c r="H890" s="197" t="str">
        <f>+VLOOKUP(G890,[12]bd!A:C,2,0)</f>
        <v>BOLSA DE VALORES DE EL SALVADOR, S.A. DE C.V.</v>
      </c>
      <c r="I890" s="938"/>
      <c r="J890" s="938"/>
      <c r="K890" s="939">
        <v>323.87</v>
      </c>
      <c r="L890" s="938"/>
      <c r="M890" s="940">
        <v>42.1</v>
      </c>
      <c r="N890" s="938">
        <f t="shared" si="48"/>
        <v>365.97</v>
      </c>
      <c r="O890" s="938"/>
      <c r="P890" s="966"/>
      <c r="Q890" s="938"/>
      <c r="R890" s="938"/>
      <c r="S890" s="938"/>
    </row>
    <row r="891" spans="1:19" x14ac:dyDescent="0.2">
      <c r="B891" s="193"/>
      <c r="C891" s="256">
        <v>43767</v>
      </c>
      <c r="D891" s="256">
        <v>43767</v>
      </c>
      <c r="E891" s="681">
        <v>366</v>
      </c>
      <c r="F891" s="976"/>
      <c r="G891" s="196" t="s">
        <v>188</v>
      </c>
      <c r="H891" s="197" t="str">
        <f>+VLOOKUP(G891,[12]bd!A:C,2,0)</f>
        <v>BOLSA DE VALORES DE EL SALVADOR, S.A. DE C.V.</v>
      </c>
      <c r="I891" s="938"/>
      <c r="J891" s="938"/>
      <c r="K891" s="939">
        <v>44.73</v>
      </c>
      <c r="L891" s="938"/>
      <c r="M891" s="940">
        <v>5.82</v>
      </c>
      <c r="N891" s="938">
        <f t="shared" si="48"/>
        <v>50.55</v>
      </c>
      <c r="O891" s="938"/>
      <c r="P891" s="966">
        <v>0</v>
      </c>
      <c r="Q891" s="938"/>
      <c r="R891" s="938"/>
      <c r="S891" s="938"/>
    </row>
    <row r="892" spans="1:19" s="168" customFormat="1" ht="13.5" thickBot="1" x14ac:dyDescent="0.25">
      <c r="A892" s="743"/>
      <c r="B892" s="265"/>
      <c r="C892" s="266"/>
      <c r="D892" s="267"/>
      <c r="E892" s="266"/>
      <c r="F892" s="268"/>
      <c r="G892" s="269"/>
      <c r="H892" s="270"/>
      <c r="I892" s="271"/>
      <c r="J892" s="272"/>
      <c r="K892" s="272"/>
      <c r="L892" s="273"/>
      <c r="M892" s="272"/>
      <c r="N892" s="272"/>
      <c r="O892" s="272"/>
      <c r="P892" s="272"/>
      <c r="Q892" s="274"/>
      <c r="R892" s="274"/>
      <c r="S892" s="274"/>
    </row>
    <row r="893" spans="1:19" s="168" customFormat="1" x14ac:dyDescent="0.2">
      <c r="A893" s="743"/>
      <c r="B893" s="175"/>
      <c r="C893" s="176"/>
      <c r="D893" s="275"/>
      <c r="E893" s="176"/>
      <c r="F893" s="276"/>
      <c r="G893" s="277"/>
      <c r="H893" s="178"/>
      <c r="I893" s="278"/>
      <c r="J893" s="171"/>
      <c r="K893" s="171"/>
      <c r="L893" s="279"/>
      <c r="M893" s="171"/>
      <c r="N893" s="171"/>
      <c r="O893" s="171"/>
      <c r="P893" s="171"/>
      <c r="Q893" s="280"/>
      <c r="R893" s="280"/>
      <c r="S893" s="280"/>
    </row>
    <row r="894" spans="1:19" s="168" customFormat="1" x14ac:dyDescent="0.2">
      <c r="A894" s="743"/>
      <c r="B894" s="175"/>
      <c r="C894" s="164"/>
      <c r="D894" s="165"/>
      <c r="E894" s="164"/>
      <c r="F894" s="281"/>
      <c r="G894" s="277"/>
      <c r="H894" s="282" t="s">
        <v>261</v>
      </c>
      <c r="I894" s="279">
        <f t="shared" ref="I894:L894" si="49">SUM(I875:I892)</f>
        <v>0</v>
      </c>
      <c r="J894" s="279">
        <f t="shared" si="49"/>
        <v>0</v>
      </c>
      <c r="K894" s="279">
        <f t="shared" si="49"/>
        <v>6638.32</v>
      </c>
      <c r="L894" s="279">
        <f t="shared" si="49"/>
        <v>0</v>
      </c>
      <c r="M894" s="279">
        <f>SUM(M875:M892)</f>
        <v>865.57</v>
      </c>
      <c r="N894" s="279">
        <f t="shared" ref="N894:S894" si="50">SUM(N875:N892)</f>
        <v>7503.8900000000021</v>
      </c>
      <c r="O894" s="279">
        <f t="shared" si="50"/>
        <v>0</v>
      </c>
      <c r="P894" s="279">
        <f t="shared" si="50"/>
        <v>51.677499999999995</v>
      </c>
      <c r="Q894" s="279">
        <f t="shared" si="50"/>
        <v>0</v>
      </c>
      <c r="R894" s="279">
        <f t="shared" si="50"/>
        <v>0</v>
      </c>
      <c r="S894" s="279">
        <f t="shared" si="50"/>
        <v>0</v>
      </c>
    </row>
    <row r="895" spans="1:19" s="168" customFormat="1" ht="13.5" thickBot="1" x14ac:dyDescent="0.25">
      <c r="A895" s="743"/>
      <c r="B895" s="265"/>
      <c r="C895" s="283"/>
      <c r="D895" s="284"/>
      <c r="E895" s="283"/>
      <c r="F895" s="285"/>
      <c r="G895" s="269"/>
      <c r="H895" s="286"/>
      <c r="I895" s="273"/>
      <c r="J895" s="287"/>
      <c r="K895" s="287"/>
      <c r="L895" s="287"/>
      <c r="M895" s="287"/>
      <c r="N895" s="287"/>
      <c r="O895" s="287"/>
      <c r="P895" s="287"/>
      <c r="Q895" s="273"/>
      <c r="R895" s="273"/>
      <c r="S895" s="962"/>
    </row>
    <row r="901" spans="2:19" ht="21" x14ac:dyDescent="0.35">
      <c r="B901" s="883" t="s">
        <v>218</v>
      </c>
      <c r="C901" s="884"/>
      <c r="D901" s="885"/>
      <c r="E901" s="885"/>
      <c r="F901" s="885"/>
      <c r="G901" s="886"/>
      <c r="H901" s="887"/>
      <c r="I901" s="887"/>
      <c r="J901" s="887"/>
      <c r="K901" s="887"/>
      <c r="L901" s="887"/>
      <c r="M901" s="887"/>
      <c r="N901" s="888"/>
      <c r="O901" s="882"/>
      <c r="P901" s="882"/>
      <c r="Q901" s="882"/>
      <c r="R901" s="882"/>
      <c r="S901" s="882"/>
    </row>
    <row r="902" spans="2:19" ht="15.75" x14ac:dyDescent="0.25">
      <c r="B902" s="885" t="s">
        <v>134</v>
      </c>
      <c r="C902" s="885"/>
      <c r="D902" s="885"/>
      <c r="E902" s="885"/>
      <c r="F902" s="885"/>
      <c r="G902" s="886"/>
      <c r="H902" s="887"/>
      <c r="I902" s="887"/>
      <c r="J902" s="887"/>
      <c r="K902" s="887"/>
      <c r="L902" s="1044"/>
      <c r="M902" s="1044"/>
      <c r="N902" s="888"/>
      <c r="O902" s="882"/>
      <c r="P902" s="882"/>
      <c r="Q902" s="882"/>
      <c r="R902" s="882"/>
      <c r="S902" s="882"/>
    </row>
    <row r="903" spans="2:19" ht="15.75" x14ac:dyDescent="0.25">
      <c r="B903" s="884" t="s">
        <v>135</v>
      </c>
      <c r="C903" s="885"/>
      <c r="D903" s="885"/>
      <c r="E903" s="885"/>
      <c r="F903" s="885"/>
      <c r="G903" s="886"/>
      <c r="H903" s="887"/>
      <c r="I903" s="887"/>
      <c r="J903" s="887"/>
      <c r="K903" s="887"/>
      <c r="L903" s="887"/>
      <c r="M903" s="887"/>
      <c r="N903" s="888"/>
      <c r="O903" s="882"/>
      <c r="P903" s="882"/>
      <c r="Q903" s="882"/>
      <c r="R903" s="882"/>
      <c r="S903" s="882"/>
    </row>
    <row r="904" spans="2:19" ht="15.75" x14ac:dyDescent="0.25">
      <c r="B904" s="885" t="s">
        <v>190</v>
      </c>
      <c r="C904" s="885"/>
      <c r="D904" s="885"/>
      <c r="E904" s="885"/>
      <c r="F904" s="885"/>
      <c r="G904" s="886"/>
      <c r="H904" s="887"/>
      <c r="I904" s="887"/>
      <c r="J904" s="887"/>
      <c r="K904" s="887"/>
      <c r="L904" s="887"/>
      <c r="M904" s="887"/>
      <c r="N904" s="888"/>
      <c r="O904" s="882"/>
      <c r="P904" s="882"/>
      <c r="Q904" s="882"/>
      <c r="R904" s="882"/>
      <c r="S904" s="882"/>
    </row>
    <row r="905" spans="2:19" ht="15.75" x14ac:dyDescent="0.25">
      <c r="B905" s="889" t="s">
        <v>219</v>
      </c>
      <c r="C905" s="890" t="s">
        <v>89</v>
      </c>
      <c r="D905" s="891"/>
      <c r="E905" s="892">
        <v>2019</v>
      </c>
      <c r="F905" s="885"/>
      <c r="G905" s="886"/>
      <c r="H905" s="162"/>
      <c r="I905" s="893"/>
      <c r="J905" s="893"/>
      <c r="K905" s="893"/>
      <c r="L905" s="893"/>
      <c r="M905" s="893"/>
      <c r="N905" s="888"/>
      <c r="O905" s="882"/>
      <c r="P905" s="882"/>
      <c r="Q905" s="882"/>
      <c r="R905" s="882"/>
      <c r="S905" s="882"/>
    </row>
    <row r="906" spans="2:19" x14ac:dyDescent="0.2">
      <c r="B906" s="163"/>
      <c r="C906" s="164"/>
      <c r="D906" s="165"/>
      <c r="E906" s="166"/>
      <c r="F906" s="167"/>
      <c r="G906" s="168"/>
      <c r="H906" s="168"/>
      <c r="I906" s="169"/>
      <c r="J906" s="170"/>
      <c r="K906" s="171"/>
      <c r="L906" s="170"/>
      <c r="M906" s="171"/>
      <c r="N906" s="171"/>
      <c r="O906" s="170"/>
      <c r="P906" s="170"/>
      <c r="Q906" s="168"/>
      <c r="R906" s="168"/>
      <c r="S906" s="172"/>
    </row>
    <row r="907" spans="2:19" x14ac:dyDescent="0.2">
      <c r="B907" s="163"/>
      <c r="C907" s="164"/>
      <c r="D907" s="165"/>
      <c r="E907" s="166"/>
      <c r="F907" s="243"/>
      <c r="G907" s="173"/>
      <c r="H907" s="174"/>
      <c r="I907" s="169"/>
      <c r="J907" s="170"/>
      <c r="K907" s="171"/>
      <c r="L907" s="170"/>
      <c r="M907" s="171"/>
      <c r="N907" s="171"/>
      <c r="O907" s="170"/>
      <c r="P907" s="170"/>
      <c r="Q907" s="168"/>
      <c r="R907" s="168"/>
      <c r="S907" s="172"/>
    </row>
    <row r="908" spans="2:19" x14ac:dyDescent="0.2">
      <c r="B908" s="175"/>
      <c r="C908" s="176"/>
      <c r="D908" s="177"/>
      <c r="E908" s="166"/>
      <c r="F908" s="167"/>
      <c r="G908" s="178"/>
      <c r="H908" s="168"/>
      <c r="I908" s="169"/>
      <c r="J908" s="170"/>
      <c r="K908" s="171"/>
      <c r="L908" s="170"/>
      <c r="M908" s="171"/>
      <c r="N908" s="171"/>
      <c r="O908" s="170"/>
      <c r="P908" s="908">
        <v>0.01</v>
      </c>
      <c r="Q908" s="168"/>
      <c r="R908" s="168" t="s">
        <v>220</v>
      </c>
      <c r="S908" s="909">
        <v>0.13</v>
      </c>
    </row>
    <row r="909" spans="2:19" x14ac:dyDescent="0.2">
      <c r="B909" s="179" t="s">
        <v>221</v>
      </c>
      <c r="C909" s="987" t="s">
        <v>136</v>
      </c>
      <c r="D909" s="988" t="s">
        <v>136</v>
      </c>
      <c r="E909" s="989" t="s">
        <v>137</v>
      </c>
      <c r="F909" s="989" t="s">
        <v>222</v>
      </c>
      <c r="G909" s="990" t="s">
        <v>223</v>
      </c>
      <c r="H909" s="1040" t="s">
        <v>139</v>
      </c>
      <c r="I909" s="991" t="s">
        <v>224</v>
      </c>
      <c r="J909" s="992"/>
      <c r="K909" s="993" t="s">
        <v>225</v>
      </c>
      <c r="L909" s="992"/>
      <c r="M909" s="994"/>
      <c r="N909" s="995" t="s">
        <v>140</v>
      </c>
      <c r="O909" s="996" t="s">
        <v>226</v>
      </c>
      <c r="P909" s="184" t="s">
        <v>227</v>
      </c>
      <c r="Q909" s="185" t="s">
        <v>228</v>
      </c>
      <c r="R909" s="185" t="s">
        <v>229</v>
      </c>
      <c r="S909" s="185" t="s">
        <v>229</v>
      </c>
    </row>
    <row r="910" spans="2:19" x14ac:dyDescent="0.2">
      <c r="B910" s="186"/>
      <c r="C910" s="997" t="s">
        <v>230</v>
      </c>
      <c r="D910" s="998" t="s">
        <v>141</v>
      </c>
      <c r="E910" s="999" t="s">
        <v>141</v>
      </c>
      <c r="F910" s="1000" t="s">
        <v>231</v>
      </c>
      <c r="G910" s="1001" t="s">
        <v>142</v>
      </c>
      <c r="H910" s="1040"/>
      <c r="I910" s="315" t="s">
        <v>232</v>
      </c>
      <c r="J910" s="316" t="s">
        <v>233</v>
      </c>
      <c r="K910" s="317" t="s">
        <v>232</v>
      </c>
      <c r="L910" s="1002" t="s">
        <v>233</v>
      </c>
      <c r="M910" s="317" t="s">
        <v>46</v>
      </c>
      <c r="N910" s="995" t="s">
        <v>234</v>
      </c>
      <c r="O910" s="996" t="s">
        <v>235</v>
      </c>
      <c r="P910" s="191" t="s">
        <v>236</v>
      </c>
      <c r="Q910" s="192" t="s">
        <v>237</v>
      </c>
      <c r="R910" s="192" t="s">
        <v>238</v>
      </c>
      <c r="S910" s="192" t="s">
        <v>239</v>
      </c>
    </row>
    <row r="911" spans="2:19" x14ac:dyDescent="0.2">
      <c r="B911" s="193"/>
      <c r="C911" s="1003" t="s">
        <v>1131</v>
      </c>
      <c r="D911" s="256">
        <v>43752</v>
      </c>
      <c r="E911" s="195" t="s">
        <v>1132</v>
      </c>
      <c r="F911" s="162"/>
      <c r="G911" s="196" t="s">
        <v>188</v>
      </c>
      <c r="H911" s="197" t="str">
        <f>+VLOOKUP(G911,[13]bd!A:C,2,0)</f>
        <v>BOLSA DE VALORES DE EL SALVADOR, S.A. DE C.V.</v>
      </c>
      <c r="I911" s="938"/>
      <c r="J911" s="938"/>
      <c r="K911" s="939">
        <v>195</v>
      </c>
      <c r="L911" s="938"/>
      <c r="M911" s="724">
        <v>25.35</v>
      </c>
      <c r="N911" s="938">
        <f t="shared" ref="N911:N922" si="51">+K911+M911</f>
        <v>220.35</v>
      </c>
      <c r="O911" s="938"/>
      <c r="P911" s="966"/>
      <c r="Q911" s="938"/>
      <c r="R911" s="938"/>
      <c r="S911" s="938"/>
    </row>
    <row r="912" spans="2:19" x14ac:dyDescent="0.2">
      <c r="B912" s="193"/>
      <c r="C912" s="1003" t="s">
        <v>1131</v>
      </c>
      <c r="D912" s="256">
        <v>43738</v>
      </c>
      <c r="E912" s="195" t="s">
        <v>1133</v>
      </c>
      <c r="F912" s="1004" t="s">
        <v>1134</v>
      </c>
      <c r="G912" s="196" t="s">
        <v>212</v>
      </c>
      <c r="H912" s="197" t="str">
        <f>+VLOOKUP(G912,[13]bd!A:C,2,0)</f>
        <v>CENTRAL DE DEPOSITO DE VALORES, S.A. DE C.V.</v>
      </c>
      <c r="I912" s="938"/>
      <c r="J912" s="938"/>
      <c r="K912" s="939">
        <v>1985.12</v>
      </c>
      <c r="L912" s="938"/>
      <c r="M912" s="724">
        <v>258.07</v>
      </c>
      <c r="N912" s="938">
        <f t="shared" si="51"/>
        <v>2243.19</v>
      </c>
      <c r="O912" s="938"/>
      <c r="P912" s="966">
        <f>ROUND(K912*0.01,2)</f>
        <v>19.850000000000001</v>
      </c>
      <c r="Q912" s="938"/>
      <c r="R912" s="938"/>
      <c r="S912" s="938"/>
    </row>
    <row r="913" spans="2:19" x14ac:dyDescent="0.2">
      <c r="B913" s="193"/>
      <c r="C913" s="1003" t="s">
        <v>1135</v>
      </c>
      <c r="D913" s="256">
        <v>43780</v>
      </c>
      <c r="E913" s="195" t="s">
        <v>1136</v>
      </c>
      <c r="F913" s="195"/>
      <c r="G913" s="196" t="s">
        <v>188</v>
      </c>
      <c r="H913" s="197" t="str">
        <f>+VLOOKUP(G913,[13]bd!A:C,2,0)</f>
        <v>BOLSA DE VALORES DE EL SALVADOR, S.A. DE C.V.</v>
      </c>
      <c r="I913" s="938"/>
      <c r="J913" s="938"/>
      <c r="K913" s="939">
        <v>55.62</v>
      </c>
      <c r="L913" s="938"/>
      <c r="M913" s="724">
        <v>7.23</v>
      </c>
      <c r="N913" s="938">
        <f t="shared" si="51"/>
        <v>62.849999999999994</v>
      </c>
      <c r="O913" s="938"/>
      <c r="P913" s="966"/>
      <c r="Q913" s="938"/>
      <c r="R913" s="938"/>
      <c r="S913" s="938"/>
    </row>
    <row r="914" spans="2:19" x14ac:dyDescent="0.2">
      <c r="B914" s="193"/>
      <c r="C914" s="1003" t="s">
        <v>1135</v>
      </c>
      <c r="D914" s="256">
        <v>43773</v>
      </c>
      <c r="E914" s="195" t="s">
        <v>1137</v>
      </c>
      <c r="F914" s="1004" t="s">
        <v>1138</v>
      </c>
      <c r="G914" s="196" t="s">
        <v>208</v>
      </c>
      <c r="H914" s="197" t="str">
        <f>+VLOOKUP(G914,[13]bd!A:C,2,0)</f>
        <v>KPMG, S.A.</v>
      </c>
      <c r="I914" s="938"/>
      <c r="J914" s="938"/>
      <c r="K914" s="939">
        <v>118.18</v>
      </c>
      <c r="L914" s="938"/>
      <c r="M914" s="724">
        <v>15.36</v>
      </c>
      <c r="N914" s="938">
        <f t="shared" si="51"/>
        <v>133.54000000000002</v>
      </c>
      <c r="O914" s="938"/>
      <c r="P914" s="966">
        <f>ROUND(K914*0.01,2)</f>
        <v>1.18</v>
      </c>
      <c r="Q914" s="938"/>
      <c r="R914" s="938"/>
      <c r="S914" s="938"/>
    </row>
    <row r="915" spans="2:19" x14ac:dyDescent="0.2">
      <c r="B915" s="193"/>
      <c r="C915" s="1003" t="s">
        <v>1139</v>
      </c>
      <c r="D915" s="978">
        <v>43783</v>
      </c>
      <c r="E915" s="195" t="s">
        <v>1140</v>
      </c>
      <c r="F915" s="162"/>
      <c r="G915" s="196" t="s">
        <v>188</v>
      </c>
      <c r="H915" s="197" t="str">
        <f>+VLOOKUP(G915,[13]bd!A:C,2,0)</f>
        <v>BOLSA DE VALORES DE EL SALVADOR, S.A. DE C.V.</v>
      </c>
      <c r="I915" s="938"/>
      <c r="J915" s="938"/>
      <c r="K915" s="939">
        <v>85</v>
      </c>
      <c r="L915" s="938"/>
      <c r="M915" s="724">
        <v>11.05</v>
      </c>
      <c r="N915" s="938">
        <f t="shared" si="51"/>
        <v>96.05</v>
      </c>
      <c r="O915" s="938"/>
      <c r="P915" s="966"/>
      <c r="Q915" s="938"/>
      <c r="R915" s="938"/>
      <c r="S915" s="938"/>
    </row>
    <row r="916" spans="2:19" x14ac:dyDescent="0.2">
      <c r="B916" s="193"/>
      <c r="C916" s="1005">
        <v>43788</v>
      </c>
      <c r="D916" s="256">
        <v>43781</v>
      </c>
      <c r="E916" s="195" t="s">
        <v>1141</v>
      </c>
      <c r="F916" s="162"/>
      <c r="G916" s="195" t="s">
        <v>188</v>
      </c>
      <c r="H916" s="197" t="str">
        <f>+VLOOKUP(G916,[13]bd!A:C,2,0)</f>
        <v>BOLSA DE VALORES DE EL SALVADOR, S.A. DE C.V.</v>
      </c>
      <c r="I916" s="938"/>
      <c r="J916" s="938"/>
      <c r="K916" s="939">
        <v>60</v>
      </c>
      <c r="L916" s="938"/>
      <c r="M916" s="724">
        <v>7.8</v>
      </c>
      <c r="N916" s="938">
        <f t="shared" si="51"/>
        <v>67.8</v>
      </c>
      <c r="O916" s="938"/>
      <c r="P916" s="966">
        <v>0</v>
      </c>
      <c r="Q916" s="938"/>
      <c r="R916" s="938"/>
      <c r="S916" s="938"/>
    </row>
    <row r="917" spans="2:19" x14ac:dyDescent="0.2">
      <c r="B917" s="193"/>
      <c r="C917" s="1005">
        <v>43788</v>
      </c>
      <c r="D917" s="256">
        <v>43769</v>
      </c>
      <c r="E917" s="195" t="s">
        <v>1142</v>
      </c>
      <c r="F917" s="1004" t="s">
        <v>1143</v>
      </c>
      <c r="G917" s="196" t="s">
        <v>212</v>
      </c>
      <c r="H917" s="197" t="str">
        <f>+VLOOKUP(G917,[13]bd!A:C,2,0)</f>
        <v>CENTRAL DE DEPOSITO DE VALORES, S.A. DE C.V.</v>
      </c>
      <c r="I917" s="938"/>
      <c r="J917" s="938"/>
      <c r="K917" s="939">
        <v>2205.19</v>
      </c>
      <c r="L917" s="938"/>
      <c r="M917" s="724">
        <v>286.67</v>
      </c>
      <c r="N917" s="938">
        <f t="shared" si="51"/>
        <v>2491.86</v>
      </c>
      <c r="O917" s="938"/>
      <c r="P917" s="966">
        <f>ROUND(K917*0.01,2)</f>
        <v>22.05</v>
      </c>
      <c r="Q917" s="938"/>
      <c r="R917" s="938"/>
      <c r="S917" s="938"/>
    </row>
    <row r="918" spans="2:19" x14ac:dyDescent="0.2">
      <c r="B918" s="193"/>
      <c r="C918" s="256">
        <v>43794</v>
      </c>
      <c r="D918" s="256">
        <v>43773</v>
      </c>
      <c r="E918" s="195" t="s">
        <v>1013</v>
      </c>
      <c r="F918" s="1004" t="s">
        <v>1144</v>
      </c>
      <c r="G918" s="196" t="s">
        <v>208</v>
      </c>
      <c r="H918" s="197" t="str">
        <f>+VLOOKUP(G918,[13]bd!A:C,2,0)</f>
        <v>KPMG, S.A.</v>
      </c>
      <c r="I918" s="938"/>
      <c r="J918" s="938"/>
      <c r="K918" s="939">
        <v>344.44</v>
      </c>
      <c r="L918" s="938"/>
      <c r="M918" s="724">
        <v>44.78</v>
      </c>
      <c r="N918" s="938">
        <f t="shared" si="51"/>
        <v>389.22</v>
      </c>
      <c r="O918" s="938"/>
      <c r="P918" s="966">
        <f>ROUND(K918*0.01,2)</f>
        <v>3.44</v>
      </c>
      <c r="Q918" s="938"/>
      <c r="R918" s="938"/>
      <c r="S918" s="938"/>
    </row>
    <row r="919" spans="2:19" x14ac:dyDescent="0.2">
      <c r="B919" s="193"/>
      <c r="C919" s="256">
        <v>43794</v>
      </c>
      <c r="D919" s="979">
        <v>43794</v>
      </c>
      <c r="E919" s="195" t="s">
        <v>1145</v>
      </c>
      <c r="F919" s="162"/>
      <c r="G919" s="196" t="s">
        <v>47</v>
      </c>
      <c r="H919" s="197" t="str">
        <f>+VLOOKUP(G919,[13]bd!A:C,2,0)</f>
        <v>BANCO CUSCATLAN DE EL SALVADOR S.A.</v>
      </c>
      <c r="I919" s="938"/>
      <c r="J919" s="938"/>
      <c r="K919" s="939">
        <v>133.80000000000001</v>
      </c>
      <c r="L919" s="938"/>
      <c r="M919" s="724">
        <v>17.39</v>
      </c>
      <c r="N919" s="938">
        <f t="shared" si="51"/>
        <v>151.19</v>
      </c>
      <c r="O919" s="938"/>
      <c r="P919" s="966">
        <v>0</v>
      </c>
      <c r="Q919" s="938"/>
      <c r="R919" s="938"/>
      <c r="S919" s="938"/>
    </row>
    <row r="920" spans="2:19" x14ac:dyDescent="0.2">
      <c r="B920" s="193"/>
      <c r="C920" s="256">
        <v>43794</v>
      </c>
      <c r="D920" s="256">
        <v>43769</v>
      </c>
      <c r="E920" s="195" t="s">
        <v>1146</v>
      </c>
      <c r="F920" s="162"/>
      <c r="G920" s="196" t="s">
        <v>341</v>
      </c>
      <c r="H920" s="197" t="str">
        <f>+VLOOKUP(G920,[13]bd!A:C,2,0)</f>
        <v>OPERADORES LOGISTICOS RANSA, S.A. DE C.V.</v>
      </c>
      <c r="I920" s="938"/>
      <c r="J920" s="938"/>
      <c r="K920" s="939">
        <v>376.92</v>
      </c>
      <c r="L920" s="938"/>
      <c r="M920" s="724">
        <v>49</v>
      </c>
      <c r="N920" s="938">
        <f t="shared" si="51"/>
        <v>425.92</v>
      </c>
      <c r="O920" s="938"/>
      <c r="P920" s="966">
        <v>0</v>
      </c>
      <c r="Q920" s="938"/>
      <c r="R920" s="938"/>
      <c r="S920" s="938"/>
    </row>
    <row r="921" spans="2:19" x14ac:dyDescent="0.2">
      <c r="B921" s="193"/>
      <c r="C921" s="256">
        <v>43794</v>
      </c>
      <c r="D921" s="256">
        <v>43794</v>
      </c>
      <c r="E921" s="195" t="s">
        <v>1147</v>
      </c>
      <c r="F921" s="162"/>
      <c r="G921" s="196" t="s">
        <v>188</v>
      </c>
      <c r="H921" s="197" t="str">
        <f>+VLOOKUP(G921,[13]bd!A:C,2,0)</f>
        <v>BOLSA DE VALORES DE EL SALVADOR, S.A. DE C.V.</v>
      </c>
      <c r="I921" s="938"/>
      <c r="J921" s="938"/>
      <c r="K921" s="939">
        <v>199.98</v>
      </c>
      <c r="L921" s="938"/>
      <c r="M921" s="938">
        <v>26</v>
      </c>
      <c r="N921" s="938">
        <f t="shared" si="51"/>
        <v>225.98</v>
      </c>
      <c r="O921" s="938"/>
      <c r="P921" s="966">
        <v>0</v>
      </c>
      <c r="Q921" s="938"/>
      <c r="R921" s="938"/>
      <c r="S921" s="938"/>
    </row>
    <row r="922" spans="2:19" x14ac:dyDescent="0.2">
      <c r="B922" s="193"/>
      <c r="C922" s="256">
        <v>43798</v>
      </c>
      <c r="D922" s="256">
        <v>43798</v>
      </c>
      <c r="E922" s="195" t="s">
        <v>1148</v>
      </c>
      <c r="F922" s="162"/>
      <c r="G922" s="196" t="s">
        <v>188</v>
      </c>
      <c r="H922" s="197" t="str">
        <f>+VLOOKUP(G922,[13]bd!A:C,2,0)</f>
        <v>BOLSA DE VALORES DE EL SALVADOR, S.A. DE C.V.</v>
      </c>
      <c r="I922" s="938"/>
      <c r="J922" s="938"/>
      <c r="K922" s="939">
        <v>30.62</v>
      </c>
      <c r="L922" s="938"/>
      <c r="M922" s="938">
        <v>3.98</v>
      </c>
      <c r="N922" s="938">
        <f t="shared" si="51"/>
        <v>34.6</v>
      </c>
      <c r="O922" s="938"/>
      <c r="P922" s="966">
        <v>0</v>
      </c>
      <c r="Q922" s="938"/>
      <c r="R922" s="938"/>
      <c r="S922" s="938"/>
    </row>
    <row r="925" spans="2:19" ht="13.5" thickBot="1" x14ac:dyDescent="0.25">
      <c r="B925" s="265"/>
      <c r="C925" s="266"/>
      <c r="D925" s="267"/>
      <c r="E925" s="266"/>
      <c r="F925" s="268"/>
      <c r="G925" s="269"/>
      <c r="H925" s="270"/>
      <c r="I925" s="271"/>
      <c r="J925" s="272"/>
      <c r="K925" s="272"/>
      <c r="L925" s="273"/>
      <c r="M925" s="272"/>
      <c r="N925" s="272"/>
      <c r="O925" s="272"/>
      <c r="P925" s="272"/>
      <c r="Q925" s="274"/>
      <c r="R925" s="274"/>
      <c r="S925" s="274"/>
    </row>
    <row r="926" spans="2:19" x14ac:dyDescent="0.2">
      <c r="B926" s="175"/>
      <c r="C926" s="176"/>
      <c r="D926" s="275"/>
      <c r="E926" s="176"/>
      <c r="F926" s="276"/>
      <c r="G926" s="277"/>
      <c r="H926" s="178"/>
      <c r="I926" s="278"/>
      <c r="J926" s="171"/>
      <c r="K926" s="171"/>
      <c r="L926" s="279"/>
      <c r="M926" s="171"/>
      <c r="N926" s="171"/>
      <c r="O926" s="171"/>
      <c r="P926" s="171"/>
      <c r="Q926" s="280"/>
      <c r="R926" s="280"/>
      <c r="S926" s="280"/>
    </row>
    <row r="927" spans="2:19" x14ac:dyDescent="0.2">
      <c r="B927" s="175"/>
      <c r="C927" s="164"/>
      <c r="D927" s="165"/>
      <c r="E927" s="164"/>
      <c r="F927" s="281"/>
      <c r="G927" s="277"/>
      <c r="H927" s="282" t="s">
        <v>261</v>
      </c>
      <c r="I927" s="279">
        <f t="shared" ref="I927:J927" si="52">SUM(I887:I925)</f>
        <v>0</v>
      </c>
      <c r="J927" s="279">
        <f t="shared" si="52"/>
        <v>0</v>
      </c>
      <c r="K927" s="279">
        <f>SUM(K911:K925)</f>
        <v>5789.869999999999</v>
      </c>
      <c r="L927" s="279">
        <f t="shared" ref="L927:S927" si="53">SUM(L911:L925)</f>
        <v>0</v>
      </c>
      <c r="M927" s="279">
        <f t="shared" si="53"/>
        <v>752.68000000000006</v>
      </c>
      <c r="N927" s="279">
        <f t="shared" si="53"/>
        <v>6542.55</v>
      </c>
      <c r="O927" s="279">
        <f t="shared" si="53"/>
        <v>0</v>
      </c>
      <c r="P927" s="279">
        <f t="shared" si="53"/>
        <v>46.519999999999996</v>
      </c>
      <c r="Q927" s="279">
        <f t="shared" si="53"/>
        <v>0</v>
      </c>
      <c r="R927" s="279">
        <f t="shared" si="53"/>
        <v>0</v>
      </c>
      <c r="S927" s="279">
        <f t="shared" si="53"/>
        <v>0</v>
      </c>
    </row>
    <row r="928" spans="2:19" ht="13.5" thickBot="1" x14ac:dyDescent="0.25">
      <c r="B928" s="265"/>
      <c r="C928" s="283"/>
      <c r="D928" s="284"/>
      <c r="E928" s="283"/>
      <c r="F928" s="285"/>
      <c r="G928" s="269"/>
      <c r="H928" s="286"/>
      <c r="I928" s="273"/>
      <c r="J928" s="287"/>
      <c r="K928" s="287"/>
      <c r="L928" s="287"/>
      <c r="M928" s="287"/>
      <c r="N928" s="287"/>
      <c r="O928" s="287"/>
      <c r="P928" s="287"/>
      <c r="Q928" s="273"/>
      <c r="R928" s="273"/>
      <c r="S928" s="962"/>
    </row>
    <row r="934" spans="2:19" ht="15.75" x14ac:dyDescent="0.25">
      <c r="B934" s="885" t="s">
        <v>190</v>
      </c>
      <c r="C934" s="885"/>
      <c r="D934" s="885"/>
      <c r="E934" s="885"/>
      <c r="F934" s="885"/>
      <c r="G934" s="886"/>
      <c r="H934" s="887"/>
      <c r="I934" s="887"/>
      <c r="J934" s="887"/>
      <c r="K934" s="887"/>
      <c r="L934" s="887"/>
      <c r="M934" s="887"/>
      <c r="N934" s="888"/>
      <c r="O934" s="882"/>
      <c r="P934" s="882"/>
      <c r="Q934" s="882"/>
      <c r="R934" s="882"/>
      <c r="S934" s="882"/>
    </row>
    <row r="935" spans="2:19" ht="15.75" x14ac:dyDescent="0.25">
      <c r="B935" s="889" t="s">
        <v>219</v>
      </c>
      <c r="C935" s="890" t="s">
        <v>90</v>
      </c>
      <c r="D935" s="891"/>
      <c r="E935" s="892">
        <v>2019</v>
      </c>
      <c r="F935" s="885"/>
      <c r="G935" s="886"/>
      <c r="H935" s="162"/>
      <c r="I935" s="893"/>
      <c r="J935" s="893"/>
      <c r="K935" s="893"/>
      <c r="L935" s="893"/>
      <c r="M935" s="893"/>
      <c r="N935" s="888"/>
      <c r="O935" s="882"/>
      <c r="P935" s="882"/>
      <c r="Q935" s="882"/>
      <c r="R935" s="882"/>
      <c r="S935" s="882"/>
    </row>
    <row r="936" spans="2:19" x14ac:dyDescent="0.2">
      <c r="B936" s="163"/>
      <c r="C936" s="164"/>
      <c r="D936" s="165"/>
      <c r="E936" s="166"/>
      <c r="F936" s="167"/>
      <c r="G936" s="168"/>
      <c r="H936" s="168"/>
      <c r="I936" s="169"/>
      <c r="J936" s="170"/>
      <c r="K936" s="171"/>
      <c r="L936" s="170"/>
      <c r="M936" s="171"/>
      <c r="N936" s="171"/>
      <c r="O936" s="170"/>
      <c r="P936" s="170"/>
      <c r="Q936" s="168"/>
      <c r="R936" s="168"/>
      <c r="S936" s="172"/>
    </row>
    <row r="937" spans="2:19" x14ac:dyDescent="0.2">
      <c r="B937" s="163"/>
      <c r="C937" s="164"/>
      <c r="D937" s="165"/>
      <c r="E937" s="166"/>
      <c r="F937" s="243"/>
      <c r="G937" s="173"/>
      <c r="H937" s="174"/>
      <c r="I937" s="169"/>
      <c r="J937" s="170"/>
      <c r="K937" s="171"/>
      <c r="L937" s="170"/>
      <c r="M937" s="171"/>
      <c r="N937" s="171"/>
      <c r="O937" s="170"/>
      <c r="P937" s="170"/>
      <c r="Q937" s="168"/>
      <c r="R937" s="168"/>
      <c r="S937" s="172"/>
    </row>
    <row r="938" spans="2:19" x14ac:dyDescent="0.2">
      <c r="B938" s="175"/>
      <c r="C938" s="176"/>
      <c r="D938" s="177"/>
      <c r="E938" s="166"/>
      <c r="F938" s="167"/>
      <c r="G938" s="178"/>
      <c r="H938" s="168"/>
      <c r="I938" s="169"/>
      <c r="J938" s="170"/>
      <c r="K938" s="171"/>
      <c r="L938" s="170"/>
      <c r="M938" s="171"/>
      <c r="N938" s="171"/>
      <c r="O938" s="170"/>
      <c r="P938" s="908">
        <v>0.01</v>
      </c>
      <c r="Q938" s="168"/>
      <c r="R938" s="168" t="s">
        <v>220</v>
      </c>
      <c r="S938" s="909">
        <v>0.13</v>
      </c>
    </row>
    <row r="939" spans="2:19" x14ac:dyDescent="0.2">
      <c r="B939" s="179" t="s">
        <v>221</v>
      </c>
      <c r="C939" s="987" t="s">
        <v>136</v>
      </c>
      <c r="D939" s="988" t="s">
        <v>136</v>
      </c>
      <c r="E939" s="989" t="s">
        <v>137</v>
      </c>
      <c r="F939" s="989" t="s">
        <v>222</v>
      </c>
      <c r="G939" s="990" t="s">
        <v>223</v>
      </c>
      <c r="H939" s="1040" t="s">
        <v>139</v>
      </c>
      <c r="I939" s="991" t="s">
        <v>224</v>
      </c>
      <c r="J939" s="992"/>
      <c r="K939" s="993" t="s">
        <v>225</v>
      </c>
      <c r="L939" s="992"/>
      <c r="M939" s="994"/>
      <c r="N939" s="995" t="s">
        <v>140</v>
      </c>
      <c r="O939" s="996" t="s">
        <v>226</v>
      </c>
      <c r="P939" s="184" t="s">
        <v>227</v>
      </c>
      <c r="Q939" s="185" t="s">
        <v>228</v>
      </c>
      <c r="R939" s="185" t="s">
        <v>229</v>
      </c>
      <c r="S939" s="185" t="s">
        <v>229</v>
      </c>
    </row>
    <row r="940" spans="2:19" x14ac:dyDescent="0.2">
      <c r="B940" s="186"/>
      <c r="C940" s="997" t="s">
        <v>230</v>
      </c>
      <c r="D940" s="998" t="s">
        <v>141</v>
      </c>
      <c r="E940" s="999" t="s">
        <v>141</v>
      </c>
      <c r="F940" s="1000" t="s">
        <v>231</v>
      </c>
      <c r="G940" s="1001" t="s">
        <v>142</v>
      </c>
      <c r="H940" s="1040"/>
      <c r="I940" s="315" t="s">
        <v>232</v>
      </c>
      <c r="J940" s="316" t="s">
        <v>233</v>
      </c>
      <c r="K940" s="317" t="s">
        <v>232</v>
      </c>
      <c r="L940" s="1002" t="s">
        <v>233</v>
      </c>
      <c r="M940" s="317" t="s">
        <v>46</v>
      </c>
      <c r="N940" s="995" t="s">
        <v>234</v>
      </c>
      <c r="O940" s="996" t="s">
        <v>235</v>
      </c>
      <c r="P940" s="191" t="s">
        <v>236</v>
      </c>
      <c r="Q940" s="192" t="s">
        <v>237</v>
      </c>
      <c r="R940" s="192" t="s">
        <v>238</v>
      </c>
      <c r="S940" s="192" t="s">
        <v>239</v>
      </c>
    </row>
    <row r="941" spans="2:19" x14ac:dyDescent="0.2">
      <c r="B941" s="193"/>
      <c r="C941" s="1006" t="s">
        <v>1149</v>
      </c>
      <c r="D941" s="256">
        <v>43804</v>
      </c>
      <c r="E941" s="195" t="s">
        <v>1168</v>
      </c>
      <c r="F941" s="162"/>
      <c r="G941" s="196" t="s">
        <v>188</v>
      </c>
      <c r="H941" s="197" t="str">
        <f>+VLOOKUP(G941,[14]bd!A:C,2,0)</f>
        <v>BOLSA DE VALORES DE EL SALVADOR, S.A. DE C.V.</v>
      </c>
      <c r="I941" s="938"/>
      <c r="J941" s="938"/>
      <c r="K941" s="939">
        <v>78.19</v>
      </c>
      <c r="L941" s="938"/>
      <c r="M941" s="724">
        <v>10.16</v>
      </c>
      <c r="N941" s="938">
        <f t="shared" ref="N941:N953" si="54">+K941+M941</f>
        <v>88.35</v>
      </c>
      <c r="O941" s="938"/>
      <c r="P941" s="966"/>
      <c r="Q941" s="938"/>
      <c r="R941" s="938"/>
      <c r="S941" s="938"/>
    </row>
    <row r="942" spans="2:19" x14ac:dyDescent="0.2">
      <c r="B942" s="193"/>
      <c r="C942" s="1006" t="s">
        <v>1169</v>
      </c>
      <c r="D942" s="256">
        <v>43804</v>
      </c>
      <c r="E942" s="195" t="s">
        <v>1170</v>
      </c>
      <c r="F942" s="1008"/>
      <c r="G942" s="196" t="s">
        <v>554</v>
      </c>
      <c r="H942" s="197" t="str">
        <f>+VLOOKUP(G942,[14]bd!A:C,2,0)</f>
        <v>O &amp; R MARKETING COMMUNICATIONS, S.A DE C.V.</v>
      </c>
      <c r="I942" s="938"/>
      <c r="J942" s="938"/>
      <c r="K942" s="939">
        <v>63</v>
      </c>
      <c r="L942" s="938"/>
      <c r="M942" s="724">
        <v>8.19</v>
      </c>
      <c r="N942" s="938">
        <f t="shared" si="54"/>
        <v>71.19</v>
      </c>
      <c r="O942" s="938"/>
      <c r="P942" s="966">
        <v>0</v>
      </c>
      <c r="Q942" s="938"/>
      <c r="R942" s="938"/>
      <c r="S942" s="938"/>
    </row>
    <row r="943" spans="2:19" x14ac:dyDescent="0.2">
      <c r="B943" s="193"/>
      <c r="C943" s="1006" t="s">
        <v>1169</v>
      </c>
      <c r="D943" s="256">
        <v>43804</v>
      </c>
      <c r="E943">
        <v>32104122019</v>
      </c>
      <c r="F943" s="1008"/>
      <c r="G943" s="1009"/>
      <c r="H943" s="197" t="s">
        <v>430</v>
      </c>
      <c r="I943" s="938"/>
      <c r="J943" s="938"/>
      <c r="K943" s="939">
        <v>321</v>
      </c>
      <c r="L943" s="938"/>
      <c r="M943" s="724">
        <v>41.73</v>
      </c>
      <c r="N943" s="938">
        <f t="shared" si="54"/>
        <v>362.73</v>
      </c>
      <c r="O943" s="938"/>
      <c r="P943" s="966"/>
      <c r="Q943" s="938"/>
      <c r="R943" s="938">
        <v>64.2</v>
      </c>
      <c r="S943" s="938">
        <v>-41.73</v>
      </c>
    </row>
    <row r="944" spans="2:19" x14ac:dyDescent="0.2">
      <c r="B944" s="193"/>
      <c r="C944" s="1007" t="s">
        <v>1157</v>
      </c>
      <c r="D944" s="1010">
        <v>43812</v>
      </c>
      <c r="E944" s="1008" t="s">
        <v>1171</v>
      </c>
      <c r="F944" s="1008"/>
      <c r="G944" s="1009" t="s">
        <v>188</v>
      </c>
      <c r="H944" s="197" t="str">
        <f>+VLOOKUP(G944,[14]bd!A:C,2,0)</f>
        <v>BOLSA DE VALORES DE EL SALVADOR, S.A. DE C.V.</v>
      </c>
      <c r="I944" s="938"/>
      <c r="J944" s="938"/>
      <c r="K944" s="939">
        <v>68.5</v>
      </c>
      <c r="L944" s="938"/>
      <c r="M944" s="724">
        <v>8.9</v>
      </c>
      <c r="N944" s="938">
        <f t="shared" si="54"/>
        <v>77.400000000000006</v>
      </c>
      <c r="O944" s="938"/>
      <c r="P944" s="966">
        <v>0</v>
      </c>
      <c r="Q944" s="938"/>
      <c r="R944" s="938"/>
      <c r="S944" s="938"/>
    </row>
    <row r="945" spans="2:19" x14ac:dyDescent="0.2">
      <c r="B945" s="193"/>
      <c r="C945" s="1011">
        <v>43815</v>
      </c>
      <c r="D945" s="1012">
        <v>43798</v>
      </c>
      <c r="E945" s="1008" t="s">
        <v>97</v>
      </c>
      <c r="F945" s="1013"/>
      <c r="G945" s="1009" t="s">
        <v>212</v>
      </c>
      <c r="H945" s="197" t="str">
        <f>+VLOOKUP(G945,[14]bd!A:C,2,0)</f>
        <v>CENTRAL DE DEPOSITO DE VALORES, S.A. DE C.V.</v>
      </c>
      <c r="I945" s="938"/>
      <c r="J945" s="938"/>
      <c r="K945" s="939">
        <v>2260.85</v>
      </c>
      <c r="L945" s="938"/>
      <c r="M945" s="724">
        <v>293.91000000000003</v>
      </c>
      <c r="N945" s="938">
        <f t="shared" si="54"/>
        <v>2554.7599999999998</v>
      </c>
      <c r="O945" s="938"/>
      <c r="P945" s="966">
        <f>ROUND(K945*0.01,2)</f>
        <v>22.61</v>
      </c>
      <c r="Q945" s="938"/>
      <c r="R945" s="938"/>
      <c r="S945" s="938"/>
    </row>
    <row r="946" spans="2:19" x14ac:dyDescent="0.2">
      <c r="B946" s="193"/>
      <c r="C946" s="1014">
        <v>43816</v>
      </c>
      <c r="D946" s="1010">
        <v>43799</v>
      </c>
      <c r="E946" s="1008" t="s">
        <v>1172</v>
      </c>
      <c r="F946" s="1013"/>
      <c r="G946" s="1008" t="s">
        <v>341</v>
      </c>
      <c r="H946" s="197" t="str">
        <f>+VLOOKUP(G946,[14]bd!A:C,2,0)</f>
        <v>OPERADORES LOGISTICOS RANSA, S.A. DE C.V.</v>
      </c>
      <c r="I946" s="938"/>
      <c r="J946" s="938"/>
      <c r="K946" s="939">
        <v>376.92</v>
      </c>
      <c r="L946" s="938"/>
      <c r="M946" s="724">
        <v>49</v>
      </c>
      <c r="N946" s="938">
        <f t="shared" si="54"/>
        <v>425.92</v>
      </c>
      <c r="O946" s="938"/>
      <c r="P946" s="966">
        <v>0</v>
      </c>
      <c r="Q946" s="938"/>
      <c r="R946" s="938"/>
      <c r="S946" s="938"/>
    </row>
    <row r="947" spans="2:19" x14ac:dyDescent="0.2">
      <c r="B947" s="193"/>
      <c r="C947" s="1014">
        <v>43816</v>
      </c>
      <c r="D947" s="1010">
        <v>43804</v>
      </c>
      <c r="E947" s="1008" t="s">
        <v>1173</v>
      </c>
      <c r="F947" s="1008"/>
      <c r="G947" s="1009" t="s">
        <v>341</v>
      </c>
      <c r="H947" s="197" t="str">
        <f>+VLOOKUP(G947,[14]bd!A:C,2,0)</f>
        <v>OPERADORES LOGISTICOS RANSA, S.A. DE C.V.</v>
      </c>
      <c r="I947" s="938"/>
      <c r="J947" s="938"/>
      <c r="K947" s="939">
        <v>376.92</v>
      </c>
      <c r="L947" s="938"/>
      <c r="M947" s="724">
        <v>49</v>
      </c>
      <c r="N947" s="938">
        <f t="shared" si="54"/>
        <v>425.92</v>
      </c>
      <c r="O947" s="938"/>
      <c r="P947" s="966">
        <v>0</v>
      </c>
      <c r="Q947" s="938"/>
      <c r="R947" s="938"/>
      <c r="S947" s="938"/>
    </row>
    <row r="948" spans="2:19" x14ac:dyDescent="0.2">
      <c r="B948" s="193"/>
      <c r="C948" s="1014">
        <v>43816</v>
      </c>
      <c r="D948" s="1010">
        <v>43801</v>
      </c>
      <c r="E948" s="1008" t="s">
        <v>1174</v>
      </c>
      <c r="F948" s="1008"/>
      <c r="G948" s="1009" t="s">
        <v>208</v>
      </c>
      <c r="H948" s="197" t="str">
        <f>+VLOOKUP(G948,[14]bd!A:C,2,0)</f>
        <v>KPMG, S.A.</v>
      </c>
      <c r="I948" s="938"/>
      <c r="J948" s="938"/>
      <c r="K948" s="939">
        <v>118.18</v>
      </c>
      <c r="L948" s="938"/>
      <c r="M948" s="724">
        <v>15.36</v>
      </c>
      <c r="N948" s="938">
        <f t="shared" si="54"/>
        <v>133.54000000000002</v>
      </c>
      <c r="O948" s="938"/>
      <c r="P948" s="966">
        <f>ROUND(K948*0.01,2)</f>
        <v>1.18</v>
      </c>
      <c r="Q948" s="938"/>
      <c r="R948" s="938"/>
      <c r="S948" s="938"/>
    </row>
    <row r="949" spans="2:19" x14ac:dyDescent="0.2">
      <c r="B949" s="193"/>
      <c r="C949" s="1014">
        <v>43816</v>
      </c>
      <c r="D949" s="979">
        <v>43801</v>
      </c>
      <c r="E949" s="195" t="s">
        <v>784</v>
      </c>
      <c r="F949" s="162"/>
      <c r="G949" s="196" t="s">
        <v>208</v>
      </c>
      <c r="H949" s="197" t="str">
        <f>+VLOOKUP(G949,[14]bd!A:C,2,0)</f>
        <v>KPMG, S.A.</v>
      </c>
      <c r="I949" s="938"/>
      <c r="J949" s="938"/>
      <c r="K949" s="939">
        <v>344.48</v>
      </c>
      <c r="L949" s="938"/>
      <c r="M949" s="724">
        <v>44.78</v>
      </c>
      <c r="N949" s="938">
        <f t="shared" si="54"/>
        <v>389.26</v>
      </c>
      <c r="O949" s="938"/>
      <c r="P949" s="966">
        <f>ROUND(K949*0.01,2)</f>
        <v>3.44</v>
      </c>
      <c r="Q949" s="938"/>
      <c r="R949" s="938"/>
      <c r="S949" s="938"/>
    </row>
    <row r="950" spans="2:19" x14ac:dyDescent="0.2">
      <c r="B950" s="193"/>
      <c r="C950" s="256">
        <v>43816</v>
      </c>
      <c r="D950" s="256">
        <v>43816</v>
      </c>
      <c r="E950" s="195" t="s">
        <v>1175</v>
      </c>
      <c r="F950" s="162"/>
      <c r="G950" s="196" t="s">
        <v>188</v>
      </c>
      <c r="H950" s="197" t="str">
        <f>+VLOOKUP(G950,[14]bd!A:C,2,0)</f>
        <v>BOLSA DE VALORES DE EL SALVADOR, S.A. DE C.V.</v>
      </c>
      <c r="I950" s="938"/>
      <c r="J950" s="938"/>
      <c r="K950" s="939">
        <v>1104.04</v>
      </c>
      <c r="L950" s="938"/>
      <c r="M950" s="724">
        <v>143.53</v>
      </c>
      <c r="N950" s="938">
        <f t="shared" si="54"/>
        <v>1247.57</v>
      </c>
      <c r="O950" s="938"/>
      <c r="P950" s="966">
        <v>0</v>
      </c>
      <c r="Q950" s="938"/>
      <c r="R950" s="938"/>
      <c r="S950" s="938"/>
    </row>
    <row r="951" spans="2:19" x14ac:dyDescent="0.2">
      <c r="B951" s="193"/>
      <c r="C951" s="256">
        <v>43817</v>
      </c>
      <c r="D951" s="256">
        <v>43808</v>
      </c>
      <c r="E951" s="195" t="s">
        <v>1176</v>
      </c>
      <c r="F951" s="162"/>
      <c r="G951" s="196" t="s">
        <v>188</v>
      </c>
      <c r="H951" s="197" t="str">
        <f>+VLOOKUP(G951,[14]bd!A:C,2,0)</f>
        <v>BOLSA DE VALORES DE EL SALVADOR, S.A. DE C.V.</v>
      </c>
      <c r="I951" s="938"/>
      <c r="J951" s="938"/>
      <c r="K951" s="939">
        <v>60</v>
      </c>
      <c r="L951" s="938"/>
      <c r="M951" s="938">
        <v>7.8</v>
      </c>
      <c r="N951" s="938">
        <f t="shared" si="54"/>
        <v>67.8</v>
      </c>
      <c r="O951" s="938"/>
      <c r="P951" s="966">
        <v>0</v>
      </c>
      <c r="Q951" s="938"/>
      <c r="R951" s="938"/>
      <c r="S951" s="938"/>
    </row>
    <row r="952" spans="2:19" x14ac:dyDescent="0.2">
      <c r="B952" s="193"/>
      <c r="C952" s="256">
        <v>43818</v>
      </c>
      <c r="D952" s="256">
        <v>43808</v>
      </c>
      <c r="E952" s="195" t="s">
        <v>1177</v>
      </c>
      <c r="F952" s="162"/>
      <c r="G952" s="196" t="s">
        <v>554</v>
      </c>
      <c r="H952" s="197" t="str">
        <f>+VLOOKUP(G952,[14]bd!A:C,2,0)</f>
        <v>O &amp; R MARKETING COMMUNICATIONS, S.A DE C.V.</v>
      </c>
      <c r="I952" s="938"/>
      <c r="J952" s="938"/>
      <c r="K952" s="939">
        <v>63</v>
      </c>
      <c r="L952" s="938"/>
      <c r="M952" s="938">
        <v>8.19</v>
      </c>
      <c r="N952" s="938">
        <f t="shared" si="54"/>
        <v>71.19</v>
      </c>
      <c r="O952" s="938"/>
      <c r="P952" s="966">
        <v>0</v>
      </c>
      <c r="Q952" s="938"/>
      <c r="R952" s="938"/>
      <c r="S952" s="938"/>
    </row>
    <row r="953" spans="2:19" x14ac:dyDescent="0.2">
      <c r="B953" s="193"/>
      <c r="C953" s="1015">
        <v>43826</v>
      </c>
      <c r="D953" s="256">
        <v>43826</v>
      </c>
      <c r="E953" s="195" t="s">
        <v>1178</v>
      </c>
      <c r="F953" s="162"/>
      <c r="G953" s="196" t="s">
        <v>47</v>
      </c>
      <c r="H953" s="197" t="str">
        <f>+VLOOKUP(G953,[14]bd!A:C,2,0)</f>
        <v>BANCO CUSCATLAN DE EL SALVADOR S.A.</v>
      </c>
      <c r="I953" s="938"/>
      <c r="J953" s="938"/>
      <c r="K953" s="939">
        <v>133.80000000000001</v>
      </c>
      <c r="L953" s="938"/>
      <c r="M953" s="939">
        <v>17.39</v>
      </c>
      <c r="N953" s="938">
        <f t="shared" si="54"/>
        <v>151.19</v>
      </c>
      <c r="O953" s="938"/>
      <c r="P953" s="966">
        <v>0</v>
      </c>
      <c r="Q953" s="938"/>
      <c r="R953" s="938"/>
      <c r="S953" s="938"/>
    </row>
    <row r="954" spans="2:19" x14ac:dyDescent="0.2">
      <c r="B954" s="193"/>
      <c r="C954" s="194"/>
      <c r="D954" s="194"/>
      <c r="E954" s="195"/>
      <c r="F954" s="162"/>
      <c r="G954" s="196"/>
      <c r="H954" s="197"/>
      <c r="I954" s="938"/>
      <c r="J954" s="938"/>
      <c r="K954" s="939"/>
      <c r="L954" s="938"/>
      <c r="M954" s="938"/>
      <c r="N954" s="938"/>
      <c r="O954" s="938"/>
      <c r="P954" s="966">
        <v>0</v>
      </c>
      <c r="Q954" s="938"/>
      <c r="R954" s="938"/>
      <c r="S954" s="938"/>
    </row>
    <row r="955" spans="2:19" x14ac:dyDescent="0.2">
      <c r="B955" s="193"/>
      <c r="C955" s="194"/>
      <c r="D955" s="194"/>
      <c r="E955" s="195"/>
      <c r="F955" s="162"/>
      <c r="G955" s="196"/>
      <c r="H955" s="197" t="s">
        <v>273</v>
      </c>
      <c r="I955" s="938"/>
      <c r="J955" s="938"/>
      <c r="K955" s="972"/>
      <c r="L955" s="938"/>
      <c r="M955" s="972">
        <v>-697.94</v>
      </c>
      <c r="N955" s="681"/>
      <c r="O955" s="938"/>
      <c r="P955" s="966">
        <v>0</v>
      </c>
      <c r="Q955" s="938"/>
      <c r="R955" s="938"/>
      <c r="S955" s="938"/>
    </row>
    <row r="959" spans="2:19" ht="13.5" thickBot="1" x14ac:dyDescent="0.25">
      <c r="B959" s="265"/>
      <c r="C959" s="266"/>
      <c r="D959" s="267"/>
      <c r="E959" s="266"/>
      <c r="F959" s="268"/>
      <c r="G959" s="269"/>
      <c r="H959" s="270"/>
      <c r="I959" s="271"/>
      <c r="J959" s="272"/>
      <c r="K959" s="272"/>
      <c r="L959" s="273"/>
      <c r="M959" s="272"/>
      <c r="N959" s="272"/>
      <c r="O959" s="272"/>
      <c r="P959" s="272"/>
      <c r="Q959" s="274"/>
      <c r="R959" s="274"/>
      <c r="S959" s="274"/>
    </row>
    <row r="960" spans="2:19" x14ac:dyDescent="0.2">
      <c r="B960" s="175"/>
      <c r="C960" s="176"/>
      <c r="D960" s="275"/>
      <c r="E960" s="176"/>
      <c r="F960" s="276"/>
      <c r="G960" s="277"/>
      <c r="H960" s="178"/>
      <c r="I960" s="278"/>
      <c r="J960" s="171"/>
      <c r="K960" s="171"/>
      <c r="L960" s="279"/>
      <c r="M960" s="171"/>
      <c r="N960" s="171"/>
      <c r="O960" s="171"/>
      <c r="P960" s="171"/>
      <c r="Q960" s="280"/>
      <c r="R960" s="280"/>
      <c r="S960" s="280"/>
    </row>
    <row r="961" spans="2:19" x14ac:dyDescent="0.2">
      <c r="B961" s="175"/>
      <c r="C961" s="164"/>
      <c r="D961" s="165"/>
      <c r="E961" s="164"/>
      <c r="F961" s="281"/>
      <c r="G961" s="277"/>
      <c r="H961" s="282" t="s">
        <v>261</v>
      </c>
      <c r="I961" s="279">
        <f>SUM(I935:I959)</f>
        <v>0</v>
      </c>
      <c r="J961" s="279">
        <f>SUM(J935:J959)</f>
        <v>0</v>
      </c>
      <c r="K961" s="279">
        <f>SUM(K941:K959)</f>
        <v>5368.88</v>
      </c>
      <c r="L961" s="279">
        <f t="shared" ref="L961:S961" si="55">SUM(L941:L959)</f>
        <v>0</v>
      </c>
      <c r="M961" s="279">
        <f t="shared" si="55"/>
        <v>0</v>
      </c>
      <c r="N961" s="279">
        <f t="shared" si="55"/>
        <v>6066.82</v>
      </c>
      <c r="O961" s="279">
        <f t="shared" si="55"/>
        <v>0</v>
      </c>
      <c r="P961" s="279">
        <f t="shared" si="55"/>
        <v>27.23</v>
      </c>
      <c r="Q961" s="279">
        <f t="shared" si="55"/>
        <v>0</v>
      </c>
      <c r="R961" s="279">
        <f t="shared" si="55"/>
        <v>64.2</v>
      </c>
      <c r="S961" s="279">
        <f t="shared" si="55"/>
        <v>-41.73</v>
      </c>
    </row>
    <row r="962" spans="2:19" ht="13.5" thickBot="1" x14ac:dyDescent="0.25">
      <c r="B962" s="265"/>
      <c r="C962" s="283"/>
      <c r="D962" s="284"/>
      <c r="E962" s="283"/>
      <c r="F962" s="285"/>
      <c r="G962" s="269"/>
      <c r="H962" s="286"/>
      <c r="I962" s="273"/>
      <c r="J962" s="287"/>
      <c r="K962" s="287"/>
      <c r="L962" s="287"/>
      <c r="M962" s="287"/>
      <c r="N962" s="287"/>
      <c r="O962" s="287"/>
      <c r="P962" s="287"/>
      <c r="Q962" s="273"/>
      <c r="R962" s="273"/>
      <c r="S962" s="962"/>
    </row>
  </sheetData>
  <mergeCells count="51">
    <mergeCell ref="L902:M902"/>
    <mergeCell ref="H909:H910"/>
    <mergeCell ref="L866:M866"/>
    <mergeCell ref="H873:H874"/>
    <mergeCell ref="L828:M828"/>
    <mergeCell ref="H835:H836"/>
    <mergeCell ref="L735:M735"/>
    <mergeCell ref="H742:H743"/>
    <mergeCell ref="F778:F779"/>
    <mergeCell ref="H797:H798"/>
    <mergeCell ref="L790:M790"/>
    <mergeCell ref="L704:M704"/>
    <mergeCell ref="H711:H712"/>
    <mergeCell ref="H673:H674"/>
    <mergeCell ref="L2:M2"/>
    <mergeCell ref="H39:H40"/>
    <mergeCell ref="H69:H70"/>
    <mergeCell ref="L307:M307"/>
    <mergeCell ref="H314:H315"/>
    <mergeCell ref="L505:M505"/>
    <mergeCell ref="H512:H513"/>
    <mergeCell ref="H9:H10"/>
    <mergeCell ref="H134:H135"/>
    <mergeCell ref="L666:M666"/>
    <mergeCell ref="L563:M563"/>
    <mergeCell ref="H570:H571"/>
    <mergeCell ref="L267:M267"/>
    <mergeCell ref="L454:M454"/>
    <mergeCell ref="H274:H275"/>
    <mergeCell ref="L191:M191"/>
    <mergeCell ref="H198:H199"/>
    <mergeCell ref="L227:M227"/>
    <mergeCell ref="H234:H235"/>
    <mergeCell ref="L356:M356"/>
    <mergeCell ref="H363:H364"/>
    <mergeCell ref="L408:M408"/>
    <mergeCell ref="H415:H416"/>
    <mergeCell ref="H939:H940"/>
    <mergeCell ref="F83:F84"/>
    <mergeCell ref="F178:F179"/>
    <mergeCell ref="H100:H101"/>
    <mergeCell ref="F293:F294"/>
    <mergeCell ref="H461:H462"/>
    <mergeCell ref="F548:F549"/>
    <mergeCell ref="F487:F488"/>
    <mergeCell ref="F439:F440"/>
    <mergeCell ref="F387:F388"/>
    <mergeCell ref="F694:F695"/>
    <mergeCell ref="F606:F607"/>
    <mergeCell ref="F654:F655"/>
    <mergeCell ref="H162:H163"/>
  </mergeCells>
  <pageMargins left="0.17" right="0.17" top="0.41" bottom="0.25" header="0.17" footer="0"/>
  <pageSetup paperSize="140" scale="50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Balance General SSF</vt:lpstr>
      <vt:lpstr>Estado Resultados SSF</vt:lpstr>
      <vt:lpstr>Operaciones Bursatiles SSF</vt:lpstr>
      <vt:lpstr>Operaciones admon cartera SSF</vt:lpstr>
      <vt:lpstr>Intercompany Balance</vt:lpstr>
      <vt:lpstr>Intercompany Resultados</vt:lpstr>
      <vt:lpstr>Ventas CCF</vt:lpstr>
      <vt:lpstr>CONSUMIDOR FINAL</vt:lpstr>
      <vt:lpstr>Compras 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  <vt:lpstr>'Compras '!Títulos_a_imprimir</vt:lpstr>
      <vt:lpstr>'Ventas CCF'!Títulos_a_imprimir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2019-12-02T15:44:04Z</cp:lastPrinted>
  <dcterms:created xsi:type="dcterms:W3CDTF">1999-07-22T05:06:38Z</dcterms:created>
  <dcterms:modified xsi:type="dcterms:W3CDTF">2020-04-03T23:16:08Z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