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9\MARZO\"/>
    </mc:Choice>
  </mc:AlternateContent>
  <bookViews>
    <workbookView xWindow="0" yWindow="0" windowWidth="15360" windowHeight="7935" tabRatio="856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Fondo Valores" sheetId="3" state="hidden" r:id="rId5"/>
    <sheet name="Anexos valores" sheetId="4" state="hidden" r:id="rId6"/>
    <sheet name="Intercompany Balance" sheetId="33" state="hidden" r:id="rId7"/>
    <sheet name="Intercompany Resultados" sheetId="34" state="hidden" r:id="rId8"/>
    <sheet name="Ventas CCF" sheetId="46" state="hidden" r:id="rId9"/>
    <sheet name="CONSUMIDOR FINAL" sheetId="49" state="hidden" r:id="rId10"/>
    <sheet name="Compras " sheetId="45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6" hidden="1">'Intercompany Balance'!$A$5:$I$5</definedName>
    <definedName name="_xlnm._FilterDatabase" localSheetId="7" hidden="1">'Intercompany Resultados'!$A$5:$L$35</definedName>
    <definedName name="_xlnm.Print_Area" localSheetId="5">'Anexos valores'!$A$1:$F$820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4">'Fondo Valores'!$D$1:$F$40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 localSheetId="10">#REF!</definedName>
    <definedName name="CALCULO_DE_PAGO_A_CUENTA" localSheetId="8">#REF!</definedName>
    <definedName name="CALCULO_DE_PAGO_A_CUENTA">#REF!</definedName>
    <definedName name="cinco" localSheetId="10">#REF!</definedName>
    <definedName name="cinco" localSheetId="8">#REF!</definedName>
    <definedName name="cinco">#REF!</definedName>
    <definedName name="cuaiva" localSheetId="10">#REF!</definedName>
    <definedName name="cuaiva" localSheetId="8">#REF!</definedName>
    <definedName name="cuaiva">#REF!</definedName>
    <definedName name="cuatro" localSheetId="10">#REF!</definedName>
    <definedName name="cuatro" localSheetId="8">#REF!</definedName>
    <definedName name="cuatro">#REF!</definedName>
    <definedName name="dos" localSheetId="10">#REF!</definedName>
    <definedName name="dos" localSheetId="8">#REF!</definedName>
    <definedName name="dos">#REF!</definedName>
    <definedName name="seis" localSheetId="10">#REF!</definedName>
    <definedName name="seis" localSheetId="8">#REF!</definedName>
    <definedName name="seis">#REF!</definedName>
    <definedName name="siete" localSheetId="10">#REF!</definedName>
    <definedName name="siete" localSheetId="8">#REF!</definedName>
    <definedName name="siete">#REF!</definedName>
    <definedName name="_xlnm.Print_Titles" localSheetId="5">'Anexos valores'!$1:$14</definedName>
    <definedName name="_xlnm.Print_Titles" localSheetId="0">'Balance General SSF'!$1:$6</definedName>
    <definedName name="_xlnm.Print_Titles" localSheetId="10">'Compras '!$1:$4</definedName>
    <definedName name="_xlnm.Print_Titles" localSheetId="8">'Ventas CCF'!$1:$6</definedName>
    <definedName name="tres" localSheetId="10">#REF!</definedName>
    <definedName name="tres" localSheetId="8">#REF!</definedName>
    <definedName name="tres">#REF!</definedName>
    <definedName name="uno" localSheetId="10">#REF!</definedName>
    <definedName name="uno" localSheetId="8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H17" i="3" l="1"/>
  <c r="H23" i="3"/>
  <c r="H24" i="3"/>
  <c r="H16" i="3"/>
  <c r="V10" i="34" l="1"/>
  <c r="E37" i="34" s="1"/>
  <c r="E15" i="34"/>
  <c r="E34" i="34"/>
  <c r="E33" i="34"/>
  <c r="E30" i="34"/>
  <c r="E29" i="34"/>
  <c r="E28" i="34"/>
  <c r="E27" i="34"/>
  <c r="E26" i="34"/>
  <c r="E24" i="34"/>
  <c r="E23" i="34"/>
  <c r="E22" i="34"/>
  <c r="E21" i="34"/>
  <c r="E20" i="34"/>
  <c r="E19" i="34"/>
  <c r="E18" i="34"/>
  <c r="E17" i="34"/>
  <c r="E14" i="34"/>
  <c r="E13" i="34"/>
  <c r="E12" i="34"/>
  <c r="E11" i="34"/>
  <c r="E10" i="34"/>
  <c r="E9" i="34"/>
  <c r="E8" i="34"/>
  <c r="E7" i="34"/>
  <c r="E6" i="34"/>
  <c r="X578" i="46"/>
  <c r="R582" i="46"/>
  <c r="X579" i="46"/>
  <c r="R581" i="46"/>
  <c r="R580" i="46"/>
  <c r="R579" i="46"/>
  <c r="R578" i="46"/>
  <c r="R577" i="46"/>
  <c r="R576" i="46"/>
  <c r="R575" i="46"/>
  <c r="R574" i="46"/>
  <c r="Y566" i="46" s="1"/>
  <c r="Z566" i="46" s="1"/>
  <c r="Z570" i="46" s="1"/>
  <c r="R573" i="46"/>
  <c r="R572" i="46"/>
  <c r="R571" i="46"/>
  <c r="R570" i="46"/>
  <c r="R569" i="46"/>
  <c r="R568" i="46"/>
  <c r="R567" i="46"/>
  <c r="R566" i="46"/>
  <c r="R565" i="46"/>
  <c r="R564" i="46"/>
  <c r="R563" i="46"/>
  <c r="R562" i="46"/>
  <c r="X577" i="46"/>
  <c r="X580" i="46" s="1"/>
  <c r="Y569" i="46"/>
  <c r="X570" i="46"/>
  <c r="Y563" i="46"/>
  <c r="Y562" i="46"/>
  <c r="G616" i="46"/>
  <c r="G615" i="46"/>
  <c r="G618" i="46" s="1"/>
  <c r="K600" i="46"/>
  <c r="L616" i="46" s="1"/>
  <c r="J600" i="46"/>
  <c r="L615" i="46" s="1"/>
  <c r="L618" i="46" s="1"/>
  <c r="I600" i="46"/>
  <c r="H600" i="46"/>
  <c r="G600" i="46"/>
  <c r="L595" i="46"/>
  <c r="L594" i="46"/>
  <c r="L590" i="46"/>
  <c r="L589" i="46"/>
  <c r="L588" i="46"/>
  <c r="L587" i="46"/>
  <c r="L586" i="46"/>
  <c r="L585" i="46"/>
  <c r="L584" i="46"/>
  <c r="L583" i="46"/>
  <c r="L582" i="46"/>
  <c r="L581" i="46"/>
  <c r="L580" i="46"/>
  <c r="L579" i="46"/>
  <c r="L578" i="46"/>
  <c r="L577" i="46"/>
  <c r="L576" i="46"/>
  <c r="L575" i="46"/>
  <c r="L574" i="46"/>
  <c r="L573" i="46"/>
  <c r="L572" i="46"/>
  <c r="L571" i="46"/>
  <c r="L570" i="46"/>
  <c r="L569" i="46"/>
  <c r="L568" i="46"/>
  <c r="L567" i="46"/>
  <c r="L566" i="46"/>
  <c r="L565" i="46"/>
  <c r="L564" i="46"/>
  <c r="L600" i="46" s="1"/>
  <c r="I190" i="49"/>
  <c r="I186" i="49"/>
  <c r="M182" i="49"/>
  <c r="L182" i="49"/>
  <c r="K182" i="49"/>
  <c r="J182" i="49"/>
  <c r="I182" i="49"/>
  <c r="H182" i="49"/>
  <c r="G182" i="49"/>
  <c r="I184" i="49" s="1"/>
  <c r="F171" i="49"/>
  <c r="F170" i="49"/>
  <c r="F169" i="49"/>
  <c r="F168" i="49"/>
  <c r="F167" i="49"/>
  <c r="F166" i="49"/>
  <c r="F165" i="49"/>
  <c r="F164" i="49"/>
  <c r="F163" i="49"/>
  <c r="F162" i="49"/>
  <c r="C156" i="49"/>
  <c r="S493" i="45"/>
  <c r="R493" i="45"/>
  <c r="Q493" i="45"/>
  <c r="O493" i="45"/>
  <c r="L493" i="45"/>
  <c r="K493" i="45"/>
  <c r="J493" i="45"/>
  <c r="I493" i="45"/>
  <c r="N490" i="45"/>
  <c r="M479" i="45"/>
  <c r="N479" i="45" s="1"/>
  <c r="H479" i="45"/>
  <c r="N478" i="45"/>
  <c r="M478" i="45"/>
  <c r="H478" i="45"/>
  <c r="M477" i="45"/>
  <c r="N477" i="45" s="1"/>
  <c r="H477" i="45"/>
  <c r="P476" i="45"/>
  <c r="M476" i="45"/>
  <c r="N476" i="45" s="1"/>
  <c r="H476" i="45"/>
  <c r="M475" i="45"/>
  <c r="N475" i="45" s="1"/>
  <c r="H475" i="45"/>
  <c r="M474" i="45"/>
  <c r="N474" i="45" s="1"/>
  <c r="H474" i="45"/>
  <c r="P473" i="45"/>
  <c r="M473" i="45"/>
  <c r="N473" i="45" s="1"/>
  <c r="H473" i="45"/>
  <c r="M472" i="45"/>
  <c r="N472" i="45" s="1"/>
  <c r="H472" i="45"/>
  <c r="M471" i="45"/>
  <c r="N471" i="45" s="1"/>
  <c r="H471" i="45"/>
  <c r="N470" i="45"/>
  <c r="H470" i="45"/>
  <c r="P469" i="45"/>
  <c r="P493" i="45" s="1"/>
  <c r="N469" i="45"/>
  <c r="M469" i="45"/>
  <c r="H469" i="45"/>
  <c r="N468" i="45"/>
  <c r="M468" i="45"/>
  <c r="H468" i="45"/>
  <c r="M467" i="45"/>
  <c r="N467" i="45" s="1"/>
  <c r="H467" i="45"/>
  <c r="M466" i="45"/>
  <c r="N466" i="45" s="1"/>
  <c r="H466" i="45"/>
  <c r="M465" i="45"/>
  <c r="N465" i="45" s="1"/>
  <c r="H465" i="45"/>
  <c r="M464" i="45"/>
  <c r="N464" i="45" s="1"/>
  <c r="H464" i="45"/>
  <c r="P463" i="45"/>
  <c r="M463" i="45"/>
  <c r="N463" i="45" s="1"/>
  <c r="H463" i="45"/>
  <c r="Y570" i="46" l="1"/>
  <c r="I191" i="49"/>
  <c r="I198" i="49" s="1"/>
  <c r="N493" i="45"/>
  <c r="M493" i="45"/>
  <c r="I193" i="49" l="1"/>
  <c r="X508" i="46" l="1"/>
  <c r="X506" i="46"/>
  <c r="X499" i="46"/>
  <c r="G539" i="46"/>
  <c r="K524" i="46"/>
  <c r="L540" i="46" s="1"/>
  <c r="J524" i="46"/>
  <c r="L539" i="46" s="1"/>
  <c r="L542" i="46" s="1"/>
  <c r="I524" i="46"/>
  <c r="H524" i="46"/>
  <c r="G524" i="46"/>
  <c r="L519" i="46"/>
  <c r="L518" i="46"/>
  <c r="L517" i="46"/>
  <c r="L516" i="46"/>
  <c r="L515" i="46"/>
  <c r="L514" i="46"/>
  <c r="L513" i="46"/>
  <c r="L512" i="46"/>
  <c r="L511" i="46"/>
  <c r="L510" i="46"/>
  <c r="L509" i="46"/>
  <c r="L508" i="46"/>
  <c r="E508" i="46"/>
  <c r="L507" i="46"/>
  <c r="E507" i="46"/>
  <c r="L506" i="46"/>
  <c r="E506" i="46"/>
  <c r="L505" i="46"/>
  <c r="E505" i="46"/>
  <c r="L504" i="46"/>
  <c r="E504" i="46"/>
  <c r="L503" i="46"/>
  <c r="E503" i="46"/>
  <c r="L502" i="46"/>
  <c r="E502" i="46"/>
  <c r="L501" i="46"/>
  <c r="E501" i="46"/>
  <c r="L500" i="46"/>
  <c r="E500" i="46"/>
  <c r="L499" i="46"/>
  <c r="E499" i="46"/>
  <c r="L498" i="46"/>
  <c r="E498" i="46"/>
  <c r="L497" i="46"/>
  <c r="E497" i="46"/>
  <c r="L496" i="46"/>
  <c r="E496" i="46"/>
  <c r="L495" i="46"/>
  <c r="E495" i="46"/>
  <c r="L494" i="46"/>
  <c r="L524" i="46" s="1"/>
  <c r="E494" i="46"/>
  <c r="S445" i="45"/>
  <c r="R445" i="45"/>
  <c r="Q445" i="45"/>
  <c r="O445" i="45"/>
  <c r="L445" i="45"/>
  <c r="K445" i="45"/>
  <c r="J445" i="45"/>
  <c r="I445" i="45"/>
  <c r="N442" i="45"/>
  <c r="P432" i="45"/>
  <c r="N432" i="45"/>
  <c r="M431" i="45"/>
  <c r="N431" i="45" s="1"/>
  <c r="H431" i="45"/>
  <c r="P430" i="45"/>
  <c r="M430" i="45"/>
  <c r="N430" i="45" s="1"/>
  <c r="H430" i="45"/>
  <c r="M429" i="45"/>
  <c r="N429" i="45" s="1"/>
  <c r="H429" i="45"/>
  <c r="M428" i="45"/>
  <c r="N428" i="45" s="1"/>
  <c r="H428" i="45"/>
  <c r="M427" i="45"/>
  <c r="N427" i="45" s="1"/>
  <c r="H427" i="45"/>
  <c r="M426" i="45"/>
  <c r="N426" i="45" s="1"/>
  <c r="H426" i="45"/>
  <c r="P425" i="45"/>
  <c r="M425" i="45"/>
  <c r="N425" i="45" s="1"/>
  <c r="H425" i="45"/>
  <c r="P424" i="45"/>
  <c r="M424" i="45"/>
  <c r="N424" i="45" s="1"/>
  <c r="H424" i="45"/>
  <c r="M423" i="45"/>
  <c r="N423" i="45" s="1"/>
  <c r="H423" i="45"/>
  <c r="M422" i="45"/>
  <c r="N422" i="45" s="1"/>
  <c r="H422" i="45"/>
  <c r="M421" i="45"/>
  <c r="N421" i="45" s="1"/>
  <c r="H421" i="45"/>
  <c r="M420" i="45"/>
  <c r="N420" i="45" s="1"/>
  <c r="H420" i="45"/>
  <c r="M419" i="45"/>
  <c r="N419" i="45" s="1"/>
  <c r="H419" i="45"/>
  <c r="P418" i="45"/>
  <c r="P445" i="45" s="1"/>
  <c r="M418" i="45"/>
  <c r="N418" i="45" s="1"/>
  <c r="H418" i="45"/>
  <c r="N417" i="45"/>
  <c r="M417" i="45"/>
  <c r="H417" i="45"/>
  <c r="I140" i="49"/>
  <c r="I141" i="49" s="1"/>
  <c r="I136" i="49"/>
  <c r="I134" i="49"/>
  <c r="M132" i="49"/>
  <c r="L132" i="49"/>
  <c r="K132" i="49"/>
  <c r="J132" i="49"/>
  <c r="I132" i="49"/>
  <c r="H132" i="49"/>
  <c r="G132" i="49"/>
  <c r="R128" i="49"/>
  <c r="Q128" i="49"/>
  <c r="F121" i="49"/>
  <c r="F120" i="49"/>
  <c r="F119" i="49"/>
  <c r="F118" i="49"/>
  <c r="F117" i="49"/>
  <c r="F116" i="49"/>
  <c r="F115" i="49"/>
  <c r="F114" i="49"/>
  <c r="F113" i="49"/>
  <c r="F112" i="49"/>
  <c r="N445" i="45" l="1"/>
  <c r="M445" i="45"/>
  <c r="R508" i="46"/>
  <c r="R493" i="46"/>
  <c r="R497" i="46"/>
  <c r="R501" i="46"/>
  <c r="R505" i="46"/>
  <c r="R509" i="46"/>
  <c r="R494" i="46"/>
  <c r="Y491" i="46" s="1"/>
  <c r="R498" i="46"/>
  <c r="R502" i="46"/>
  <c r="R506" i="46"/>
  <c r="Y498" i="46" s="1"/>
  <c r="R510" i="46"/>
  <c r="R491" i="46"/>
  <c r="R495" i="46"/>
  <c r="R499" i="46"/>
  <c r="R503" i="46"/>
  <c r="Y495" i="46" s="1"/>
  <c r="Z495" i="46" s="1"/>
  <c r="Z499" i="46" s="1"/>
  <c r="R507" i="46"/>
  <c r="R511" i="46"/>
  <c r="G540" i="46"/>
  <c r="G542" i="46" s="1"/>
  <c r="R492" i="46"/>
  <c r="R496" i="46"/>
  <c r="Y492" i="46" s="1"/>
  <c r="R500" i="46"/>
  <c r="R504" i="46"/>
  <c r="I148" i="49"/>
  <c r="I143" i="49"/>
  <c r="R512" i="46" l="1"/>
  <c r="X507" i="46" s="1"/>
  <c r="X509" i="46" s="1"/>
  <c r="Y496" i="46"/>
  <c r="Y499" i="46" s="1"/>
  <c r="X446" i="46"/>
  <c r="X438" i="46"/>
  <c r="R431" i="46"/>
  <c r="R432" i="46"/>
  <c r="R433" i="46"/>
  <c r="R434" i="46"/>
  <c r="R435" i="46"/>
  <c r="R436" i="46"/>
  <c r="R437" i="46"/>
  <c r="R438" i="46"/>
  <c r="R439" i="46"/>
  <c r="R440" i="46"/>
  <c r="R441" i="46"/>
  <c r="R442" i="46"/>
  <c r="Y434" i="46" s="1"/>
  <c r="Z434" i="46" s="1"/>
  <c r="Z438" i="46" s="1"/>
  <c r="R443" i="46"/>
  <c r="R444" i="46"/>
  <c r="R445" i="46"/>
  <c r="R446" i="46"/>
  <c r="R447" i="46"/>
  <c r="R448" i="46"/>
  <c r="R449" i="46"/>
  <c r="R450" i="46"/>
  <c r="Y435" i="46" s="1"/>
  <c r="R430" i="46"/>
  <c r="S393" i="45"/>
  <c r="R393" i="45"/>
  <c r="Q393" i="45"/>
  <c r="O393" i="45"/>
  <c r="L393" i="45"/>
  <c r="K393" i="45"/>
  <c r="J393" i="45"/>
  <c r="I393" i="45"/>
  <c r="N390" i="45"/>
  <c r="H379" i="45"/>
  <c r="H378" i="45"/>
  <c r="P377" i="45"/>
  <c r="P393" i="45" s="1"/>
  <c r="N377" i="45"/>
  <c r="H377" i="45"/>
  <c r="N376" i="45"/>
  <c r="H376" i="45"/>
  <c r="N375" i="45"/>
  <c r="H375" i="45"/>
  <c r="N374" i="45"/>
  <c r="H374" i="45"/>
  <c r="N373" i="45"/>
  <c r="H373" i="45"/>
  <c r="N372" i="45"/>
  <c r="H372" i="45"/>
  <c r="N371" i="45"/>
  <c r="H371" i="45"/>
  <c r="N370" i="45"/>
  <c r="H370" i="45"/>
  <c r="N369" i="45"/>
  <c r="H369" i="45"/>
  <c r="N368" i="45"/>
  <c r="H368" i="45"/>
  <c r="M367" i="45"/>
  <c r="N367" i="45" s="1"/>
  <c r="M366" i="45"/>
  <c r="N366" i="45" s="1"/>
  <c r="H366" i="45"/>
  <c r="M365" i="45"/>
  <c r="H365" i="45"/>
  <c r="M80" i="49"/>
  <c r="L80" i="49"/>
  <c r="K80" i="49"/>
  <c r="J80" i="49"/>
  <c r="I80" i="49"/>
  <c r="I88" i="49" s="1"/>
  <c r="H80" i="49"/>
  <c r="I84" i="49" s="1"/>
  <c r="G80" i="49"/>
  <c r="I82" i="49" s="1"/>
  <c r="Q76" i="49"/>
  <c r="R76" i="49" s="1"/>
  <c r="F74" i="49"/>
  <c r="F73" i="49"/>
  <c r="F72" i="49"/>
  <c r="X447" i="46"/>
  <c r="X445" i="46"/>
  <c r="Y437" i="46"/>
  <c r="Y431" i="46"/>
  <c r="Y430" i="46"/>
  <c r="G471" i="46"/>
  <c r="G472" i="46" s="1"/>
  <c r="K456" i="46"/>
  <c r="L472" i="46" s="1"/>
  <c r="J456" i="46"/>
  <c r="L471" i="46" s="1"/>
  <c r="I456" i="46"/>
  <c r="H456" i="46"/>
  <c r="G456" i="46"/>
  <c r="L451" i="46"/>
  <c r="L450" i="46"/>
  <c r="L449" i="46"/>
  <c r="L448" i="46"/>
  <c r="L447" i="46"/>
  <c r="L446" i="46"/>
  <c r="L445" i="46"/>
  <c r="L444" i="46"/>
  <c r="L443" i="46"/>
  <c r="L442" i="46"/>
  <c r="L441" i="46"/>
  <c r="L440" i="46"/>
  <c r="L439" i="46"/>
  <c r="L438" i="46"/>
  <c r="L437" i="46"/>
  <c r="L436" i="46"/>
  <c r="L435" i="46"/>
  <c r="L434" i="46"/>
  <c r="L433" i="46"/>
  <c r="M393" i="45" l="1"/>
  <c r="N365" i="45"/>
  <c r="N393" i="45" s="1"/>
  <c r="G474" i="46"/>
  <c r="Y438" i="46"/>
  <c r="R451" i="46"/>
  <c r="I89" i="49"/>
  <c r="I96" i="49" s="1"/>
  <c r="X448" i="46"/>
  <c r="L456" i="46"/>
  <c r="L474" i="46"/>
  <c r="I91" i="49" l="1"/>
  <c r="H35" i="49" l="1"/>
  <c r="H33" i="49"/>
  <c r="L31" i="49"/>
  <c r="K31" i="49"/>
  <c r="J31" i="49"/>
  <c r="I31" i="49"/>
  <c r="H31" i="49"/>
  <c r="H39" i="49" s="1"/>
  <c r="G31" i="49"/>
  <c r="F31" i="49"/>
  <c r="P27" i="49"/>
  <c r="E20" i="49"/>
  <c r="E19" i="49"/>
  <c r="E18" i="49"/>
  <c r="E17" i="49"/>
  <c r="E16" i="49"/>
  <c r="E15" i="49"/>
  <c r="E14" i="49"/>
  <c r="E13" i="49"/>
  <c r="E12" i="49"/>
  <c r="E11" i="49"/>
  <c r="B5" i="49"/>
  <c r="X392" i="46"/>
  <c r="X390" i="46"/>
  <c r="X383" i="46"/>
  <c r="S349" i="45"/>
  <c r="R349" i="45"/>
  <c r="Q349" i="45"/>
  <c r="O349" i="45"/>
  <c r="M349" i="45"/>
  <c r="L349" i="45"/>
  <c r="K349" i="45"/>
  <c r="J349" i="45"/>
  <c r="I349" i="45"/>
  <c r="N346" i="45"/>
  <c r="N339" i="45"/>
  <c r="H339" i="45"/>
  <c r="N338" i="45"/>
  <c r="H338" i="45"/>
  <c r="N337" i="45"/>
  <c r="H337" i="45"/>
  <c r="P336" i="45"/>
  <c r="N336" i="45"/>
  <c r="H336" i="45"/>
  <c r="N335" i="45"/>
  <c r="H335" i="45"/>
  <c r="N334" i="45"/>
  <c r="H334" i="45"/>
  <c r="P333" i="45"/>
  <c r="N333" i="45"/>
  <c r="H333" i="45"/>
  <c r="P332" i="45"/>
  <c r="N332" i="45"/>
  <c r="H332" i="45"/>
  <c r="P331" i="45"/>
  <c r="N331" i="45"/>
  <c r="H331" i="45"/>
  <c r="P330" i="45"/>
  <c r="N330" i="45"/>
  <c r="H330" i="45"/>
  <c r="N329" i="45"/>
  <c r="H329" i="45"/>
  <c r="P328" i="45"/>
  <c r="N328" i="45"/>
  <c r="H328" i="45"/>
  <c r="N327" i="45"/>
  <c r="H327" i="45"/>
  <c r="N326" i="45"/>
  <c r="H326" i="45"/>
  <c r="N325" i="45"/>
  <c r="H325" i="45"/>
  <c r="N324" i="45"/>
  <c r="H324" i="45"/>
  <c r="N323" i="45"/>
  <c r="H323" i="45"/>
  <c r="N322" i="45"/>
  <c r="H322" i="45"/>
  <c r="P321" i="45"/>
  <c r="N321" i="45"/>
  <c r="H321" i="45"/>
  <c r="N320" i="45"/>
  <c r="H320" i="45"/>
  <c r="N319" i="45"/>
  <c r="H319" i="45"/>
  <c r="P318" i="45"/>
  <c r="N318" i="45"/>
  <c r="H318" i="45"/>
  <c r="N317" i="45"/>
  <c r="H317" i="45"/>
  <c r="N316" i="45"/>
  <c r="N349" i="45" s="1"/>
  <c r="H316" i="45"/>
  <c r="G414" i="46"/>
  <c r="K404" i="46"/>
  <c r="L415" i="46" s="1"/>
  <c r="J404" i="46"/>
  <c r="L414" i="46" s="1"/>
  <c r="I404" i="46"/>
  <c r="H404" i="46"/>
  <c r="G404" i="46"/>
  <c r="L402" i="46"/>
  <c r="L401" i="46"/>
  <c r="L400" i="46"/>
  <c r="L399" i="46"/>
  <c r="E399" i="46"/>
  <c r="L398" i="46"/>
  <c r="E398" i="46"/>
  <c r="L397" i="46"/>
  <c r="E397" i="46"/>
  <c r="L396" i="46"/>
  <c r="E396" i="46"/>
  <c r="L395" i="46"/>
  <c r="E395" i="46"/>
  <c r="L394" i="46"/>
  <c r="E394" i="46"/>
  <c r="L393" i="46"/>
  <c r="E393" i="46"/>
  <c r="L392" i="46"/>
  <c r="E392" i="46"/>
  <c r="L391" i="46"/>
  <c r="E391" i="46"/>
  <c r="L390" i="46"/>
  <c r="E390" i="46"/>
  <c r="L389" i="46"/>
  <c r="E389" i="46"/>
  <c r="L388" i="46"/>
  <c r="E388" i="46"/>
  <c r="L387" i="46"/>
  <c r="E387" i="46"/>
  <c r="L386" i="46"/>
  <c r="E386" i="46"/>
  <c r="L385" i="46"/>
  <c r="E385" i="46"/>
  <c r="L384" i="46"/>
  <c r="E384" i="46"/>
  <c r="L383" i="46"/>
  <c r="E383" i="46"/>
  <c r="L382" i="46"/>
  <c r="E382" i="46"/>
  <c r="L381" i="46"/>
  <c r="E381" i="46"/>
  <c r="L380" i="46"/>
  <c r="E380" i="46"/>
  <c r="L379" i="46"/>
  <c r="E379" i="46"/>
  <c r="L378" i="46"/>
  <c r="E378" i="46"/>
  <c r="L377" i="46"/>
  <c r="E377" i="46"/>
  <c r="R376" i="46" s="1"/>
  <c r="P349" i="45" l="1"/>
  <c r="R395" i="46"/>
  <c r="R391" i="46"/>
  <c r="R387" i="46"/>
  <c r="R383" i="46"/>
  <c r="R379" i="46"/>
  <c r="R394" i="46"/>
  <c r="R390" i="46"/>
  <c r="Y382" i="46" s="1"/>
  <c r="R386" i="46"/>
  <c r="R382" i="46"/>
  <c r="R378" i="46"/>
  <c r="Y375" i="46" s="1"/>
  <c r="R393" i="46"/>
  <c r="R389" i="46"/>
  <c r="R385" i="46"/>
  <c r="R381" i="46"/>
  <c r="R377" i="46"/>
  <c r="R375" i="46"/>
  <c r="R392" i="46"/>
  <c r="R388" i="46"/>
  <c r="Y380" i="46" s="1"/>
  <c r="R384" i="46"/>
  <c r="R380" i="46"/>
  <c r="Y376" i="46" s="1"/>
  <c r="H40" i="49"/>
  <c r="H47" i="49" s="1"/>
  <c r="Y379" i="46"/>
  <c r="Z379" i="46" s="1"/>
  <c r="Z383" i="46" s="1"/>
  <c r="L404" i="46"/>
  <c r="L417" i="46"/>
  <c r="G415" i="46"/>
  <c r="G417" i="46" s="1"/>
  <c r="R396" i="46" l="1"/>
  <c r="X391" i="46" s="1"/>
  <c r="X393" i="46" s="1"/>
  <c r="H42" i="49"/>
  <c r="Y383" i="46"/>
  <c r="X332" i="46" l="1"/>
  <c r="X325" i="46"/>
  <c r="L335" i="46"/>
  <c r="E335" i="46"/>
  <c r="L334" i="46"/>
  <c r="E334" i="46"/>
  <c r="L333" i="46"/>
  <c r="E333" i="46"/>
  <c r="L332" i="46"/>
  <c r="E332" i="46"/>
  <c r="L331" i="46"/>
  <c r="E331" i="46"/>
  <c r="L330" i="46"/>
  <c r="E330" i="46"/>
  <c r="L329" i="46"/>
  <c r="E329" i="46"/>
  <c r="L328" i="46"/>
  <c r="E328" i="46"/>
  <c r="L327" i="46"/>
  <c r="E327" i="46"/>
  <c r="L326" i="46"/>
  <c r="E326" i="46"/>
  <c r="L325" i="46"/>
  <c r="E325" i="46"/>
  <c r="L324" i="46"/>
  <c r="E324" i="46"/>
  <c r="L323" i="46"/>
  <c r="E323" i="46"/>
  <c r="L322" i="46"/>
  <c r="E322" i="46"/>
  <c r="L321" i="46"/>
  <c r="E321" i="46"/>
  <c r="L320" i="46"/>
  <c r="E320" i="46"/>
  <c r="S299" i="45"/>
  <c r="R299" i="45"/>
  <c r="Q299" i="45"/>
  <c r="P299" i="45"/>
  <c r="O299" i="45"/>
  <c r="N299" i="45"/>
  <c r="M299" i="45"/>
  <c r="L299" i="45"/>
  <c r="K299" i="45"/>
  <c r="J299" i="45"/>
  <c r="I299" i="45"/>
  <c r="N296" i="45"/>
  <c r="N284" i="45"/>
  <c r="H284" i="45"/>
  <c r="N283" i="45"/>
  <c r="H283" i="45"/>
  <c r="N282" i="45"/>
  <c r="H282" i="45"/>
  <c r="N281" i="45"/>
  <c r="H281" i="45"/>
  <c r="N280" i="45"/>
  <c r="H280" i="45"/>
  <c r="N279" i="45"/>
  <c r="H279" i="45"/>
  <c r="N278" i="45"/>
  <c r="H278" i="45"/>
  <c r="N277" i="45"/>
  <c r="H277" i="45"/>
  <c r="N276" i="45"/>
  <c r="H276" i="45"/>
  <c r="R336" i="46" l="1"/>
  <c r="R320" i="46"/>
  <c r="Y317" i="46" s="1"/>
  <c r="R324" i="46"/>
  <c r="R328" i="46"/>
  <c r="R332" i="46"/>
  <c r="Y324" i="46" s="1"/>
  <c r="R337" i="46"/>
  <c r="R317" i="46"/>
  <c r="R321" i="46"/>
  <c r="R325" i="46"/>
  <c r="R329" i="46"/>
  <c r="R333" i="46"/>
  <c r="R318" i="46"/>
  <c r="R322" i="46"/>
  <c r="Y318" i="46" s="1"/>
  <c r="R326" i="46"/>
  <c r="R330" i="46"/>
  <c r="R334" i="46"/>
  <c r="R319" i="46"/>
  <c r="R323" i="46"/>
  <c r="R327" i="46"/>
  <c r="R331" i="46"/>
  <c r="R335" i="46"/>
  <c r="Y322" i="46" l="1"/>
  <c r="Y321" i="46"/>
  <c r="Z321" i="46" s="1"/>
  <c r="Z325" i="46" s="1"/>
  <c r="R338" i="46"/>
  <c r="X333" i="46" s="1"/>
  <c r="X335" i="46" s="1"/>
  <c r="Y325" i="46" l="1"/>
  <c r="R284" i="46"/>
  <c r="R283" i="46"/>
  <c r="R282" i="46"/>
  <c r="R281" i="46"/>
  <c r="R280" i="46"/>
  <c r="R279" i="46"/>
  <c r="R278" i="46"/>
  <c r="R277" i="46"/>
  <c r="Y267" i="46" s="1"/>
  <c r="R276" i="46"/>
  <c r="R275" i="46"/>
  <c r="R274" i="46"/>
  <c r="R273" i="46"/>
  <c r="R272" i="46"/>
  <c r="R271" i="46"/>
  <c r="R270" i="46"/>
  <c r="R269" i="46"/>
  <c r="Y265" i="46" s="1"/>
  <c r="R268" i="46"/>
  <c r="R267" i="46"/>
  <c r="Y264" i="46" s="1"/>
  <c r="R266" i="46"/>
  <c r="R265" i="46"/>
  <c r="R264" i="46"/>
  <c r="Y266" i="46"/>
  <c r="Z266" i="46" s="1"/>
  <c r="Y269" i="46"/>
  <c r="X277" i="46"/>
  <c r="X270" i="46"/>
  <c r="X230" i="46"/>
  <c r="X220" i="46"/>
  <c r="X223" i="46" s="1"/>
  <c r="R285" i="46" l="1"/>
  <c r="X278" i="46" s="1"/>
  <c r="X280" i="46" s="1"/>
  <c r="Z270" i="46"/>
  <c r="Y270" i="46"/>
  <c r="J278" i="46" l="1"/>
  <c r="L293" i="46" s="1"/>
  <c r="K278" i="46"/>
  <c r="L294" i="46" s="1"/>
  <c r="L273" i="46"/>
  <c r="L272" i="46"/>
  <c r="L270" i="46"/>
  <c r="L269" i="46"/>
  <c r="L268" i="46"/>
  <c r="L267" i="46"/>
  <c r="L278" i="46" l="1"/>
  <c r="L296" i="46"/>
  <c r="R237" i="46" l="1"/>
  <c r="R236" i="46"/>
  <c r="R235" i="46"/>
  <c r="R234" i="46"/>
  <c r="R233" i="46"/>
  <c r="R232" i="46"/>
  <c r="Y222" i="46" s="1"/>
  <c r="R231" i="46"/>
  <c r="R230" i="46"/>
  <c r="Y220" i="46" s="1"/>
  <c r="R229" i="46"/>
  <c r="R228" i="46"/>
  <c r="R227" i="46"/>
  <c r="R226" i="46"/>
  <c r="R225" i="46"/>
  <c r="R224" i="46"/>
  <c r="R223" i="46"/>
  <c r="R222" i="46"/>
  <c r="Y218" i="46" s="1"/>
  <c r="R221" i="46"/>
  <c r="R219" i="46"/>
  <c r="R218" i="46"/>
  <c r="R217" i="46"/>
  <c r="R220" i="46"/>
  <c r="Y217" i="46" s="1"/>
  <c r="G245" i="46"/>
  <c r="K230" i="46"/>
  <c r="L246" i="46" s="1"/>
  <c r="J230" i="46"/>
  <c r="L245" i="46" s="1"/>
  <c r="I230" i="46"/>
  <c r="I278" i="46" s="1"/>
  <c r="H230" i="46"/>
  <c r="H278" i="46" s="1"/>
  <c r="G230" i="46"/>
  <c r="L225" i="46"/>
  <c r="L224" i="46"/>
  <c r="L223" i="46"/>
  <c r="L222" i="46"/>
  <c r="L221" i="46"/>
  <c r="L220" i="46"/>
  <c r="Z217" i="46" l="1"/>
  <c r="Y219" i="46"/>
  <c r="Z219" i="46" s="1"/>
  <c r="G246" i="46"/>
  <c r="G248" i="46" s="1"/>
  <c r="G278" i="46"/>
  <c r="Z218" i="46"/>
  <c r="R238" i="46"/>
  <c r="X231" i="46" s="1"/>
  <c r="X233" i="46" s="1"/>
  <c r="L230" i="46"/>
  <c r="L248" i="46"/>
  <c r="Z223" i="46" l="1"/>
  <c r="Y223" i="46"/>
  <c r="D9" i="34" l="1"/>
  <c r="D10" i="34"/>
  <c r="D28" i="34"/>
  <c r="D29" i="34"/>
  <c r="R195" i="46"/>
  <c r="Y191" i="46" s="1"/>
  <c r="Z191" i="46" s="1"/>
  <c r="K197" i="46"/>
  <c r="L197" i="46" s="1"/>
  <c r="R193" i="46"/>
  <c r="Y190" i="46" s="1"/>
  <c r="Z190" i="46" s="1"/>
  <c r="R192" i="46"/>
  <c r="K196" i="46"/>
  <c r="L196" i="46" s="1"/>
  <c r="X205" i="46"/>
  <c r="X203" i="46"/>
  <c r="X194" i="46"/>
  <c r="R210" i="46"/>
  <c r="R209" i="46"/>
  <c r="R208" i="46"/>
  <c r="R207" i="46"/>
  <c r="R206" i="46"/>
  <c r="R205" i="46"/>
  <c r="R204" i="46"/>
  <c r="R203" i="46"/>
  <c r="R202" i="46"/>
  <c r="R201" i="46"/>
  <c r="R200" i="46"/>
  <c r="R199" i="46"/>
  <c r="R198" i="46"/>
  <c r="R197" i="46"/>
  <c r="R196" i="46"/>
  <c r="R194" i="46"/>
  <c r="R191" i="46"/>
  <c r="R190" i="46"/>
  <c r="S184" i="45"/>
  <c r="R184" i="45"/>
  <c r="Q184" i="45"/>
  <c r="P184" i="45"/>
  <c r="O184" i="45"/>
  <c r="M184" i="45"/>
  <c r="L184" i="45"/>
  <c r="K184" i="45"/>
  <c r="J184" i="45"/>
  <c r="I184" i="45"/>
  <c r="N181" i="45"/>
  <c r="N168" i="45"/>
  <c r="N167" i="45"/>
  <c r="N166" i="45"/>
  <c r="N165" i="45"/>
  <c r="N164" i="45"/>
  <c r="L195" i="46"/>
  <c r="L194" i="46"/>
  <c r="L193" i="46"/>
  <c r="Y192" i="46" l="1"/>
  <c r="Z192" i="46" s="1"/>
  <c r="Z194" i="46" s="1"/>
  <c r="R211" i="46"/>
  <c r="X204" i="46" s="1"/>
  <c r="X206" i="46" s="1"/>
  <c r="Y194" i="46" l="1"/>
  <c r="X166" i="46"/>
  <c r="X164" i="46"/>
  <c r="R170" i="46"/>
  <c r="R169" i="46"/>
  <c r="R168" i="46"/>
  <c r="R167" i="46"/>
  <c r="R166" i="46"/>
  <c r="R165" i="46"/>
  <c r="R164" i="46"/>
  <c r="R163" i="46"/>
  <c r="R162" i="46"/>
  <c r="R161" i="46"/>
  <c r="R160" i="46"/>
  <c r="R159" i="46"/>
  <c r="R158" i="46"/>
  <c r="R157" i="46"/>
  <c r="R156" i="46"/>
  <c r="R155" i="46"/>
  <c r="Y153" i="46" s="1"/>
  <c r="Z153" i="46" s="1"/>
  <c r="R154" i="46"/>
  <c r="Y152" i="46" s="1"/>
  <c r="R153" i="46"/>
  <c r="R152" i="46"/>
  <c r="N144" i="45"/>
  <c r="N184" i="45" s="1"/>
  <c r="N143" i="45"/>
  <c r="N142" i="45"/>
  <c r="N141" i="45"/>
  <c r="N140" i="45"/>
  <c r="N139" i="45"/>
  <c r="N138" i="45"/>
  <c r="N137" i="45"/>
  <c r="N136" i="45"/>
  <c r="Y154" i="46" l="1"/>
  <c r="Z154" i="46" s="1"/>
  <c r="Z152" i="46"/>
  <c r="R171" i="46"/>
  <c r="Z156" i="46" l="1"/>
  <c r="Y156" i="46"/>
  <c r="X165" i="46" s="1"/>
  <c r="X167" i="46" s="1"/>
  <c r="R125" i="46" l="1"/>
  <c r="R126" i="46"/>
  <c r="R127" i="46"/>
  <c r="R128" i="46"/>
  <c r="R129" i="46"/>
  <c r="R130" i="46"/>
  <c r="R131" i="46"/>
  <c r="R132" i="46"/>
  <c r="R133" i="46"/>
  <c r="R134" i="46"/>
  <c r="R135" i="46"/>
  <c r="R136" i="46"/>
  <c r="R137" i="46"/>
  <c r="R138" i="46"/>
  <c r="R139" i="46"/>
  <c r="R121" i="46"/>
  <c r="X131" i="46"/>
  <c r="R124" i="46"/>
  <c r="Y122" i="46" s="1"/>
  <c r="Z122" i="46" s="1"/>
  <c r="R123" i="46"/>
  <c r="Y121" i="46" s="1"/>
  <c r="R122" i="46"/>
  <c r="L134" i="46"/>
  <c r="N118" i="45"/>
  <c r="N102" i="45"/>
  <c r="N103" i="45"/>
  <c r="N104" i="45"/>
  <c r="N105" i="45"/>
  <c r="N106" i="45"/>
  <c r="N107" i="45"/>
  <c r="N108" i="45"/>
  <c r="N109" i="45"/>
  <c r="N110" i="45"/>
  <c r="N111" i="45"/>
  <c r="N112" i="45"/>
  <c r="Y123" i="46" l="1"/>
  <c r="Z123" i="46" s="1"/>
  <c r="R140" i="46"/>
  <c r="Z121" i="46"/>
  <c r="Z125" i="46" l="1"/>
  <c r="Y125" i="46"/>
  <c r="X132" i="46" s="1"/>
  <c r="X134" i="46" l="1"/>
  <c r="Z99" i="46" l="1"/>
  <c r="Y98" i="46"/>
  <c r="X109" i="46"/>
  <c r="X111" i="46" l="1"/>
  <c r="Z98" i="46"/>
  <c r="K105" i="46" l="1"/>
  <c r="K139" i="46" s="1"/>
  <c r="J105" i="46"/>
  <c r="J139" i="46" s="1"/>
  <c r="I105" i="46"/>
  <c r="I139" i="46" s="1"/>
  <c r="H105" i="46"/>
  <c r="H139" i="46" s="1"/>
  <c r="G105" i="46"/>
  <c r="G139" i="46" s="1"/>
  <c r="L100" i="46"/>
  <c r="L99" i="46"/>
  <c r="E99" i="46"/>
  <c r="L98" i="46"/>
  <c r="E98" i="46"/>
  <c r="L97" i="46"/>
  <c r="E97" i="46"/>
  <c r="S89" i="45"/>
  <c r="S121" i="45" s="1"/>
  <c r="R89" i="45"/>
  <c r="R121" i="45" s="1"/>
  <c r="Q89" i="45"/>
  <c r="Q121" i="45" s="1"/>
  <c r="P89" i="45"/>
  <c r="P121" i="45" s="1"/>
  <c r="O89" i="45"/>
  <c r="O121" i="45" s="1"/>
  <c r="M89" i="45"/>
  <c r="M121" i="45" s="1"/>
  <c r="L89" i="45"/>
  <c r="L121" i="45" s="1"/>
  <c r="K89" i="45"/>
  <c r="K121" i="45" s="1"/>
  <c r="J89" i="45"/>
  <c r="J121" i="45" s="1"/>
  <c r="I89" i="45"/>
  <c r="I121" i="45" s="1"/>
  <c r="N86" i="45"/>
  <c r="H75" i="45"/>
  <c r="H74" i="45"/>
  <c r="H73" i="45"/>
  <c r="H72" i="45"/>
  <c r="H71" i="45"/>
  <c r="L105" i="46" l="1"/>
  <c r="L139" i="46" s="1"/>
  <c r="N89" i="45"/>
  <c r="N121" i="45" s="1"/>
  <c r="R100" i="46"/>
  <c r="R104" i="46"/>
  <c r="R108" i="46"/>
  <c r="R112" i="46"/>
  <c r="R101" i="46"/>
  <c r="R105" i="46"/>
  <c r="R109" i="46"/>
  <c r="R113" i="46"/>
  <c r="R98" i="46"/>
  <c r="R102" i="46"/>
  <c r="R106" i="46"/>
  <c r="R110" i="46"/>
  <c r="R97" i="46"/>
  <c r="R99" i="46"/>
  <c r="R103" i="46"/>
  <c r="R107" i="46"/>
  <c r="R111" i="46"/>
  <c r="Y97" i="46" l="1"/>
  <c r="R114" i="46"/>
  <c r="Y100" i="46" l="1"/>
  <c r="X110" i="46" s="1"/>
  <c r="X112" i="46" s="1"/>
  <c r="Z97" i="46"/>
  <c r="Z100" i="46" s="1"/>
  <c r="X79" i="46" l="1"/>
  <c r="R65" i="46"/>
  <c r="X77" i="46"/>
  <c r="Y69" i="46"/>
  <c r="Z69" i="46" s="1"/>
  <c r="Y68" i="46"/>
  <c r="Z68" i="46" s="1"/>
  <c r="Y66" i="46"/>
  <c r="Z66" i="46" s="1"/>
  <c r="Y65" i="46"/>
  <c r="Z65" i="46" s="1"/>
  <c r="R81" i="46"/>
  <c r="R80" i="46"/>
  <c r="R79" i="46"/>
  <c r="R78" i="46"/>
  <c r="R77" i="46"/>
  <c r="R76" i="46"/>
  <c r="R75" i="46"/>
  <c r="R74" i="46"/>
  <c r="R73" i="46"/>
  <c r="R72" i="46"/>
  <c r="R71" i="46"/>
  <c r="R70" i="46"/>
  <c r="R69" i="46"/>
  <c r="R68" i="46"/>
  <c r="R67" i="46"/>
  <c r="R66" i="46"/>
  <c r="Y67" i="46" l="1"/>
  <c r="Z67" i="46" s="1"/>
  <c r="Z71" i="46" s="1"/>
  <c r="R82" i="46"/>
  <c r="Y71" i="46" l="1"/>
  <c r="X78" i="46" s="1"/>
  <c r="X80" i="46" l="1"/>
  <c r="R31" i="46"/>
  <c r="R30" i="46"/>
  <c r="R29" i="46"/>
  <c r="R28" i="46"/>
  <c r="R27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Y15" i="46" s="1"/>
  <c r="Y20" i="46"/>
  <c r="Z20" i="46" s="1"/>
  <c r="Y18" i="46"/>
  <c r="Z18" i="46" s="1"/>
  <c r="Y19" i="46" l="1"/>
  <c r="Y16" i="46" l="1"/>
  <c r="Z16" i="46" s="1"/>
  <c r="Z15" i="46"/>
  <c r="Z19" i="46" l="1"/>
  <c r="Y17" i="46"/>
  <c r="Z17" i="46" s="1"/>
  <c r="X22" i="46"/>
  <c r="Z22" i="46" l="1"/>
  <c r="Y22" i="46"/>
  <c r="R32" i="46"/>
  <c r="E16" i="34" l="1"/>
  <c r="E32" i="34" l="1"/>
  <c r="H32" i="34" s="1"/>
  <c r="E31" i="34"/>
  <c r="H31" i="34" s="1"/>
  <c r="I35" i="34" l="1"/>
  <c r="H20" i="34"/>
  <c r="H19" i="34"/>
  <c r="H25" i="3" l="1"/>
  <c r="K25" i="3" s="1"/>
  <c r="H26" i="3" l="1"/>
  <c r="D75" i="37" l="1"/>
  <c r="H18" i="3" l="1"/>
  <c r="H20" i="3" s="1"/>
  <c r="E16" i="33"/>
  <c r="E15" i="33"/>
  <c r="E14" i="33"/>
  <c r="E13" i="33"/>
  <c r="E12" i="33"/>
  <c r="E11" i="33"/>
  <c r="E10" i="33"/>
  <c r="E9" i="33"/>
  <c r="E8" i="33"/>
  <c r="E7" i="33"/>
  <c r="E6" i="33"/>
  <c r="K18" i="3" l="1"/>
  <c r="E75" i="37" l="1"/>
  <c r="E25" i="34" l="1"/>
  <c r="E38" i="34" l="1"/>
  <c r="E39" i="34" s="1"/>
  <c r="E35" i="34"/>
  <c r="H6" i="34"/>
  <c r="D9" i="3"/>
  <c r="H25" i="34" l="1"/>
  <c r="H14" i="34" l="1"/>
  <c r="D796" i="4" l="1"/>
  <c r="E37" i="3" s="1"/>
  <c r="D795" i="4"/>
  <c r="E36" i="3" s="1"/>
  <c r="C795" i="4"/>
  <c r="D36" i="3" s="1"/>
  <c r="E50" i="39" l="1"/>
  <c r="D50" i="39"/>
  <c r="E62" i="38"/>
  <c r="D62" i="38"/>
  <c r="E84" i="40"/>
  <c r="D84" i="40"/>
  <c r="G11" i="33" l="1"/>
  <c r="D11" i="33"/>
  <c r="D7" i="33"/>
  <c r="D8" i="33"/>
  <c r="D9" i="33"/>
  <c r="D10" i="33"/>
  <c r="D12" i="33"/>
  <c r="D13" i="33"/>
  <c r="D14" i="33"/>
  <c r="D15" i="33"/>
  <c r="D16" i="33"/>
  <c r="D6" i="33"/>
  <c r="G9" i="33"/>
  <c r="G8" i="33"/>
  <c r="D7" i="34" l="1"/>
  <c r="D8" i="34"/>
  <c r="D11" i="34"/>
  <c r="D12" i="34"/>
  <c r="D13" i="34"/>
  <c r="D14" i="34"/>
  <c r="D15" i="34"/>
  <c r="D17" i="34"/>
  <c r="D18" i="34"/>
  <c r="D21" i="34"/>
  <c r="D22" i="34"/>
  <c r="D26" i="34"/>
  <c r="D27" i="34"/>
  <c r="D30" i="34"/>
  <c r="D6" i="34"/>
  <c r="H26" i="34" l="1"/>
  <c r="H15" i="34" l="1"/>
  <c r="H13" i="34" l="1"/>
  <c r="H12" i="34"/>
  <c r="H21" i="34"/>
  <c r="H11" i="34"/>
  <c r="H30" i="34"/>
  <c r="H29" i="34"/>
  <c r="H27" i="34"/>
  <c r="H22" i="34"/>
  <c r="H18" i="34"/>
  <c r="H17" i="34"/>
  <c r="H10" i="34"/>
  <c r="H8" i="34"/>
  <c r="H7" i="34"/>
  <c r="G6" i="33" l="1"/>
  <c r="D553" i="4" l="1"/>
  <c r="F553" i="4" s="1"/>
  <c r="D760" i="4"/>
  <c r="D257" i="4"/>
  <c r="F257" i="4" s="1"/>
  <c r="D30" i="4"/>
  <c r="F30" i="4" s="1"/>
  <c r="D17" i="4"/>
  <c r="D811" i="4"/>
  <c r="D568" i="4"/>
  <c r="F568" i="4" s="1"/>
  <c r="K18" i="38"/>
  <c r="K107" i="37"/>
  <c r="K86" i="37"/>
  <c r="K57" i="37"/>
  <c r="A7" i="4"/>
  <c r="D770" i="4"/>
  <c r="F770" i="4" s="1"/>
  <c r="D26" i="4"/>
  <c r="B33" i="4"/>
  <c r="B34" i="4"/>
  <c r="B35" i="4"/>
  <c r="B36" i="4"/>
  <c r="B37" i="4"/>
  <c r="B38" i="4"/>
  <c r="B39" i="4"/>
  <c r="B40" i="4"/>
  <c r="B41" i="4"/>
  <c r="B42" i="4"/>
  <c r="B43" i="4"/>
  <c r="B44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8" i="4"/>
  <c r="B149" i="4"/>
  <c r="B150" i="4"/>
  <c r="B151" i="4"/>
  <c r="B153" i="4"/>
  <c r="B154" i="4"/>
  <c r="B155" i="4"/>
  <c r="B156" i="4"/>
  <c r="F158" i="4"/>
  <c r="B159" i="4"/>
  <c r="B160" i="4"/>
  <c r="B161" i="4"/>
  <c r="B163" i="4"/>
  <c r="B167" i="4"/>
  <c r="B168" i="4"/>
  <c r="B169" i="4"/>
  <c r="B172" i="4"/>
  <c r="B173" i="4"/>
  <c r="B174" i="4"/>
  <c r="B175" i="4"/>
  <c r="B176" i="4"/>
  <c r="B177" i="4"/>
  <c r="B178" i="4"/>
  <c r="B179" i="4"/>
  <c r="B180" i="4"/>
  <c r="B181" i="4"/>
  <c r="B182" i="4"/>
  <c r="B184" i="4"/>
  <c r="B187" i="4"/>
  <c r="B188" i="4"/>
  <c r="B190" i="4"/>
  <c r="B191" i="4"/>
  <c r="B192" i="4"/>
  <c r="B193" i="4"/>
  <c r="B194" i="4"/>
  <c r="B195" i="4"/>
  <c r="B196" i="4"/>
  <c r="B197" i="4"/>
  <c r="B205" i="4"/>
  <c r="B206" i="4"/>
  <c r="B207" i="4"/>
  <c r="B209" i="4"/>
  <c r="B210" i="4"/>
  <c r="B211" i="4"/>
  <c r="B213" i="4"/>
  <c r="B214" i="4"/>
  <c r="B215" i="4"/>
  <c r="B216" i="4"/>
  <c r="B217" i="4"/>
  <c r="F219" i="4"/>
  <c r="F220" i="4"/>
  <c r="D234" i="4"/>
  <c r="D222" i="4" s="1"/>
  <c r="F223" i="4"/>
  <c r="F224" i="4"/>
  <c r="F226" i="4"/>
  <c r="F236" i="4"/>
  <c r="F239" i="4"/>
  <c r="F241" i="4"/>
  <c r="F244" i="4"/>
  <c r="F245" i="4"/>
  <c r="D267" i="4"/>
  <c r="F258" i="4"/>
  <c r="F260" i="4"/>
  <c r="F261" i="4"/>
  <c r="F262" i="4"/>
  <c r="F263" i="4"/>
  <c r="F264" i="4"/>
  <c r="F265" i="4"/>
  <c r="F270" i="4"/>
  <c r="F271" i="4"/>
  <c r="F272" i="4"/>
  <c r="F274" i="4"/>
  <c r="F276" i="4"/>
  <c r="F278" i="4"/>
  <c r="D285" i="4"/>
  <c r="D284" i="4" s="1"/>
  <c r="F289" i="4"/>
  <c r="F292" i="4"/>
  <c r="F294" i="4"/>
  <c r="F298" i="4"/>
  <c r="F299" i="4"/>
  <c r="F301" i="4"/>
  <c r="D313" i="4"/>
  <c r="F313" i="4" s="1"/>
  <c r="D303" i="4"/>
  <c r="D302" i="4" s="1"/>
  <c r="F305" i="4"/>
  <c r="F307" i="4"/>
  <c r="F308" i="4"/>
  <c r="F310" i="4"/>
  <c r="F312" i="4"/>
  <c r="F314" i="4"/>
  <c r="F316" i="4"/>
  <c r="F317" i="4"/>
  <c r="F318" i="4"/>
  <c r="F319" i="4"/>
  <c r="D321" i="4"/>
  <c r="F321" i="4" s="1"/>
  <c r="D338" i="4"/>
  <c r="F338" i="4" s="1"/>
  <c r="D355" i="4"/>
  <c r="F355" i="4" s="1"/>
  <c r="F322" i="4"/>
  <c r="F323" i="4"/>
  <c r="F324" i="4"/>
  <c r="F325" i="4"/>
  <c r="F328" i="4"/>
  <c r="F330" i="4"/>
  <c r="F332" i="4"/>
  <c r="F333" i="4"/>
  <c r="F334" i="4"/>
  <c r="F335" i="4"/>
  <c r="F336" i="4"/>
  <c r="F337" i="4"/>
  <c r="F339" i="4"/>
  <c r="F340" i="4"/>
  <c r="F341" i="4"/>
  <c r="F342" i="4"/>
  <c r="F345" i="4"/>
  <c r="F347" i="4"/>
  <c r="F349" i="4"/>
  <c r="F350" i="4"/>
  <c r="F351" i="4"/>
  <c r="F352" i="4"/>
  <c r="F353" i="4"/>
  <c r="F354" i="4"/>
  <c r="F356" i="4"/>
  <c r="F357" i="4"/>
  <c r="F358" i="4"/>
  <c r="F359" i="4"/>
  <c r="F362" i="4"/>
  <c r="F364" i="4"/>
  <c r="F366" i="4"/>
  <c r="F367" i="4"/>
  <c r="F368" i="4"/>
  <c r="F369" i="4"/>
  <c r="F370" i="4"/>
  <c r="D374" i="4"/>
  <c r="D373" i="4" s="1"/>
  <c r="D372" i="4" s="1"/>
  <c r="F377" i="4"/>
  <c r="F378" i="4"/>
  <c r="D405" i="4"/>
  <c r="D380" i="4" s="1"/>
  <c r="F381" i="4"/>
  <c r="F385" i="4"/>
  <c r="F389" i="4"/>
  <c r="F393" i="4"/>
  <c r="F397" i="4"/>
  <c r="F401" i="4"/>
  <c r="F406" i="4"/>
  <c r="F408" i="4"/>
  <c r="F414" i="4"/>
  <c r="F418" i="4"/>
  <c r="F422" i="4"/>
  <c r="F430" i="4"/>
  <c r="F443" i="4"/>
  <c r="F449" i="4"/>
  <c r="F452" i="4"/>
  <c r="F454" i="4"/>
  <c r="F463" i="4"/>
  <c r="B464" i="4"/>
  <c r="B467" i="4"/>
  <c r="B468" i="4"/>
  <c r="B471" i="4"/>
  <c r="B472" i="4"/>
  <c r="B473" i="4"/>
  <c r="B474" i="4"/>
  <c r="B476" i="4"/>
  <c r="B477" i="4"/>
  <c r="B480" i="4"/>
  <c r="B481" i="4"/>
  <c r="B482" i="4"/>
  <c r="B483" i="4"/>
  <c r="B484" i="4"/>
  <c r="F486" i="4"/>
  <c r="B487" i="4"/>
  <c r="F491" i="4"/>
  <c r="F493" i="4"/>
  <c r="B499" i="4"/>
  <c r="B500" i="4"/>
  <c r="B501" i="4"/>
  <c r="B502" i="4"/>
  <c r="B503" i="4"/>
  <c r="B504" i="4"/>
  <c r="B505" i="4"/>
  <c r="B508" i="4"/>
  <c r="B511" i="4"/>
  <c r="B512" i="4"/>
  <c r="B513" i="4"/>
  <c r="B514" i="4"/>
  <c r="F516" i="4"/>
  <c r="B519" i="4"/>
  <c r="B520" i="4"/>
  <c r="B521" i="4"/>
  <c r="B522" i="4"/>
  <c r="B523" i="4"/>
  <c r="B534" i="4"/>
  <c r="B535" i="4"/>
  <c r="B536" i="4"/>
  <c r="B537" i="4"/>
  <c r="B554" i="4"/>
  <c r="B555" i="4"/>
  <c r="B556" i="4"/>
  <c r="E557" i="4"/>
  <c r="F557" i="4" s="1"/>
  <c r="B560" i="4"/>
  <c r="B561" i="4"/>
  <c r="B562" i="4"/>
  <c r="B569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8" i="4"/>
  <c r="F629" i="4"/>
  <c r="F631" i="4"/>
  <c r="B632" i="4"/>
  <c r="F633" i="4"/>
  <c r="B634" i="4"/>
  <c r="F636" i="4"/>
  <c r="F637" i="4"/>
  <c r="F640" i="4"/>
  <c r="F648" i="4"/>
  <c r="K652" i="4"/>
  <c r="F656" i="4"/>
  <c r="F657" i="4"/>
  <c r="F658" i="4"/>
  <c r="F666" i="4"/>
  <c r="F671" i="4"/>
  <c r="F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F727" i="4"/>
  <c r="B728" i="4"/>
  <c r="B729" i="4"/>
  <c r="B730" i="4"/>
  <c r="B731" i="4"/>
  <c r="B732" i="4"/>
  <c r="F733" i="4"/>
  <c r="B734" i="4"/>
  <c r="B735" i="4"/>
  <c r="B736" i="4"/>
  <c r="F737" i="4"/>
  <c r="B738" i="4"/>
  <c r="B739" i="4"/>
  <c r="B740" i="4"/>
  <c r="B741" i="4"/>
  <c r="B742" i="4"/>
  <c r="B743" i="4"/>
  <c r="B744" i="4"/>
  <c r="D745" i="4"/>
  <c r="B746" i="4"/>
  <c r="B747" i="4"/>
  <c r="F748" i="4"/>
  <c r="B751" i="4"/>
  <c r="B752" i="4"/>
  <c r="B753" i="4"/>
  <c r="B754" i="4"/>
  <c r="B755" i="4"/>
  <c r="B756" i="4"/>
  <c r="B758" i="4"/>
  <c r="B762" i="4"/>
  <c r="B763" i="4"/>
  <c r="B764" i="4"/>
  <c r="B765" i="4"/>
  <c r="F766" i="4"/>
  <c r="B767" i="4"/>
  <c r="B768" i="4"/>
  <c r="B769" i="4"/>
  <c r="B773" i="4"/>
  <c r="B774" i="4"/>
  <c r="B775" i="4"/>
  <c r="B776" i="4"/>
  <c r="B777" i="4"/>
  <c r="B778" i="4"/>
  <c r="B779" i="4"/>
  <c r="B780" i="4"/>
  <c r="D7" i="3"/>
  <c r="D19" i="4"/>
  <c r="D518" i="4"/>
  <c r="F518" i="4" s="1"/>
  <c r="D539" i="4"/>
  <c r="F539" i="4" s="1"/>
  <c r="D542" i="4"/>
  <c r="F542" i="4" s="1"/>
  <c r="D32" i="4"/>
  <c r="F32" i="4" s="1"/>
  <c r="D442" i="4"/>
  <c r="F442" i="4" s="1"/>
  <c r="D525" i="4"/>
  <c r="F525" i="4" s="1"/>
  <c r="D466" i="4"/>
  <c r="F466" i="4" s="1"/>
  <c r="D446" i="4"/>
  <c r="D445" i="4" s="1"/>
  <c r="F445" i="4" s="1"/>
  <c r="D436" i="4"/>
  <c r="F436" i="4" s="1"/>
  <c r="D709" i="4"/>
  <c r="D510" i="4"/>
  <c r="F510" i="4" s="1"/>
  <c r="D670" i="4" l="1"/>
  <c r="F670" i="4" s="1"/>
  <c r="F674" i="4" s="1"/>
  <c r="D490" i="4"/>
  <c r="D489" i="4" s="1"/>
  <c r="F489" i="4" s="1"/>
  <c r="D20" i="4"/>
  <c r="D18" i="4"/>
  <c r="D21" i="4"/>
  <c r="F21" i="4" s="1"/>
  <c r="D470" i="4"/>
  <c r="F470" i="4" s="1"/>
  <c r="D22" i="4"/>
  <c r="F22" i="4" s="1"/>
  <c r="D456" i="4"/>
  <c r="F456" i="4" s="1"/>
  <c r="D320" i="4"/>
  <c r="F320" i="4" s="1"/>
  <c r="D759" i="4"/>
  <c r="F759" i="4" s="1"/>
  <c r="D255" i="4"/>
  <c r="D252" i="4" s="1"/>
  <c r="D251" i="4" s="1"/>
  <c r="D498" i="4"/>
  <c r="F498" i="4" s="1"/>
  <c r="D750" i="4"/>
  <c r="F750" i="4" s="1"/>
  <c r="D757" i="4"/>
  <c r="F757" i="4" s="1"/>
  <c r="D507" i="4"/>
  <c r="F507" i="4" s="1"/>
  <c r="D559" i="4"/>
  <c r="F559" i="4" s="1"/>
  <c r="F563" i="4" s="1"/>
  <c r="E14" i="3" s="1"/>
  <c r="D528" i="4"/>
  <c r="F528" i="4" s="1"/>
  <c r="F709" i="4"/>
  <c r="D479" i="4" l="1"/>
  <c r="F479" i="4" s="1"/>
  <c r="F546" i="4" s="1"/>
  <c r="E20" i="3" s="1"/>
  <c r="D674" i="4"/>
  <c r="D669" i="4"/>
  <c r="E16" i="3" s="1"/>
  <c r="D16" i="4"/>
  <c r="D15" i="4" s="1"/>
  <c r="D563" i="4"/>
  <c r="D772" i="4"/>
  <c r="F772" i="4" s="1"/>
  <c r="G10" i="33"/>
  <c r="G7" i="33"/>
  <c r="G13" i="33"/>
  <c r="G16" i="33"/>
  <c r="G15" i="33"/>
  <c r="G12" i="33"/>
  <c r="G14" i="33"/>
  <c r="D761" i="4"/>
  <c r="D546" i="4" l="1"/>
  <c r="E19" i="3" s="1"/>
  <c r="I20" i="3" s="1"/>
  <c r="F548" i="4"/>
  <c r="E21" i="3" s="1"/>
  <c r="D804" i="4"/>
  <c r="F761" i="4"/>
  <c r="F783" i="4" s="1"/>
  <c r="D783" i="4"/>
  <c r="D803" i="4" l="1"/>
  <c r="D810" i="4" s="1"/>
  <c r="D812" i="4" s="1"/>
  <c r="D815" i="4"/>
  <c r="F785" i="4"/>
  <c r="E27" i="3" s="1"/>
  <c r="E26" i="3"/>
  <c r="H71" i="40" l="1"/>
  <c r="D570" i="4" l="1"/>
  <c r="E570" i="4" s="1"/>
  <c r="D816" i="4" l="1"/>
  <c r="D818" i="4" s="1"/>
  <c r="F570" i="4"/>
  <c r="D641" i="4"/>
  <c r="D644" i="4" s="1"/>
  <c r="F641" i="4" l="1"/>
  <c r="J644" i="4"/>
  <c r="K668" i="4" s="1"/>
  <c r="D676" i="4"/>
  <c r="D819" i="4"/>
  <c r="D820" i="4" s="1"/>
  <c r="F644" i="4" l="1"/>
  <c r="F676" i="4" s="1"/>
  <c r="E15" i="3"/>
  <c r="H13" i="3" s="1"/>
  <c r="H21" i="3" l="1"/>
  <c r="F787" i="4"/>
  <c r="E28" i="3" s="1"/>
  <c r="F789" i="4"/>
  <c r="E29" i="3" s="1"/>
  <c r="F678" i="4"/>
  <c r="E22" i="3" s="1"/>
  <c r="E13" i="3"/>
  <c r="F680" i="4"/>
  <c r="E23" i="3" s="1"/>
  <c r="H27" i="3" l="1"/>
  <c r="H28" i="3"/>
  <c r="H22" i="3"/>
  <c r="E41" i="34" l="1"/>
</calcChain>
</file>

<file path=xl/comments1.xml><?xml version="1.0" encoding="utf-8"?>
<comments xmlns="http://schemas.openxmlformats.org/spreadsheetml/2006/main">
  <authors>
    <author>renefp</author>
  </authors>
  <commentList>
    <comment ref="E14" authorId="0" shapeId="0">
      <text>
        <r>
          <rPr>
            <b/>
            <sz val="8"/>
            <color indexed="81"/>
            <rFont val="Tahoma"/>
            <family val="2"/>
          </rPr>
          <t>renefp:</t>
        </r>
        <r>
          <rPr>
            <sz val="8"/>
            <color indexed="81"/>
            <rFont val="Tahoma"/>
            <family val="2"/>
          </rPr>
          <t xml:space="preserve">
Totalizar 1,2 y 3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renefp:</t>
        </r>
        <r>
          <rPr>
            <sz val="8"/>
            <color indexed="81"/>
            <rFont val="Tahoma"/>
            <family val="2"/>
          </rPr>
          <t xml:space="preserve">
Revisar contra saldo de balance final</t>
        </r>
      </text>
    </comment>
  </commentList>
</comments>
</file>

<file path=xl/comments2.xml><?xml version="1.0" encoding="utf-8"?>
<comments xmlns="http://schemas.openxmlformats.org/spreadsheetml/2006/main">
  <authors>
    <author>renefp</author>
  </authors>
  <commentList>
    <comment ref="E570" authorId="0" shapeId="0">
      <text>
        <r>
          <rPr>
            <b/>
            <sz val="12"/>
            <color indexed="81"/>
            <rFont val="Tahoma"/>
            <family val="2"/>
          </rPr>
          <t>renefp: El porcenta si es perdida se aplica= 1 y si es utilidad % 0.50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am78643</author>
  </authors>
  <commentList>
    <comment ref="H5" authorId="0" shapeId="0">
      <text>
        <r>
          <rPr>
            <sz val="8"/>
            <color indexed="81"/>
            <rFont val="Tahoma"/>
            <family val="2"/>
          </rPr>
          <t>Dejar en cero(0) o en blanco si moviemiento es de balance</t>
        </r>
      </text>
    </comment>
  </commentList>
</comments>
</file>

<file path=xl/comments4.xml><?xml version="1.0" encoding="utf-8"?>
<comments xmlns="http://schemas.openxmlformats.org/spreadsheetml/2006/main">
  <authors>
    <author>am78643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Dejar en cero(0) o en blanco si movimiento es de balance</t>
        </r>
      </text>
    </comment>
  </commentList>
</comments>
</file>

<file path=xl/comments5.xml><?xml version="1.0" encoding="utf-8"?>
<comments xmlns="http://schemas.openxmlformats.org/spreadsheetml/2006/main">
  <authors>
    <author>AVAL</author>
    <author>Coto Corea, Nelson Enrique [DIV-SLV NE]</author>
  </authors>
  <commentList>
    <comment ref="D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0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0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0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09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</t>
        </r>
      </text>
    </comment>
    <comment ref="D31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36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7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No domiciliado</t>
        </r>
      </text>
    </comment>
    <comment ref="O410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15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5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5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56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61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1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61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<sst xmlns="http://schemas.openxmlformats.org/spreadsheetml/2006/main" count="4238" uniqueCount="1293">
  <si>
    <t>SISA</t>
  </si>
  <si>
    <t>INVERSIONES BOTES CORTO PLAZO</t>
  </si>
  <si>
    <t>REVALUACIONES</t>
  </si>
  <si>
    <t>COMISIONES COBRADAS POR OPERACIONES DE REPORTO EN BOLSA</t>
  </si>
  <si>
    <t>1121070701</t>
  </si>
  <si>
    <t>EMITIDOS POR ENTIDADES DEL EXTRANJERO-ML</t>
  </si>
  <si>
    <t>INGxSERV COLOC MERC PRIM-CASA</t>
  </si>
  <si>
    <t>111006010137</t>
  </si>
  <si>
    <t>111006010138</t>
  </si>
  <si>
    <t>111006010139</t>
  </si>
  <si>
    <t>I.       FONDO   PATRIMONIAL</t>
  </si>
  <si>
    <t>111006010112</t>
  </si>
  <si>
    <t>COMIS.CASA MERC.SECUNDARIO</t>
  </si>
  <si>
    <t>ACTIVOS,DERECHOS FUTUROS Y CONTINGENCIAS SUJETOS A PONDERACION</t>
  </si>
  <si>
    <t>FACTOR DE</t>
  </si>
  <si>
    <t xml:space="preserve">         SALDOS</t>
  </si>
  <si>
    <t xml:space="preserve">           SALDOS</t>
  </si>
  <si>
    <t xml:space="preserve">               C U E N T A S</t>
  </si>
  <si>
    <t xml:space="preserve">      PONDERADOS</t>
  </si>
  <si>
    <t>GARANTIAS OTORGADAS</t>
  </si>
  <si>
    <t>TITULOSVALORES PARA CONSERVARSE HASTA EL VENCIMIENTO</t>
  </si>
  <si>
    <t>ACTIVOS INTANGIBLES</t>
  </si>
  <si>
    <t>GASTOS FINANCIEROS</t>
  </si>
  <si>
    <t>1110</t>
  </si>
  <si>
    <t>01</t>
  </si>
  <si>
    <t>OFICINA CENTRAL-MN</t>
  </si>
  <si>
    <t>1110010201</t>
  </si>
  <si>
    <t>AGENCIAS-MN</t>
  </si>
  <si>
    <t>1110010202</t>
  </si>
  <si>
    <t>AGENCIAS-ME</t>
  </si>
  <si>
    <t>1110010301</t>
  </si>
  <si>
    <t>FONDOS FIJOS-MN</t>
  </si>
  <si>
    <t>1110010401</t>
  </si>
  <si>
    <t>0101</t>
  </si>
  <si>
    <t>0201</t>
  </si>
  <si>
    <t>0202</t>
  </si>
  <si>
    <t>111006010214</t>
  </si>
  <si>
    <t>111006010216</t>
  </si>
  <si>
    <t>111006010222</t>
  </si>
  <si>
    <t>111006010224</t>
  </si>
  <si>
    <t>111006010227</t>
  </si>
  <si>
    <t>111006010234</t>
  </si>
  <si>
    <t>111006010252</t>
  </si>
  <si>
    <t>111006010253</t>
  </si>
  <si>
    <t>111006010254</t>
  </si>
  <si>
    <t>111006010255</t>
  </si>
  <si>
    <t>111006010257</t>
  </si>
  <si>
    <t>111006010271</t>
  </si>
  <si>
    <t>111006010273</t>
  </si>
  <si>
    <t xml:space="preserve">VAL. DE EMIS. EXISTENCIA xNEGOCIAR </t>
  </si>
  <si>
    <t>1.       Capital Primario</t>
  </si>
  <si>
    <t>111006010291</t>
  </si>
  <si>
    <t>DIVIDENDOS BVES</t>
  </si>
  <si>
    <t>PASIVO NO CORRIENTE</t>
  </si>
  <si>
    <t>3.       Menos: Deducciones</t>
  </si>
  <si>
    <t>113001060131</t>
  </si>
  <si>
    <t>1138020702</t>
  </si>
  <si>
    <t>1138020801</t>
  </si>
  <si>
    <t>0801</t>
  </si>
  <si>
    <t>1141040201</t>
  </si>
  <si>
    <t>1141049901</t>
  </si>
  <si>
    <t>1141050101</t>
  </si>
  <si>
    <t>INVERSIONES EUROBONOS GUATE07</t>
  </si>
  <si>
    <t>1132000501</t>
  </si>
  <si>
    <t>1132000601</t>
  </si>
  <si>
    <t>CREDITOS DIFERIDOS</t>
  </si>
  <si>
    <t>INTERESES</t>
  </si>
  <si>
    <t>OBLIGACIONES POR FONDOS RECIBIDOS DE CLIENTES</t>
  </si>
  <si>
    <t>114204990105</t>
  </si>
  <si>
    <t>CONTRACUENTA VALORES Y BIENES PROPIOS EN CUSTODIA</t>
  </si>
  <si>
    <t>111006010213</t>
  </si>
  <si>
    <t>EMITIDOS POR ENTIDADES DEL ESTADO-MN</t>
  </si>
  <si>
    <t>EMITIDOS POR ENTIDADES DEL ESTADO-ME</t>
  </si>
  <si>
    <t>LIBRO DE VENTAS AL CONTRIBUYENTE</t>
  </si>
  <si>
    <t>Moneda: US Dolares</t>
  </si>
  <si>
    <t>TIPO</t>
  </si>
  <si>
    <t>1129</t>
  </si>
  <si>
    <t>00</t>
  </si>
  <si>
    <t>CAPITAL SOCIAL</t>
  </si>
  <si>
    <t>TOTAL DE ACTIVOS</t>
  </si>
  <si>
    <t>+</t>
  </si>
  <si>
    <t>RUBRO    1260</t>
  </si>
  <si>
    <t>RUBRO    211199</t>
  </si>
  <si>
    <t>SUBCUENTA  224003-9901-04</t>
  </si>
  <si>
    <t>CUENTA    325002</t>
  </si>
  <si>
    <t>-</t>
  </si>
  <si>
    <t>=</t>
  </si>
  <si>
    <t>Total</t>
  </si>
  <si>
    <t>Saldos Según Balance Consolidado</t>
  </si>
  <si>
    <t>TOTAL PASIVOS</t>
  </si>
  <si>
    <t>CUENTAS DE CAPITAL ( 3 )</t>
  </si>
  <si>
    <t>RECUPERACIONES POR APLICAR - MN</t>
  </si>
  <si>
    <t>RECUPERACIONES POR APLICAR - ME</t>
  </si>
  <si>
    <t>PRESTAMOS  PACTADOS A MAS DE UN AÑO PLAZO</t>
  </si>
  <si>
    <t>99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</si>
  <si>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</si>
  <si>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</si>
  <si>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</si>
  <si>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</si>
  <si>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</si>
  <si>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</si>
  <si>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</si>
  <si>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</si>
  <si>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</si>
  <si>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</si>
  <si>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</si>
  <si>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</si>
  <si>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</si>
  <si>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</si>
  <si>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</si>
  <si>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</si>
  <si>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</si>
  <si>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</si>
  <si>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</si>
  <si>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OPERAC. DE REPORTO CON OTRAS ENTIDADES DEL SIST. FINANCIERO</t>
  </si>
  <si>
    <t>112107</t>
  </si>
  <si>
    <t>07</t>
  </si>
  <si>
    <t>1121070101</t>
  </si>
  <si>
    <t>EMITIDOS POR EL BCR-ME</t>
  </si>
  <si>
    <t>1121070201</t>
  </si>
  <si>
    <t>DESCRIPCION CUENTA</t>
  </si>
  <si>
    <t>RESULTADOS DESPUES DE  IMPUESTOS</t>
  </si>
  <si>
    <t>GASTOS EXTRAORDINARIOS</t>
  </si>
  <si>
    <t>RESULTADO DEL PERIODO</t>
  </si>
  <si>
    <t>UTILIDAD (PERDIDA) RETENIDAS AL PRINCIPIAR EL AÑO</t>
  </si>
  <si>
    <t>EMITIDOS POR INSTITUCIONES EXTRANJERAS -MN</t>
  </si>
  <si>
    <t>1130010702</t>
  </si>
  <si>
    <t>TITULOS VALORES PROPIOS</t>
  </si>
  <si>
    <t>111006010185</t>
  </si>
  <si>
    <t>111006010187</t>
  </si>
  <si>
    <t>DEPOSITOS</t>
  </si>
  <si>
    <t>05</t>
  </si>
  <si>
    <t>114207</t>
  </si>
  <si>
    <t>A MAS DE UN AÑO PLAZO</t>
  </si>
  <si>
    <t>SALDOS ENTRE COMPAÑIAS</t>
  </si>
  <si>
    <t>DERECHOS Y PARTICIPACIONES</t>
  </si>
  <si>
    <t>INVERSIONES CONJUNTAS</t>
  </si>
  <si>
    <t>AFILIADAS</t>
  </si>
  <si>
    <t>OBLIGACIONES POR OPERACIONES BURSATILES</t>
  </si>
  <si>
    <t>INGRESOS EXTRAORDINARIOS</t>
  </si>
  <si>
    <t xml:space="preserve">I. </t>
  </si>
  <si>
    <t xml:space="preserve">  TOTAL ACTIVOS PONDERADOS</t>
  </si>
  <si>
    <t>II.</t>
  </si>
  <si>
    <t xml:space="preserve">  REQUERIMIENTO DEL 12% SOBRE LOS ACTIVOS PONDERADOS</t>
  </si>
  <si>
    <t>DETERMINACION DEL FONDO PATRIMONIAL</t>
  </si>
  <si>
    <t>CAPITAL PRIMARIO</t>
  </si>
  <si>
    <t>RESERVA TECNICA INTERESES</t>
  </si>
  <si>
    <t>111006010154</t>
  </si>
  <si>
    <t>111006010155</t>
  </si>
  <si>
    <t>111006010156</t>
  </si>
  <si>
    <t>111006010157</t>
  </si>
  <si>
    <t>111006010158</t>
  </si>
  <si>
    <t>111006010159</t>
  </si>
  <si>
    <t>111006010160</t>
  </si>
  <si>
    <t>111006010161</t>
  </si>
  <si>
    <t>111006010162</t>
  </si>
  <si>
    <t>111006010163</t>
  </si>
  <si>
    <t>IVA</t>
  </si>
  <si>
    <t>146-5</t>
  </si>
  <si>
    <t>INTERESES Y OTROS POR COBRAR - ME</t>
  </si>
  <si>
    <t>1141030101</t>
  </si>
  <si>
    <t>1141030201</t>
  </si>
  <si>
    <t>1141039901</t>
  </si>
  <si>
    <t>1141040101</t>
  </si>
  <si>
    <t>VENTAS</t>
  </si>
  <si>
    <t>CUENTAS POR PAGAR</t>
  </si>
  <si>
    <t>REVALUACIONES (Autorizadas por la SSF)</t>
  </si>
  <si>
    <t>RESULTADOS</t>
  </si>
  <si>
    <t>EMITIDOS POR BANCOS - MN</t>
  </si>
  <si>
    <t>EMITIDOS POR EL I.G.D.-ME</t>
  </si>
  <si>
    <t>1130029901</t>
  </si>
  <si>
    <t>RESERVAS VOLUNTARIAS</t>
  </si>
  <si>
    <t>113900000100</t>
  </si>
  <si>
    <t>113900000101</t>
  </si>
  <si>
    <t>113900000102</t>
  </si>
  <si>
    <t>PRESTAMOS A ENTIDADES DEL ESTADO</t>
  </si>
  <si>
    <t>CUENTAS BANCARIAS - ADMINISTRACION DE CARTERA</t>
  </si>
  <si>
    <t>RENDIMIENTOS POR COBRAR</t>
  </si>
  <si>
    <t>PRESTAMOS</t>
  </si>
  <si>
    <t>RESULTADOS ACUMULADOS</t>
  </si>
  <si>
    <t>DOCTOS. ADQUIRIDOS CON PACTO DE RETROVENTA VENCIDOS</t>
  </si>
  <si>
    <t>VALORES CUSCATLAN</t>
  </si>
  <si>
    <t>APORTES DE DE CAPITAL PENDIENTE DE FORMALIZAR</t>
  </si>
  <si>
    <t>3130000100</t>
  </si>
  <si>
    <t>3130000200</t>
  </si>
  <si>
    <t>RESERVAS ESTATUTARIAS</t>
  </si>
  <si>
    <t>3130000300</t>
  </si>
  <si>
    <t>TOTAL CAPITAL PRIMARIO</t>
  </si>
  <si>
    <t>MAS:</t>
  </si>
  <si>
    <t>CAPITAL COMPLEMENTARIO</t>
  </si>
  <si>
    <t>CONTROL DE VALORES RECIBIDOS PARA CUSTODIA</t>
  </si>
  <si>
    <t>1.         Total de Pasivos.Compromisos Futuros y Contingentes</t>
  </si>
  <si>
    <t>2.         Requerimiento del 7% sobre pasivos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</si>
  <si>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</si>
  <si>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</si>
  <si>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</si>
  <si>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</si>
  <si>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</si>
  <si>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</si>
  <si>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</si>
  <si>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</si>
  <si>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</si>
  <si>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</si>
  <si>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</si>
  <si>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</si>
  <si>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</si>
  <si>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</si>
  <si>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</si>
  <si>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INGxSERV COLOC MERC PRIM-BOLSA</t>
  </si>
  <si>
    <t>INGRESOS POR INTERESES DPF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</si>
  <si>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</si>
  <si>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</si>
  <si>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</si>
  <si>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</si>
  <si>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</si>
  <si>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</si>
  <si>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</si>
  <si>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EMITIDOS POR OTRAS ENTIDADES DEL SISTEMA FINANCIERO-MN</t>
  </si>
  <si>
    <t>1149010301</t>
  </si>
  <si>
    <t>0702</t>
  </si>
  <si>
    <t>9901</t>
  </si>
  <si>
    <t>111006010105</t>
  </si>
  <si>
    <t>111006010106</t>
  </si>
  <si>
    <t>111006010107</t>
  </si>
  <si>
    <t>111006010108</t>
  </si>
  <si>
    <t>111006010109</t>
  </si>
  <si>
    <t>Usuario:</t>
  </si>
  <si>
    <t>jamh8154</t>
  </si>
  <si>
    <t>Nivel cta:</t>
  </si>
  <si>
    <t>Password:</t>
  </si>
  <si>
    <t>jamh0512</t>
  </si>
  <si>
    <t>Unidad:</t>
  </si>
  <si>
    <t>Oficina:</t>
  </si>
  <si>
    <t>114901030111</t>
  </si>
  <si>
    <t>PRESTAMOS CONVERTIBLES EN ACCIONES</t>
  </si>
  <si>
    <t>2413</t>
  </si>
  <si>
    <t>DEUDAS SUBORDINADAS A 5 O MAS AÑOS</t>
  </si>
  <si>
    <t xml:space="preserve">2413000001                        </t>
  </si>
  <si>
    <t>MENOS:</t>
  </si>
  <si>
    <t>PERDIDAS</t>
  </si>
  <si>
    <t>REPORTE  DEL  CALCULO DE  LOS  REQUERIMIENTOS</t>
  </si>
  <si>
    <t>( EN MILES DE DOLARES )</t>
  </si>
  <si>
    <t>111006010167</t>
  </si>
  <si>
    <t>111006010168</t>
  </si>
  <si>
    <t>111006010169</t>
  </si>
  <si>
    <t>TOTAL CAPITAL COMPLEMENTARIO</t>
  </si>
  <si>
    <t>412003</t>
  </si>
  <si>
    <t>412004</t>
  </si>
  <si>
    <t>412004010101</t>
  </si>
  <si>
    <t>FIANZAS FICAFE</t>
  </si>
  <si>
    <t>4120010502</t>
  </si>
  <si>
    <t>4120020502</t>
  </si>
  <si>
    <t>4120030502</t>
  </si>
  <si>
    <t>4120040502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</si>
  <si>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</si>
  <si>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</si>
  <si>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</si>
  <si>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</si>
  <si>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</si>
  <si>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</si>
  <si>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</si>
  <si>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</si>
  <si>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NOV</t>
  </si>
  <si>
    <t>DIC</t>
  </si>
  <si>
    <t>INGRESOS DIFERIDOS</t>
  </si>
  <si>
    <t xml:space="preserve">OPERACIONES ACREEDORAS CON BANCOS </t>
  </si>
  <si>
    <t>COMPROMISOS FUTUROS Y CONTINGENCIAS</t>
  </si>
  <si>
    <t>511003</t>
  </si>
  <si>
    <t>511004</t>
  </si>
  <si>
    <t>512003</t>
  </si>
  <si>
    <t>512004000100</t>
  </si>
  <si>
    <t>512004000101</t>
  </si>
  <si>
    <t>VI.</t>
  </si>
  <si>
    <t>TOTAL PASIVOS,COMPROMISOS FUTUROS Y CONTINGENTES</t>
  </si>
  <si>
    <t>VII.</t>
  </si>
  <si>
    <t>PARA CUBRIR DEFICIT DE CAJA - ME</t>
  </si>
  <si>
    <t>3.         Excedente o ( Deficiencia ) ( III.2-I )</t>
  </si>
  <si>
    <t>2.        Total de Activos Ponderados</t>
  </si>
  <si>
    <t>0301</t>
  </si>
  <si>
    <t>0302</t>
  </si>
  <si>
    <t>0401</t>
  </si>
  <si>
    <t>0402</t>
  </si>
  <si>
    <t>111006010113</t>
  </si>
  <si>
    <t>111006010114</t>
  </si>
  <si>
    <t>111006010115</t>
  </si>
  <si>
    <t>111006010116</t>
  </si>
  <si>
    <t>111006010117</t>
  </si>
  <si>
    <t>111006010118</t>
  </si>
  <si>
    <t>111006010119</t>
  </si>
  <si>
    <t>111006010120</t>
  </si>
  <si>
    <t>111006010121</t>
  </si>
  <si>
    <t>111006010122</t>
  </si>
  <si>
    <t>3.        Requerimiento del 12% sobre Activos Ponderados</t>
  </si>
  <si>
    <t>4.        Excedente o (Deficiencia) ( II.3-I)</t>
  </si>
  <si>
    <t>5.        Coeficiente Patrimonial ( I./II.2 )</t>
  </si>
  <si>
    <t>%</t>
  </si>
  <si>
    <t>III.      REQUERIMIENTO DE PASIVOS</t>
  </si>
  <si>
    <t>03</t>
  </si>
  <si>
    <t>0601</t>
  </si>
  <si>
    <t>0501</t>
  </si>
  <si>
    <t>SUCURSALES,SUBSIDIARIAS, AGENCIAS Y BANCOS EXTRANJEROS- ME</t>
  </si>
  <si>
    <t>114107</t>
  </si>
  <si>
    <t>PREST. A AGENCIAS Y SUBSIDIARIAS EN EL EXTRANJERO</t>
  </si>
  <si>
    <t>0701</t>
  </si>
  <si>
    <t>EMITIDOS POR INSTITUCIONES EXTRANJERAS -ME</t>
  </si>
  <si>
    <t>1130019901</t>
  </si>
  <si>
    <t>INTERESES  MN</t>
  </si>
  <si>
    <t>1130019902</t>
  </si>
  <si>
    <t>INTERESES  ME</t>
  </si>
  <si>
    <t xml:space="preserve">   O2</t>
  </si>
  <si>
    <t xml:space="preserve">TITULOS VALORES TRANSFERIDOS </t>
  </si>
  <si>
    <t>1130020101</t>
  </si>
  <si>
    <t>1130020201</t>
  </si>
  <si>
    <t>1130020301</t>
  </si>
  <si>
    <t>EMITIDOS POR EMPRESAS PRIVADAS - ME</t>
  </si>
  <si>
    <t>1130020501</t>
  </si>
  <si>
    <t>GASTOS PAGADOS POR ANTICIPADO Y CARGOS DIFERIDOS</t>
  </si>
  <si>
    <t>GASTOS DE OPERACIONES POR INVERSIONES PROPIAS</t>
  </si>
  <si>
    <t>OBLIGACIONES POR ADMON DE CARTERA</t>
  </si>
  <si>
    <t>VVDA. MEDIANOS Y BAJOS INGRESOS - CAPITAL - MN</t>
  </si>
  <si>
    <t>COMISION BOLSA OPERAC.EXTERIOR</t>
  </si>
  <si>
    <t>9902</t>
  </si>
  <si>
    <t>PROVISION POR PERDIDAS EN BIENES RECIBIDOS EN PAGO</t>
  </si>
  <si>
    <t>122900</t>
  </si>
  <si>
    <t>124005</t>
  </si>
  <si>
    <t>PROVISION DE INCOBRABILIDAD  DE CUENTAS POR COBRAR</t>
  </si>
  <si>
    <t>125900</t>
  </si>
  <si>
    <t>ACTIVO FIJO DEPRECIABLE</t>
  </si>
  <si>
    <t>132900</t>
  </si>
  <si>
    <t>ACTIVO FIJO AMORTIZABLE</t>
  </si>
  <si>
    <t>DEPOSITOS EN GARANTIA  DE CARTAS DE CREDITO</t>
  </si>
  <si>
    <t>411003</t>
  </si>
  <si>
    <t>411004</t>
  </si>
  <si>
    <t>411005</t>
  </si>
  <si>
    <t>REFINANCIAMIENTOS O REPROGRAMACIONES - MN</t>
  </si>
  <si>
    <t>REFINANCIAMIENTOS O REPROGRAMACIONES - ME</t>
  </si>
  <si>
    <t>1141029901</t>
  </si>
  <si>
    <t>INTERESES Y OTROS POR COBRAR - MN</t>
  </si>
  <si>
    <t xml:space="preserve">II.       REQUERIMIENTO DE ACTIVOS       </t>
  </si>
  <si>
    <t>1.        Total de Activos</t>
  </si>
  <si>
    <t>DESEMBOLSOS Y RECUPERACIONES POR APLICAR</t>
  </si>
  <si>
    <t>PRESTAMOS A EMPRESAS PRIVADAS</t>
  </si>
  <si>
    <t>Empresa:</t>
  </si>
  <si>
    <t>Servidor:</t>
  </si>
  <si>
    <t>CENTRALSRV</t>
  </si>
  <si>
    <t xml:space="preserve">Fecha: </t>
  </si>
  <si>
    <t>DEPRECIACION ACUMULADA</t>
  </si>
  <si>
    <t>OBLIGACIONES A LA VISTA</t>
  </si>
  <si>
    <t>REQUERIMIENTO DEL 7% SOBRE LOS PASIVOS PONDERADOS</t>
  </si>
  <si>
    <t>VIII.</t>
  </si>
  <si>
    <t xml:space="preserve"> EXCEDENTE O (DEFICIENCIA) (III-VII)</t>
  </si>
  <si>
    <t>IX.</t>
  </si>
  <si>
    <t>COEFICIENTE PATRIMONIAL  ( III / VI )</t>
  </si>
  <si>
    <t xml:space="preserve">                                           </t>
  </si>
  <si>
    <t>2.       Capital Complementario</t>
  </si>
  <si>
    <t>VALORES CUSCATLAN EL SALVADOR, S.A. DE C.V.</t>
  </si>
  <si>
    <t>1138010501</t>
  </si>
  <si>
    <t>111006020114</t>
  </si>
  <si>
    <t>111006020116</t>
  </si>
  <si>
    <t>0100</t>
  </si>
  <si>
    <t>0200</t>
  </si>
  <si>
    <t xml:space="preserve"> </t>
  </si>
  <si>
    <t>FONDOS DISPONIBLES</t>
  </si>
  <si>
    <t>111006010170</t>
  </si>
  <si>
    <t>111006010172</t>
  </si>
  <si>
    <t>111006010174</t>
  </si>
  <si>
    <t>111006010175</t>
  </si>
  <si>
    <t>111006010176</t>
  </si>
  <si>
    <t>111006010177</t>
  </si>
  <si>
    <t>111006010178</t>
  </si>
  <si>
    <t>111006010179</t>
  </si>
  <si>
    <t>111006010180</t>
  </si>
  <si>
    <t>111006010181</t>
  </si>
  <si>
    <t>1138010702</t>
  </si>
  <si>
    <t>1138010801</t>
  </si>
  <si>
    <t>REMESAS LOCALES EN TRANSITO-MN</t>
  </si>
  <si>
    <t>1110010402</t>
  </si>
  <si>
    <t>OPERAC. DE REPORTO CON BANCOS</t>
  </si>
  <si>
    <t>112106</t>
  </si>
  <si>
    <t>224003</t>
  </si>
  <si>
    <t>CARTAS DE CREDITO</t>
  </si>
  <si>
    <t>REMESAS LOCALES EN TRANSITO-ME</t>
  </si>
  <si>
    <t>02</t>
  </si>
  <si>
    <t>1110030100</t>
  </si>
  <si>
    <t>VALORES RECIBIDOS PARA CUSTODIA Y COBRO</t>
  </si>
  <si>
    <t>EMPRESA1</t>
  </si>
  <si>
    <t>PAIS1</t>
  </si>
  <si>
    <t>IMPUESTOS POR PAGAR PROPIOS</t>
  </si>
  <si>
    <t>PASIVOS,COMPROMISOS FUTUROS Y CONTINGENCIAS SUJETOS A PONDERACION</t>
  </si>
  <si>
    <t>211108</t>
  </si>
  <si>
    <t>211401</t>
  </si>
  <si>
    <t>211402</t>
  </si>
  <si>
    <t>211403</t>
  </si>
  <si>
    <t>BONOS  F.S.V.</t>
  </si>
  <si>
    <t>1130010701</t>
  </si>
  <si>
    <t>111006010131</t>
  </si>
  <si>
    <t>111006010132</t>
  </si>
  <si>
    <t>111006010133</t>
  </si>
  <si>
    <t>111006010134</t>
  </si>
  <si>
    <t>111006010135</t>
  </si>
  <si>
    <t>111006010136</t>
  </si>
  <si>
    <t>CONTINGENCIAS POR AVALES Y FIANZAS</t>
  </si>
  <si>
    <t>OTRAS CONTINGENCIAS Y COMPROMISOS</t>
  </si>
  <si>
    <t>COMPENSACIONES PENDIENTES-MN</t>
  </si>
  <si>
    <t>1110030200</t>
  </si>
  <si>
    <t>RECHAZOS POR COMPENSACION-MN</t>
  </si>
  <si>
    <t>04</t>
  </si>
  <si>
    <t>06</t>
  </si>
  <si>
    <t>111006020120</t>
  </si>
  <si>
    <t>111006020133</t>
  </si>
  <si>
    <t>111006020136</t>
  </si>
  <si>
    <t>MANUAL</t>
  </si>
  <si>
    <t>SISA VIDA, S.A.</t>
  </si>
  <si>
    <t>INTERESES POR SALDOS EN CUENTAS DE AHORROS</t>
  </si>
  <si>
    <t>PRESTAMOS VENCIDOS</t>
  </si>
  <si>
    <t>111006010164</t>
  </si>
  <si>
    <t>111006010165</t>
  </si>
  <si>
    <t>111006010166</t>
  </si>
  <si>
    <t>EMITIDOS POR EL BCR-MN</t>
  </si>
  <si>
    <t>1138029901</t>
  </si>
  <si>
    <t xml:space="preserve">   03</t>
  </si>
  <si>
    <t xml:space="preserve">TITULOSVALORES VENDIDOS CON PACTO DE RETROVENTA </t>
  </si>
  <si>
    <t>1138030101</t>
  </si>
  <si>
    <t>1138030201</t>
  </si>
  <si>
    <t>1138030301</t>
  </si>
  <si>
    <t>1138030501</t>
  </si>
  <si>
    <t>PONDERACION</t>
  </si>
  <si>
    <t xml:space="preserve">   00</t>
  </si>
  <si>
    <t>1131000101</t>
  </si>
  <si>
    <t>111006010189</t>
  </si>
  <si>
    <t>111006010190</t>
  </si>
  <si>
    <t>111006010191</t>
  </si>
  <si>
    <t>111006010192</t>
  </si>
  <si>
    <t>111006010193</t>
  </si>
  <si>
    <t>111006010194</t>
  </si>
  <si>
    <t>111006010195</t>
  </si>
  <si>
    <t>111006010196</t>
  </si>
  <si>
    <t>111006010197</t>
  </si>
  <si>
    <t>111006010199</t>
  </si>
  <si>
    <t>111006010204</t>
  </si>
  <si>
    <t>111006010209</t>
  </si>
  <si>
    <t>CUENTAS Y DOCUMENTOS POR COBRAR RELACIONADAS</t>
  </si>
  <si>
    <t>GASTOS PAGADOS POR ANTICIPADO</t>
  </si>
  <si>
    <t>INVERSIONES TEMPORALES</t>
  </si>
  <si>
    <t>322000</t>
  </si>
  <si>
    <t>1141050301</t>
  </si>
  <si>
    <t>PRESTAMOS CONVERTIBLES EN ACCIONES - MN</t>
  </si>
  <si>
    <t>PRESTAMOS CONVERTIBLES EN ACCIONES - ME</t>
  </si>
  <si>
    <t>1141059901</t>
  </si>
  <si>
    <t>PTMOS. A EMP. PUB. NO FINANCIERAS</t>
  </si>
  <si>
    <t>1141060101</t>
  </si>
  <si>
    <t>1141060201</t>
  </si>
  <si>
    <t>1141069901</t>
  </si>
  <si>
    <t>08</t>
  </si>
  <si>
    <t>1141080101</t>
  </si>
  <si>
    <t>1141080201</t>
  </si>
  <si>
    <t>1141089901</t>
  </si>
  <si>
    <t>EMITIDOS POR OTRAS ENTIDADES DEL SISTEMA FINANCIERO-ML</t>
  </si>
  <si>
    <t>113200060121</t>
  </si>
  <si>
    <t>1132000702</t>
  </si>
  <si>
    <t>1132000801</t>
  </si>
  <si>
    <t>1132009901</t>
  </si>
  <si>
    <t>PRESTAMOS PACTADOS  HASTA UN AÑO PLAZO</t>
  </si>
  <si>
    <t>1141020101</t>
  </si>
  <si>
    <t>1131000201</t>
  </si>
  <si>
    <t>1131000301</t>
  </si>
  <si>
    <t>1131000501</t>
  </si>
  <si>
    <t>1131000601</t>
  </si>
  <si>
    <t>1131000702</t>
  </si>
  <si>
    <t>GASTOS POR OBLIGACIONES CON INSTITUCIONES FINANCIE</t>
  </si>
  <si>
    <t>PRESTAMOS A EMPRESAS NO DOMICILIADAS</t>
  </si>
  <si>
    <t>1141990101</t>
  </si>
  <si>
    <t>DESEMBOLSOS POR APLICAR - MN</t>
  </si>
  <si>
    <t>DESEMBOLSOS POR APLICAR - ME</t>
  </si>
  <si>
    <t>1141990201</t>
  </si>
  <si>
    <t>1121070301</t>
  </si>
  <si>
    <t>EMITIDOS POR EMPRESAS PRIVADAS-MN</t>
  </si>
  <si>
    <t>SUBCUENTA 224003-9901-04</t>
  </si>
  <si>
    <t xml:space="preserve">Total  </t>
  </si>
  <si>
    <t>4.         Coeficiente Patrimonial ( I.I /III.1 )</t>
  </si>
  <si>
    <t>1131000801</t>
  </si>
  <si>
    <t>1131009901</t>
  </si>
  <si>
    <t>TITULOSVALORES DISPONIBLES PARA LA VENTA</t>
  </si>
  <si>
    <t>1132000101</t>
  </si>
  <si>
    <t>1132000201</t>
  </si>
  <si>
    <t>1132000301</t>
  </si>
  <si>
    <t>PROVISIONES POR CATEGORIA DE RIESGO</t>
  </si>
  <si>
    <t>1149010401</t>
  </si>
  <si>
    <t>PROVISIONES RESTRINGIDAS</t>
  </si>
  <si>
    <t>PRESTAMOS GARANTIZADOS TOTALMENTE CON DEPOSITOS</t>
  </si>
  <si>
    <t>EMITIDOS POR EMPRESAS PRIVADAS-ME</t>
  </si>
  <si>
    <t>PREST.A AGENCIAS,SUCURS. Y FILIALES EN EL EXTRANJERO</t>
  </si>
  <si>
    <t>114901</t>
  </si>
  <si>
    <t>1149010101</t>
  </si>
  <si>
    <t>PARA CUBRIR DEFICIT DE CAJA - MN</t>
  </si>
  <si>
    <t>Rol del usuario:</t>
  </si>
  <si>
    <t>O EXTRANJEROS DE PRIMERA LINEA</t>
  </si>
  <si>
    <t>114204070102</t>
  </si>
  <si>
    <t>212203</t>
  </si>
  <si>
    <t>212207</t>
  </si>
  <si>
    <t>212208</t>
  </si>
  <si>
    <t>212209</t>
  </si>
  <si>
    <t>212308</t>
  </si>
  <si>
    <t>1130010601</t>
  </si>
  <si>
    <t>060131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</si>
  <si>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</si>
  <si>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</si>
  <si>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</si>
  <si>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</si>
  <si>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</si>
  <si>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</si>
  <si>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</si>
  <si>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</si>
  <si>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</si>
  <si>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</si>
  <si>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</si>
  <si>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</si>
  <si>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</si>
  <si>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111006010101</t>
  </si>
  <si>
    <t>111006010102</t>
  </si>
  <si>
    <t>111006010103</t>
  </si>
  <si>
    <t>111006010104</t>
  </si>
  <si>
    <t>IMPUESTOS</t>
  </si>
  <si>
    <t>GASTOS DE OPERACION POR SERV. DE ADMON. DE CARTERA</t>
  </si>
  <si>
    <t>631099</t>
  </si>
  <si>
    <t>712000</t>
  </si>
  <si>
    <t>713000</t>
  </si>
  <si>
    <t>721000</t>
  </si>
  <si>
    <t>722000</t>
  </si>
  <si>
    <t>723000</t>
  </si>
  <si>
    <t>724000</t>
  </si>
  <si>
    <t>725000</t>
  </si>
  <si>
    <t>726000</t>
  </si>
  <si>
    <t>812009</t>
  </si>
  <si>
    <t>824000</t>
  </si>
  <si>
    <t>827000</t>
  </si>
  <si>
    <t>212309</t>
  </si>
  <si>
    <t>ACTIVO</t>
  </si>
  <si>
    <t xml:space="preserve">  EL CAPITAL PRIMARIO HA SIDO MODIFICADO A PARTIR DEL 12/02/1998 POR SESION CD-12/98 DEL 11/12/1998 (RODOLFO EDUARDO MORALES ROVIRA)</t>
  </si>
  <si>
    <t>SALDOS CON AGENCIAS EXTRANJERAS</t>
  </si>
  <si>
    <t>SALDOS CON SUCURSALES EXTRANJERAS</t>
  </si>
  <si>
    <t>SALDOS CON AFILIADAS EXTRANJERAS</t>
  </si>
  <si>
    <t>DEPOSITOS EN BANCOS EXTRANJEROS DE PRIMERA LINEA</t>
  </si>
  <si>
    <t>111006020113</t>
  </si>
  <si>
    <t>111006990105</t>
  </si>
  <si>
    <t>111006990106</t>
  </si>
  <si>
    <t>111006990114</t>
  </si>
  <si>
    <t>111006990120</t>
  </si>
  <si>
    <t>111006990133</t>
  </si>
  <si>
    <t>111006990137</t>
  </si>
  <si>
    <t>111006990144</t>
  </si>
  <si>
    <t>OTORGAMIENTOS ORIGINALES - MN</t>
  </si>
  <si>
    <t>OTORGAMIENTOS ORIGINALES - ME</t>
  </si>
  <si>
    <t>1141020201</t>
  </si>
  <si>
    <t>SALDOS CON BANCOS EXTRANJEROS</t>
  </si>
  <si>
    <t xml:space="preserve">   04</t>
  </si>
  <si>
    <t>CAPITAL ASIGNADO A SUCURSALES</t>
  </si>
  <si>
    <t xml:space="preserve">   05</t>
  </si>
  <si>
    <t>BANCOS EXTRANJEROS</t>
  </si>
  <si>
    <t xml:space="preserve">III. </t>
  </si>
  <si>
    <t>BANCOS</t>
  </si>
  <si>
    <t>SEGUROS E INVERSIONES, S.A.</t>
  </si>
  <si>
    <t>COMISIONES COBRADAS POR  SERVICIOS DE CEDEVAL</t>
  </si>
  <si>
    <t>COMISIONES POR OPERACIONE EN BOLSA</t>
  </si>
  <si>
    <t xml:space="preserve"> TOTAL FONDO PATRIMONIAL </t>
  </si>
  <si>
    <t>IV.</t>
  </si>
  <si>
    <t xml:space="preserve"> EXCEDENTE O (DEFICIENCIA) (III-II)</t>
  </si>
  <si>
    <t xml:space="preserve">V. </t>
  </si>
  <si>
    <t xml:space="preserve"> COEFICIENTE PATRIMONIAL (III / I)</t>
  </si>
  <si>
    <t>RESPONSABILIDAD POR GARANTIAS OTORGADAS</t>
  </si>
  <si>
    <t>PRESTAMOS A BANCOS</t>
  </si>
  <si>
    <t>PRESTAMOS A PARTICULARES</t>
  </si>
  <si>
    <t>CUENTAS POR PAGAR RELACIONADAS</t>
  </si>
  <si>
    <t>MEMBRESIAS,PARTICIPACIONES Y OTROS DERECHOS</t>
  </si>
  <si>
    <t>ACTIVO FIJO NO DEPRECIABLE</t>
  </si>
  <si>
    <t>1138039901</t>
  </si>
  <si>
    <t>113900</t>
  </si>
  <si>
    <t>1139000001</t>
  </si>
  <si>
    <t>PATRIMONIO</t>
  </si>
  <si>
    <t>CAPITAL SOCIAL PAGADO</t>
  </si>
  <si>
    <t>RESERVAS DE CAPITAL</t>
  </si>
  <si>
    <t>RESULTADOS POR APLICAR</t>
  </si>
  <si>
    <t>CAJA</t>
  </si>
  <si>
    <t>DEPOSITOS EN EL BCR</t>
  </si>
  <si>
    <t>DOCUMENTOS A CARGO DE OTROS BANCOS</t>
  </si>
  <si>
    <t>VVDA. MEDIANOS Y BAJOS INGRESOS - CAPITAL - ME</t>
  </si>
  <si>
    <t>DEPOSITOS EN BANCOS LOCALES</t>
  </si>
  <si>
    <t>DEPOSITOS EN BANCOS EXTRANJEROS</t>
  </si>
  <si>
    <t>OPERACIONES BURSATILES</t>
  </si>
  <si>
    <t>1121070702</t>
  </si>
  <si>
    <t>EMITIDOS POR ENTIDADES DEL EXTRANJERO - ME</t>
  </si>
  <si>
    <t>1128</t>
  </si>
  <si>
    <t>1130020702</t>
  </si>
  <si>
    <t>1130020801</t>
  </si>
  <si>
    <t>EMITIDOS POR EL I.G.D.-MN</t>
  </si>
  <si>
    <t>122003</t>
  </si>
  <si>
    <t>122004</t>
  </si>
  <si>
    <t>111006010140</t>
  </si>
  <si>
    <t>111006010141</t>
  </si>
  <si>
    <t>111006010142</t>
  </si>
  <si>
    <t>111006010143</t>
  </si>
  <si>
    <t>111006010144</t>
  </si>
  <si>
    <t>111006010145</t>
  </si>
  <si>
    <t>111006010146</t>
  </si>
  <si>
    <t>111006010147</t>
  </si>
  <si>
    <t>1130020601</t>
  </si>
  <si>
    <t>Actividad Económica:CASA CORREDORA DE BOLSA</t>
  </si>
  <si>
    <t>NIT:  0614-180192-101-3</t>
  </si>
  <si>
    <t>FECHA</t>
  </si>
  <si>
    <t xml:space="preserve">No. DEL </t>
  </si>
  <si>
    <t>CREDITOS DE LARGO PLAZO OTORGADOS A FAMILIAS DE MEDIANOS Y BAJOS INGRESOS PARA ADQUISICION DE VIVIENDA GARANTIZADOS TOTALMENTE CON HIPOTECA</t>
  </si>
  <si>
    <t>122001</t>
  </si>
  <si>
    <t>122002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</si>
  <si>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</si>
  <si>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</si>
  <si>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</si>
  <si>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</si>
  <si>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</si>
  <si>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</si>
  <si>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Valores Cuscatlan, S.A. de C.V.</t>
  </si>
  <si>
    <t xml:space="preserve">EMITIDOS POR EL ESTADO -MN </t>
  </si>
  <si>
    <t>EMITIDOS POR EL ESTADO -ME</t>
  </si>
  <si>
    <t>1130010301</t>
  </si>
  <si>
    <t>EMITIDOS POR EMPRESAS PRIVADAS - MN</t>
  </si>
  <si>
    <t>1130010501</t>
  </si>
  <si>
    <t>EMITIDOS POR BANCOS-MN</t>
  </si>
  <si>
    <t>EMITIDOS POR BANCOS-ME</t>
  </si>
  <si>
    <t>TITULOS DE EMISION PROPIA</t>
  </si>
  <si>
    <t>TITULOSVALORES CONSERVADOS PARA NEGOCIACION</t>
  </si>
  <si>
    <t>1130010101</t>
  </si>
  <si>
    <t>CUENTAS DEUDORAS POR EFECTIVO Y DERECHOS POR SERVICIOS</t>
  </si>
  <si>
    <t>1138019901</t>
  </si>
  <si>
    <t xml:space="preserve">   02</t>
  </si>
  <si>
    <t xml:space="preserve">TITULOSVALORES NO NEGOCIABLES </t>
  </si>
  <si>
    <t>1138020101</t>
  </si>
  <si>
    <t>1138020201</t>
  </si>
  <si>
    <t>1138020301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</si>
  <si>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</si>
  <si>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</si>
  <si>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</si>
  <si>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</si>
  <si>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111006020137</t>
  </si>
  <si>
    <t>111006020144</t>
  </si>
  <si>
    <t>111006020173</t>
  </si>
  <si>
    <t>111006020179</t>
  </si>
  <si>
    <t>111006020198</t>
  </si>
  <si>
    <t>111006020213</t>
  </si>
  <si>
    <t>1110069901</t>
  </si>
  <si>
    <t>1110069902</t>
  </si>
  <si>
    <t>EXISTENCIAS</t>
  </si>
  <si>
    <t>111006990213</t>
  </si>
  <si>
    <t>1110060301</t>
  </si>
  <si>
    <t>REMESAS EN TRANSITO</t>
  </si>
  <si>
    <t>1110060302</t>
  </si>
  <si>
    <t>REMESAS EN TRANSITO_ME</t>
  </si>
  <si>
    <t>1121</t>
  </si>
  <si>
    <t>DOCUMENTOS COMPRADOS CON PACTO DE RETROVENTA HASTA UN AÑO PLAZO</t>
  </si>
  <si>
    <t>111006010123</t>
  </si>
  <si>
    <t>111006010124</t>
  </si>
  <si>
    <t>111006010125</t>
  </si>
  <si>
    <t>111006010126</t>
  </si>
  <si>
    <t>111006010127</t>
  </si>
  <si>
    <t>111006010128</t>
  </si>
  <si>
    <t>111006010129</t>
  </si>
  <si>
    <t>111006010130</t>
  </si>
  <si>
    <t>1130010201</t>
  </si>
  <si>
    <t>1138030601</t>
  </si>
  <si>
    <t>1138030702</t>
  </si>
  <si>
    <t>1138030801</t>
  </si>
  <si>
    <t>RESULTADOS DE EJERCICIOS ANTERIORES</t>
  </si>
  <si>
    <t>RESPONSABILIDAD POR OTRAS CONTINGENCIAS Y COMPROMI</t>
  </si>
  <si>
    <t>COMISIONES COBRADAS POR OPERACIONES EN BOLSA</t>
  </si>
  <si>
    <t>COMISIONES COBRADAS POR OPERACIONES DE CUSTODIA CEDEVAL</t>
  </si>
  <si>
    <t>IMPUESTO SOBRE LA RENTA</t>
  </si>
  <si>
    <t>RETENCIONES</t>
  </si>
  <si>
    <t>PROVISIONES</t>
  </si>
  <si>
    <t>CUENTA_CONTABLE1</t>
  </si>
  <si>
    <t>SLD_MONEDA_LOCAL1</t>
  </si>
  <si>
    <t>Booking Entity</t>
  </si>
  <si>
    <t>TASA_CAMBIO1</t>
  </si>
  <si>
    <t>SLD_MONEDA_DOLAR1</t>
  </si>
  <si>
    <t>MonthlyRevenue</t>
  </si>
  <si>
    <t>EMPRESA2</t>
  </si>
  <si>
    <t>Destiny Entity Code</t>
  </si>
  <si>
    <t>PAIS2</t>
  </si>
  <si>
    <t>SV</t>
  </si>
  <si>
    <t>INVERSIONES VENCIDAS</t>
  </si>
  <si>
    <t xml:space="preserve">   01</t>
  </si>
  <si>
    <t xml:space="preserve">TITULOSVALORES  NEGOCIABLES </t>
  </si>
  <si>
    <t>1138010101</t>
  </si>
  <si>
    <t>1138010201</t>
  </si>
  <si>
    <t>1138010301</t>
  </si>
  <si>
    <t>PRESTAMOS CON GARANTIA DE BANCOS LOCALES</t>
  </si>
  <si>
    <t>1138010601</t>
  </si>
  <si>
    <t>PROVISION PARA INCOBRABILIDAD DE PRESTAMOS</t>
  </si>
  <si>
    <t>BIENES RECIBIDOS EN PAGO O ADJUDICADOS</t>
  </si>
  <si>
    <t>113900000103</t>
  </si>
  <si>
    <t>OPERACIONES DE REPORTO CON ENTIDADES DEL ESTADO</t>
  </si>
  <si>
    <t xml:space="preserve"> O3</t>
  </si>
  <si>
    <t>OPERAC. DE REPORTO CON EMPRESAS PRIVADAS</t>
  </si>
  <si>
    <t>112104</t>
  </si>
  <si>
    <t>FIDEICOMISOS</t>
  </si>
  <si>
    <t>TOTAL CAPITAL PRIMARIO Y COMPLEMENTARIO</t>
  </si>
  <si>
    <t>OPERAC. DE REPORTO CON PARTICULARES</t>
  </si>
  <si>
    <t>112105</t>
  </si>
  <si>
    <t>INMUEBLES</t>
  </si>
  <si>
    <t>RESERVA LEGAL</t>
  </si>
  <si>
    <t>UTILIDADES NO DISTRIBUIBLES</t>
  </si>
  <si>
    <t>EMITIDOS POR BANCOS - ME</t>
  </si>
  <si>
    <t>1121070601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</si>
  <si>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</si>
  <si>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</si>
  <si>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</si>
  <si>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</si>
  <si>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</si>
  <si>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</si>
  <si>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</si>
  <si>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</si>
  <si>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</si>
  <si>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>EMITIDOS POR OTRAS ENTIDADES DEL SISTEMA FINANCIERO-ME</t>
  </si>
  <si>
    <t>RESERVAS DE SANEAMIENTO VOLUNTARIAS - MN</t>
  </si>
  <si>
    <t>RESERVA TECNICA CAPITAL</t>
  </si>
  <si>
    <t xml:space="preserve">TOTAL </t>
  </si>
  <si>
    <t>NO SUJETAS</t>
  </si>
  <si>
    <t>EXENTAS</t>
  </si>
  <si>
    <t xml:space="preserve">VALOR NETO </t>
  </si>
  <si>
    <t>589-4</t>
  </si>
  <si>
    <t>Area:</t>
  </si>
  <si>
    <t>PROVISION POR PERDIDAS</t>
  </si>
  <si>
    <t xml:space="preserve">RESULTADOS DEL PRESENTE EJERCICIO </t>
  </si>
  <si>
    <t>CUENTAS POR COBRAR</t>
  </si>
  <si>
    <t>111006010298</t>
  </si>
  <si>
    <t>111006020101</t>
  </si>
  <si>
    <t>111006020105</t>
  </si>
  <si>
    <t>111006020106</t>
  </si>
  <si>
    <t>111006020108</t>
  </si>
  <si>
    <t>111006010110</t>
  </si>
  <si>
    <t>111006010111</t>
  </si>
  <si>
    <t xml:space="preserve">                                                </t>
  </si>
  <si>
    <t xml:space="preserve">                                            </t>
  </si>
  <si>
    <t>Contador</t>
  </si>
  <si>
    <t>CHEQUES Y OTROS VALORES POR APLICAR</t>
  </si>
  <si>
    <t>216001</t>
  </si>
  <si>
    <t>216002</t>
  </si>
  <si>
    <t>222002</t>
  </si>
  <si>
    <t>223000</t>
  </si>
  <si>
    <t>PROVISION POR PERDIDAS EN BIENES RECIBIDOS EN PAGO O ADJ.</t>
  </si>
  <si>
    <t>OBLIGACIONES CONVERTIBLES EN ACCIONES</t>
  </si>
  <si>
    <t>DEUDA SUBORDINADA</t>
  </si>
  <si>
    <t xml:space="preserve">DEUDA SUBORDINADA A CINCO O MAS AÑOS  </t>
  </si>
  <si>
    <t>OPERACIONES DE REPORTO CON BCR</t>
  </si>
  <si>
    <t>1138020501</t>
  </si>
  <si>
    <t>1138020601</t>
  </si>
  <si>
    <t>Diferencia</t>
  </si>
  <si>
    <t>VVDA. MEDIANOS Y BAJOS INGRESOS - INTERESES - MN</t>
  </si>
  <si>
    <t>1148</t>
  </si>
  <si>
    <t>114807</t>
  </si>
  <si>
    <t>214201</t>
  </si>
  <si>
    <t>214202</t>
  </si>
  <si>
    <t>DOCUMENTOS TRANSADOS</t>
  </si>
  <si>
    <t>215105</t>
  </si>
  <si>
    <t>215106</t>
  </si>
  <si>
    <t>215107</t>
  </si>
  <si>
    <t>216</t>
  </si>
  <si>
    <t>CAPITAL</t>
  </si>
  <si>
    <t>111006010148</t>
  </si>
  <si>
    <t>111006010149</t>
  </si>
  <si>
    <t>111006010150</t>
  </si>
  <si>
    <t>111006010151</t>
  </si>
  <si>
    <t>211404</t>
  </si>
  <si>
    <t>211405</t>
  </si>
  <si>
    <t>211406</t>
  </si>
  <si>
    <t>211407</t>
  </si>
  <si>
    <t>212103</t>
  </si>
  <si>
    <t>212107</t>
  </si>
  <si>
    <t>212108</t>
  </si>
  <si>
    <t>212109</t>
  </si>
  <si>
    <t>PROVISION PARA VALUACION DE INVERSIONES</t>
  </si>
  <si>
    <t>(Se tomará hasta por la suma del capital primario)</t>
  </si>
  <si>
    <t xml:space="preserve">PROVISION POR PERDIDAS 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</si>
  <si>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</si>
  <si>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</si>
  <si>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</si>
  <si>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</si>
  <si>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</si>
  <si>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SEGUROS PARA EL PERSONAL - ADMO</t>
  </si>
  <si>
    <t>COMIS.BOLSA MERC.SECUNDARIO</t>
  </si>
  <si>
    <t>INGR x SERV REPORTO BOLSA</t>
  </si>
  <si>
    <t>INGRESO x SERV REPORTO CASA</t>
  </si>
  <si>
    <t>COMISION CASA OPERAC EXTERIOR</t>
  </si>
  <si>
    <t>CUENTA_CONTABLE COBIS</t>
  </si>
  <si>
    <t>COMISION CEDEVAL</t>
  </si>
  <si>
    <t>COMISION MERCADO PRIMARIO</t>
  </si>
  <si>
    <t>PORTAFOLIO INVERSION A PLAZO</t>
  </si>
  <si>
    <t>PORTAFOLIO PRO RETIRO</t>
  </si>
  <si>
    <t>PORTAFOLIO MAS PN</t>
  </si>
  <si>
    <t>ALQUILER DE LOCALES INTERCOMPANY EDIFICIO PIRAMIDE</t>
  </si>
  <si>
    <t>Jesy Yanira Quijada</t>
  </si>
  <si>
    <t xml:space="preserve"> Jefe de Contraloría</t>
  </si>
  <si>
    <t>126001</t>
  </si>
  <si>
    <t>SEGURO DE PERSONAL</t>
  </si>
  <si>
    <t>BOLSA DE VALORES DE EL SALVADOR, S.A. DE C.V.</t>
  </si>
  <si>
    <t>27287-6</t>
  </si>
  <si>
    <t>KPMG, S.A.</t>
  </si>
  <si>
    <t>88004-3</t>
  </si>
  <si>
    <t>COMUNICACIÓN CREATIVA SA DE CV</t>
  </si>
  <si>
    <t>77485-5</t>
  </si>
  <si>
    <t>CENTRAL DE DEPOSITO DE VALORES, S.A. DE C.V.</t>
  </si>
  <si>
    <t>GANANCIA VENTA MUEBLES</t>
  </si>
  <si>
    <t>GANANCIA VENTA EQUIPO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</si>
  <si>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</si>
  <si>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</si>
  <si>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</si>
  <si>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</si>
  <si>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</si>
  <si>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</si>
  <si>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</si>
  <si>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</si>
  <si>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</si>
  <si>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</si>
  <si>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</si>
  <si>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</si>
  <si>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</si>
  <si>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</si>
  <si>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</si>
  <si>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</si>
  <si>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</si>
  <si>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</si>
  <si>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</si>
  <si>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</si>
  <si>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</si>
  <si>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</si>
  <si>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</si>
  <si>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</si>
  <si>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</si>
  <si>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</si>
  <si>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(Compañía salvadoreña, subsidiaria de Banco Cuscatlán de El Salvador, S.A.)</t>
  </si>
  <si>
    <t>(Compañía salvadoreña, subsidiaria de Banco Cuscatlan de El Salvador, S.A.)</t>
  </si>
  <si>
    <t>Total saldo acreedor</t>
  </si>
  <si>
    <t>Total saldo deudor</t>
  </si>
  <si>
    <t xml:space="preserve">Casa de corredores de bolsa  </t>
  </si>
  <si>
    <t xml:space="preserve">Casa de corredores de bolsa </t>
  </si>
  <si>
    <t>Ingresos Mensuales</t>
  </si>
  <si>
    <t>SEGURO DE PROPIEDAD</t>
  </si>
  <si>
    <t>SEGURO RIESGOS BANCARIOS</t>
  </si>
  <si>
    <t xml:space="preserve">GASTO MENSUAL DE SEGURO PAGADO POR ANTICIPADO </t>
  </si>
  <si>
    <t>GASTO DE ARRENDAMIENTOS BANCO CUSCATLAN</t>
  </si>
  <si>
    <t>AlQUILER DE ESPACIO EDIFICIO PIRAMIDE</t>
  </si>
  <si>
    <t>CUENTAS AREEDORAS POR OBLIGACIONES POR SERVICIOS EN ADMINISTRACION DE CARTERA</t>
  </si>
  <si>
    <t>399</t>
  </si>
  <si>
    <t>Ingresos operativos</t>
  </si>
  <si>
    <t>Ingresos Intercompany</t>
  </si>
  <si>
    <t>Intercompany</t>
  </si>
  <si>
    <t>INVERSIONES FINANCIERAS IMPERIA CUSCATLAN, S.A.</t>
  </si>
  <si>
    <t>ANULADO</t>
  </si>
  <si>
    <t>Citibank NA</t>
  </si>
  <si>
    <t>TOTALES GENERALES</t>
  </si>
  <si>
    <t>Cod</t>
  </si>
  <si>
    <t>Cliente</t>
  </si>
  <si>
    <t>Banco Cuscatlan</t>
  </si>
  <si>
    <t>SISA VIDA</t>
  </si>
  <si>
    <t>Ingresos intercompany</t>
  </si>
  <si>
    <t>Gastos intercompany</t>
  </si>
  <si>
    <t>Resultados intercompany</t>
  </si>
  <si>
    <t>INVERSIONES FINANCIERAS IMPERIA CUSCATLAN, SA</t>
  </si>
  <si>
    <t>250443-6</t>
  </si>
  <si>
    <t>CUENTAS CONTINGENTES DE COMPROMISO DEUDORAS</t>
  </si>
  <si>
    <t>38</t>
  </si>
  <si>
    <t>LIQ IVA COMPRAS DEL MES</t>
  </si>
  <si>
    <t>COLOCACION EN PERCADO PRIMARIO</t>
  </si>
  <si>
    <t>Venta con Factura</t>
  </si>
  <si>
    <t>Devolucion de comision por inactividad de cuentas de ahorro</t>
  </si>
  <si>
    <t>4384597</t>
  </si>
  <si>
    <t>1933</t>
  </si>
  <si>
    <t>945</t>
  </si>
  <si>
    <t>328</t>
  </si>
  <si>
    <t>334</t>
  </si>
  <si>
    <t>354</t>
  </si>
  <si>
    <t>363</t>
  </si>
  <si>
    <t>378</t>
  </si>
  <si>
    <t>1385</t>
  </si>
  <si>
    <t>946</t>
  </si>
  <si>
    <t>39</t>
  </si>
  <si>
    <t>43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</si>
  <si>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</si>
  <si>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</si>
  <si>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</si>
  <si>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</si>
  <si>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</si>
  <si>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</si>
  <si>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</si>
  <si>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</si>
  <si>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</si>
  <si>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</si>
  <si>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</si>
  <si>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</si>
  <si>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</si>
  <si>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</si>
  <si>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</si>
  <si>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</si>
  <si>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</si>
  <si>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</si>
  <si>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</si>
  <si>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</si>
  <si>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</si>
  <si>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</si>
  <si>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</si>
  <si>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</si>
  <si>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</si>
  <si>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</si>
  <si>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</si>
  <si>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</si>
  <si>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</si>
  <si>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0097</t>
  </si>
  <si>
    <t>00419</t>
  </si>
  <si>
    <t>00420</t>
  </si>
  <si>
    <t>LIQ. IVA DEBITO FISCAL DEL MES - COMP. CREDITO FISCAL</t>
  </si>
  <si>
    <t>LIQ. IVA DEBITO FISCAL DEL MES - PAGO DEL REMANENTE</t>
  </si>
  <si>
    <t>CITIBANK, N.A. SUCURSAL EL SALVADOR</t>
  </si>
  <si>
    <t>17</t>
  </si>
  <si>
    <t>947</t>
  </si>
  <si>
    <t>115266-3</t>
  </si>
  <si>
    <t>4395695</t>
  </si>
  <si>
    <t>339</t>
  </si>
  <si>
    <t>1582</t>
  </si>
  <si>
    <t>948</t>
  </si>
  <si>
    <t>470</t>
  </si>
  <si>
    <t>1999</t>
  </si>
  <si>
    <t>949</t>
  </si>
  <si>
    <t>475</t>
  </si>
  <si>
    <t>14845</t>
  </si>
  <si>
    <t>1674-8</t>
  </si>
  <si>
    <t>168</t>
  </si>
  <si>
    <t>950</t>
  </si>
  <si>
    <t>6000002588</t>
  </si>
  <si>
    <t>962</t>
  </si>
  <si>
    <t>157889-5</t>
  </si>
  <si>
    <t>6000002078</t>
  </si>
  <si>
    <t>15083</t>
  </si>
  <si>
    <t>99838-9</t>
  </si>
  <si>
    <t>ASOCIACION SALVADOREÑA DE INTERMEDIARIOS BURSATILES</t>
  </si>
  <si>
    <t xml:space="preserve">BANCO HIPOTECARIO DE EL SALVADOR SA </t>
  </si>
  <si>
    <t>OPERADORES LOGISTICOS RANSA, S.A. DE C.V.</t>
  </si>
  <si>
    <t>DIRECCION GENERAL DE ESTADISTICAS Y CENSO</t>
  </si>
  <si>
    <t>00421</t>
  </si>
  <si>
    <t>00422</t>
  </si>
  <si>
    <t>00423</t>
  </si>
  <si>
    <t>00424</t>
  </si>
  <si>
    <t>00425</t>
  </si>
  <si>
    <t>00426</t>
  </si>
  <si>
    <t>00427</t>
  </si>
  <si>
    <t>1737</t>
  </si>
  <si>
    <t>963</t>
  </si>
  <si>
    <t>2008</t>
  </si>
  <si>
    <t>964</t>
  </si>
  <si>
    <t>514</t>
  </si>
  <si>
    <t>284</t>
  </si>
  <si>
    <t>283</t>
  </si>
  <si>
    <t>00428</t>
  </si>
  <si>
    <t>00429</t>
  </si>
  <si>
    <t>00430</t>
  </si>
  <si>
    <t>4420565</t>
  </si>
  <si>
    <t>727</t>
  </si>
  <si>
    <t>1864</t>
  </si>
  <si>
    <t>965</t>
  </si>
  <si>
    <t>966</t>
  </si>
  <si>
    <t>967</t>
  </si>
  <si>
    <t>968</t>
  </si>
  <si>
    <t>4430865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</si>
  <si>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</si>
  <si>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</si>
  <si>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</si>
  <si>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</si>
  <si>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</si>
  <si>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</si>
  <si>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</si>
  <si>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</si>
  <si>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832</t>
  </si>
  <si>
    <t>4436089</t>
  </si>
  <si>
    <t>1994</t>
  </si>
  <si>
    <t>969</t>
  </si>
  <si>
    <t>872</t>
  </si>
  <si>
    <t>2090</t>
  </si>
  <si>
    <t>970</t>
  </si>
  <si>
    <t>772</t>
  </si>
  <si>
    <t>826</t>
  </si>
  <si>
    <t>524</t>
  </si>
  <si>
    <t>523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</si>
  <si>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</si>
  <si>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</si>
  <si>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</si>
  <si>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</si>
  <si>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</si>
  <si>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</si>
  <si>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</si>
  <si>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</si>
  <si>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</si>
  <si>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</si>
  <si>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</si>
  <si>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</si>
  <si>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</si>
  <si>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</si>
  <si>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</si>
  <si>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</si>
  <si>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</t>
  </si>
  <si>
    <t>9613797</t>
  </si>
  <si>
    <t>51-5</t>
  </si>
  <si>
    <t>4449548</t>
  </si>
  <si>
    <t>75</t>
  </si>
  <si>
    <t>971</t>
  </si>
  <si>
    <t>142</t>
  </si>
  <si>
    <t>972</t>
  </si>
  <si>
    <t>1071</t>
  </si>
  <si>
    <t>R.R. DONNELLEY DE EL SALVADOR, S.A. DE C.V.</t>
  </si>
  <si>
    <t>SEPTIEMBRE</t>
  </si>
  <si>
    <t>240</t>
  </si>
  <si>
    <t>973</t>
  </si>
  <si>
    <t>626</t>
  </si>
  <si>
    <t>644</t>
  </si>
  <si>
    <t>4463872</t>
  </si>
  <si>
    <t>239</t>
  </si>
  <si>
    <t>974</t>
  </si>
  <si>
    <t>890</t>
  </si>
  <si>
    <t>2134</t>
  </si>
  <si>
    <t>975</t>
  </si>
  <si>
    <t>JULIO RAFAEL RAMIREZ RICORD</t>
  </si>
  <si>
    <t>1008</t>
  </si>
  <si>
    <t>1087</t>
  </si>
  <si>
    <t>2175</t>
  </si>
  <si>
    <t>976</t>
  </si>
  <si>
    <t>752</t>
  </si>
  <si>
    <t>751</t>
  </si>
  <si>
    <t>6000005027</t>
  </si>
  <si>
    <t>977</t>
  </si>
  <si>
    <t>6000005679</t>
  </si>
  <si>
    <t>978</t>
  </si>
  <si>
    <t>00457</t>
  </si>
  <si>
    <t>00458</t>
  </si>
  <si>
    <t>00459</t>
  </si>
  <si>
    <t>00460</t>
  </si>
  <si>
    <t>VENTAS CONSUMIDOR FINAL</t>
  </si>
  <si>
    <t>VENTAS CONTRIBUYENTES</t>
  </si>
  <si>
    <t>VENTAS EXENTAS</t>
  </si>
  <si>
    <t>CALCULO DEL DEBITO FISCAL</t>
  </si>
  <si>
    <t>13% IMPUESTO</t>
  </si>
  <si>
    <t>TOTAL VENTAS GRAVADAS</t>
  </si>
  <si>
    <t>4474582</t>
  </si>
  <si>
    <t>392</t>
  </si>
  <si>
    <t>979</t>
  </si>
  <si>
    <t>6000006341</t>
  </si>
  <si>
    <t>980</t>
  </si>
  <si>
    <t>1226</t>
  </si>
  <si>
    <t>1273</t>
  </si>
  <si>
    <t>1325</t>
  </si>
  <si>
    <t>862</t>
  </si>
  <si>
    <t>861</t>
  </si>
  <si>
    <t>174450</t>
  </si>
  <si>
    <t>213-5</t>
  </si>
  <si>
    <t>174452</t>
  </si>
  <si>
    <t>174453</t>
  </si>
  <si>
    <t>174447</t>
  </si>
  <si>
    <t>174451</t>
  </si>
  <si>
    <t>174454</t>
  </si>
  <si>
    <t>174449</t>
  </si>
  <si>
    <t>174448</t>
  </si>
  <si>
    <t>174446</t>
  </si>
  <si>
    <t>391</t>
  </si>
  <si>
    <t>981</t>
  </si>
  <si>
    <t>00461</t>
  </si>
  <si>
    <t>00462</t>
  </si>
  <si>
    <t>00463</t>
  </si>
  <si>
    <t>00464</t>
  </si>
  <si>
    <t>2215</t>
  </si>
  <si>
    <t>982</t>
  </si>
  <si>
    <t>1399</t>
  </si>
  <si>
    <t>4491325</t>
  </si>
  <si>
    <t>544</t>
  </si>
  <si>
    <t>983</t>
  </si>
  <si>
    <t>1425</t>
  </si>
  <si>
    <t>543</t>
  </si>
  <si>
    <t>984</t>
  </si>
  <si>
    <t>1454</t>
  </si>
  <si>
    <t>1478</t>
  </si>
  <si>
    <t>1504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</si>
  <si>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</si>
  <si>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</si>
  <si>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</si>
  <si>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</si>
  <si>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</si>
  <si>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</si>
  <si>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</si>
  <si>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</si>
  <si>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</si>
  <si>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</si>
  <si>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</si>
  <si>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</si>
  <si>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</si>
  <si>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</si>
  <si>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</si>
  <si>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</si>
  <si>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</si>
  <si>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</si>
  <si>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</si>
  <si>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</si>
  <si>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00486</t>
  </si>
  <si>
    <t>00485</t>
  </si>
  <si>
    <t>00487</t>
  </si>
  <si>
    <t>00488</t>
  </si>
  <si>
    <t>00489</t>
  </si>
  <si>
    <t>00490</t>
  </si>
  <si>
    <t>00496</t>
  </si>
  <si>
    <t>00495</t>
  </si>
  <si>
    <t>00492</t>
  </si>
  <si>
    <t>00493</t>
  </si>
  <si>
    <t>00491</t>
  </si>
  <si>
    <t>00497</t>
  </si>
  <si>
    <t>00498</t>
  </si>
  <si>
    <t>00499</t>
  </si>
  <si>
    <t>00500</t>
  </si>
  <si>
    <t>00001</t>
  </si>
  <si>
    <t>00002</t>
  </si>
  <si>
    <t>0003</t>
  </si>
  <si>
    <t>0004</t>
  </si>
  <si>
    <t>OCTUBRE</t>
  </si>
  <si>
    <t>1515</t>
  </si>
  <si>
    <t>1522</t>
  </si>
  <si>
    <t>2256</t>
  </si>
  <si>
    <t>0985</t>
  </si>
  <si>
    <t>1372</t>
  </si>
  <si>
    <t>1139</t>
  </si>
  <si>
    <t>774</t>
  </si>
  <si>
    <t>0986</t>
  </si>
  <si>
    <t>1550</t>
  </si>
  <si>
    <t>1573</t>
  </si>
  <si>
    <t>1606</t>
  </si>
  <si>
    <t>1613</t>
  </si>
  <si>
    <t>1620</t>
  </si>
  <si>
    <t>1431</t>
  </si>
  <si>
    <t>2296</t>
  </si>
  <si>
    <t>0987</t>
  </si>
  <si>
    <t>1627</t>
  </si>
  <si>
    <t>07067</t>
  </si>
  <si>
    <t>0990</t>
  </si>
  <si>
    <t>07726</t>
  </si>
  <si>
    <t>08055</t>
  </si>
  <si>
    <t>0773</t>
  </si>
  <si>
    <t>0988</t>
  </si>
  <si>
    <t>4511379</t>
  </si>
  <si>
    <t>3279</t>
  </si>
  <si>
    <t>28-0</t>
  </si>
  <si>
    <t>3278</t>
  </si>
  <si>
    <t>0989</t>
  </si>
  <si>
    <t>1664</t>
  </si>
  <si>
    <t>1670</t>
  </si>
  <si>
    <t>1099</t>
  </si>
  <si>
    <r>
      <t xml:space="preserve">VALORES CUSCATLAN, S. A. DE C.V.   </t>
    </r>
    <r>
      <rPr>
        <sz val="16"/>
        <rFont val="Cambria"/>
        <family val="1"/>
        <scheme val="major"/>
      </rPr>
      <t>REGISTRO 57974-2</t>
    </r>
  </si>
  <si>
    <t xml:space="preserve">Numero de </t>
  </si>
  <si>
    <t>1% retencion IVA</t>
  </si>
  <si>
    <t>DEL NO.</t>
  </si>
  <si>
    <t>AL NO.</t>
  </si>
  <si>
    <t>GRAVADAS</t>
  </si>
  <si>
    <t>Comprobante de retencion</t>
  </si>
  <si>
    <t>Entidades de gobierno</t>
  </si>
  <si>
    <t>01987</t>
  </si>
  <si>
    <t>01982</t>
  </si>
  <si>
    <t>1983</t>
  </si>
  <si>
    <t>1984</t>
  </si>
  <si>
    <t>1991</t>
  </si>
  <si>
    <t>TOTAL VENTAS NO SUJETAS</t>
  </si>
  <si>
    <t>TOTAL VENTAS EXENTAS</t>
  </si>
  <si>
    <t>Liq. IVA deb. del mes factura</t>
  </si>
  <si>
    <t>Total del mes</t>
  </si>
  <si>
    <t>F</t>
  </si>
  <si>
    <t>Contador General.</t>
  </si>
  <si>
    <t>0005</t>
  </si>
  <si>
    <t>0006</t>
  </si>
  <si>
    <t>0007</t>
  </si>
  <si>
    <t>0008</t>
  </si>
  <si>
    <t>0009</t>
  </si>
  <si>
    <t>0010</t>
  </si>
  <si>
    <t>0011</t>
  </si>
  <si>
    <t>0012</t>
  </si>
  <si>
    <t>00015</t>
  </si>
  <si>
    <t>00016</t>
  </si>
  <si>
    <t>00014</t>
  </si>
  <si>
    <t>00013</t>
  </si>
  <si>
    <t>00017</t>
  </si>
  <si>
    <t>00018</t>
  </si>
  <si>
    <t>00019</t>
  </si>
  <si>
    <t>00020</t>
  </si>
  <si>
    <t>NOVIEMBRE</t>
  </si>
  <si>
    <t>1993</t>
  </si>
  <si>
    <t>1992</t>
  </si>
  <si>
    <t>1686</t>
  </si>
  <si>
    <t>1693</t>
  </si>
  <si>
    <t>321</t>
  </si>
  <si>
    <t>1711</t>
  </si>
  <si>
    <t>1758</t>
  </si>
  <si>
    <t>4522438</t>
  </si>
  <si>
    <t>2338</t>
  </si>
  <si>
    <t>1578</t>
  </si>
  <si>
    <t>1785</t>
  </si>
  <si>
    <t>1816</t>
  </si>
  <si>
    <t>DICIEMBRE</t>
  </si>
  <si>
    <t>1995</t>
  </si>
  <si>
    <t>1996</t>
  </si>
  <si>
    <t>1997</t>
  </si>
  <si>
    <t>1998</t>
  </si>
  <si>
    <t>1854</t>
  </si>
  <si>
    <t>1188</t>
  </si>
  <si>
    <t>1863</t>
  </si>
  <si>
    <t>1870</t>
  </si>
  <si>
    <t>1893</t>
  </si>
  <si>
    <t>4534842</t>
  </si>
  <si>
    <t>1900</t>
  </si>
  <si>
    <t>9130</t>
  </si>
  <si>
    <t>1187</t>
  </si>
  <si>
    <t>1024</t>
  </si>
  <si>
    <t>19/12/2018</t>
  </si>
  <si>
    <t>3815</t>
  </si>
  <si>
    <t>1875</t>
  </si>
  <si>
    <t>1729</t>
  </si>
  <si>
    <t>2383</t>
  </si>
  <si>
    <t>3823</t>
  </si>
  <si>
    <t>07/12/2018</t>
  </si>
  <si>
    <t>00021</t>
  </si>
  <si>
    <t>00022</t>
  </si>
  <si>
    <t>00027</t>
  </si>
  <si>
    <t>00028</t>
  </si>
  <si>
    <t>00031</t>
  </si>
  <si>
    <t>00032</t>
  </si>
  <si>
    <t>00033</t>
  </si>
  <si>
    <t>00034</t>
  </si>
  <si>
    <t>00035</t>
  </si>
  <si>
    <t>00036</t>
  </si>
  <si>
    <t>00039</t>
  </si>
  <si>
    <t>00038</t>
  </si>
  <si>
    <t>00037</t>
  </si>
  <si>
    <t>0023</t>
  </si>
  <si>
    <t>0024</t>
  </si>
  <si>
    <t>CONTINGENTES DE COMPROMISO Y CONTROL ACREEDORAS</t>
  </si>
  <si>
    <t>1388</t>
  </si>
  <si>
    <t>1982</t>
  </si>
  <si>
    <t>2005</t>
  </si>
  <si>
    <t>4548727</t>
  </si>
  <si>
    <t>2011</t>
  </si>
  <si>
    <t>200</t>
  </si>
  <si>
    <t>2030</t>
  </si>
  <si>
    <t>2037</t>
  </si>
  <si>
    <t>2053</t>
  </si>
  <si>
    <t>2418</t>
  </si>
  <si>
    <t>2059</t>
  </si>
  <si>
    <t>2065</t>
  </si>
  <si>
    <t>9894</t>
  </si>
  <si>
    <t>2084</t>
  </si>
  <si>
    <t>02005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</si>
  <si>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</si>
  <si>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</si>
  <si>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</si>
  <si>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</si>
  <si>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</si>
  <si>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</si>
  <si>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</si>
  <si>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</si>
  <si>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</si>
  <si>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</si>
  <si>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</si>
  <si>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00053</t>
  </si>
  <si>
    <t>00054</t>
  </si>
  <si>
    <t>00055</t>
  </si>
  <si>
    <t>00056</t>
  </si>
  <si>
    <t>00057</t>
  </si>
  <si>
    <t>00058</t>
  </si>
  <si>
    <t>23/01/2019</t>
  </si>
  <si>
    <t>00059</t>
  </si>
  <si>
    <t>00060</t>
  </si>
  <si>
    <t>00063</t>
  </si>
  <si>
    <t>00064</t>
  </si>
  <si>
    <t>00067</t>
  </si>
  <si>
    <t>00068</t>
  </si>
  <si>
    <t>30-001-2019</t>
  </si>
  <si>
    <t>00069</t>
  </si>
  <si>
    <t>00070</t>
  </si>
  <si>
    <t>00065</t>
  </si>
  <si>
    <t>00066</t>
  </si>
  <si>
    <t>ENERO - 2019</t>
  </si>
  <si>
    <t>ENERO 2019</t>
  </si>
  <si>
    <t>File 3, correspondiente al mes de FEBRERO de 2019</t>
  </si>
  <si>
    <t>BALANCE GENERAL AL 31 DE MARZO DE 2019</t>
  </si>
  <si>
    <t>VALORES CUSCATLAN EL SALVADOR, S.A. de C.V.</t>
  </si>
  <si>
    <t>PERIODO DEL 1  DE ENERO AL 31 DE MARZO DE 2019</t>
  </si>
  <si>
    <t>ESTADO DE OPERACIONES BURSATILES AL 31 DE MARZO DE 2019</t>
  </si>
  <si>
    <t>ESTADO DE ADMINISTRACION DE CARTERA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</si>
</sst>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9" formatCode="#,##0;[Red]\(#,##0\)"/>
    <numFmt numFmtId="170" formatCode="mm/dd/yy"/>
    <numFmt numFmtId="171" formatCode="0.0000000000"/>
    <numFmt numFmtId="174" formatCode="dd/mm/yyyy;@"/>
    <numFmt numFmtId="175" formatCode="[$-C0A]d\-mmm;@"/>
    <numFmt numFmtId="176" formatCode="0_)"/>
    <numFmt numFmtId="177" formatCode="0.00_);[Red]\(0.00\)"/>
    <numFmt numFmtId="178" formatCode="[$-409]mmm\-yy;@"/>
    <numFmt numFmtId="179" formatCode="#,##0.000"/>
    <numFmt numFmtId="180" formatCode="_([$€-2]* #,##0.00_);_([$€-2]* \(#,##0.00\);_([$€-2]* &quot;-&quot;??_)"/>
    <numFmt numFmtId="182" formatCode="&quot;$&quot;#,##0.00"/>
    <numFmt numFmtId="183" formatCode="General_)"/>
    <numFmt numFmtId="184" formatCode="#,##0.00000000000_);[Red]\(#,##0.00000000000\)"/>
  </numFmts>
  <fonts count="2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9"/>
      <color indexed="9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sz val="16"/>
      <name val="Arial"/>
      <family val="2"/>
    </font>
    <font>
      <u/>
      <sz val="10"/>
      <name val="Times New Roman"/>
      <family val="1"/>
    </font>
    <font>
      <sz val="9"/>
      <color indexed="9"/>
      <name val="Arial"/>
      <family val="2"/>
    </font>
    <font>
      <sz val="10"/>
      <color indexed="9"/>
      <name val="MS Sans Serif"/>
      <family val="2"/>
    </font>
    <font>
      <sz val="7"/>
      <color indexed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b/>
      <u/>
      <sz val="10"/>
      <color indexed="10"/>
      <name val="Arial"/>
      <family val="2"/>
    </font>
    <font>
      <b/>
      <sz val="12"/>
      <color indexed="81"/>
      <name val="Tahoma"/>
      <family val="2"/>
    </font>
    <font>
      <sz val="10"/>
      <name val="Arial"/>
      <family val="2"/>
    </font>
    <font>
      <b/>
      <u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Cambria"/>
      <family val="1"/>
      <scheme val="major"/>
    </font>
    <font>
      <b/>
      <u val="singleAccounting"/>
      <sz val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10"/>
      <name val="Cambria"/>
      <family val="1"/>
      <scheme val="major"/>
    </font>
    <font>
      <b/>
      <sz val="12"/>
      <color indexed="10"/>
      <name val="Cambria"/>
      <family val="1"/>
      <scheme val="major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3"/>
      </patternFill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2">
    <xf numFmtId="0" fontId="0" fillId="0" borderId="0"/>
    <xf numFmtId="0" fontId="174" fillId="0" borderId="0"/>
    <xf numFmtId="0" fontId="127" fillId="0" borderId="0"/>
    <xf numFmtId="0" fontId="146" fillId="2" borderId="0" applyNumberFormat="0" applyBorder="0" applyAlignment="0" applyProtection="0"/>
    <xf numFmtId="43" fontId="129" fillId="0" borderId="0" applyFont="0" applyFill="0" applyBorder="0" applyAlignment="0" applyProtection="0"/>
    <xf numFmtId="0" fontId="145" fillId="3" borderId="0" applyNumberFormat="0" applyBorder="0" applyAlignment="0" applyProtection="0"/>
    <xf numFmtId="43" fontId="127" fillId="0" borderId="0" applyFont="0" applyFill="0" applyBorder="0" applyAlignment="0" applyProtection="0"/>
    <xf numFmtId="40" fontId="141" fillId="0" borderId="0" applyFont="0" applyFill="0" applyBorder="0" applyAlignment="0" applyProtection="0"/>
    <xf numFmtId="44" fontId="127" fillId="0" borderId="0" applyFont="0" applyFill="0" applyBorder="0" applyAlignment="0" applyProtection="0"/>
    <xf numFmtId="0" fontId="127" fillId="0" borderId="0"/>
    <xf numFmtId="0" fontId="129" fillId="0" borderId="0"/>
    <xf numFmtId="0" fontId="141" fillId="0" borderId="0"/>
    <xf numFmtId="39" fontId="164" fillId="0" borderId="0"/>
    <xf numFmtId="0" fontId="138" fillId="0" borderId="0"/>
    <xf numFmtId="9" fontId="127" fillId="0" borderId="0" applyFont="0" applyFill="0" applyBorder="0" applyAlignment="0" applyProtection="0"/>
    <xf numFmtId="0" fontId="176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45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0" fillId="0" borderId="0" applyNumberFormat="0" applyFill="0" applyBorder="0" applyAlignment="0" applyProtection="0">
      <alignment vertical="top"/>
      <protection locked="0"/>
    </xf>
  </cellStyleXfs>
  <cellXfs count="982">
    <xf numFmtId="0" fontId="0" fillId="0" borderId="0" xfId="0"/>
    <xf numFmtId="0" fontId="130" fillId="0" borderId="0" xfId="1" applyFont="1" applyAlignment="1">
      <alignment horizontal="left"/>
    </xf>
    <xf numFmtId="0" fontId="130" fillId="0" borderId="0" xfId="1" applyFont="1" applyFill="1"/>
    <xf numFmtId="0" fontId="128" fillId="5" borderId="0" xfId="11" applyFont="1" applyFill="1"/>
    <xf numFmtId="0" fontId="139" fillId="5" borderId="0" xfId="11" applyFont="1" applyFill="1"/>
    <xf numFmtId="40" fontId="129" fillId="0" borderId="0" xfId="11" applyNumberFormat="1" applyFont="1" applyBorder="1"/>
    <xf numFmtId="0" fontId="129" fillId="0" borderId="0" xfId="11" applyFont="1"/>
    <xf numFmtId="43" fontId="129" fillId="0" borderId="0" xfId="11" applyNumberFormat="1" applyFont="1" applyAlignment="1">
      <alignment horizontal="center"/>
    </xf>
    <xf numFmtId="0" fontId="128" fillId="0" borderId="0" xfId="11" quotePrefix="1" applyFont="1" applyAlignment="1">
      <alignment horizontal="left"/>
    </xf>
    <xf numFmtId="0" fontId="138" fillId="5" borderId="0" xfId="11" applyFont="1" applyFill="1" applyBorder="1"/>
    <xf numFmtId="0" fontId="133" fillId="5" borderId="0" xfId="11" quotePrefix="1" applyFont="1" applyFill="1" applyBorder="1" applyAlignment="1">
      <alignment horizontal="left"/>
    </xf>
    <xf numFmtId="0" fontId="143" fillId="5" borderId="0" xfId="11" applyFont="1" applyFill="1" applyBorder="1"/>
    <xf numFmtId="40" fontId="138" fillId="5" borderId="0" xfId="7" applyFont="1" applyFill="1" applyBorder="1"/>
    <xf numFmtId="43" fontId="138" fillId="5" borderId="0" xfId="7" applyNumberFormat="1" applyFont="1" applyFill="1" applyBorder="1" applyAlignment="1">
      <alignment horizontal="center"/>
    </xf>
    <xf numFmtId="40" fontId="138" fillId="5" borderId="0" xfId="7" applyFont="1" applyFill="1" applyBorder="1" applyAlignment="1">
      <alignment horizontal="right"/>
    </xf>
    <xf numFmtId="0" fontId="138" fillId="5" borderId="0" xfId="11" quotePrefix="1" applyFont="1" applyFill="1" applyBorder="1" applyAlignment="1">
      <alignment horizontal="left"/>
    </xf>
    <xf numFmtId="0" fontId="133" fillId="5" borderId="0" xfId="11" applyFont="1" applyFill="1" applyBorder="1" applyAlignment="1">
      <alignment horizontal="left"/>
    </xf>
    <xf numFmtId="0" fontId="138" fillId="5" borderId="0" xfId="11" applyFont="1" applyFill="1" applyBorder="1" applyAlignment="1">
      <alignment horizontal="left"/>
    </xf>
    <xf numFmtId="0" fontId="143" fillId="5" borderId="0" xfId="11" quotePrefix="1" applyFont="1" applyFill="1" applyBorder="1" applyAlignment="1">
      <alignment horizontal="left"/>
    </xf>
    <xf numFmtId="0" fontId="143" fillId="5" borderId="0" xfId="11" applyFont="1" applyFill="1" applyBorder="1" applyAlignment="1">
      <alignment horizontal="left"/>
    </xf>
    <xf numFmtId="0" fontId="133" fillId="5" borderId="0" xfId="11" applyFont="1" applyFill="1" applyBorder="1"/>
    <xf numFmtId="0" fontId="143" fillId="5" borderId="0" xfId="11" quotePrefix="1" applyFont="1" applyFill="1" applyBorder="1" applyAlignment="1">
      <alignment horizontal="left" wrapText="1"/>
    </xf>
    <xf numFmtId="40" fontId="138" fillId="5" borderId="8" xfId="7" applyFont="1" applyFill="1" applyBorder="1"/>
    <xf numFmtId="40" fontId="138" fillId="5" borderId="8" xfId="7" applyFont="1" applyFill="1" applyBorder="1" applyAlignment="1">
      <alignment horizontal="right"/>
    </xf>
    <xf numFmtId="40" fontId="138" fillId="5" borderId="9" xfId="7" applyFont="1" applyFill="1" applyBorder="1"/>
    <xf numFmtId="40" fontId="138" fillId="5" borderId="10" xfId="7" applyFont="1" applyFill="1" applyBorder="1"/>
    <xf numFmtId="164" fontId="138" fillId="5" borderId="0" xfId="7" applyNumberFormat="1" applyFont="1" applyFill="1" applyBorder="1" applyAlignment="1">
      <alignment horizontal="centerContinuous"/>
    </xf>
    <xf numFmtId="0" fontId="141" fillId="0" borderId="0" xfId="11" applyFont="1"/>
    <xf numFmtId="0" fontId="129" fillId="0" borderId="0" xfId="11" applyFont="1" applyAlignment="1">
      <alignment horizontal="left"/>
    </xf>
    <xf numFmtId="0" fontId="128" fillId="0" borderId="0" xfId="11" applyFont="1"/>
    <xf numFmtId="49" fontId="129" fillId="0" borderId="0" xfId="11" applyNumberFormat="1" applyFont="1" applyAlignment="1">
      <alignment horizontal="left"/>
    </xf>
    <xf numFmtId="49" fontId="138" fillId="5" borderId="0" xfId="11" applyNumberFormat="1" applyFont="1" applyFill="1" applyBorder="1" applyAlignment="1">
      <alignment horizontal="left"/>
    </xf>
    <xf numFmtId="49" fontId="138" fillId="5" borderId="0" xfId="11" applyNumberFormat="1" applyFont="1" applyFill="1" applyBorder="1" applyAlignment="1">
      <alignment horizontal="center"/>
    </xf>
    <xf numFmtId="49" fontId="138" fillId="5" borderId="0" xfId="11" quotePrefix="1" applyNumberFormat="1" applyFont="1" applyFill="1" applyBorder="1" applyAlignment="1">
      <alignment horizontal="left"/>
    </xf>
    <xf numFmtId="49" fontId="138" fillId="5" borderId="0" xfId="11" quotePrefix="1" applyNumberFormat="1" applyFont="1" applyFill="1" applyBorder="1" applyAlignment="1">
      <alignment horizontal="center"/>
    </xf>
    <xf numFmtId="49" fontId="129" fillId="0" borderId="0" xfId="11" applyNumberFormat="1" applyFont="1"/>
    <xf numFmtId="49" fontId="133" fillId="5" borderId="0" xfId="11" quotePrefix="1" applyNumberFormat="1" applyFont="1" applyFill="1" applyBorder="1" applyAlignment="1">
      <alignment horizontal="left"/>
    </xf>
    <xf numFmtId="49" fontId="133" fillId="5" borderId="0" xfId="11" applyNumberFormat="1" applyFont="1" applyFill="1" applyBorder="1" applyAlignment="1">
      <alignment horizontal="left"/>
    </xf>
    <xf numFmtId="49" fontId="143" fillId="5" borderId="0" xfId="11" applyNumberFormat="1" applyFont="1" applyFill="1" applyBorder="1" applyAlignment="1">
      <alignment horizontal="center"/>
    </xf>
    <xf numFmtId="0" fontId="141" fillId="0" borderId="0" xfId="11" quotePrefix="1" applyFont="1" applyAlignment="1">
      <alignment horizontal="left" textRotation="255"/>
    </xf>
    <xf numFmtId="0" fontId="141" fillId="0" borderId="0" xfId="11" quotePrefix="1" applyFont="1" applyAlignment="1">
      <alignment horizontal="left"/>
    </xf>
    <xf numFmtId="49" fontId="133" fillId="5" borderId="0" xfId="11" applyNumberFormat="1" applyFont="1" applyFill="1" applyBorder="1"/>
    <xf numFmtId="49" fontId="138" fillId="5" borderId="0" xfId="11" applyNumberFormat="1" applyFont="1" applyFill="1" applyBorder="1"/>
    <xf numFmtId="0" fontId="148" fillId="0" borderId="0" xfId="1" applyFont="1"/>
    <xf numFmtId="0" fontId="129" fillId="0" borderId="11" xfId="11" applyFont="1" applyBorder="1" applyAlignment="1">
      <alignment horizontal="left"/>
    </xf>
    <xf numFmtId="0" fontId="138" fillId="5" borderId="12" xfId="11" applyFont="1" applyFill="1" applyBorder="1"/>
    <xf numFmtId="0" fontId="128" fillId="5" borderId="0" xfId="11" applyFont="1" applyFill="1" applyAlignment="1">
      <alignment horizontal="left"/>
    </xf>
    <xf numFmtId="0" fontId="129" fillId="7" borderId="13" xfId="11" applyFont="1" applyFill="1" applyBorder="1" applyAlignment="1">
      <alignment horizontal="left"/>
    </xf>
    <xf numFmtId="0" fontId="138" fillId="7" borderId="14" xfId="11" applyFont="1" applyFill="1" applyBorder="1"/>
    <xf numFmtId="0" fontId="141" fillId="7" borderId="14" xfId="11" applyFont="1" applyFill="1" applyBorder="1"/>
    <xf numFmtId="43" fontId="133" fillId="7" borderId="14" xfId="11" quotePrefix="1" applyNumberFormat="1" applyFont="1" applyFill="1" applyBorder="1" applyAlignment="1">
      <alignment horizontal="center"/>
    </xf>
    <xf numFmtId="0" fontId="141" fillId="7" borderId="15" xfId="11" applyFont="1" applyFill="1" applyBorder="1"/>
    <xf numFmtId="0" fontId="129" fillId="7" borderId="11" xfId="11" applyFont="1" applyFill="1" applyBorder="1" applyAlignment="1">
      <alignment horizontal="left"/>
    </xf>
    <xf numFmtId="0" fontId="138" fillId="7" borderId="0" xfId="11" applyFont="1" applyFill="1" applyBorder="1"/>
    <xf numFmtId="0" fontId="133" fillId="7" borderId="0" xfId="11" quotePrefix="1" applyFont="1" applyFill="1" applyBorder="1" applyAlignment="1">
      <alignment horizontal="center"/>
    </xf>
    <xf numFmtId="43" fontId="133" fillId="7" borderId="0" xfId="11" applyNumberFormat="1" applyFont="1" applyFill="1" applyBorder="1" applyAlignment="1">
      <alignment horizontal="center"/>
    </xf>
    <xf numFmtId="0" fontId="133" fillId="7" borderId="16" xfId="11" quotePrefix="1" applyFont="1" applyFill="1" applyBorder="1" applyAlignment="1">
      <alignment horizontal="center"/>
    </xf>
    <xf numFmtId="0" fontId="129" fillId="7" borderId="17" xfId="11" applyFont="1" applyFill="1" applyBorder="1" applyAlignment="1">
      <alignment horizontal="left"/>
    </xf>
    <xf numFmtId="0" fontId="138" fillId="7" borderId="12" xfId="11" applyFont="1" applyFill="1" applyBorder="1"/>
    <xf numFmtId="0" fontId="133" fillId="7" borderId="12" xfId="11" quotePrefix="1" applyFont="1" applyFill="1" applyBorder="1" applyAlignment="1">
      <alignment horizontal="left"/>
    </xf>
    <xf numFmtId="0" fontId="141" fillId="7" borderId="12" xfId="11" applyFont="1" applyFill="1" applyBorder="1"/>
    <xf numFmtId="43" fontId="133" fillId="7" borderId="12" xfId="11" applyNumberFormat="1" applyFont="1" applyFill="1" applyBorder="1" applyAlignment="1">
      <alignment horizontal="center"/>
    </xf>
    <xf numFmtId="0" fontId="133" fillId="7" borderId="18" xfId="11" quotePrefix="1" applyFont="1" applyFill="1" applyBorder="1" applyAlignment="1">
      <alignment horizontal="center"/>
    </xf>
    <xf numFmtId="49" fontId="129" fillId="0" borderId="13" xfId="11" applyNumberFormat="1" applyFont="1" applyBorder="1" applyAlignment="1">
      <alignment horizontal="left"/>
    </xf>
    <xf numFmtId="49" fontId="138" fillId="5" borderId="14" xfId="11" applyNumberFormat="1" applyFont="1" applyFill="1" applyBorder="1" applyAlignment="1">
      <alignment horizontal="left"/>
    </xf>
    <xf numFmtId="0" fontId="143" fillId="5" borderId="14" xfId="11" applyFont="1" applyFill="1" applyBorder="1"/>
    <xf numFmtId="40" fontId="138" fillId="5" borderId="14" xfId="7" applyFont="1" applyFill="1" applyBorder="1"/>
    <xf numFmtId="43" fontId="138" fillId="5" borderId="14" xfId="7" applyNumberFormat="1" applyFont="1" applyFill="1" applyBorder="1" applyAlignment="1">
      <alignment horizontal="center"/>
    </xf>
    <xf numFmtId="40" fontId="138" fillId="5" borderId="15" xfId="7" applyFont="1" applyFill="1" applyBorder="1" applyAlignment="1">
      <alignment horizontal="right"/>
    </xf>
    <xf numFmtId="49" fontId="129" fillId="0" borderId="11" xfId="11" applyNumberFormat="1" applyFont="1" applyBorder="1" applyAlignment="1">
      <alignment horizontal="left"/>
    </xf>
    <xf numFmtId="40" fontId="138" fillId="5" borderId="16" xfId="7" applyFont="1" applyFill="1" applyBorder="1" applyAlignment="1">
      <alignment horizontal="right"/>
    </xf>
    <xf numFmtId="49" fontId="129" fillId="0" borderId="11" xfId="11" quotePrefix="1" applyNumberFormat="1" applyFont="1" applyBorder="1" applyAlignment="1">
      <alignment horizontal="left"/>
    </xf>
    <xf numFmtId="49" fontId="129" fillId="0" borderId="0" xfId="11" applyNumberFormat="1" applyFont="1" applyBorder="1" applyAlignment="1">
      <alignment horizontal="left"/>
    </xf>
    <xf numFmtId="49" fontId="129" fillId="0" borderId="0" xfId="11" quotePrefix="1" applyNumberFormat="1" applyFont="1" applyBorder="1" applyAlignment="1">
      <alignment horizontal="left"/>
    </xf>
    <xf numFmtId="49" fontId="129" fillId="0" borderId="0" xfId="11" applyNumberFormat="1" applyFont="1" applyBorder="1" applyAlignment="1">
      <alignment horizontal="center"/>
    </xf>
    <xf numFmtId="0" fontId="129" fillId="0" borderId="0" xfId="11" applyFont="1" applyBorder="1"/>
    <xf numFmtId="49" fontId="129" fillId="0" borderId="0" xfId="11" applyNumberFormat="1" applyFont="1" applyBorder="1"/>
    <xf numFmtId="49" fontId="138" fillId="5" borderId="11" xfId="11" applyNumberFormat="1" applyFont="1" applyFill="1" applyBorder="1" applyAlignment="1">
      <alignment horizontal="left"/>
    </xf>
    <xf numFmtId="40" fontId="138" fillId="5" borderId="19" xfId="7" applyFont="1" applyFill="1" applyBorder="1" applyAlignment="1">
      <alignment horizontal="right"/>
    </xf>
    <xf numFmtId="40" fontId="138" fillId="5" borderId="20" xfId="7" applyFont="1" applyFill="1" applyBorder="1" applyAlignment="1">
      <alignment horizontal="right"/>
    </xf>
    <xf numFmtId="49" fontId="141" fillId="0" borderId="11" xfId="11" applyNumberFormat="1" applyFont="1" applyBorder="1"/>
    <xf numFmtId="40" fontId="138" fillId="5" borderId="16" xfId="7" applyFont="1" applyFill="1" applyBorder="1"/>
    <xf numFmtId="49" fontId="144" fillId="0" borderId="11" xfId="11" applyNumberFormat="1" applyFont="1" applyBorder="1" applyAlignment="1">
      <alignment horizontal="left"/>
    </xf>
    <xf numFmtId="1" fontId="129" fillId="0" borderId="11" xfId="11" applyNumberFormat="1" applyFont="1" applyBorder="1" applyAlignment="1">
      <alignment horizontal="left"/>
    </xf>
    <xf numFmtId="1" fontId="129" fillId="0" borderId="0" xfId="11" applyNumberFormat="1" applyFont="1" applyBorder="1" applyAlignment="1">
      <alignment horizontal="left"/>
    </xf>
    <xf numFmtId="40" fontId="138" fillId="5" borderId="20" xfId="7" applyFont="1" applyFill="1" applyBorder="1"/>
    <xf numFmtId="10" fontId="138" fillId="5" borderId="20" xfId="7" applyNumberFormat="1" applyFont="1" applyFill="1" applyBorder="1" applyAlignment="1">
      <alignment horizontal="right"/>
    </xf>
    <xf numFmtId="40" fontId="138" fillId="5" borderId="21" xfId="7" applyFont="1" applyFill="1" applyBorder="1"/>
    <xf numFmtId="0" fontId="129" fillId="0" borderId="16" xfId="11" applyFont="1" applyBorder="1"/>
    <xf numFmtId="43" fontId="138" fillId="5" borderId="12" xfId="7" applyNumberFormat="1" applyFont="1" applyFill="1" applyBorder="1" applyAlignment="1">
      <alignment horizontal="center"/>
    </xf>
    <xf numFmtId="49" fontId="129" fillId="0" borderId="17" xfId="11" applyNumberFormat="1" applyFont="1" applyBorder="1" applyAlignment="1">
      <alignment horizontal="left"/>
    </xf>
    <xf numFmtId="49" fontId="138" fillId="5" borderId="12" xfId="11" applyNumberFormat="1" applyFont="1" applyFill="1" applyBorder="1" applyAlignment="1">
      <alignment horizontal="left"/>
    </xf>
    <xf numFmtId="40" fontId="138" fillId="5" borderId="12" xfId="7" applyFont="1" applyFill="1" applyBorder="1"/>
    <xf numFmtId="40" fontId="138" fillId="5" borderId="18" xfId="7" applyFont="1" applyFill="1" applyBorder="1" applyAlignment="1">
      <alignment horizontal="right"/>
    </xf>
    <xf numFmtId="49" fontId="138" fillId="5" borderId="13" xfId="11" applyNumberFormat="1" applyFont="1" applyFill="1" applyBorder="1" applyAlignment="1">
      <alignment horizontal="left"/>
    </xf>
    <xf numFmtId="49" fontId="138" fillId="5" borderId="14" xfId="11" applyNumberFormat="1" applyFont="1" applyFill="1" applyBorder="1"/>
    <xf numFmtId="164" fontId="138" fillId="5" borderId="14" xfId="7" applyNumberFormat="1" applyFont="1" applyFill="1" applyBorder="1" applyAlignment="1">
      <alignment horizontal="centerContinuous"/>
    </xf>
    <xf numFmtId="0" fontId="129" fillId="0" borderId="15" xfId="11" applyFont="1" applyBorder="1"/>
    <xf numFmtId="0" fontId="150" fillId="0" borderId="0" xfId="11" applyFont="1" applyAlignment="1">
      <alignment horizontal="left"/>
    </xf>
    <xf numFmtId="0" fontId="131" fillId="0" borderId="13" xfId="1" applyFont="1" applyBorder="1"/>
    <xf numFmtId="43" fontId="129" fillId="0" borderId="14" xfId="1" applyNumberFormat="1" applyFont="1" applyBorder="1"/>
    <xf numFmtId="0" fontId="152" fillId="0" borderId="15" xfId="1" applyFont="1" applyBorder="1" applyAlignment="1">
      <alignment horizontal="center"/>
    </xf>
    <xf numFmtId="0" fontId="128" fillId="0" borderId="11" xfId="1" applyFont="1" applyBorder="1" applyAlignment="1">
      <alignment horizontal="left"/>
    </xf>
    <xf numFmtId="43" fontId="129" fillId="0" borderId="0" xfId="1" applyNumberFormat="1" applyFont="1" applyBorder="1"/>
    <xf numFmtId="0" fontId="152" fillId="0" borderId="16" xfId="1" applyFont="1" applyBorder="1" applyAlignment="1">
      <alignment horizontal="center"/>
    </xf>
    <xf numFmtId="43" fontId="129" fillId="6" borderId="0" xfId="1" applyNumberFormat="1" applyFont="1" applyFill="1" applyBorder="1"/>
    <xf numFmtId="0" fontId="128" fillId="0" borderId="17" xfId="1" applyFont="1" applyBorder="1" applyAlignment="1">
      <alignment horizontal="left"/>
    </xf>
    <xf numFmtId="43" fontId="129" fillId="0" borderId="12" xfId="1" applyNumberFormat="1" applyFont="1" applyBorder="1"/>
    <xf numFmtId="0" fontId="129" fillId="0" borderId="18" xfId="1" applyFont="1" applyBorder="1"/>
    <xf numFmtId="0" fontId="128" fillId="0" borderId="13" xfId="1" applyFont="1" applyBorder="1"/>
    <xf numFmtId="0" fontId="128" fillId="0" borderId="11" xfId="1" applyFont="1" applyBorder="1"/>
    <xf numFmtId="0" fontId="152" fillId="0" borderId="18" xfId="1" applyFont="1" applyBorder="1" applyAlignment="1">
      <alignment horizontal="center"/>
    </xf>
    <xf numFmtId="0" fontId="129" fillId="0" borderId="0" xfId="1" applyFont="1"/>
    <xf numFmtId="40" fontId="141" fillId="0" borderId="0" xfId="11" applyNumberFormat="1" applyFont="1"/>
    <xf numFmtId="0" fontId="153" fillId="0" borderId="0" xfId="1" applyFont="1"/>
    <xf numFmtId="43" fontId="127" fillId="0" borderId="0" xfId="6"/>
    <xf numFmtId="0" fontId="155" fillId="0" borderId="0" xfId="11" applyFont="1"/>
    <xf numFmtId="1" fontId="149" fillId="9" borderId="0" xfId="11" applyNumberFormat="1" applyFont="1" applyFill="1" applyProtection="1">
      <protection locked="0"/>
    </xf>
    <xf numFmtId="0" fontId="149" fillId="9" borderId="0" xfId="11" applyFont="1" applyFill="1" applyBorder="1" applyProtection="1">
      <protection locked="0"/>
    </xf>
    <xf numFmtId="0" fontId="142" fillId="10" borderId="0" xfId="11" applyFont="1" applyFill="1" applyBorder="1" applyAlignment="1" applyProtection="1">
      <alignment horizontal="left"/>
      <protection locked="0"/>
    </xf>
    <xf numFmtId="1" fontId="131" fillId="10" borderId="0" xfId="11" applyNumberFormat="1" applyFont="1" applyFill="1" applyBorder="1" applyAlignment="1" applyProtection="1">
      <alignment horizontal="left"/>
      <protection locked="0"/>
    </xf>
    <xf numFmtId="40" fontId="142" fillId="10" borderId="0" xfId="11" applyNumberFormat="1" applyFont="1" applyFill="1" applyBorder="1" applyAlignment="1" applyProtection="1">
      <alignment horizontal="left"/>
      <protection locked="0"/>
    </xf>
    <xf numFmtId="169" fontId="142" fillId="10" borderId="0" xfId="11" applyNumberFormat="1" applyFont="1" applyFill="1" applyBorder="1" applyAlignment="1" applyProtection="1">
      <alignment horizontal="left"/>
      <protection locked="0" hidden="1"/>
    </xf>
    <xf numFmtId="0" fontId="149" fillId="9" borderId="0" xfId="11" applyFont="1" applyFill="1" applyProtection="1">
      <protection locked="0"/>
    </xf>
    <xf numFmtId="170" fontId="137" fillId="0" borderId="0" xfId="11" quotePrefix="1" applyNumberFormat="1" applyFont="1" applyAlignment="1" applyProtection="1">
      <alignment horizontal="left"/>
      <protection locked="0"/>
    </xf>
    <xf numFmtId="0" fontId="137" fillId="0" borderId="0" xfId="11" applyFont="1" applyAlignment="1" applyProtection="1">
      <alignment horizontal="left"/>
      <protection locked="0"/>
    </xf>
    <xf numFmtId="0" fontId="149" fillId="0" borderId="0" xfId="11" applyFont="1" applyFill="1" applyProtection="1">
      <protection locked="0"/>
    </xf>
    <xf numFmtId="0" fontId="137" fillId="0" borderId="0" xfId="11" quotePrefix="1" applyFont="1" applyAlignment="1" applyProtection="1">
      <alignment horizontal="left"/>
      <protection locked="0"/>
    </xf>
    <xf numFmtId="14" fontId="142" fillId="10" borderId="0" xfId="11" applyNumberFormat="1" applyFont="1" applyFill="1" applyBorder="1" applyAlignment="1" applyProtection="1">
      <alignment horizontal="left"/>
      <protection locked="0"/>
    </xf>
    <xf numFmtId="169" fontId="142" fillId="10" borderId="0" xfId="11" quotePrefix="1" applyNumberFormat="1" applyFont="1" applyFill="1" applyBorder="1" applyAlignment="1" applyProtection="1">
      <alignment horizontal="left"/>
      <protection locked="0"/>
    </xf>
    <xf numFmtId="1" fontId="142" fillId="10" borderId="0" xfId="11" quotePrefix="1" applyNumberFormat="1" applyFont="1" applyFill="1" applyBorder="1" applyAlignment="1" applyProtection="1">
      <alignment horizontal="left"/>
      <protection locked="0"/>
    </xf>
    <xf numFmtId="169" fontId="142" fillId="10" borderId="0" xfId="11" quotePrefix="1" applyNumberFormat="1" applyFont="1" applyFill="1" applyBorder="1" applyAlignment="1" applyProtection="1">
      <alignment horizontal="left"/>
      <protection hidden="1"/>
    </xf>
    <xf numFmtId="0" fontId="149" fillId="9" borderId="0" xfId="11" applyFont="1" applyFill="1" applyAlignment="1" applyProtection="1">
      <alignment horizontal="center"/>
      <protection locked="0"/>
    </xf>
    <xf numFmtId="37" fontId="154" fillId="0" borderId="0" xfId="11" quotePrefix="1" applyNumberFormat="1" applyFont="1" applyFill="1" applyAlignment="1" applyProtection="1">
      <alignment horizontal="left"/>
      <protection locked="0"/>
    </xf>
    <xf numFmtId="0" fontId="154" fillId="0" borderId="0" xfId="11" applyFont="1" applyFill="1" applyAlignment="1" applyProtection="1">
      <alignment horizontal="left"/>
      <protection locked="0"/>
    </xf>
    <xf numFmtId="37" fontId="154" fillId="11" borderId="0" xfId="11" quotePrefix="1" applyNumberFormat="1" applyFont="1" applyFill="1" applyAlignment="1" applyProtection="1">
      <alignment horizontal="left"/>
      <protection locked="0"/>
    </xf>
    <xf numFmtId="1" fontId="154" fillId="0" borderId="0" xfId="11" applyNumberFormat="1" applyFont="1" applyFill="1" applyAlignment="1" applyProtection="1">
      <alignment horizontal="left"/>
      <protection locked="0"/>
    </xf>
    <xf numFmtId="0" fontId="137" fillId="0" borderId="0" xfId="11" applyFont="1" applyFill="1" applyBorder="1" applyAlignment="1" applyProtection="1">
      <alignment horizontal="left"/>
      <protection locked="0"/>
    </xf>
    <xf numFmtId="1" fontId="137" fillId="9" borderId="0" xfId="11" applyNumberFormat="1" applyFont="1" applyFill="1" applyBorder="1" applyProtection="1">
      <protection locked="0"/>
    </xf>
    <xf numFmtId="0" fontId="137" fillId="9" borderId="0" xfId="11" applyFont="1" applyFill="1" applyBorder="1" applyProtection="1">
      <protection locked="0"/>
    </xf>
    <xf numFmtId="0" fontId="140" fillId="9" borderId="0" xfId="11" applyFont="1" applyFill="1" applyBorder="1" applyProtection="1">
      <protection locked="0"/>
    </xf>
    <xf numFmtId="37" fontId="137" fillId="0" borderId="0" xfId="11" quotePrefix="1" applyNumberFormat="1" applyFont="1" applyFill="1" applyBorder="1" applyAlignment="1" applyProtection="1">
      <alignment horizontal="left"/>
      <protection locked="0"/>
    </xf>
    <xf numFmtId="0" fontId="137" fillId="0" borderId="0" xfId="11" applyFont="1"/>
    <xf numFmtId="0" fontId="137" fillId="0" borderId="0" xfId="11" applyFont="1" applyFill="1" applyBorder="1" applyProtection="1">
      <protection locked="0"/>
    </xf>
    <xf numFmtId="1" fontId="137" fillId="0" borderId="0" xfId="11" applyNumberFormat="1" applyFont="1" applyProtection="1">
      <protection locked="0"/>
    </xf>
    <xf numFmtId="0" fontId="140" fillId="0" borderId="0" xfId="11" applyFont="1" applyFill="1" applyBorder="1" applyProtection="1">
      <protection locked="0"/>
    </xf>
    <xf numFmtId="0" fontId="140" fillId="0" borderId="0" xfId="11" applyFont="1" applyFill="1" applyBorder="1" applyAlignment="1" applyProtection="1">
      <alignment horizontal="left"/>
      <protection locked="0"/>
    </xf>
    <xf numFmtId="40" fontId="140" fillId="0" borderId="0" xfId="11" applyNumberFormat="1" applyFont="1" applyFill="1" applyBorder="1" applyAlignment="1" applyProtection="1">
      <alignment horizontal="right"/>
      <protection locked="0"/>
    </xf>
    <xf numFmtId="169" fontId="140" fillId="0" borderId="0" xfId="11" applyNumberFormat="1" applyFont="1" applyFill="1" applyBorder="1" applyAlignment="1" applyProtection="1">
      <alignment horizontal="right"/>
      <protection locked="0"/>
    </xf>
    <xf numFmtId="0" fontId="140" fillId="0" borderId="0" xfId="11" applyFont="1" applyProtection="1">
      <protection locked="0"/>
    </xf>
    <xf numFmtId="0" fontId="137" fillId="0" borderId="0" xfId="11" applyFont="1" applyProtection="1">
      <protection locked="0"/>
    </xf>
    <xf numFmtId="37" fontId="137" fillId="0" borderId="0" xfId="11" quotePrefix="1" applyNumberFormat="1" applyFont="1" applyAlignment="1" applyProtection="1">
      <alignment horizontal="left"/>
      <protection locked="0"/>
    </xf>
    <xf numFmtId="1" fontId="137" fillId="0" borderId="0" xfId="11" applyNumberFormat="1" applyFont="1" applyAlignment="1" applyProtection="1">
      <alignment horizontal="left"/>
      <protection locked="0"/>
    </xf>
    <xf numFmtId="0" fontId="156" fillId="0" borderId="0" xfId="11" applyFont="1" applyFill="1" applyBorder="1" applyProtection="1">
      <protection locked="0"/>
    </xf>
    <xf numFmtId="1" fontId="129" fillId="0" borderId="0" xfId="11" applyNumberFormat="1" applyFont="1" applyProtection="1">
      <protection locked="0"/>
    </xf>
    <xf numFmtId="1" fontId="129" fillId="0" borderId="0" xfId="11" applyNumberFormat="1" applyFont="1" applyAlignment="1" applyProtection="1">
      <alignment horizontal="left"/>
      <protection locked="0"/>
    </xf>
    <xf numFmtId="0" fontId="157" fillId="0" borderId="0" xfId="11" applyFont="1" applyFill="1" applyBorder="1" applyProtection="1">
      <protection locked="0"/>
    </xf>
    <xf numFmtId="0" fontId="129" fillId="0" borderId="0" xfId="11" applyFont="1" applyProtection="1">
      <protection locked="0"/>
    </xf>
    <xf numFmtId="0" fontId="129" fillId="0" borderId="0" xfId="11" quotePrefix="1" applyFont="1" applyAlignment="1" applyProtection="1">
      <alignment horizontal="left"/>
      <protection locked="0"/>
    </xf>
    <xf numFmtId="0" fontId="129" fillId="0" borderId="0" xfId="11" applyFont="1" applyAlignment="1" applyProtection="1">
      <alignment horizontal="left"/>
      <protection locked="0"/>
    </xf>
    <xf numFmtId="0" fontId="158" fillId="0" borderId="0" xfId="11" applyFont="1" applyFill="1" applyProtection="1">
      <protection locked="0"/>
    </xf>
    <xf numFmtId="1" fontId="129" fillId="0" borderId="0" xfId="11" applyNumberFormat="1" applyFont="1" applyBorder="1" applyAlignment="1" applyProtection="1">
      <alignment horizontal="left"/>
      <protection locked="0"/>
    </xf>
    <xf numFmtId="169" fontId="129" fillId="0" borderId="0" xfId="11" applyNumberFormat="1" applyFont="1" applyBorder="1"/>
    <xf numFmtId="0" fontId="130" fillId="0" borderId="0" xfId="11" applyFont="1" applyBorder="1" applyProtection="1">
      <protection locked="0"/>
    </xf>
    <xf numFmtId="0" fontId="159" fillId="12" borderId="24" xfId="11" quotePrefix="1" applyFont="1" applyFill="1" applyBorder="1" applyAlignment="1">
      <alignment horizontal="left"/>
    </xf>
    <xf numFmtId="40" fontId="159" fillId="12" borderId="25" xfId="11" applyNumberFormat="1" applyFont="1" applyFill="1" applyBorder="1" applyAlignment="1">
      <alignment vertical="center"/>
    </xf>
    <xf numFmtId="169" fontId="159" fillId="12" borderId="26" xfId="11" applyNumberFormat="1" applyFont="1" applyFill="1" applyBorder="1"/>
    <xf numFmtId="0" fontId="129" fillId="5" borderId="13" xfId="11" applyFont="1" applyFill="1" applyBorder="1" applyAlignment="1">
      <alignment horizontal="left"/>
    </xf>
    <xf numFmtId="169" fontId="129" fillId="0" borderId="15" xfId="11" applyNumberFormat="1" applyFont="1" applyBorder="1"/>
    <xf numFmtId="0" fontId="129" fillId="5" borderId="11" xfId="11" applyFont="1" applyFill="1" applyBorder="1" applyAlignment="1">
      <alignment horizontal="left"/>
    </xf>
    <xf numFmtId="169" fontId="129" fillId="0" borderId="16" xfId="11" applyNumberFormat="1" applyFont="1" applyBorder="1"/>
    <xf numFmtId="0" fontId="129" fillId="5" borderId="17" xfId="11" applyFont="1" applyFill="1" applyBorder="1" applyAlignment="1">
      <alignment horizontal="left"/>
    </xf>
    <xf numFmtId="169" fontId="129" fillId="0" borderId="18" xfId="11" applyNumberFormat="1" applyFont="1" applyBorder="1"/>
    <xf numFmtId="1" fontId="129" fillId="0" borderId="0" xfId="11" applyNumberFormat="1" applyFont="1" applyBorder="1" applyProtection="1">
      <protection locked="0"/>
    </xf>
    <xf numFmtId="0" fontId="128" fillId="7" borderId="25" xfId="11" quotePrefix="1" applyFont="1" applyFill="1" applyBorder="1" applyAlignment="1">
      <alignment horizontal="left"/>
    </xf>
    <xf numFmtId="40" fontId="129" fillId="7" borderId="27" xfId="11" applyNumberFormat="1" applyFont="1" applyFill="1" applyBorder="1" applyAlignment="1">
      <alignment vertical="center"/>
    </xf>
    <xf numFmtId="169" fontId="129" fillId="7" borderId="26" xfId="11" applyNumberFormat="1" applyFont="1" applyFill="1" applyBorder="1"/>
    <xf numFmtId="0" fontId="129" fillId="5" borderId="22" xfId="11" quotePrefix="1" applyFont="1" applyFill="1" applyBorder="1" applyAlignment="1">
      <alignment horizontal="left"/>
    </xf>
    <xf numFmtId="0" fontId="129" fillId="5" borderId="28" xfId="11" applyFont="1" applyFill="1" applyBorder="1"/>
    <xf numFmtId="0" fontId="129" fillId="5" borderId="28" xfId="11" quotePrefix="1" applyFont="1" applyFill="1" applyBorder="1" applyAlignment="1">
      <alignment horizontal="left"/>
    </xf>
    <xf numFmtId="0" fontId="129" fillId="5" borderId="23" xfId="11" applyFont="1" applyFill="1" applyBorder="1"/>
    <xf numFmtId="10" fontId="129" fillId="0" borderId="12" xfId="14" applyNumberFormat="1" applyFont="1" applyBorder="1"/>
    <xf numFmtId="0" fontId="128" fillId="7" borderId="25" xfId="11" applyFont="1" applyFill="1" applyBorder="1"/>
    <xf numFmtId="40" fontId="129" fillId="7" borderId="27" xfId="11" applyNumberFormat="1" applyFont="1" applyFill="1" applyBorder="1"/>
    <xf numFmtId="0" fontId="129" fillId="5" borderId="22" xfId="11" applyFont="1" applyFill="1" applyBorder="1"/>
    <xf numFmtId="40" fontId="129" fillId="0" borderId="14" xfId="11" applyNumberFormat="1" applyFont="1" applyBorder="1"/>
    <xf numFmtId="37" fontId="129" fillId="0" borderId="0" xfId="11" applyNumberFormat="1" applyFont="1" applyAlignment="1" applyProtection="1">
      <alignment horizontal="right"/>
      <protection locked="0"/>
    </xf>
    <xf numFmtId="171" fontId="129" fillId="0" borderId="0" xfId="11" applyNumberFormat="1" applyFont="1" applyBorder="1" applyAlignment="1" applyProtection="1">
      <alignment horizontal="left"/>
      <protection locked="0"/>
    </xf>
    <xf numFmtId="0" fontId="160" fillId="0" borderId="0" xfId="1" applyFont="1"/>
    <xf numFmtId="169" fontId="130" fillId="0" borderId="0" xfId="11" applyNumberFormat="1" applyFont="1" applyBorder="1" applyAlignment="1" applyProtection="1">
      <alignment horizontal="centerContinuous"/>
      <protection locked="0"/>
    </xf>
    <xf numFmtId="1" fontId="129" fillId="0" borderId="0" xfId="11" applyNumberFormat="1" applyFont="1" applyAlignment="1">
      <alignment horizontal="left"/>
    </xf>
    <xf numFmtId="0" fontId="128" fillId="0" borderId="0" xfId="11" applyFont="1" applyFill="1" applyBorder="1" applyAlignment="1" applyProtection="1">
      <alignment horizontal="centerContinuous"/>
      <protection locked="0"/>
    </xf>
    <xf numFmtId="0" fontId="161" fillId="0" borderId="0" xfId="11" applyFont="1" applyFill="1" applyBorder="1" applyAlignment="1" applyProtection="1">
      <alignment horizontal="centerContinuous"/>
      <protection locked="0"/>
    </xf>
    <xf numFmtId="0" fontId="130" fillId="0" borderId="29" xfId="11" applyFont="1" applyBorder="1" applyProtection="1">
      <protection locked="0"/>
    </xf>
    <xf numFmtId="0" fontId="130" fillId="0" borderId="30" xfId="11" applyFont="1" applyBorder="1" applyAlignment="1" applyProtection="1">
      <alignment horizontal="left"/>
      <protection locked="0"/>
    </xf>
    <xf numFmtId="40" fontId="130" fillId="0" borderId="31" xfId="11" applyNumberFormat="1" applyFont="1" applyBorder="1" applyAlignment="1" applyProtection="1">
      <alignment horizontal="right"/>
      <protection locked="0"/>
    </xf>
    <xf numFmtId="169" fontId="130" fillId="0" borderId="32" xfId="11" applyNumberFormat="1" applyFont="1" applyBorder="1" applyAlignment="1" applyProtection="1">
      <alignment horizontal="right"/>
      <protection locked="0"/>
    </xf>
    <xf numFmtId="0" fontId="162" fillId="4" borderId="33" xfId="13" applyFont="1" applyFill="1" applyBorder="1" applyAlignment="1"/>
    <xf numFmtId="0" fontId="162" fillId="13" borderId="33" xfId="10" applyFont="1" applyFill="1" applyBorder="1" applyAlignment="1"/>
    <xf numFmtId="0" fontId="163" fillId="0" borderId="0" xfId="10" applyFont="1" applyAlignment="1"/>
    <xf numFmtId="0" fontId="130" fillId="0" borderId="0" xfId="10" applyFont="1" applyFill="1" applyProtection="1">
      <protection locked="0"/>
    </xf>
    <xf numFmtId="0" fontId="130" fillId="0" borderId="0" xfId="10" applyFont="1" applyFill="1" applyBorder="1"/>
    <xf numFmtId="0" fontId="163" fillId="0" borderId="0" xfId="10" applyFont="1" applyFill="1" applyAlignment="1"/>
    <xf numFmtId="0" fontId="162" fillId="4" borderId="33" xfId="13" applyFont="1" applyFill="1" applyBorder="1" applyAlignment="1">
      <alignment horizontal="left"/>
    </xf>
    <xf numFmtId="0" fontId="129" fillId="5" borderId="0" xfId="11" applyFont="1" applyFill="1" applyProtection="1">
      <protection locked="0"/>
    </xf>
    <xf numFmtId="0" fontId="129" fillId="5" borderId="0" xfId="1" applyFont="1" applyFill="1"/>
    <xf numFmtId="43" fontId="127" fillId="5" borderId="0" xfId="6" applyFill="1"/>
    <xf numFmtId="0" fontId="166" fillId="5" borderId="0" xfId="1" applyFont="1" applyFill="1"/>
    <xf numFmtId="0" fontId="150" fillId="5" borderId="0" xfId="1" applyFont="1" applyFill="1" applyAlignment="1"/>
    <xf numFmtId="43" fontId="150" fillId="5" borderId="0" xfId="6" applyFont="1" applyFill="1"/>
    <xf numFmtId="0" fontId="128" fillId="5" borderId="0" xfId="1" applyFont="1" applyFill="1"/>
    <xf numFmtId="0" fontId="150" fillId="5" borderId="0" xfId="1" applyFont="1" applyFill="1"/>
    <xf numFmtId="43" fontId="128" fillId="5" borderId="0" xfId="1" applyNumberFormat="1" applyFont="1" applyFill="1"/>
    <xf numFmtId="43" fontId="129" fillId="5" borderId="0" xfId="1" applyNumberFormat="1" applyFont="1" applyFill="1"/>
    <xf numFmtId="43" fontId="166" fillId="5" borderId="0" xfId="1" applyNumberFormat="1" applyFont="1" applyFill="1"/>
    <xf numFmtId="43" fontId="127" fillId="5" borderId="8" xfId="6" applyFill="1" applyBorder="1"/>
    <xf numFmtId="43" fontId="129" fillId="5" borderId="8" xfId="1" applyNumberFormat="1" applyFont="1" applyFill="1" applyBorder="1"/>
    <xf numFmtId="0" fontId="129" fillId="5" borderId="8" xfId="1" applyFont="1" applyFill="1" applyBorder="1"/>
    <xf numFmtId="43" fontId="127" fillId="5" borderId="0" xfId="6" applyFill="1" applyBorder="1"/>
    <xf numFmtId="0" fontId="129" fillId="5" borderId="0" xfId="1" applyFont="1" applyFill="1" applyBorder="1"/>
    <xf numFmtId="43" fontId="127" fillId="5" borderId="12" xfId="6" applyFill="1" applyBorder="1"/>
    <xf numFmtId="0" fontId="129" fillId="5" borderId="12" xfId="1" applyFont="1" applyFill="1" applyBorder="1"/>
    <xf numFmtId="43" fontId="128" fillId="5" borderId="10" xfId="1" applyNumberFormat="1" applyFont="1" applyFill="1" applyBorder="1"/>
    <xf numFmtId="43" fontId="128" fillId="5" borderId="0" xfId="6" applyFont="1" applyFill="1"/>
    <xf numFmtId="2" fontId="129" fillId="5" borderId="0" xfId="1" applyNumberFormat="1" applyFont="1" applyFill="1"/>
    <xf numFmtId="0" fontId="167" fillId="5" borderId="0" xfId="1" applyFont="1" applyFill="1"/>
    <xf numFmtId="0" fontId="147" fillId="5" borderId="0" xfId="1" applyFont="1" applyFill="1"/>
    <xf numFmtId="43" fontId="147" fillId="5" borderId="0" xfId="6" applyFont="1" applyFill="1"/>
    <xf numFmtId="43" fontId="147" fillId="5" borderId="10" xfId="1" applyNumberFormat="1" applyFont="1" applyFill="1" applyBorder="1"/>
    <xf numFmtId="0" fontId="168" fillId="5" borderId="0" xfId="1" applyFont="1" applyFill="1"/>
    <xf numFmtId="0" fontId="169" fillId="5" borderId="0" xfId="1" applyFont="1" applyFill="1"/>
    <xf numFmtId="0" fontId="171" fillId="5" borderId="0" xfId="1" applyFont="1" applyFill="1"/>
    <xf numFmtId="43" fontId="171" fillId="5" borderId="0" xfId="6" applyFont="1" applyFill="1"/>
    <xf numFmtId="43" fontId="159" fillId="5" borderId="0" xfId="6" applyFont="1" applyFill="1"/>
    <xf numFmtId="43" fontId="167" fillId="5" borderId="0" xfId="1" applyNumberFormat="1" applyFont="1" applyFill="1"/>
    <xf numFmtId="0" fontId="127" fillId="5" borderId="0" xfId="1" applyFont="1" applyFill="1"/>
    <xf numFmtId="43" fontId="148" fillId="5" borderId="0" xfId="6" applyFont="1" applyFill="1"/>
    <xf numFmtId="0" fontId="165" fillId="5" borderId="0" xfId="1" applyFont="1" applyFill="1"/>
    <xf numFmtId="0" fontId="148" fillId="5" borderId="0" xfId="1" applyFont="1" applyFill="1"/>
    <xf numFmtId="43" fontId="128" fillId="5" borderId="0" xfId="1" applyNumberFormat="1" applyFont="1" applyFill="1" applyBorder="1"/>
    <xf numFmtId="43" fontId="128" fillId="5" borderId="12" xfId="1" applyNumberFormat="1" applyFont="1" applyFill="1" applyBorder="1"/>
    <xf numFmtId="0" fontId="128" fillId="5" borderId="0" xfId="1" applyFont="1" applyFill="1" applyBorder="1"/>
    <xf numFmtId="0" fontId="128" fillId="5" borderId="12" xfId="1" applyFont="1" applyFill="1" applyBorder="1"/>
    <xf numFmtId="43" fontId="148" fillId="5" borderId="0" xfId="6" applyFont="1" applyFill="1" applyBorder="1"/>
    <xf numFmtId="4" fontId="148" fillId="5" borderId="0" xfId="1" applyNumberFormat="1" applyFont="1" applyFill="1" applyBorder="1"/>
    <xf numFmtId="4" fontId="148" fillId="5" borderId="10" xfId="1" applyNumberFormat="1" applyFont="1" applyFill="1" applyBorder="1"/>
    <xf numFmtId="4" fontId="166" fillId="5" borderId="0" xfId="1" applyNumberFormat="1" applyFont="1" applyFill="1"/>
    <xf numFmtId="0" fontId="148" fillId="5" borderId="0" xfId="1" applyFont="1" applyFill="1" applyBorder="1"/>
    <xf numFmtId="165" fontId="148" fillId="5" borderId="0" xfId="6" applyNumberFormat="1" applyFont="1" applyFill="1"/>
    <xf numFmtId="0" fontId="165" fillId="5" borderId="0" xfId="1" applyFont="1" applyFill="1" applyBorder="1"/>
    <xf numFmtId="43" fontId="165" fillId="5" borderId="0" xfId="1" applyNumberFormat="1" applyFont="1" applyFill="1"/>
    <xf numFmtId="43" fontId="129" fillId="5" borderId="12" xfId="1" applyNumberFormat="1" applyFont="1" applyFill="1" applyBorder="1"/>
    <xf numFmtId="43" fontId="165" fillId="5" borderId="0" xfId="6" applyFont="1" applyFill="1"/>
    <xf numFmtId="0" fontId="172" fillId="0" borderId="0" xfId="1" applyFont="1" applyFill="1"/>
    <xf numFmtId="43" fontId="138" fillId="8" borderId="0" xfId="7" applyNumberFormat="1" applyFont="1" applyFill="1" applyBorder="1" applyAlignment="1">
      <alignment horizontal="center"/>
    </xf>
    <xf numFmtId="40" fontId="129" fillId="0" borderId="11" xfId="11" applyNumberFormat="1" applyFont="1" applyFill="1" applyBorder="1" applyAlignment="1">
      <alignment vertical="center"/>
    </xf>
    <xf numFmtId="40" fontId="129" fillId="0" borderId="17" xfId="11" applyNumberFormat="1" applyFont="1" applyFill="1" applyBorder="1" applyAlignment="1">
      <alignment vertical="center"/>
    </xf>
    <xf numFmtId="40" fontId="129" fillId="0" borderId="0" xfId="11" applyNumberFormat="1" applyFont="1" applyFill="1" applyBorder="1"/>
    <xf numFmtId="10" fontId="129" fillId="0" borderId="12" xfId="11" applyNumberFormat="1" applyFont="1" applyFill="1" applyBorder="1"/>
    <xf numFmtId="0" fontId="129" fillId="5" borderId="0" xfId="1" applyFont="1" applyFill="1" applyAlignment="1">
      <alignment horizontal="left"/>
    </xf>
    <xf numFmtId="0" fontId="165" fillId="5" borderId="0" xfId="1" applyFont="1" applyFill="1" applyAlignment="1">
      <alignment horizontal="left"/>
    </xf>
    <xf numFmtId="0" fontId="128" fillId="5" borderId="0" xfId="1" applyFont="1" applyFill="1" applyAlignment="1">
      <alignment horizontal="left"/>
    </xf>
    <xf numFmtId="0" fontId="171" fillId="5" borderId="0" xfId="1" applyFont="1" applyFill="1" applyAlignment="1">
      <alignment horizontal="left"/>
    </xf>
    <xf numFmtId="0" fontId="163" fillId="0" borderId="0" xfId="10" applyFont="1" applyFill="1" applyAlignment="1">
      <alignment horizontal="center"/>
    </xf>
    <xf numFmtId="40" fontId="130" fillId="0" borderId="0" xfId="4" applyNumberFormat="1" applyFont="1" applyFill="1" applyBorder="1" applyAlignment="1">
      <alignment horizontal="right"/>
    </xf>
    <xf numFmtId="43" fontId="138" fillId="0" borderId="0" xfId="7" applyNumberFormat="1" applyFont="1" applyFill="1" applyBorder="1" applyAlignment="1">
      <alignment horizontal="center"/>
    </xf>
    <xf numFmtId="0" fontId="132" fillId="4" borderId="33" xfId="13" applyFont="1" applyFill="1" applyBorder="1" applyAlignment="1"/>
    <xf numFmtId="0" fontId="132" fillId="4" borderId="33" xfId="13" applyFont="1" applyFill="1" applyBorder="1" applyAlignment="1">
      <alignment horizontal="left"/>
    </xf>
    <xf numFmtId="43" fontId="132" fillId="4" borderId="33" xfId="4" applyFont="1" applyFill="1" applyBorder="1" applyAlignment="1"/>
    <xf numFmtId="0" fontId="132" fillId="8" borderId="33" xfId="13" applyFont="1" applyFill="1" applyBorder="1" applyAlignment="1"/>
    <xf numFmtId="0" fontId="132" fillId="13" borderId="33" xfId="10" applyFont="1" applyFill="1" applyBorder="1" applyAlignment="1"/>
    <xf numFmtId="0" fontId="132" fillId="0" borderId="33" xfId="13" applyFont="1" applyFill="1" applyBorder="1" applyAlignment="1"/>
    <xf numFmtId="0" fontId="130" fillId="0" borderId="0" xfId="10" applyFont="1" applyFill="1" applyAlignment="1"/>
    <xf numFmtId="0" fontId="175" fillId="0" borderId="0" xfId="1" applyFont="1" applyFill="1"/>
    <xf numFmtId="0" fontId="130" fillId="0" borderId="0" xfId="0" applyFont="1"/>
    <xf numFmtId="40" fontId="130" fillId="0" borderId="0" xfId="4" applyNumberFormat="1" applyFont="1" applyFill="1" applyAlignment="1" applyProtection="1">
      <alignment horizontal="right"/>
      <protection locked="0"/>
    </xf>
    <xf numFmtId="40" fontId="130" fillId="0" borderId="0" xfId="4" applyNumberFormat="1" applyFont="1" applyFill="1" applyAlignment="1">
      <alignment horizontal="right"/>
    </xf>
    <xf numFmtId="40" fontId="130" fillId="0" borderId="0" xfId="10" applyNumberFormat="1" applyFont="1" applyFill="1" applyAlignment="1">
      <alignment horizontal="right"/>
    </xf>
    <xf numFmtId="0" fontId="130" fillId="14" borderId="0" xfId="1" applyFont="1" applyFill="1"/>
    <xf numFmtId="0" fontId="130" fillId="14" borderId="0" xfId="10" applyFont="1" applyFill="1" applyBorder="1"/>
    <xf numFmtId="0" fontId="130" fillId="14" borderId="0" xfId="10" applyFont="1" applyFill="1" applyProtection="1">
      <protection locked="0"/>
    </xf>
    <xf numFmtId="40" fontId="130" fillId="14" borderId="0" xfId="4" applyNumberFormat="1" applyFont="1" applyFill="1" applyAlignment="1" applyProtection="1">
      <alignment horizontal="right"/>
      <protection locked="0"/>
    </xf>
    <xf numFmtId="0" fontId="130" fillId="0" borderId="0" xfId="1" applyFont="1" applyAlignment="1">
      <alignment horizontal="center"/>
    </xf>
    <xf numFmtId="0" fontId="132" fillId="4" borderId="33" xfId="13" applyFont="1" applyFill="1" applyBorder="1" applyAlignment="1">
      <alignment horizontal="center"/>
    </xf>
    <xf numFmtId="40" fontId="130" fillId="14" borderId="0" xfId="4" applyNumberFormat="1" applyFont="1" applyFill="1" applyAlignment="1">
      <alignment horizontal="right"/>
    </xf>
    <xf numFmtId="0" fontId="127" fillId="0" borderId="0" xfId="35" applyFont="1"/>
    <xf numFmtId="0" fontId="127" fillId="0" borderId="0" xfId="0" applyFont="1"/>
    <xf numFmtId="0" fontId="127" fillId="0" borderId="0" xfId="1" applyFont="1" applyAlignment="1">
      <alignment horizontal="center"/>
    </xf>
    <xf numFmtId="0" fontId="127" fillId="0" borderId="0" xfId="1" applyFont="1" applyAlignment="1">
      <alignment horizontal="left"/>
    </xf>
    <xf numFmtId="0" fontId="127" fillId="0" borderId="0" xfId="1" applyFont="1" applyFill="1"/>
    <xf numFmtId="49" fontId="138" fillId="5" borderId="0" xfId="11" applyNumberFormat="1" applyFont="1" applyFill="1" applyBorder="1" applyAlignment="1">
      <alignment horizontal="center"/>
    </xf>
    <xf numFmtId="0" fontId="130" fillId="14" borderId="0" xfId="67" applyFont="1" applyFill="1"/>
    <xf numFmtId="0" fontId="130" fillId="0" borderId="0" xfId="67" applyFont="1" applyFill="1"/>
    <xf numFmtId="43" fontId="148" fillId="0" borderId="0" xfId="1" applyNumberFormat="1" applyFont="1"/>
    <xf numFmtId="43" fontId="129" fillId="0" borderId="0" xfId="1" applyNumberFormat="1" applyFont="1"/>
    <xf numFmtId="49" fontId="127" fillId="0" borderId="11" xfId="11" applyNumberFormat="1" applyFont="1" applyBorder="1" applyAlignment="1">
      <alignment horizontal="left"/>
    </xf>
    <xf numFmtId="179" fontId="148" fillId="5" borderId="0" xfId="1" applyNumberFormat="1" applyFont="1" applyFill="1"/>
    <xf numFmtId="43" fontId="128" fillId="0" borderId="9" xfId="1" applyNumberFormat="1" applyFont="1" applyFill="1" applyBorder="1"/>
    <xf numFmtId="43" fontId="129" fillId="0" borderId="0" xfId="1" applyNumberFormat="1" applyFont="1" applyFill="1"/>
    <xf numFmtId="0" fontId="127" fillId="0" borderId="0" xfId="148" quotePrefix="1" applyNumberFormat="1" applyFont="1" applyFill="1"/>
    <xf numFmtId="0" fontId="129" fillId="0" borderId="0" xfId="15" quotePrefix="1" applyNumberFormat="1" applyFont="1"/>
    <xf numFmtId="0" fontId="130" fillId="0" borderId="0" xfId="1" applyNumberFormat="1" applyFont="1" applyFill="1" applyAlignment="1">
      <alignment horizontal="center"/>
    </xf>
    <xf numFmtId="0" fontId="130" fillId="0" borderId="0" xfId="10" applyNumberFormat="1" applyFont="1" applyFill="1" applyAlignment="1" applyProtection="1">
      <alignment horizontal="center" vertical="justify"/>
      <protection locked="0"/>
    </xf>
    <xf numFmtId="49" fontId="138" fillId="5" borderId="0" xfId="11" applyNumberFormat="1" applyFont="1" applyFill="1" applyBorder="1" applyAlignment="1">
      <alignment horizontal="center"/>
    </xf>
    <xf numFmtId="49" fontId="138" fillId="5" borderId="12" xfId="11" applyNumberFormat="1" applyFont="1" applyFill="1" applyBorder="1" applyAlignment="1">
      <alignment horizontal="center"/>
    </xf>
    <xf numFmtId="0" fontId="143" fillId="5" borderId="12" xfId="11" applyFont="1" applyFill="1" applyBorder="1"/>
    <xf numFmtId="0" fontId="141" fillId="0" borderId="0" xfId="11" applyFont="1" applyBorder="1"/>
    <xf numFmtId="49" fontId="133" fillId="5" borderId="12" xfId="11" quotePrefix="1" applyNumberFormat="1" applyFont="1" applyFill="1" applyBorder="1" applyAlignment="1">
      <alignment horizontal="left"/>
    </xf>
    <xf numFmtId="0" fontId="133" fillId="5" borderId="12" xfId="11" applyFont="1" applyFill="1" applyBorder="1" applyAlignment="1">
      <alignment horizontal="left"/>
    </xf>
    <xf numFmtId="40" fontId="0" fillId="0" borderId="0" xfId="0" applyNumberFormat="1"/>
    <xf numFmtId="40" fontId="162" fillId="4" borderId="33" xfId="13" applyNumberFormat="1" applyFont="1" applyFill="1" applyBorder="1" applyAlignment="1"/>
    <xf numFmtId="40" fontId="163" fillId="0" borderId="0" xfId="10" applyNumberFormat="1" applyFont="1" applyFill="1" applyAlignment="1"/>
    <xf numFmtId="40" fontId="163" fillId="0" borderId="0" xfId="10" applyNumberFormat="1" applyFont="1" applyAlignment="1"/>
    <xf numFmtId="40" fontId="162" fillId="0" borderId="0" xfId="13" applyNumberFormat="1" applyFont="1" applyFill="1" applyBorder="1" applyAlignment="1"/>
    <xf numFmtId="0" fontId="130" fillId="0" borderId="0" xfId="34" quotePrefix="1" applyNumberFormat="1" applyFont="1" applyFill="1" applyAlignment="1">
      <alignment horizontal="center"/>
    </xf>
    <xf numFmtId="40" fontId="162" fillId="0" borderId="0" xfId="4" applyNumberFormat="1" applyFont="1" applyFill="1" applyBorder="1" applyAlignment="1"/>
    <xf numFmtId="0" fontId="163" fillId="0" borderId="0" xfId="10" applyFont="1" applyFill="1" applyAlignment="1">
      <alignment horizontal="left"/>
    </xf>
    <xf numFmtId="0" fontId="127" fillId="5" borderId="0" xfId="9" applyFont="1" applyFill="1"/>
    <xf numFmtId="0" fontId="137" fillId="5" borderId="0" xfId="1" applyFont="1" applyFill="1"/>
    <xf numFmtId="43" fontId="127" fillId="5" borderId="0" xfId="6" applyFont="1" applyFill="1"/>
    <xf numFmtId="4" fontId="127" fillId="5" borderId="0" xfId="9" applyNumberFormat="1" applyFont="1" applyFill="1"/>
    <xf numFmtId="44" fontId="127" fillId="5" borderId="0" xfId="8" applyFont="1" applyFill="1"/>
    <xf numFmtId="43" fontId="127" fillId="5" borderId="0" xfId="1" applyNumberFormat="1" applyFont="1" applyFill="1"/>
    <xf numFmtId="0" fontId="127" fillId="5" borderId="0" xfId="9" applyFont="1" applyFill="1" applyBorder="1"/>
    <xf numFmtId="44" fontId="127" fillId="5" borderId="10" xfId="8" applyFont="1" applyFill="1" applyBorder="1"/>
    <xf numFmtId="0" fontId="127" fillId="5" borderId="8" xfId="9" applyFont="1" applyFill="1" applyBorder="1"/>
    <xf numFmtId="44" fontId="127" fillId="5" borderId="0" xfId="8" applyFont="1" applyFill="1" applyBorder="1"/>
    <xf numFmtId="44" fontId="127" fillId="5" borderId="9" xfId="8" applyFont="1" applyFill="1" applyBorder="1"/>
    <xf numFmtId="0" fontId="160" fillId="5" borderId="0" xfId="9" applyFont="1" applyFill="1"/>
    <xf numFmtId="43" fontId="127" fillId="5" borderId="0" xfId="9" applyNumberFormat="1" applyFont="1" applyFill="1"/>
    <xf numFmtId="39" fontId="178" fillId="15" borderId="0" xfId="12" applyFont="1" applyFill="1" applyProtection="1">
      <protection locked="0"/>
    </xf>
    <xf numFmtId="39" fontId="184" fillId="15" borderId="0" xfId="12" applyFont="1" applyFill="1" applyAlignment="1" applyProtection="1">
      <alignment horizontal="left"/>
      <protection locked="0"/>
    </xf>
    <xf numFmtId="39" fontId="186" fillId="15" borderId="0" xfId="12" quotePrefix="1" applyFont="1" applyFill="1" applyAlignment="1" applyProtection="1">
      <alignment horizontal="left"/>
      <protection locked="0"/>
    </xf>
    <xf numFmtId="39" fontId="186" fillId="15" borderId="0" xfId="12" applyFont="1" applyFill="1" applyAlignment="1" applyProtection="1">
      <alignment horizontal="left"/>
      <protection locked="0"/>
    </xf>
    <xf numFmtId="40" fontId="186" fillId="15" borderId="0" xfId="12" applyNumberFormat="1" applyFont="1" applyFill="1" applyAlignment="1" applyProtection="1">
      <alignment horizontal="left"/>
      <protection locked="0"/>
    </xf>
    <xf numFmtId="40" fontId="186" fillId="15" borderId="0" xfId="12" applyNumberFormat="1" applyFont="1" applyFill="1" applyProtection="1">
      <protection locked="0"/>
    </xf>
    <xf numFmtId="39" fontId="186" fillId="15" borderId="0" xfId="12" applyFont="1" applyFill="1" applyProtection="1">
      <protection locked="0"/>
    </xf>
    <xf numFmtId="39" fontId="187" fillId="15" borderId="0" xfId="12" applyFont="1" applyFill="1" applyAlignment="1" applyProtection="1">
      <alignment horizontal="left"/>
      <protection locked="0"/>
    </xf>
    <xf numFmtId="178" fontId="187" fillId="15" borderId="0" xfId="12" applyNumberFormat="1" applyFont="1" applyFill="1" applyAlignment="1" applyProtection="1">
      <alignment horizontal="left"/>
      <protection locked="0"/>
    </xf>
    <xf numFmtId="39" fontId="178" fillId="15" borderId="0" xfId="12" applyFont="1" applyFill="1" applyAlignment="1" applyProtection="1">
      <alignment horizontal="left"/>
      <protection locked="0"/>
    </xf>
    <xf numFmtId="0" fontId="187" fillId="15" borderId="0" xfId="12" applyNumberFormat="1" applyFont="1" applyFill="1" applyAlignment="1" applyProtection="1">
      <alignment horizontal="center"/>
      <protection locked="0"/>
    </xf>
    <xf numFmtId="40" fontId="178" fillId="15" borderId="0" xfId="12" applyNumberFormat="1" applyFont="1" applyFill="1" applyProtection="1">
      <protection locked="0"/>
    </xf>
    <xf numFmtId="9" fontId="178" fillId="15" borderId="0" xfId="14" applyFont="1" applyFill="1" applyBorder="1" applyProtection="1"/>
    <xf numFmtId="9" fontId="178" fillId="15" borderId="0" xfId="14" applyFont="1" applyFill="1" applyBorder="1" applyAlignment="1" applyProtection="1">
      <alignment horizontal="center"/>
    </xf>
    <xf numFmtId="43" fontId="191" fillId="15" borderId="0" xfId="6" applyFont="1" applyFill="1" applyBorder="1" applyAlignment="1" applyProtection="1"/>
    <xf numFmtId="43" fontId="191" fillId="15" borderId="0" xfId="6" applyFont="1" applyFill="1" applyBorder="1" applyAlignment="1" applyProtection="1">
      <alignment horizontal="right"/>
    </xf>
    <xf numFmtId="0" fontId="178" fillId="15" borderId="0" xfId="66" applyFont="1" applyFill="1"/>
    <xf numFmtId="49" fontId="178" fillId="15" borderId="0" xfId="66" applyNumberFormat="1" applyFont="1" applyFill="1" applyAlignment="1">
      <alignment horizontal="right"/>
    </xf>
    <xf numFmtId="175" fontId="178" fillId="15" borderId="0" xfId="66" applyNumberFormat="1" applyFont="1" applyFill="1"/>
    <xf numFmtId="0" fontId="178" fillId="15" borderId="0" xfId="66" applyFont="1" applyFill="1" applyAlignment="1">
      <alignment horizontal="center"/>
    </xf>
    <xf numFmtId="0" fontId="178" fillId="15" borderId="0" xfId="66" applyFont="1" applyFill="1" applyAlignment="1">
      <alignment horizontal="left"/>
    </xf>
    <xf numFmtId="40" fontId="178" fillId="15" borderId="0" xfId="66" applyNumberFormat="1" applyFont="1" applyFill="1"/>
    <xf numFmtId="0" fontId="192" fillId="0" borderId="0" xfId="66" applyFont="1" applyBorder="1"/>
    <xf numFmtId="44" fontId="192" fillId="0" borderId="0" xfId="8" applyFont="1"/>
    <xf numFmtId="0" fontId="192" fillId="0" borderId="0" xfId="66" applyFont="1"/>
    <xf numFmtId="0" fontId="193" fillId="0" borderId="0" xfId="66" applyNumberFormat="1" applyFont="1" applyFill="1" applyBorder="1" applyAlignment="1">
      <alignment horizontal="left"/>
    </xf>
    <xf numFmtId="1" fontId="192" fillId="0" borderId="0" xfId="66" applyNumberFormat="1" applyFont="1" applyFill="1" applyBorder="1" applyAlignment="1" applyProtection="1">
      <alignment horizontal="right"/>
    </xf>
    <xf numFmtId="0" fontId="192" fillId="0" borderId="0" xfId="66" applyFont="1" applyFill="1" applyBorder="1" applyAlignment="1">
      <alignment horizontal="right"/>
    </xf>
    <xf numFmtId="1" fontId="192" fillId="0" borderId="0" xfId="66" quotePrefix="1" applyNumberFormat="1" applyFont="1" applyFill="1" applyBorder="1" applyAlignment="1" applyProtection="1">
      <alignment horizontal="left"/>
    </xf>
    <xf numFmtId="0" fontId="192" fillId="0" borderId="0" xfId="66" applyNumberFormat="1" applyFont="1" applyFill="1" applyBorder="1" applyAlignment="1">
      <alignment horizontal="left"/>
    </xf>
    <xf numFmtId="0" fontId="192" fillId="15" borderId="0" xfId="66" applyFont="1" applyFill="1" applyBorder="1" applyAlignment="1">
      <alignment horizontal="right"/>
    </xf>
    <xf numFmtId="15" fontId="192" fillId="0" borderId="0" xfId="66" applyNumberFormat="1" applyFont="1" applyFill="1" applyBorder="1" applyAlignment="1" applyProtection="1">
      <alignment horizontal="right"/>
    </xf>
    <xf numFmtId="49" fontId="192" fillId="0" borderId="0" xfId="66" applyNumberFormat="1" applyFont="1" applyBorder="1"/>
    <xf numFmtId="0" fontId="193" fillId="0" borderId="0" xfId="66" applyFont="1"/>
    <xf numFmtId="43" fontId="192" fillId="0" borderId="0" xfId="6" applyFont="1" applyFill="1" applyBorder="1" applyAlignment="1">
      <alignment horizontal="center"/>
    </xf>
    <xf numFmtId="43" fontId="192" fillId="0" borderId="0" xfId="6" applyFont="1" applyFill="1" applyBorder="1"/>
    <xf numFmtId="43" fontId="192" fillId="0" borderId="0" xfId="6" applyFont="1"/>
    <xf numFmtId="40" fontId="131" fillId="0" borderId="0" xfId="0" applyNumberFormat="1" applyFont="1"/>
    <xf numFmtId="0" fontId="129" fillId="15" borderId="0" xfId="1" applyFont="1" applyFill="1" applyAlignment="1">
      <alignment horizontal="left"/>
    </xf>
    <xf numFmtId="0" fontId="129" fillId="15" borderId="0" xfId="15" quotePrefix="1" applyNumberFormat="1" applyFont="1" applyFill="1"/>
    <xf numFmtId="43" fontId="170" fillId="5" borderId="8" xfId="6" applyFont="1" applyFill="1" applyBorder="1" applyAlignment="1">
      <alignment horizontal="center"/>
    </xf>
    <xf numFmtId="43" fontId="171" fillId="5" borderId="8" xfId="6" applyFont="1" applyFill="1" applyBorder="1" applyAlignment="1">
      <alignment horizontal="center"/>
    </xf>
    <xf numFmtId="0" fontId="198" fillId="0" borderId="0" xfId="11" quotePrefix="1" applyFont="1" applyAlignment="1" applyProtection="1">
      <alignment horizontal="left"/>
      <protection locked="0"/>
    </xf>
    <xf numFmtId="0" fontId="198" fillId="0" borderId="0" xfId="11" applyFont="1" applyAlignment="1" applyProtection="1">
      <alignment horizontal="left"/>
      <protection locked="0"/>
    </xf>
    <xf numFmtId="0" fontId="199" fillId="0" borderId="0" xfId="11" applyFont="1" applyFill="1" applyProtection="1">
      <protection locked="0"/>
    </xf>
    <xf numFmtId="0" fontId="198" fillId="0" borderId="0" xfId="11" applyFont="1" applyProtection="1">
      <protection locked="0"/>
    </xf>
    <xf numFmtId="49" fontId="188" fillId="15" borderId="0" xfId="0" applyNumberFormat="1" applyFont="1" applyFill="1" applyBorder="1" applyAlignment="1">
      <alignment horizontal="center"/>
    </xf>
    <xf numFmtId="15" fontId="178" fillId="15" borderId="0" xfId="0" quotePrefix="1" applyNumberFormat="1" applyFont="1" applyFill="1" applyBorder="1" applyAlignment="1" applyProtection="1">
      <alignment horizontal="left"/>
    </xf>
    <xf numFmtId="49" fontId="178" fillId="15" borderId="0" xfId="0" applyNumberFormat="1" applyFont="1" applyFill="1" applyBorder="1" applyAlignment="1">
      <alignment horizontal="right"/>
    </xf>
    <xf numFmtId="175" fontId="178" fillId="15" borderId="0" xfId="0" applyNumberFormat="1" applyFont="1" applyFill="1" applyBorder="1"/>
    <xf numFmtId="1" fontId="178" fillId="15" borderId="0" xfId="0" applyNumberFormat="1" applyFont="1" applyFill="1" applyBorder="1" applyAlignment="1" applyProtection="1">
      <alignment horizontal="right"/>
    </xf>
    <xf numFmtId="1" fontId="178" fillId="15" borderId="0" xfId="0" applyNumberFormat="1" applyFont="1" applyFill="1" applyBorder="1" applyAlignment="1" applyProtection="1">
      <alignment horizontal="center"/>
    </xf>
    <xf numFmtId="0" fontId="178" fillId="15" borderId="0" xfId="0" applyFont="1" applyFill="1" applyBorder="1"/>
    <xf numFmtId="4" fontId="178" fillId="15" borderId="0" xfId="0" applyNumberFormat="1" applyFont="1" applyFill="1" applyBorder="1" applyAlignment="1" applyProtection="1">
      <alignment horizontal="right"/>
    </xf>
    <xf numFmtId="39" fontId="178" fillId="15" borderId="0" xfId="0" applyNumberFormat="1" applyFont="1" applyFill="1" applyBorder="1" applyProtection="1"/>
    <xf numFmtId="40" fontId="178" fillId="15" borderId="0" xfId="0" applyNumberFormat="1" applyFont="1" applyFill="1" applyBorder="1" applyProtection="1"/>
    <xf numFmtId="4" fontId="178" fillId="15" borderId="0" xfId="0" applyNumberFormat="1" applyFont="1" applyFill="1" applyBorder="1" applyAlignment="1" applyProtection="1">
      <alignment horizontal="center"/>
    </xf>
    <xf numFmtId="0" fontId="188" fillId="15" borderId="0" xfId="0" applyFont="1" applyFill="1" applyBorder="1" applyAlignment="1">
      <alignment horizontal="left"/>
    </xf>
    <xf numFmtId="0" fontId="179" fillId="15" borderId="0" xfId="0" quotePrefix="1" applyFont="1" applyFill="1" applyBorder="1" applyAlignment="1">
      <alignment horizontal="right"/>
    </xf>
    <xf numFmtId="176" fontId="178" fillId="15" borderId="0" xfId="0" applyNumberFormat="1" applyFont="1" applyFill="1" applyBorder="1"/>
    <xf numFmtId="49" fontId="178" fillId="15" borderId="0" xfId="0" applyNumberFormat="1" applyFont="1" applyFill="1" applyBorder="1" applyAlignment="1" applyProtection="1">
      <alignment horizontal="right"/>
    </xf>
    <xf numFmtId="175" fontId="178" fillId="15" borderId="0" xfId="0" applyNumberFormat="1" applyFont="1" applyFill="1" applyBorder="1" applyProtection="1"/>
    <xf numFmtId="0" fontId="178" fillId="15" borderId="0" xfId="0" applyFont="1" applyFill="1" applyBorder="1" applyAlignment="1">
      <alignment horizontal="left"/>
    </xf>
    <xf numFmtId="176" fontId="190" fillId="15" borderId="5" xfId="0" applyNumberFormat="1" applyFont="1" applyFill="1" applyBorder="1" applyAlignment="1">
      <alignment horizontal="center"/>
    </xf>
    <xf numFmtId="49" fontId="190" fillId="15" borderId="5" xfId="0" applyNumberFormat="1" applyFont="1" applyFill="1" applyBorder="1" applyAlignment="1">
      <alignment horizontal="left"/>
    </xf>
    <xf numFmtId="175" fontId="190" fillId="15" borderId="5" xfId="0" applyNumberFormat="1" applyFont="1" applyFill="1" applyBorder="1" applyAlignment="1">
      <alignment horizontal="center"/>
    </xf>
    <xf numFmtId="1" fontId="190" fillId="15" borderId="5" xfId="0" quotePrefix="1" applyNumberFormat="1" applyFont="1" applyFill="1" applyBorder="1" applyAlignment="1" applyProtection="1">
      <alignment horizontal="center"/>
    </xf>
    <xf numFmtId="39" fontId="190" fillId="15" borderId="35" xfId="0" applyNumberFormat="1" applyFont="1" applyFill="1" applyBorder="1" applyAlignment="1" applyProtection="1">
      <alignment horizontal="center"/>
    </xf>
    <xf numFmtId="39" fontId="190" fillId="15" borderId="35" xfId="0" quotePrefix="1" applyNumberFormat="1" applyFont="1" applyFill="1" applyBorder="1" applyAlignment="1" applyProtection="1">
      <alignment horizontal="center"/>
    </xf>
    <xf numFmtId="4" fontId="189" fillId="15" borderId="5" xfId="0" applyNumberFormat="1" applyFont="1" applyFill="1" applyBorder="1" applyAlignment="1" applyProtection="1">
      <alignment horizontal="center"/>
    </xf>
    <xf numFmtId="176" fontId="190" fillId="15" borderId="6" xfId="0" applyNumberFormat="1" applyFont="1" applyFill="1" applyBorder="1" applyAlignment="1">
      <alignment horizontal="center"/>
    </xf>
    <xf numFmtId="49" fontId="190" fillId="15" borderId="6" xfId="0" quotePrefix="1" applyNumberFormat="1" applyFont="1" applyFill="1" applyBorder="1" applyAlignment="1" applyProtection="1">
      <alignment horizontal="left"/>
    </xf>
    <xf numFmtId="175" fontId="190" fillId="15" borderId="6" xfId="0" quotePrefix="1" applyNumberFormat="1" applyFont="1" applyFill="1" applyBorder="1" applyAlignment="1">
      <alignment horizontal="center"/>
    </xf>
    <xf numFmtId="15" fontId="190" fillId="15" borderId="6" xfId="0" quotePrefix="1" applyNumberFormat="1" applyFont="1" applyFill="1" applyBorder="1" applyAlignment="1">
      <alignment horizontal="center"/>
    </xf>
    <xf numFmtId="15" fontId="190" fillId="15" borderId="6" xfId="0" applyNumberFormat="1" applyFont="1" applyFill="1" applyBorder="1" applyAlignment="1">
      <alignment horizontal="center"/>
    </xf>
    <xf numFmtId="39" fontId="190" fillId="15" borderId="36" xfId="0" applyNumberFormat="1" applyFont="1" applyFill="1" applyBorder="1" applyAlignment="1" applyProtection="1">
      <alignment horizontal="center"/>
    </xf>
    <xf numFmtId="4" fontId="189" fillId="15" borderId="6" xfId="0" applyNumberFormat="1" applyFont="1" applyFill="1" applyBorder="1" applyAlignment="1" applyProtection="1">
      <alignment horizontal="center"/>
    </xf>
    <xf numFmtId="176" fontId="191" fillId="15" borderId="0" xfId="0" applyNumberFormat="1" applyFont="1" applyFill="1" applyBorder="1" applyAlignment="1">
      <alignment horizontal="center"/>
    </xf>
    <xf numFmtId="174" fontId="191" fillId="15" borderId="0" xfId="0" applyNumberFormat="1" applyFont="1" applyFill="1" applyBorder="1" applyAlignment="1" applyProtection="1"/>
    <xf numFmtId="49" fontId="191" fillId="15" borderId="0" xfId="0" applyNumberFormat="1" applyFont="1" applyFill="1" applyBorder="1" applyAlignment="1">
      <alignment horizontal="center"/>
    </xf>
    <xf numFmtId="49" fontId="191" fillId="15" borderId="0" xfId="0" applyNumberFormat="1" applyFont="1" applyFill="1" applyBorder="1" applyAlignment="1">
      <alignment horizontal="left"/>
    </xf>
    <xf numFmtId="0" fontId="191" fillId="15" borderId="0" xfId="0" applyFont="1" applyFill="1" applyBorder="1" applyAlignment="1">
      <alignment horizontal="left" vertical="center"/>
    </xf>
    <xf numFmtId="176" fontId="191" fillId="17" borderId="0" xfId="0" applyNumberFormat="1" applyFont="1" applyFill="1" applyBorder="1" applyAlignment="1">
      <alignment horizontal="center"/>
    </xf>
    <xf numFmtId="174" fontId="191" fillId="17" borderId="0" xfId="0" applyNumberFormat="1" applyFont="1" applyFill="1" applyBorder="1" applyAlignment="1" applyProtection="1"/>
    <xf numFmtId="49" fontId="191" fillId="17" borderId="0" xfId="0" applyNumberFormat="1" applyFont="1" applyFill="1" applyBorder="1" applyAlignment="1">
      <alignment horizontal="center"/>
    </xf>
    <xf numFmtId="49" fontId="191" fillId="17" borderId="0" xfId="0" applyNumberFormat="1" applyFont="1" applyFill="1" applyBorder="1" applyAlignment="1">
      <alignment horizontal="left"/>
    </xf>
    <xf numFmtId="0" fontId="191" fillId="17" borderId="0" xfId="0" applyFont="1" applyFill="1" applyBorder="1" applyAlignment="1">
      <alignment horizontal="left" vertical="center"/>
    </xf>
    <xf numFmtId="43" fontId="191" fillId="17" borderId="0" xfId="6" applyFont="1" applyFill="1" applyBorder="1" applyAlignment="1" applyProtection="1"/>
    <xf numFmtId="43" fontId="191" fillId="17" borderId="0" xfId="6" applyFont="1" applyFill="1" applyBorder="1" applyAlignment="1" applyProtection="1">
      <alignment horizontal="right"/>
    </xf>
    <xf numFmtId="15" fontId="192" fillId="0" borderId="0" xfId="0" quotePrefix="1" applyNumberFormat="1" applyFont="1" applyFill="1" applyBorder="1" applyAlignment="1" applyProtection="1">
      <alignment horizontal="left"/>
    </xf>
    <xf numFmtId="0" fontId="192" fillId="0" borderId="0" xfId="0" applyFont="1" applyBorder="1"/>
    <xf numFmtId="49" fontId="192" fillId="0" borderId="0" xfId="0" applyNumberFormat="1" applyFont="1" applyBorder="1"/>
    <xf numFmtId="178" fontId="194" fillId="0" borderId="0" xfId="0" applyNumberFormat="1" applyFont="1" applyBorder="1" applyAlignment="1">
      <alignment horizontal="center"/>
    </xf>
    <xf numFmtId="0" fontId="193" fillId="0" borderId="0" xfId="0" applyFont="1" applyBorder="1"/>
    <xf numFmtId="0" fontId="195" fillId="0" borderId="0" xfId="0" applyFont="1" applyBorder="1" applyAlignment="1">
      <alignment horizontal="left"/>
    </xf>
    <xf numFmtId="4" fontId="193" fillId="0" borderId="0" xfId="0" quotePrefix="1" applyNumberFormat="1" applyFont="1" applyFill="1" applyBorder="1" applyAlignment="1" applyProtection="1">
      <alignment horizontal="left"/>
    </xf>
    <xf numFmtId="15" fontId="192" fillId="0" borderId="0" xfId="0" applyNumberFormat="1" applyFont="1" applyFill="1" applyBorder="1" applyProtection="1"/>
    <xf numFmtId="1" fontId="192" fillId="0" borderId="0" xfId="0" applyNumberFormat="1" applyFont="1" applyFill="1" applyBorder="1" applyAlignment="1" applyProtection="1">
      <alignment horizontal="right"/>
    </xf>
    <xf numFmtId="0" fontId="192" fillId="0" borderId="0" xfId="0" applyFont="1" applyFill="1" applyBorder="1" applyAlignment="1">
      <alignment horizontal="right"/>
    </xf>
    <xf numFmtId="0" fontId="196" fillId="0" borderId="0" xfId="0" quotePrefix="1" applyFont="1" applyBorder="1" applyAlignment="1">
      <alignment horizontal="left"/>
    </xf>
    <xf numFmtId="0" fontId="193" fillId="0" borderId="0" xfId="0" applyFont="1"/>
    <xf numFmtId="15" fontId="197" fillId="8" borderId="5" xfId="0" applyNumberFormat="1" applyFont="1" applyFill="1" applyBorder="1" applyAlignment="1">
      <alignment horizontal="center"/>
    </xf>
    <xf numFmtId="0" fontId="197" fillId="8" borderId="5" xfId="0" quotePrefix="1" applyFont="1" applyFill="1" applyBorder="1" applyAlignment="1">
      <alignment horizontal="center"/>
    </xf>
    <xf numFmtId="0" fontId="197" fillId="8" borderId="5" xfId="0" applyFont="1" applyFill="1" applyBorder="1" applyAlignment="1">
      <alignment horizontal="center"/>
    </xf>
    <xf numFmtId="0" fontId="197" fillId="8" borderId="34" xfId="0" applyFont="1" applyFill="1" applyBorder="1" applyAlignment="1">
      <alignment horizontal="centerContinuous"/>
    </xf>
    <xf numFmtId="0" fontId="197" fillId="8" borderId="3" xfId="0" applyFont="1" applyFill="1" applyBorder="1" applyAlignment="1">
      <alignment horizontal="centerContinuous"/>
    </xf>
    <xf numFmtId="15" fontId="197" fillId="8" borderId="7" xfId="0" applyNumberFormat="1" applyFont="1" applyFill="1" applyBorder="1" applyAlignment="1" applyProtection="1">
      <alignment horizontal="center"/>
    </xf>
    <xf numFmtId="0" fontId="197" fillId="8" borderId="7" xfId="0" applyFont="1" applyFill="1" applyBorder="1" applyAlignment="1">
      <alignment horizontal="center"/>
    </xf>
    <xf numFmtId="0" fontId="197" fillId="8" borderId="2" xfId="0" applyFont="1" applyFill="1" applyBorder="1" applyAlignment="1">
      <alignment horizontal="centerContinuous"/>
    </xf>
    <xf numFmtId="0" fontId="197" fillId="8" borderId="6" xfId="0" applyFont="1" applyFill="1" applyBorder="1" applyAlignment="1">
      <alignment horizontal="center"/>
    </xf>
    <xf numFmtId="0" fontId="197" fillId="8" borderId="6" xfId="0" quotePrefix="1" applyFont="1" applyFill="1" applyBorder="1" applyAlignment="1">
      <alignment horizontal="center"/>
    </xf>
    <xf numFmtId="0" fontId="197" fillId="8" borderId="1" xfId="0" quotePrefix="1" applyFont="1" applyFill="1" applyBorder="1" applyAlignment="1">
      <alignment horizontal="center"/>
    </xf>
    <xf numFmtId="0" fontId="197" fillId="8" borderId="1" xfId="0" applyFont="1" applyFill="1" applyBorder="1" applyAlignment="1">
      <alignment horizontal="center"/>
    </xf>
    <xf numFmtId="177" fontId="192" fillId="0" borderId="0" xfId="0" applyNumberFormat="1" applyFont="1" applyFill="1" applyBorder="1" applyAlignment="1">
      <alignment horizontal="center"/>
    </xf>
    <xf numFmtId="49" fontId="192" fillId="0" borderId="0" xfId="0" applyNumberFormat="1" applyFont="1" applyFill="1" applyBorder="1" applyAlignment="1">
      <alignment horizontal="center"/>
    </xf>
    <xf numFmtId="0" fontId="192" fillId="0" borderId="0" xfId="0" applyFont="1" applyFill="1" applyBorder="1" applyAlignment="1">
      <alignment horizontal="center"/>
    </xf>
    <xf numFmtId="4" fontId="192" fillId="0" borderId="0" xfId="0" applyNumberFormat="1" applyFont="1" applyFill="1" applyBorder="1" applyAlignment="1">
      <alignment horizontal="center"/>
    </xf>
    <xf numFmtId="14" fontId="192" fillId="0" borderId="0" xfId="0" applyNumberFormat="1" applyFont="1" applyFill="1" applyBorder="1" applyAlignment="1">
      <alignment horizontal="center"/>
    </xf>
    <xf numFmtId="0" fontId="192" fillId="0" borderId="0" xfId="0" applyFont="1" applyFill="1" applyBorder="1"/>
    <xf numFmtId="2" fontId="192" fillId="15" borderId="0" xfId="0" applyNumberFormat="1" applyFont="1" applyFill="1"/>
    <xf numFmtId="43" fontId="192" fillId="0" borderId="0" xfId="66" applyNumberFormat="1" applyFont="1"/>
    <xf numFmtId="43" fontId="192" fillId="0" borderId="0" xfId="6" applyFont="1" applyFill="1"/>
    <xf numFmtId="37" fontId="198" fillId="0" borderId="0" xfId="11" applyNumberFormat="1" applyFont="1" applyAlignment="1" applyProtection="1">
      <alignment horizontal="right"/>
      <protection locked="0"/>
    </xf>
    <xf numFmtId="49" fontId="188" fillId="17" borderId="0" xfId="0" applyNumberFormat="1" applyFont="1" applyFill="1" applyBorder="1" applyAlignment="1">
      <alignment horizontal="center"/>
    </xf>
    <xf numFmtId="0" fontId="197" fillId="14" borderId="5" xfId="0" applyFont="1" applyFill="1" applyBorder="1" applyAlignment="1">
      <alignment horizontal="center"/>
    </xf>
    <xf numFmtId="0" fontId="197" fillId="14" borderId="7" xfId="0" applyFont="1" applyFill="1" applyBorder="1" applyAlignment="1">
      <alignment horizontal="center"/>
    </xf>
    <xf numFmtId="0" fontId="197" fillId="14" borderId="1" xfId="0" applyFont="1" applyFill="1" applyBorder="1" applyAlignment="1">
      <alignment horizontal="center"/>
    </xf>
    <xf numFmtId="0" fontId="197" fillId="14" borderId="6" xfId="0" applyFont="1" applyFill="1" applyBorder="1" applyAlignment="1">
      <alignment horizontal="center"/>
    </xf>
    <xf numFmtId="1" fontId="179" fillId="15" borderId="0" xfId="0" applyNumberFormat="1" applyFont="1" applyFill="1" applyBorder="1" applyAlignment="1" applyProtection="1">
      <alignment horizontal="center"/>
    </xf>
    <xf numFmtId="0" fontId="190" fillId="0" borderId="5" xfId="0" quotePrefix="1" applyFont="1" applyFill="1" applyBorder="1" applyAlignment="1">
      <alignment horizontal="left"/>
    </xf>
    <xf numFmtId="4" fontId="189" fillId="0" borderId="2" xfId="0" applyNumberFormat="1" applyFont="1" applyFill="1" applyBorder="1" applyAlignment="1" applyProtection="1">
      <alignment horizontal="centerContinuous"/>
    </xf>
    <xf numFmtId="39" fontId="189" fillId="0" borderId="4" xfId="0" applyNumberFormat="1" applyFont="1" applyFill="1" applyBorder="1" applyAlignment="1" applyProtection="1">
      <alignment horizontal="centerContinuous"/>
    </xf>
    <xf numFmtId="40" fontId="189" fillId="0" borderId="2" xfId="0" applyNumberFormat="1" applyFont="1" applyFill="1" applyBorder="1" applyAlignment="1" applyProtection="1">
      <alignment horizontal="centerContinuous"/>
    </xf>
    <xf numFmtId="39" fontId="189" fillId="0" borderId="3" xfId="0" applyNumberFormat="1" applyFont="1" applyFill="1" applyBorder="1" applyAlignment="1" applyProtection="1">
      <alignment horizontal="centerContinuous"/>
    </xf>
    <xf numFmtId="40" fontId="189" fillId="0" borderId="4" xfId="0" applyNumberFormat="1" applyFont="1" applyFill="1" applyBorder="1" applyAlignment="1">
      <alignment horizontal="centerContinuous"/>
    </xf>
    <xf numFmtId="40" fontId="189" fillId="0" borderId="35" xfId="0" applyNumberFormat="1" applyFont="1" applyFill="1" applyBorder="1" applyAlignment="1" applyProtection="1">
      <alignment horizontal="center"/>
    </xf>
    <xf numFmtId="15" fontId="190" fillId="0" borderId="6" xfId="0" applyNumberFormat="1" applyFont="1" applyFill="1" applyBorder="1" applyAlignment="1" applyProtection="1">
      <alignment horizontal="left"/>
    </xf>
    <xf numFmtId="4" fontId="189" fillId="0" borderId="1" xfId="0" applyNumberFormat="1" applyFont="1" applyFill="1" applyBorder="1" applyAlignment="1" applyProtection="1">
      <alignment horizontal="center"/>
    </xf>
    <xf numFmtId="39" fontId="189" fillId="0" borderId="1" xfId="0" quotePrefix="1" applyNumberFormat="1" applyFont="1" applyFill="1" applyBorder="1" applyAlignment="1" applyProtection="1">
      <alignment horizontal="center"/>
    </xf>
    <xf numFmtId="39" fontId="189" fillId="0" borderId="6" xfId="0" applyNumberFormat="1" applyFont="1" applyFill="1" applyBorder="1" applyAlignment="1" applyProtection="1">
      <alignment horizontal="center"/>
    </xf>
    <xf numFmtId="40" fontId="189" fillId="0" borderId="36" xfId="0" applyNumberFormat="1" applyFont="1" applyFill="1" applyBorder="1" applyAlignment="1" applyProtection="1">
      <alignment horizontal="center"/>
    </xf>
    <xf numFmtId="174" fontId="191" fillId="15" borderId="0" xfId="0" applyNumberFormat="1" applyFont="1" applyFill="1" applyBorder="1" applyAlignment="1" applyProtection="1">
      <alignment horizontal="right"/>
    </xf>
    <xf numFmtId="40" fontId="198" fillId="0" borderId="0" xfId="11" applyNumberFormat="1" applyFont="1" applyProtection="1">
      <protection locked="0"/>
    </xf>
    <xf numFmtId="49" fontId="188" fillId="15" borderId="0" xfId="0" applyNumberFormat="1" applyFont="1" applyFill="1" applyBorder="1" applyAlignment="1">
      <alignment horizontal="center" vertical="center" wrapText="1"/>
    </xf>
    <xf numFmtId="40" fontId="192" fillId="0" borderId="0" xfId="66" applyNumberFormat="1" applyFont="1"/>
    <xf numFmtId="43" fontId="193" fillId="0" borderId="0" xfId="6" applyFont="1"/>
    <xf numFmtId="178" fontId="192" fillId="0" borderId="0" xfId="66" applyNumberFormat="1" applyFont="1"/>
    <xf numFmtId="40" fontId="128" fillId="0" borderId="0" xfId="0" applyNumberFormat="1" applyFont="1"/>
    <xf numFmtId="43" fontId="131" fillId="0" borderId="0" xfId="0" applyNumberFormat="1" applyFont="1"/>
    <xf numFmtId="43" fontId="192" fillId="18" borderId="0" xfId="6" applyFont="1" applyFill="1"/>
    <xf numFmtId="0" fontId="192" fillId="18" borderId="0" xfId="66" applyFont="1" applyFill="1"/>
    <xf numFmtId="40" fontId="130" fillId="0" borderId="0" xfId="1" applyNumberFormat="1" applyFont="1" applyFill="1"/>
    <xf numFmtId="176" fontId="178" fillId="15" borderId="12" xfId="0" applyNumberFormat="1" applyFont="1" applyFill="1" applyBorder="1"/>
    <xf numFmtId="49" fontId="178" fillId="15" borderId="12" xfId="0" applyNumberFormat="1" applyFont="1" applyFill="1" applyBorder="1" applyAlignment="1" applyProtection="1">
      <alignment horizontal="right"/>
    </xf>
    <xf numFmtId="175" fontId="179" fillId="15" borderId="12" xfId="0" applyNumberFormat="1" applyFont="1" applyFill="1" applyBorder="1" applyAlignment="1" applyProtection="1">
      <alignment horizontal="center"/>
    </xf>
    <xf numFmtId="49" fontId="178" fillId="15" borderId="12" xfId="0" applyNumberFormat="1" applyFont="1" applyFill="1" applyBorder="1" applyAlignment="1" applyProtection="1">
      <alignment horizontal="center"/>
    </xf>
    <xf numFmtId="49" fontId="178" fillId="15" borderId="12" xfId="0" applyNumberFormat="1" applyFont="1" applyFill="1" applyBorder="1" applyAlignment="1">
      <alignment horizontal="left"/>
    </xf>
    <xf numFmtId="0" fontId="178" fillId="15" borderId="12" xfId="0" applyFont="1" applyFill="1" applyBorder="1" applyAlignment="1">
      <alignment horizontal="left"/>
    </xf>
    <xf numFmtId="40" fontId="178" fillId="15" borderId="12" xfId="0" applyNumberFormat="1" applyFont="1" applyFill="1" applyBorder="1" applyAlignment="1" applyProtection="1">
      <alignment horizontal="right"/>
    </xf>
    <xf numFmtId="40" fontId="178" fillId="15" borderId="12" xfId="0" applyNumberFormat="1" applyFont="1" applyFill="1" applyBorder="1" applyProtection="1"/>
    <xf numFmtId="0" fontId="178" fillId="15" borderId="12" xfId="0" applyFont="1" applyFill="1" applyBorder="1"/>
    <xf numFmtId="40" fontId="178" fillId="15" borderId="12" xfId="0" applyNumberFormat="1" applyFont="1" applyFill="1" applyBorder="1" applyAlignment="1" applyProtection="1"/>
    <xf numFmtId="175" fontId="178" fillId="15" borderId="0" xfId="0" applyNumberFormat="1" applyFont="1" applyFill="1" applyBorder="1" applyAlignment="1" applyProtection="1">
      <alignment horizontal="center"/>
    </xf>
    <xf numFmtId="49" fontId="178" fillId="15" borderId="0" xfId="0" applyNumberFormat="1" applyFont="1" applyFill="1" applyBorder="1" applyAlignment="1" applyProtection="1">
      <alignment horizontal="center"/>
    </xf>
    <xf numFmtId="49" fontId="178" fillId="15" borderId="0" xfId="0" applyNumberFormat="1" applyFont="1" applyFill="1" applyBorder="1" applyAlignment="1">
      <alignment horizontal="left"/>
    </xf>
    <xf numFmtId="40" fontId="178" fillId="15" borderId="0" xfId="0" applyNumberFormat="1" applyFont="1" applyFill="1" applyBorder="1" applyAlignment="1" applyProtection="1">
      <alignment horizontal="right"/>
    </xf>
    <xf numFmtId="40" fontId="178" fillId="15" borderId="0" xfId="0" applyNumberFormat="1" applyFont="1" applyFill="1" applyBorder="1"/>
    <xf numFmtId="40" fontId="178" fillId="15" borderId="0" xfId="0" applyNumberFormat="1" applyFont="1" applyFill="1" applyBorder="1" applyAlignment="1" applyProtection="1"/>
    <xf numFmtId="49" fontId="178" fillId="15" borderId="0" xfId="0" applyNumberFormat="1" applyFont="1" applyFill="1" applyBorder="1" applyAlignment="1">
      <alignment horizontal="center"/>
    </xf>
    <xf numFmtId="40" fontId="178" fillId="15" borderId="0" xfId="0" applyNumberFormat="1" applyFont="1" applyFill="1" applyBorder="1" applyAlignment="1">
      <alignment horizontal="center"/>
    </xf>
    <xf numFmtId="49" fontId="178" fillId="15" borderId="12" xfId="0" applyNumberFormat="1" applyFont="1" applyFill="1" applyBorder="1" applyAlignment="1">
      <alignment horizontal="right"/>
    </xf>
    <xf numFmtId="175" fontId="178" fillId="15" borderId="12" xfId="0" applyNumberFormat="1" applyFont="1" applyFill="1" applyBorder="1"/>
    <xf numFmtId="49" fontId="178" fillId="15" borderId="12" xfId="0" applyNumberFormat="1" applyFont="1" applyFill="1" applyBorder="1" applyAlignment="1">
      <alignment horizontal="center"/>
    </xf>
    <xf numFmtId="40" fontId="178" fillId="15" borderId="12" xfId="0" applyNumberFormat="1" applyFont="1" applyFill="1" applyBorder="1" applyAlignment="1">
      <alignment horizontal="center"/>
    </xf>
    <xf numFmtId="40" fontId="178" fillId="15" borderId="12" xfId="0" applyNumberFormat="1" applyFont="1" applyFill="1" applyBorder="1"/>
    <xf numFmtId="43" fontId="179" fillId="15" borderId="12" xfId="6" applyFont="1" applyFill="1" applyBorder="1"/>
    <xf numFmtId="4" fontId="192" fillId="0" borderId="0" xfId="0" applyNumberFormat="1" applyFont="1" applyBorder="1"/>
    <xf numFmtId="43" fontId="193" fillId="0" borderId="0" xfId="66" applyNumberFormat="1" applyFont="1"/>
    <xf numFmtId="0" fontId="200" fillId="19" borderId="0" xfId="66" applyFont="1" applyFill="1"/>
    <xf numFmtId="43" fontId="201" fillId="0" borderId="0" xfId="0" applyNumberFormat="1" applyFont="1"/>
    <xf numFmtId="0" fontId="192" fillId="0" borderId="0" xfId="0" applyFont="1" applyFill="1"/>
    <xf numFmtId="2" fontId="192" fillId="0" borderId="0" xfId="0" applyNumberFormat="1" applyFont="1" applyFill="1"/>
    <xf numFmtId="0" fontId="192" fillId="0" borderId="8" xfId="0" applyFont="1" applyBorder="1"/>
    <xf numFmtId="49" fontId="192" fillId="0" borderId="8" xfId="0" applyNumberFormat="1" applyFont="1" applyBorder="1"/>
    <xf numFmtId="4" fontId="192" fillId="0" borderId="8" xfId="0" applyNumberFormat="1" applyFont="1" applyBorder="1"/>
    <xf numFmtId="182" fontId="193" fillId="0" borderId="0" xfId="0" applyNumberFormat="1" applyFont="1" applyBorder="1"/>
    <xf numFmtId="2" fontId="191" fillId="15" borderId="0" xfId="6" applyNumberFormat="1" applyFont="1" applyFill="1" applyBorder="1" applyAlignment="1" applyProtection="1"/>
    <xf numFmtId="43" fontId="192" fillId="0" borderId="8" xfId="66" applyNumberFormat="1" applyFont="1" applyBorder="1"/>
    <xf numFmtId="43" fontId="129" fillId="5" borderId="0" xfId="6" applyFont="1" applyFill="1"/>
    <xf numFmtId="43" fontId="198" fillId="5" borderId="0" xfId="1" applyNumberFormat="1" applyFont="1" applyFill="1"/>
    <xf numFmtId="0" fontId="197" fillId="16" borderId="0" xfId="66" applyFont="1" applyFill="1" applyAlignment="1">
      <alignment horizontal="center"/>
    </xf>
    <xf numFmtId="43" fontId="192" fillId="0" borderId="8" xfId="6" applyFont="1" applyBorder="1"/>
    <xf numFmtId="43" fontId="130" fillId="0" borderId="0" xfId="1" applyNumberFormat="1" applyFont="1" applyFill="1"/>
    <xf numFmtId="14" fontId="192" fillId="18" borderId="0" xfId="0" applyNumberFormat="1" applyFont="1" applyFill="1" applyBorder="1" applyAlignment="1">
      <alignment horizontal="center"/>
    </xf>
    <xf numFmtId="49" fontId="192" fillId="18" borderId="0" xfId="0" applyNumberFormat="1" applyFont="1" applyFill="1" applyBorder="1" applyAlignment="1">
      <alignment horizontal="center"/>
    </xf>
    <xf numFmtId="0" fontId="192" fillId="18" borderId="0" xfId="0" applyFont="1" applyFill="1" applyBorder="1"/>
    <xf numFmtId="43" fontId="192" fillId="18" borderId="0" xfId="6" applyFont="1" applyFill="1" applyBorder="1" applyAlignment="1">
      <alignment horizontal="center"/>
    </xf>
    <xf numFmtId="43" fontId="192" fillId="18" borderId="0" xfId="6" applyFont="1" applyFill="1" applyBorder="1"/>
    <xf numFmtId="2" fontId="192" fillId="18" borderId="0" xfId="0" applyNumberFormat="1" applyFont="1" applyFill="1"/>
    <xf numFmtId="0" fontId="190" fillId="15" borderId="5" xfId="0" quotePrefix="1" applyFont="1" applyFill="1" applyBorder="1" applyAlignment="1">
      <alignment horizontal="left"/>
    </xf>
    <xf numFmtId="40" fontId="189" fillId="17" borderId="35" xfId="0" applyNumberFormat="1" applyFont="1" applyFill="1" applyBorder="1" applyAlignment="1" applyProtection="1">
      <alignment horizontal="center"/>
    </xf>
    <xf numFmtId="15" fontId="190" fillId="15" borderId="6" xfId="0" applyNumberFormat="1" applyFont="1" applyFill="1" applyBorder="1" applyAlignment="1" applyProtection="1">
      <alignment horizontal="left"/>
    </xf>
    <xf numFmtId="4" fontId="189" fillId="15" borderId="1" xfId="0" applyNumberFormat="1" applyFont="1" applyFill="1" applyBorder="1" applyAlignment="1" applyProtection="1">
      <alignment horizontal="center"/>
    </xf>
    <xf numFmtId="39" fontId="189" fillId="15" borderId="1" xfId="0" quotePrefix="1" applyNumberFormat="1" applyFont="1" applyFill="1" applyBorder="1" applyAlignment="1" applyProtection="1">
      <alignment horizontal="center"/>
    </xf>
    <xf numFmtId="4" fontId="189" fillId="17" borderId="1" xfId="0" applyNumberFormat="1" applyFont="1" applyFill="1" applyBorder="1" applyAlignment="1" applyProtection="1">
      <alignment horizontal="center"/>
    </xf>
    <xf numFmtId="39" fontId="189" fillId="15" borderId="6" xfId="0" applyNumberFormat="1" applyFont="1" applyFill="1" applyBorder="1" applyAlignment="1" applyProtection="1">
      <alignment horizontal="center"/>
    </xf>
    <xf numFmtId="40" fontId="189" fillId="17" borderId="36" xfId="0" applyNumberFormat="1" applyFont="1" applyFill="1" applyBorder="1" applyAlignment="1" applyProtection="1">
      <alignment horizontal="center"/>
    </xf>
    <xf numFmtId="49" fontId="188" fillId="15" borderId="0" xfId="0" applyNumberFormat="1" applyFont="1" applyFill="1" applyBorder="1" applyAlignment="1">
      <alignment horizontal="center" wrapText="1"/>
    </xf>
    <xf numFmtId="49" fontId="188" fillId="15" borderId="0" xfId="0" applyNumberFormat="1" applyFont="1" applyFill="1" applyBorder="1" applyAlignment="1"/>
    <xf numFmtId="4" fontId="189" fillId="15" borderId="2" xfId="0" applyNumberFormat="1" applyFont="1" applyFill="1" applyBorder="1" applyAlignment="1" applyProtection="1">
      <alignment horizontal="center"/>
    </xf>
    <xf numFmtId="39" fontId="189" fillId="15" borderId="4" xfId="0" applyNumberFormat="1" applyFont="1" applyFill="1" applyBorder="1" applyAlignment="1" applyProtection="1">
      <alignment horizontal="center"/>
    </xf>
    <xf numFmtId="40" fontId="189" fillId="15" borderId="2" xfId="0" applyNumberFormat="1" applyFont="1" applyFill="1" applyBorder="1" applyAlignment="1" applyProtection="1">
      <alignment horizontal="center"/>
    </xf>
    <xf numFmtId="39" fontId="189" fillId="15" borderId="3" xfId="0" applyNumberFormat="1" applyFont="1" applyFill="1" applyBorder="1" applyAlignment="1" applyProtection="1">
      <alignment horizontal="center"/>
    </xf>
    <xf numFmtId="40" fontId="189" fillId="15" borderId="4" xfId="0" applyNumberFormat="1" applyFont="1" applyFill="1" applyBorder="1" applyAlignment="1">
      <alignment horizontal="center"/>
    </xf>
    <xf numFmtId="43" fontId="130" fillId="17" borderId="0" xfId="0" applyNumberFormat="1" applyFont="1" applyFill="1"/>
    <xf numFmtId="4" fontId="189" fillId="15" borderId="2" xfId="0" applyNumberFormat="1" applyFont="1" applyFill="1" applyBorder="1" applyAlignment="1" applyProtection="1">
      <alignment horizontal="centerContinuous"/>
    </xf>
    <xf numFmtId="39" fontId="189" fillId="15" borderId="4" xfId="0" applyNumberFormat="1" applyFont="1" applyFill="1" applyBorder="1" applyAlignment="1" applyProtection="1">
      <alignment horizontal="centerContinuous"/>
    </xf>
    <xf numFmtId="40" fontId="189" fillId="15" borderId="2" xfId="0" applyNumberFormat="1" applyFont="1" applyFill="1" applyBorder="1" applyAlignment="1" applyProtection="1">
      <alignment horizontal="centerContinuous"/>
    </xf>
    <xf numFmtId="39" fontId="189" fillId="15" borderId="3" xfId="0" applyNumberFormat="1" applyFont="1" applyFill="1" applyBorder="1" applyAlignment="1" applyProtection="1">
      <alignment horizontal="centerContinuous"/>
    </xf>
    <xf numFmtId="40" fontId="189" fillId="15" borderId="4" xfId="0" applyNumberFormat="1" applyFont="1" applyFill="1" applyBorder="1" applyAlignment="1">
      <alignment horizontal="centerContinuous"/>
    </xf>
    <xf numFmtId="49" fontId="188" fillId="15" borderId="0" xfId="0" applyNumberFormat="1" applyFont="1" applyFill="1" applyBorder="1" applyAlignment="1">
      <alignment horizontal="center" vertical="center"/>
    </xf>
    <xf numFmtId="43" fontId="191" fillId="0" borderId="0" xfId="6" applyFont="1" applyFill="1" applyBorder="1" applyAlignment="1" applyProtection="1"/>
    <xf numFmtId="44" fontId="196" fillId="0" borderId="0" xfId="8" applyFont="1" applyAlignment="1">
      <alignment horizontal="center"/>
    </xf>
    <xf numFmtId="44" fontId="192" fillId="0" borderId="0" xfId="8" applyFont="1" applyFill="1"/>
    <xf numFmtId="44" fontId="192" fillId="0" borderId="0" xfId="8" applyFont="1" applyBorder="1"/>
    <xf numFmtId="14" fontId="192" fillId="17" borderId="0" xfId="0" applyNumberFormat="1" applyFont="1" applyFill="1" applyBorder="1" applyAlignment="1">
      <alignment horizontal="center"/>
    </xf>
    <xf numFmtId="49" fontId="192" fillId="17" borderId="0" xfId="0" applyNumberFormat="1" applyFont="1" applyFill="1" applyBorder="1" applyAlignment="1">
      <alignment horizontal="center"/>
    </xf>
    <xf numFmtId="0" fontId="192" fillId="17" borderId="0" xfId="0" applyFont="1" applyFill="1" applyBorder="1"/>
    <xf numFmtId="43" fontId="192" fillId="17" borderId="0" xfId="6" applyFont="1" applyFill="1" applyBorder="1"/>
    <xf numFmtId="2" fontId="192" fillId="17" borderId="0" xfId="0" applyNumberFormat="1" applyFont="1" applyFill="1"/>
    <xf numFmtId="43" fontId="192" fillId="17" borderId="0" xfId="6" applyFont="1" applyFill="1" applyBorder="1" applyAlignment="1">
      <alignment horizontal="center"/>
    </xf>
    <xf numFmtId="0" fontId="192" fillId="17" borderId="0" xfId="66" applyFont="1" applyFill="1"/>
    <xf numFmtId="43" fontId="193" fillId="17" borderId="0" xfId="6" applyFont="1" applyFill="1" applyBorder="1"/>
    <xf numFmtId="0" fontId="191" fillId="20" borderId="0" xfId="0" applyFont="1" applyFill="1" applyBorder="1" applyAlignment="1">
      <alignment horizontal="left" vertical="center"/>
    </xf>
    <xf numFmtId="43" fontId="192" fillId="15" borderId="0" xfId="6" applyFont="1" applyFill="1"/>
    <xf numFmtId="0" fontId="127" fillId="21" borderId="0" xfId="148" quotePrefix="1" applyNumberFormat="1" applyFont="1" applyFill="1"/>
    <xf numFmtId="0" fontId="192" fillId="21" borderId="0" xfId="66" applyFont="1" applyFill="1"/>
    <xf numFmtId="43" fontId="192" fillId="21" borderId="0" xfId="6" applyFont="1" applyFill="1"/>
    <xf numFmtId="0" fontId="192" fillId="15" borderId="0" xfId="66" applyFont="1" applyFill="1"/>
    <xf numFmtId="0" fontId="182" fillId="0" borderId="0" xfId="11" applyFont="1" applyProtection="1">
      <protection locked="0"/>
    </xf>
    <xf numFmtId="37" fontId="182" fillId="0" borderId="0" xfId="11" applyNumberFormat="1" applyFont="1" applyAlignment="1" applyProtection="1">
      <alignment horizontal="right"/>
      <protection locked="0"/>
    </xf>
    <xf numFmtId="174" fontId="191" fillId="17" borderId="0" xfId="0" applyNumberFormat="1" applyFont="1" applyFill="1" applyBorder="1" applyAlignment="1" applyProtection="1">
      <alignment horizontal="right"/>
    </xf>
    <xf numFmtId="43" fontId="192" fillId="0" borderId="8" xfId="6" applyFont="1" applyFill="1" applyBorder="1"/>
    <xf numFmtId="43" fontId="193" fillId="0" borderId="0" xfId="6" applyFont="1" applyFill="1" applyBorder="1"/>
    <xf numFmtId="175" fontId="178" fillId="15" borderId="12" xfId="0" applyNumberFormat="1" applyFont="1" applyFill="1" applyBorder="1" applyAlignment="1" applyProtection="1">
      <alignment horizontal="center"/>
    </xf>
    <xf numFmtId="43" fontId="192" fillId="0" borderId="0" xfId="6" applyFont="1" applyBorder="1"/>
    <xf numFmtId="43" fontId="193" fillId="0" borderId="0" xfId="6" applyFont="1" applyBorder="1"/>
    <xf numFmtId="0" fontId="192" fillId="22" borderId="0" xfId="66" applyFont="1" applyFill="1"/>
    <xf numFmtId="0" fontId="192" fillId="0" borderId="8" xfId="66" applyFont="1" applyBorder="1"/>
    <xf numFmtId="49" fontId="192" fillId="0" borderId="8" xfId="66" applyNumberFormat="1" applyFont="1" applyBorder="1"/>
    <xf numFmtId="14" fontId="192" fillId="17" borderId="0" xfId="66" applyNumberFormat="1" applyFont="1" applyFill="1" applyBorder="1"/>
    <xf numFmtId="49" fontId="192" fillId="17" borderId="0" xfId="66" applyNumberFormat="1" applyFont="1" applyFill="1" applyBorder="1"/>
    <xf numFmtId="43" fontId="192" fillId="17" borderId="0" xfId="6" applyNumberFormat="1" applyFont="1" applyFill="1" applyBorder="1"/>
    <xf numFmtId="0" fontId="182" fillId="0" borderId="0" xfId="11" applyFont="1" applyAlignment="1" applyProtection="1">
      <alignment horizontal="left"/>
      <protection locked="0"/>
    </xf>
    <xf numFmtId="0" fontId="202" fillId="0" borderId="0" xfId="11" applyFont="1" applyFill="1" applyProtection="1">
      <protection locked="0"/>
    </xf>
    <xf numFmtId="0" fontId="182" fillId="0" borderId="0" xfId="11" applyFont="1" applyFill="1" applyAlignment="1" applyProtection="1">
      <alignment horizontal="left"/>
      <protection locked="0"/>
    </xf>
    <xf numFmtId="0" fontId="203" fillId="0" borderId="0" xfId="11" applyFont="1" applyFill="1" applyProtection="1">
      <protection locked="0"/>
    </xf>
    <xf numFmtId="1" fontId="182" fillId="0" borderId="0" xfId="11" applyNumberFormat="1" applyFont="1" applyFill="1" applyAlignment="1" applyProtection="1">
      <alignment horizontal="left"/>
      <protection locked="0"/>
    </xf>
    <xf numFmtId="0" fontId="182" fillId="0" borderId="0" xfId="11" applyFont="1" applyFill="1" applyBorder="1" applyAlignment="1" applyProtection="1">
      <alignment horizontal="left"/>
      <protection locked="0"/>
    </xf>
    <xf numFmtId="0" fontId="182" fillId="0" borderId="0" xfId="11" applyFont="1" applyFill="1" applyBorder="1" applyProtection="1">
      <protection locked="0"/>
    </xf>
    <xf numFmtId="2" fontId="182" fillId="0" borderId="0" xfId="11" applyNumberFormat="1" applyFont="1" applyProtection="1">
      <protection locked="0"/>
    </xf>
    <xf numFmtId="9" fontId="182" fillId="0" borderId="0" xfId="11" applyNumberFormat="1" applyFont="1" applyFill="1" applyAlignment="1" applyProtection="1">
      <alignment horizontal="left"/>
      <protection locked="0"/>
    </xf>
    <xf numFmtId="0" fontId="182" fillId="0" borderId="0" xfId="11" applyFont="1" applyFill="1" applyProtection="1">
      <protection locked="0"/>
    </xf>
    <xf numFmtId="9" fontId="182" fillId="0" borderId="0" xfId="11" quotePrefix="1" applyNumberFormat="1" applyFont="1" applyAlignment="1" applyProtection="1">
      <alignment horizontal="left"/>
      <protection locked="0"/>
    </xf>
    <xf numFmtId="0" fontId="196" fillId="0" borderId="0" xfId="0" applyFont="1" applyAlignment="1">
      <alignment horizontal="center"/>
    </xf>
    <xf numFmtId="0" fontId="192" fillId="0" borderId="0" xfId="0" applyFont="1"/>
    <xf numFmtId="182" fontId="192" fillId="0" borderId="0" xfId="0" applyNumberFormat="1" applyFont="1" applyBorder="1"/>
    <xf numFmtId="39" fontId="178" fillId="15" borderId="0" xfId="12" applyFont="1" applyFill="1" applyProtection="1">
      <protection locked="0"/>
    </xf>
    <xf numFmtId="39" fontId="184" fillId="15" borderId="0" xfId="12" applyFont="1" applyFill="1" applyAlignment="1" applyProtection="1">
      <alignment horizontal="left"/>
      <protection locked="0"/>
    </xf>
    <xf numFmtId="39" fontId="186" fillId="15" borderId="0" xfId="12" quotePrefix="1" applyFont="1" applyFill="1" applyAlignment="1" applyProtection="1">
      <alignment horizontal="left"/>
      <protection locked="0"/>
    </xf>
    <xf numFmtId="39" fontId="186" fillId="15" borderId="0" xfId="12" applyFont="1" applyFill="1" applyAlignment="1" applyProtection="1">
      <alignment horizontal="left"/>
      <protection locked="0"/>
    </xf>
    <xf numFmtId="40" fontId="186" fillId="15" borderId="0" xfId="12" applyNumberFormat="1" applyFont="1" applyFill="1" applyAlignment="1" applyProtection="1">
      <alignment horizontal="left"/>
      <protection locked="0"/>
    </xf>
    <xf numFmtId="40" fontId="186" fillId="15" borderId="0" xfId="12" applyNumberFormat="1" applyFont="1" applyFill="1" applyProtection="1">
      <protection locked="0"/>
    </xf>
    <xf numFmtId="39" fontId="186" fillId="15" borderId="0" xfId="12" applyFont="1" applyFill="1" applyProtection="1">
      <protection locked="0"/>
    </xf>
    <xf numFmtId="39" fontId="187" fillId="15" borderId="0" xfId="12" applyFont="1" applyFill="1" applyAlignment="1" applyProtection="1">
      <alignment horizontal="left"/>
      <protection locked="0"/>
    </xf>
    <xf numFmtId="178" fontId="187" fillId="15" borderId="0" xfId="12" applyNumberFormat="1" applyFont="1" applyFill="1" applyAlignment="1" applyProtection="1">
      <alignment horizontal="left"/>
      <protection locked="0"/>
    </xf>
    <xf numFmtId="39" fontId="178" fillId="15" borderId="0" xfId="12" applyFont="1" applyFill="1" applyAlignment="1" applyProtection="1">
      <alignment horizontal="left"/>
      <protection locked="0"/>
    </xf>
    <xf numFmtId="0" fontId="187" fillId="15" borderId="0" xfId="12" applyNumberFormat="1" applyFont="1" applyFill="1" applyAlignment="1" applyProtection="1">
      <alignment horizontal="center"/>
      <protection locked="0"/>
    </xf>
    <xf numFmtId="49" fontId="188" fillId="15" borderId="0" xfId="188" applyNumberFormat="1" applyFont="1" applyFill="1" applyBorder="1" applyAlignment="1">
      <alignment horizontal="center"/>
    </xf>
    <xf numFmtId="40" fontId="178" fillId="15" borderId="0" xfId="12" applyNumberFormat="1" applyFont="1" applyFill="1" applyProtection="1">
      <protection locked="0"/>
    </xf>
    <xf numFmtId="15" fontId="178" fillId="15" borderId="0" xfId="188" quotePrefix="1" applyNumberFormat="1" applyFont="1" applyFill="1" applyBorder="1" applyAlignment="1" applyProtection="1">
      <alignment horizontal="left"/>
    </xf>
    <xf numFmtId="49" fontId="178" fillId="15" borderId="0" xfId="188" applyNumberFormat="1" applyFont="1" applyFill="1" applyBorder="1" applyAlignment="1">
      <alignment horizontal="right"/>
    </xf>
    <xf numFmtId="175" fontId="178" fillId="15" borderId="0" xfId="188" applyNumberFormat="1" applyFont="1" applyFill="1" applyBorder="1"/>
    <xf numFmtId="1" fontId="178" fillId="15" borderId="0" xfId="188" applyNumberFormat="1" applyFont="1" applyFill="1" applyBorder="1" applyAlignment="1" applyProtection="1">
      <alignment horizontal="right"/>
    </xf>
    <xf numFmtId="1" fontId="178" fillId="15" borderId="0" xfId="188" applyNumberFormat="1" applyFont="1" applyFill="1" applyBorder="1" applyAlignment="1" applyProtection="1">
      <alignment horizontal="center"/>
    </xf>
    <xf numFmtId="0" fontId="178" fillId="15" borderId="0" xfId="188" applyFont="1" applyFill="1" applyBorder="1"/>
    <xf numFmtId="4" fontId="178" fillId="15" borderId="0" xfId="188" applyNumberFormat="1" applyFont="1" applyFill="1" applyBorder="1" applyAlignment="1" applyProtection="1">
      <alignment horizontal="right"/>
    </xf>
    <xf numFmtId="39" fontId="178" fillId="15" borderId="0" xfId="188" applyNumberFormat="1" applyFont="1" applyFill="1" applyBorder="1" applyProtection="1"/>
    <xf numFmtId="40" fontId="178" fillId="15" borderId="0" xfId="188" applyNumberFormat="1" applyFont="1" applyFill="1" applyBorder="1" applyProtection="1"/>
    <xf numFmtId="4" fontId="178" fillId="15" borderId="0" xfId="188" applyNumberFormat="1" applyFont="1" applyFill="1" applyBorder="1" applyAlignment="1" applyProtection="1">
      <alignment horizontal="center"/>
    </xf>
    <xf numFmtId="1" fontId="179" fillId="15" borderId="0" xfId="188" applyNumberFormat="1" applyFont="1" applyFill="1" applyBorder="1" applyAlignment="1" applyProtection="1">
      <alignment horizontal="center"/>
    </xf>
    <xf numFmtId="0" fontId="188" fillId="15" borderId="0" xfId="188" applyFont="1" applyFill="1" applyBorder="1" applyAlignment="1">
      <alignment horizontal="left"/>
    </xf>
    <xf numFmtId="0" fontId="179" fillId="15" borderId="0" xfId="188" quotePrefix="1" applyFont="1" applyFill="1" applyBorder="1" applyAlignment="1">
      <alignment horizontal="right"/>
    </xf>
    <xf numFmtId="176" fontId="178" fillId="15" borderId="0" xfId="188" applyNumberFormat="1" applyFont="1" applyFill="1" applyBorder="1"/>
    <xf numFmtId="49" fontId="178" fillId="15" borderId="0" xfId="188" applyNumberFormat="1" applyFont="1" applyFill="1" applyBorder="1" applyAlignment="1" applyProtection="1">
      <alignment horizontal="right"/>
    </xf>
    <xf numFmtId="175" fontId="178" fillId="15" borderId="0" xfId="188" applyNumberFormat="1" applyFont="1" applyFill="1" applyBorder="1" applyProtection="1"/>
    <xf numFmtId="0" fontId="178" fillId="15" borderId="0" xfId="188" applyFont="1" applyFill="1" applyBorder="1" applyAlignment="1">
      <alignment horizontal="left"/>
    </xf>
    <xf numFmtId="9" fontId="178" fillId="15" borderId="0" xfId="14" applyFont="1" applyFill="1" applyBorder="1" applyProtection="1"/>
    <xf numFmtId="9" fontId="178" fillId="15" borderId="0" xfId="14" applyFont="1" applyFill="1" applyBorder="1" applyAlignment="1" applyProtection="1">
      <alignment horizontal="center"/>
    </xf>
    <xf numFmtId="176" fontId="190" fillId="15" borderId="5" xfId="188" applyNumberFormat="1" applyFont="1" applyFill="1" applyBorder="1" applyAlignment="1">
      <alignment horizontal="center"/>
    </xf>
    <xf numFmtId="49" fontId="190" fillId="15" borderId="5" xfId="188" applyNumberFormat="1" applyFont="1" applyFill="1" applyBorder="1" applyAlignment="1">
      <alignment horizontal="left"/>
    </xf>
    <xf numFmtId="175" fontId="190" fillId="15" borderId="5" xfId="188" applyNumberFormat="1" applyFont="1" applyFill="1" applyBorder="1" applyAlignment="1">
      <alignment horizontal="center"/>
    </xf>
    <xf numFmtId="1" fontId="190" fillId="15" borderId="5" xfId="188" quotePrefix="1" applyNumberFormat="1" applyFont="1" applyFill="1" applyBorder="1" applyAlignment="1" applyProtection="1">
      <alignment horizontal="center"/>
    </xf>
    <xf numFmtId="0" fontId="190" fillId="15" borderId="5" xfId="188" quotePrefix="1" applyFont="1" applyFill="1" applyBorder="1" applyAlignment="1">
      <alignment horizontal="left"/>
    </xf>
    <xf numFmtId="4" fontId="189" fillId="15" borderId="2" xfId="188" applyNumberFormat="1" applyFont="1" applyFill="1" applyBorder="1" applyAlignment="1" applyProtection="1">
      <alignment horizontal="centerContinuous"/>
    </xf>
    <xf numFmtId="39" fontId="189" fillId="15" borderId="4" xfId="188" applyNumberFormat="1" applyFont="1" applyFill="1" applyBorder="1" applyAlignment="1" applyProtection="1">
      <alignment horizontal="centerContinuous"/>
    </xf>
    <xf numFmtId="40" fontId="189" fillId="15" borderId="2" xfId="188" applyNumberFormat="1" applyFont="1" applyFill="1" applyBorder="1" applyAlignment="1" applyProtection="1">
      <alignment horizontal="centerContinuous"/>
    </xf>
    <xf numFmtId="39" fontId="189" fillId="15" borderId="3" xfId="188" applyNumberFormat="1" applyFont="1" applyFill="1" applyBorder="1" applyAlignment="1" applyProtection="1">
      <alignment horizontal="centerContinuous"/>
    </xf>
    <xf numFmtId="40" fontId="189" fillId="15" borderId="4" xfId="188" applyNumberFormat="1" applyFont="1" applyFill="1" applyBorder="1" applyAlignment="1">
      <alignment horizontal="centerContinuous"/>
    </xf>
    <xf numFmtId="40" fontId="189" fillId="17" borderId="35" xfId="188" applyNumberFormat="1" applyFont="1" applyFill="1" applyBorder="1" applyAlignment="1" applyProtection="1">
      <alignment horizontal="center"/>
    </xf>
    <xf numFmtId="39" fontId="190" fillId="15" borderId="35" xfId="188" applyNumberFormat="1" applyFont="1" applyFill="1" applyBorder="1" applyAlignment="1" applyProtection="1">
      <alignment horizontal="center"/>
    </xf>
    <xf numFmtId="39" fontId="190" fillId="15" borderId="35" xfId="188" quotePrefix="1" applyNumberFormat="1" applyFont="1" applyFill="1" applyBorder="1" applyAlignment="1" applyProtection="1">
      <alignment horizontal="center"/>
    </xf>
    <xf numFmtId="4" fontId="189" fillId="15" borderId="5" xfId="188" applyNumberFormat="1" applyFont="1" applyFill="1" applyBorder="1" applyAlignment="1" applyProtection="1">
      <alignment horizontal="center"/>
    </xf>
    <xf numFmtId="176" fontId="190" fillId="15" borderId="6" xfId="188" applyNumberFormat="1" applyFont="1" applyFill="1" applyBorder="1" applyAlignment="1">
      <alignment horizontal="center"/>
    </xf>
    <xf numFmtId="49" fontId="190" fillId="15" borderId="6" xfId="188" quotePrefix="1" applyNumberFormat="1" applyFont="1" applyFill="1" applyBorder="1" applyAlignment="1" applyProtection="1">
      <alignment horizontal="left"/>
    </xf>
    <xf numFmtId="175" fontId="190" fillId="15" borderId="6" xfId="188" quotePrefix="1" applyNumberFormat="1" applyFont="1" applyFill="1" applyBorder="1" applyAlignment="1">
      <alignment horizontal="center"/>
    </xf>
    <xf numFmtId="15" fontId="190" fillId="15" borderId="6" xfId="188" quotePrefix="1" applyNumberFormat="1" applyFont="1" applyFill="1" applyBorder="1" applyAlignment="1">
      <alignment horizontal="center"/>
    </xf>
    <xf numFmtId="15" fontId="190" fillId="15" borderId="6" xfId="188" applyNumberFormat="1" applyFont="1" applyFill="1" applyBorder="1" applyAlignment="1">
      <alignment horizontal="center"/>
    </xf>
    <xf numFmtId="15" fontId="190" fillId="15" borderId="6" xfId="188" applyNumberFormat="1" applyFont="1" applyFill="1" applyBorder="1" applyAlignment="1" applyProtection="1">
      <alignment horizontal="left"/>
    </xf>
    <xf numFmtId="4" fontId="189" fillId="15" borderId="1" xfId="188" applyNumberFormat="1" applyFont="1" applyFill="1" applyBorder="1" applyAlignment="1" applyProtection="1">
      <alignment horizontal="center"/>
    </xf>
    <xf numFmtId="39" fontId="189" fillId="15" borderId="1" xfId="188" quotePrefix="1" applyNumberFormat="1" applyFont="1" applyFill="1" applyBorder="1" applyAlignment="1" applyProtection="1">
      <alignment horizontal="center"/>
    </xf>
    <xf numFmtId="4" fontId="189" fillId="17" borderId="1" xfId="188" applyNumberFormat="1" applyFont="1" applyFill="1" applyBorder="1" applyAlignment="1" applyProtection="1">
      <alignment horizontal="center"/>
    </xf>
    <xf numFmtId="39" fontId="189" fillId="15" borderId="6" xfId="188" applyNumberFormat="1" applyFont="1" applyFill="1" applyBorder="1" applyAlignment="1" applyProtection="1">
      <alignment horizontal="center"/>
    </xf>
    <xf numFmtId="40" fontId="189" fillId="17" borderId="36" xfId="188" applyNumberFormat="1" applyFont="1" applyFill="1" applyBorder="1" applyAlignment="1" applyProtection="1">
      <alignment horizontal="center"/>
    </xf>
    <xf numFmtId="39" fontId="190" fillId="15" borderId="36" xfId="188" applyNumberFormat="1" applyFont="1" applyFill="1" applyBorder="1" applyAlignment="1" applyProtection="1">
      <alignment horizontal="center"/>
    </xf>
    <xf numFmtId="4" fontId="189" fillId="15" borderId="6" xfId="188" applyNumberFormat="1" applyFont="1" applyFill="1" applyBorder="1" applyAlignment="1" applyProtection="1">
      <alignment horizontal="center"/>
    </xf>
    <xf numFmtId="176" fontId="191" fillId="15" borderId="0" xfId="188" applyNumberFormat="1" applyFont="1" applyFill="1" applyBorder="1" applyAlignment="1">
      <alignment horizontal="center"/>
    </xf>
    <xf numFmtId="174" fontId="191" fillId="15" borderId="0" xfId="188" applyNumberFormat="1" applyFont="1" applyFill="1" applyBorder="1" applyAlignment="1" applyProtection="1"/>
    <xf numFmtId="49" fontId="191" fillId="15" borderId="0" xfId="188" applyNumberFormat="1" applyFont="1" applyFill="1" applyBorder="1" applyAlignment="1">
      <alignment horizontal="center"/>
    </xf>
    <xf numFmtId="49" fontId="191" fillId="15" borderId="0" xfId="188" applyNumberFormat="1" applyFont="1" applyFill="1" applyBorder="1" applyAlignment="1">
      <alignment horizontal="left"/>
    </xf>
    <xf numFmtId="0" fontId="191" fillId="15" borderId="0" xfId="188" applyFont="1" applyFill="1" applyBorder="1" applyAlignment="1">
      <alignment horizontal="left" vertical="center"/>
    </xf>
    <xf numFmtId="43" fontId="191" fillId="15" borderId="0" xfId="6" applyFont="1" applyFill="1" applyBorder="1" applyAlignment="1" applyProtection="1"/>
    <xf numFmtId="43" fontId="191" fillId="15" borderId="0" xfId="6" applyFont="1" applyFill="1" applyBorder="1" applyAlignment="1" applyProtection="1">
      <alignment horizontal="right"/>
    </xf>
    <xf numFmtId="43" fontId="191" fillId="17" borderId="0" xfId="6" applyFont="1" applyFill="1" applyBorder="1" applyAlignment="1" applyProtection="1"/>
    <xf numFmtId="174" fontId="191" fillId="15" borderId="0" xfId="188" applyNumberFormat="1" applyFont="1" applyFill="1" applyBorder="1" applyAlignment="1" applyProtection="1">
      <alignment horizontal="right"/>
    </xf>
    <xf numFmtId="49" fontId="188" fillId="15" borderId="0" xfId="188" applyNumberFormat="1" applyFont="1" applyFill="1" applyBorder="1" applyAlignment="1">
      <alignment horizontal="center" vertical="center" wrapText="1"/>
    </xf>
    <xf numFmtId="2" fontId="191" fillId="15" borderId="0" xfId="6" applyNumberFormat="1" applyFont="1" applyFill="1" applyBorder="1" applyAlignment="1" applyProtection="1"/>
    <xf numFmtId="49" fontId="188" fillId="15" borderId="0" xfId="188" applyNumberFormat="1" applyFont="1" applyFill="1" applyBorder="1" applyAlignment="1">
      <alignment horizontal="center" vertical="center"/>
    </xf>
    <xf numFmtId="176" fontId="178" fillId="15" borderId="12" xfId="188" applyNumberFormat="1" applyFont="1" applyFill="1" applyBorder="1"/>
    <xf numFmtId="49" fontId="178" fillId="15" borderId="12" xfId="188" applyNumberFormat="1" applyFont="1" applyFill="1" applyBorder="1" applyAlignment="1" applyProtection="1">
      <alignment horizontal="right"/>
    </xf>
    <xf numFmtId="175" fontId="179" fillId="15" borderId="12" xfId="188" applyNumberFormat="1" applyFont="1" applyFill="1" applyBorder="1" applyAlignment="1" applyProtection="1">
      <alignment horizontal="center"/>
    </xf>
    <xf numFmtId="49" fontId="178" fillId="15" borderId="12" xfId="188" applyNumberFormat="1" applyFont="1" applyFill="1" applyBorder="1" applyAlignment="1" applyProtection="1">
      <alignment horizontal="center"/>
    </xf>
    <xf numFmtId="49" fontId="178" fillId="15" borderId="12" xfId="188" applyNumberFormat="1" applyFont="1" applyFill="1" applyBorder="1" applyAlignment="1">
      <alignment horizontal="left"/>
    </xf>
    <xf numFmtId="0" fontId="178" fillId="15" borderId="12" xfId="188" applyFont="1" applyFill="1" applyBorder="1" applyAlignment="1">
      <alignment horizontal="left"/>
    </xf>
    <xf numFmtId="40" fontId="178" fillId="15" borderId="12" xfId="188" applyNumberFormat="1" applyFont="1" applyFill="1" applyBorder="1" applyAlignment="1" applyProtection="1">
      <alignment horizontal="right"/>
    </xf>
    <xf numFmtId="40" fontId="178" fillId="15" borderId="12" xfId="188" applyNumberFormat="1" applyFont="1" applyFill="1" applyBorder="1" applyProtection="1"/>
    <xf numFmtId="0" fontId="178" fillId="15" borderId="12" xfId="188" applyFont="1" applyFill="1" applyBorder="1"/>
    <xf numFmtId="40" fontId="178" fillId="15" borderId="12" xfId="188" applyNumberFormat="1" applyFont="1" applyFill="1" applyBorder="1" applyAlignment="1" applyProtection="1"/>
    <xf numFmtId="175" fontId="178" fillId="15" borderId="0" xfId="188" applyNumberFormat="1" applyFont="1" applyFill="1" applyBorder="1" applyAlignment="1" applyProtection="1">
      <alignment horizontal="center"/>
    </xf>
    <xf numFmtId="49" fontId="178" fillId="15" borderId="0" xfId="188" applyNumberFormat="1" applyFont="1" applyFill="1" applyBorder="1" applyAlignment="1" applyProtection="1">
      <alignment horizontal="center"/>
    </xf>
    <xf numFmtId="49" fontId="178" fillId="15" borderId="0" xfId="188" applyNumberFormat="1" applyFont="1" applyFill="1" applyBorder="1" applyAlignment="1">
      <alignment horizontal="left"/>
    </xf>
    <xf numFmtId="40" fontId="178" fillId="15" borderId="0" xfId="188" applyNumberFormat="1" applyFont="1" applyFill="1" applyBorder="1" applyAlignment="1" applyProtection="1">
      <alignment horizontal="right"/>
    </xf>
    <xf numFmtId="40" fontId="178" fillId="15" borderId="0" xfId="188" applyNumberFormat="1" applyFont="1" applyFill="1" applyBorder="1"/>
    <xf numFmtId="40" fontId="178" fillId="15" borderId="0" xfId="188" applyNumberFormat="1" applyFont="1" applyFill="1" applyBorder="1" applyAlignment="1" applyProtection="1"/>
    <xf numFmtId="49" fontId="178" fillId="15" borderId="0" xfId="188" applyNumberFormat="1" applyFont="1" applyFill="1" applyBorder="1" applyAlignment="1">
      <alignment horizontal="center"/>
    </xf>
    <xf numFmtId="40" fontId="178" fillId="15" borderId="0" xfId="188" applyNumberFormat="1" applyFont="1" applyFill="1" applyBorder="1" applyAlignment="1">
      <alignment horizontal="center"/>
    </xf>
    <xf numFmtId="49" fontId="178" fillId="15" borderId="12" xfId="188" applyNumberFormat="1" applyFont="1" applyFill="1" applyBorder="1" applyAlignment="1">
      <alignment horizontal="right"/>
    </xf>
    <xf numFmtId="175" fontId="178" fillId="15" borderId="12" xfId="188" applyNumberFormat="1" applyFont="1" applyFill="1" applyBorder="1"/>
    <xf numFmtId="49" fontId="178" fillId="15" borderId="12" xfId="188" applyNumberFormat="1" applyFont="1" applyFill="1" applyBorder="1" applyAlignment="1">
      <alignment horizontal="center"/>
    </xf>
    <xf numFmtId="40" fontId="178" fillId="15" borderId="12" xfId="188" applyNumberFormat="1" applyFont="1" applyFill="1" applyBorder="1" applyAlignment="1">
      <alignment horizontal="center"/>
    </xf>
    <xf numFmtId="40" fontId="178" fillId="15" borderId="12" xfId="188" applyNumberFormat="1" applyFont="1" applyFill="1" applyBorder="1"/>
    <xf numFmtId="43" fontId="179" fillId="15" borderId="12" xfId="6" applyFont="1" applyFill="1" applyBorder="1"/>
    <xf numFmtId="44" fontId="192" fillId="0" borderId="0" xfId="8" applyFont="1"/>
    <xf numFmtId="44" fontId="196" fillId="0" borderId="0" xfId="8" applyFont="1" applyAlignment="1">
      <alignment horizontal="center"/>
    </xf>
    <xf numFmtId="43" fontId="192" fillId="0" borderId="0" xfId="6" applyFont="1" applyFill="1" applyBorder="1" applyAlignment="1">
      <alignment horizontal="center"/>
    </xf>
    <xf numFmtId="43" fontId="192" fillId="0" borderId="0" xfId="6" applyFont="1" applyFill="1" applyBorder="1"/>
    <xf numFmtId="44" fontId="192" fillId="0" borderId="0" xfId="8" applyFont="1" applyBorder="1"/>
    <xf numFmtId="40" fontId="192" fillId="0" borderId="0" xfId="0" applyNumberFormat="1" applyFont="1" applyBorder="1"/>
    <xf numFmtId="40" fontId="192" fillId="0" borderId="8" xfId="0" applyNumberFormat="1" applyFont="1" applyBorder="1"/>
    <xf numFmtId="40" fontId="192" fillId="0" borderId="9" xfId="0" applyNumberFormat="1" applyFont="1" applyBorder="1"/>
    <xf numFmtId="0" fontId="191" fillId="14" borderId="0" xfId="188" applyFont="1" applyFill="1" applyBorder="1" applyAlignment="1">
      <alignment horizontal="left" vertical="center"/>
    </xf>
    <xf numFmtId="43" fontId="191" fillId="14" borderId="0" xfId="6" applyFont="1" applyFill="1" applyBorder="1" applyAlignment="1" applyProtection="1"/>
    <xf numFmtId="43" fontId="191" fillId="14" borderId="0" xfId="6" applyFont="1" applyFill="1" applyBorder="1" applyAlignment="1" applyProtection="1">
      <alignment horizontal="right"/>
    </xf>
    <xf numFmtId="0" fontId="188" fillId="14" borderId="0" xfId="188" applyFont="1" applyFill="1" applyBorder="1" applyAlignment="1">
      <alignment horizontal="left" vertical="center"/>
    </xf>
    <xf numFmtId="43" fontId="188" fillId="14" borderId="0" xfId="6" applyFont="1" applyFill="1" applyBorder="1" applyAlignment="1" applyProtection="1"/>
    <xf numFmtId="43" fontId="188" fillId="14" borderId="0" xfId="6" applyFont="1" applyFill="1" applyBorder="1" applyAlignment="1" applyProtection="1">
      <alignment horizontal="right"/>
    </xf>
    <xf numFmtId="0" fontId="192" fillId="14" borderId="0" xfId="0" applyFont="1" applyFill="1" applyBorder="1"/>
    <xf numFmtId="43" fontId="192" fillId="14" borderId="0" xfId="6" applyFont="1" applyFill="1" applyBorder="1" applyAlignment="1">
      <alignment horizontal="center"/>
    </xf>
    <xf numFmtId="43" fontId="192" fillId="14" borderId="0" xfId="6" applyFont="1" applyFill="1" applyBorder="1"/>
    <xf numFmtId="0" fontId="193" fillId="14" borderId="0" xfId="0" applyFont="1" applyFill="1" applyBorder="1"/>
    <xf numFmtId="43" fontId="193" fillId="14" borderId="0" xfId="6" applyFont="1" applyFill="1" applyBorder="1" applyAlignment="1">
      <alignment horizontal="center"/>
    </xf>
    <xf numFmtId="43" fontId="193" fillId="14" borderId="0" xfId="6" applyFont="1" applyFill="1" applyBorder="1"/>
    <xf numFmtId="2" fontId="193" fillId="14" borderId="0" xfId="0" applyNumberFormat="1" applyFont="1" applyFill="1"/>
    <xf numFmtId="0" fontId="127" fillId="14" borderId="0" xfId="148" quotePrefix="1" applyNumberFormat="1" applyFont="1" applyFill="1" applyAlignment="1">
      <alignment horizontal="left"/>
    </xf>
    <xf numFmtId="0" fontId="193" fillId="0" borderId="0" xfId="0" applyNumberFormat="1" applyFont="1" applyFill="1" applyBorder="1" applyAlignment="1">
      <alignment horizontal="left"/>
    </xf>
    <xf numFmtId="1" fontId="192" fillId="0" borderId="0" xfId="0" quotePrefix="1" applyNumberFormat="1" applyFont="1" applyFill="1" applyBorder="1" applyAlignment="1" applyProtection="1">
      <alignment horizontal="left"/>
    </xf>
    <xf numFmtId="0" fontId="127" fillId="14" borderId="0" xfId="148" quotePrefix="1" applyNumberFormat="1" applyFont="1" applyFill="1"/>
    <xf numFmtId="43" fontId="192" fillId="14" borderId="0" xfId="6" applyFont="1" applyFill="1"/>
    <xf numFmtId="0" fontId="191" fillId="14" borderId="0" xfId="0" applyFont="1" applyFill="1" applyBorder="1" applyAlignment="1">
      <alignment horizontal="left" vertical="center"/>
    </xf>
    <xf numFmtId="15" fontId="192" fillId="0" borderId="0" xfId="0" applyNumberFormat="1" applyFont="1" applyFill="1" applyBorder="1" applyAlignment="1" applyProtection="1">
      <alignment horizontal="right"/>
    </xf>
    <xf numFmtId="0" fontId="192" fillId="15" borderId="0" xfId="0" applyFont="1" applyFill="1" applyBorder="1" applyAlignment="1">
      <alignment horizontal="right"/>
    </xf>
    <xf numFmtId="0" fontId="192" fillId="0" borderId="0" xfId="0" applyNumberFormat="1" applyFont="1" applyFill="1" applyBorder="1" applyAlignment="1">
      <alignment horizontal="left"/>
    </xf>
    <xf numFmtId="39" fontId="178" fillId="15" borderId="0" xfId="12" applyFont="1" applyFill="1" applyProtection="1">
      <protection locked="0"/>
    </xf>
    <xf numFmtId="39" fontId="184" fillId="15" borderId="0" xfId="12" applyFont="1" applyFill="1" applyAlignment="1" applyProtection="1">
      <alignment horizontal="left"/>
      <protection locked="0"/>
    </xf>
    <xf numFmtId="39" fontId="186" fillId="15" borderId="0" xfId="12" quotePrefix="1" applyFont="1" applyFill="1" applyAlignment="1" applyProtection="1">
      <alignment horizontal="left"/>
      <protection locked="0"/>
    </xf>
    <xf numFmtId="39" fontId="186" fillId="15" borderId="0" xfId="12" applyFont="1" applyFill="1" applyAlignment="1" applyProtection="1">
      <alignment horizontal="left"/>
      <protection locked="0"/>
    </xf>
    <xf numFmtId="40" fontId="186" fillId="15" borderId="0" xfId="12" applyNumberFormat="1" applyFont="1" applyFill="1" applyAlignment="1" applyProtection="1">
      <alignment horizontal="left"/>
      <protection locked="0"/>
    </xf>
    <xf numFmtId="40" fontId="186" fillId="15" borderId="0" xfId="12" applyNumberFormat="1" applyFont="1" applyFill="1" applyProtection="1">
      <protection locked="0"/>
    </xf>
    <xf numFmtId="39" fontId="186" fillId="15" borderId="0" xfId="12" applyFont="1" applyFill="1" applyProtection="1">
      <protection locked="0"/>
    </xf>
    <xf numFmtId="39" fontId="187" fillId="15" borderId="0" xfId="12" applyFont="1" applyFill="1" applyAlignment="1" applyProtection="1">
      <alignment horizontal="left"/>
      <protection locked="0"/>
    </xf>
    <xf numFmtId="178" fontId="187" fillId="15" borderId="0" xfId="12" applyNumberFormat="1" applyFont="1" applyFill="1" applyAlignment="1" applyProtection="1">
      <alignment horizontal="left"/>
      <protection locked="0"/>
    </xf>
    <xf numFmtId="39" fontId="178" fillId="15" borderId="0" xfId="12" applyFont="1" applyFill="1" applyAlignment="1" applyProtection="1">
      <alignment horizontal="left"/>
      <protection locked="0"/>
    </xf>
    <xf numFmtId="0" fontId="187" fillId="15" borderId="0" xfId="12" applyNumberFormat="1" applyFont="1" applyFill="1" applyAlignment="1" applyProtection="1">
      <alignment horizontal="center"/>
      <protection locked="0"/>
    </xf>
    <xf numFmtId="49" fontId="188" fillId="15" borderId="0" xfId="188" applyNumberFormat="1" applyFont="1" applyFill="1" applyBorder="1" applyAlignment="1">
      <alignment horizontal="center"/>
    </xf>
    <xf numFmtId="40" fontId="178" fillId="15" borderId="0" xfId="12" applyNumberFormat="1" applyFont="1" applyFill="1" applyProtection="1">
      <protection locked="0"/>
    </xf>
    <xf numFmtId="15" fontId="178" fillId="15" borderId="0" xfId="188" quotePrefix="1" applyNumberFormat="1" applyFont="1" applyFill="1" applyBorder="1" applyAlignment="1" applyProtection="1">
      <alignment horizontal="left"/>
    </xf>
    <xf numFmtId="49" fontId="178" fillId="15" borderId="0" xfId="188" applyNumberFormat="1" applyFont="1" applyFill="1" applyBorder="1" applyAlignment="1">
      <alignment horizontal="right"/>
    </xf>
    <xf numFmtId="175" fontId="178" fillId="15" borderId="0" xfId="188" applyNumberFormat="1" applyFont="1" applyFill="1" applyBorder="1"/>
    <xf numFmtId="1" fontId="178" fillId="15" borderId="0" xfId="188" applyNumberFormat="1" applyFont="1" applyFill="1" applyBorder="1" applyAlignment="1" applyProtection="1">
      <alignment horizontal="right"/>
    </xf>
    <xf numFmtId="1" fontId="178" fillId="15" borderId="0" xfId="188" applyNumberFormat="1" applyFont="1" applyFill="1" applyBorder="1" applyAlignment="1" applyProtection="1">
      <alignment horizontal="center"/>
    </xf>
    <xf numFmtId="0" fontId="178" fillId="15" borderId="0" xfId="188" applyFont="1" applyFill="1" applyBorder="1"/>
    <xf numFmtId="4" fontId="178" fillId="15" borderId="0" xfId="188" applyNumberFormat="1" applyFont="1" applyFill="1" applyBorder="1" applyAlignment="1" applyProtection="1">
      <alignment horizontal="right"/>
    </xf>
    <xf numFmtId="39" fontId="178" fillId="15" borderId="0" xfId="188" applyNumberFormat="1" applyFont="1" applyFill="1" applyBorder="1" applyProtection="1"/>
    <xf numFmtId="40" fontId="178" fillId="15" borderId="0" xfId="188" applyNumberFormat="1" applyFont="1" applyFill="1" applyBorder="1" applyProtection="1"/>
    <xf numFmtId="4" fontId="178" fillId="15" borderId="0" xfId="188" applyNumberFormat="1" applyFont="1" applyFill="1" applyBorder="1" applyAlignment="1" applyProtection="1">
      <alignment horizontal="center"/>
    </xf>
    <xf numFmtId="1" fontId="179" fillId="15" borderId="0" xfId="188" applyNumberFormat="1" applyFont="1" applyFill="1" applyBorder="1" applyAlignment="1" applyProtection="1">
      <alignment horizontal="center"/>
    </xf>
    <xf numFmtId="0" fontId="188" fillId="15" borderId="0" xfId="188" applyFont="1" applyFill="1" applyBorder="1" applyAlignment="1">
      <alignment horizontal="left"/>
    </xf>
    <xf numFmtId="0" fontId="179" fillId="15" borderId="0" xfId="188" quotePrefix="1" applyFont="1" applyFill="1" applyBorder="1" applyAlignment="1">
      <alignment horizontal="right"/>
    </xf>
    <xf numFmtId="176" fontId="178" fillId="15" borderId="0" xfId="188" applyNumberFormat="1" applyFont="1" applyFill="1" applyBorder="1"/>
    <xf numFmtId="49" fontId="178" fillId="15" borderId="0" xfId="188" applyNumberFormat="1" applyFont="1" applyFill="1" applyBorder="1" applyAlignment="1" applyProtection="1">
      <alignment horizontal="right"/>
    </xf>
    <xf numFmtId="175" fontId="178" fillId="15" borderId="0" xfId="188" applyNumberFormat="1" applyFont="1" applyFill="1" applyBorder="1" applyProtection="1"/>
    <xf numFmtId="0" fontId="178" fillId="15" borderId="0" xfId="188" applyFont="1" applyFill="1" applyBorder="1" applyAlignment="1">
      <alignment horizontal="left"/>
    </xf>
    <xf numFmtId="9" fontId="178" fillId="15" borderId="0" xfId="14" applyFont="1" applyFill="1" applyBorder="1" applyProtection="1"/>
    <xf numFmtId="9" fontId="178" fillId="15" borderId="0" xfId="14" applyFont="1" applyFill="1" applyBorder="1" applyAlignment="1" applyProtection="1">
      <alignment horizontal="center"/>
    </xf>
    <xf numFmtId="176" fontId="190" fillId="15" borderId="5" xfId="188" applyNumberFormat="1" applyFont="1" applyFill="1" applyBorder="1" applyAlignment="1">
      <alignment horizontal="center"/>
    </xf>
    <xf numFmtId="49" fontId="190" fillId="15" borderId="5" xfId="188" applyNumberFormat="1" applyFont="1" applyFill="1" applyBorder="1" applyAlignment="1">
      <alignment horizontal="left"/>
    </xf>
    <xf numFmtId="175" fontId="190" fillId="15" borderId="5" xfId="188" applyNumberFormat="1" applyFont="1" applyFill="1" applyBorder="1" applyAlignment="1">
      <alignment horizontal="center"/>
    </xf>
    <xf numFmtId="1" fontId="190" fillId="15" borderId="5" xfId="188" quotePrefix="1" applyNumberFormat="1" applyFont="1" applyFill="1" applyBorder="1" applyAlignment="1" applyProtection="1">
      <alignment horizontal="center"/>
    </xf>
    <xf numFmtId="0" fontId="190" fillId="15" borderId="5" xfId="188" quotePrefix="1" applyFont="1" applyFill="1" applyBorder="1" applyAlignment="1">
      <alignment horizontal="left"/>
    </xf>
    <xf numFmtId="4" fontId="189" fillId="15" borderId="2" xfId="188" applyNumberFormat="1" applyFont="1" applyFill="1" applyBorder="1" applyAlignment="1" applyProtection="1">
      <alignment horizontal="centerContinuous"/>
    </xf>
    <xf numFmtId="39" fontId="189" fillId="15" borderId="4" xfId="188" applyNumberFormat="1" applyFont="1" applyFill="1" applyBorder="1" applyAlignment="1" applyProtection="1">
      <alignment horizontal="centerContinuous"/>
    </xf>
    <xf numFmtId="40" fontId="189" fillId="15" borderId="2" xfId="188" applyNumberFormat="1" applyFont="1" applyFill="1" applyBorder="1" applyAlignment="1" applyProtection="1">
      <alignment horizontal="centerContinuous"/>
    </xf>
    <xf numFmtId="39" fontId="189" fillId="15" borderId="3" xfId="188" applyNumberFormat="1" applyFont="1" applyFill="1" applyBorder="1" applyAlignment="1" applyProtection="1">
      <alignment horizontal="centerContinuous"/>
    </xf>
    <xf numFmtId="40" fontId="189" fillId="15" borderId="4" xfId="188" applyNumberFormat="1" applyFont="1" applyFill="1" applyBorder="1" applyAlignment="1">
      <alignment horizontal="centerContinuous"/>
    </xf>
    <xf numFmtId="40" fontId="189" fillId="17" borderId="35" xfId="188" applyNumberFormat="1" applyFont="1" applyFill="1" applyBorder="1" applyAlignment="1" applyProtection="1">
      <alignment horizontal="center"/>
    </xf>
    <xf numFmtId="39" fontId="190" fillId="15" borderId="35" xfId="188" applyNumberFormat="1" applyFont="1" applyFill="1" applyBorder="1" applyAlignment="1" applyProtection="1">
      <alignment horizontal="center"/>
    </xf>
    <xf numFmtId="39" fontId="190" fillId="15" borderId="35" xfId="188" quotePrefix="1" applyNumberFormat="1" applyFont="1" applyFill="1" applyBorder="1" applyAlignment="1" applyProtection="1">
      <alignment horizontal="center"/>
    </xf>
    <xf numFmtId="4" fontId="189" fillId="15" borderId="5" xfId="188" applyNumberFormat="1" applyFont="1" applyFill="1" applyBorder="1" applyAlignment="1" applyProtection="1">
      <alignment horizontal="center"/>
    </xf>
    <xf numFmtId="176" fontId="190" fillId="15" borderId="6" xfId="188" applyNumberFormat="1" applyFont="1" applyFill="1" applyBorder="1" applyAlignment="1">
      <alignment horizontal="center"/>
    </xf>
    <xf numFmtId="49" fontId="190" fillId="15" borderId="6" xfId="188" quotePrefix="1" applyNumberFormat="1" applyFont="1" applyFill="1" applyBorder="1" applyAlignment="1" applyProtection="1">
      <alignment horizontal="left"/>
    </xf>
    <xf numFmtId="175" fontId="190" fillId="15" borderId="6" xfId="188" quotePrefix="1" applyNumberFormat="1" applyFont="1" applyFill="1" applyBorder="1" applyAlignment="1">
      <alignment horizontal="center"/>
    </xf>
    <xf numFmtId="15" fontId="190" fillId="15" borderId="6" xfId="188" quotePrefix="1" applyNumberFormat="1" applyFont="1" applyFill="1" applyBorder="1" applyAlignment="1">
      <alignment horizontal="center"/>
    </xf>
    <xf numFmtId="15" fontId="190" fillId="15" borderId="6" xfId="188" applyNumberFormat="1" applyFont="1" applyFill="1" applyBorder="1" applyAlignment="1">
      <alignment horizontal="center"/>
    </xf>
    <xf numFmtId="15" fontId="190" fillId="15" borderId="6" xfId="188" applyNumberFormat="1" applyFont="1" applyFill="1" applyBorder="1" applyAlignment="1" applyProtection="1">
      <alignment horizontal="left"/>
    </xf>
    <xf numFmtId="4" fontId="189" fillId="15" borderId="1" xfId="188" applyNumberFormat="1" applyFont="1" applyFill="1" applyBorder="1" applyAlignment="1" applyProtection="1">
      <alignment horizontal="center"/>
    </xf>
    <xf numFmtId="39" fontId="189" fillId="15" borderId="1" xfId="188" quotePrefix="1" applyNumberFormat="1" applyFont="1" applyFill="1" applyBorder="1" applyAlignment="1" applyProtection="1">
      <alignment horizontal="center"/>
    </xf>
    <xf numFmtId="4" fontId="189" fillId="17" borderId="1" xfId="188" applyNumberFormat="1" applyFont="1" applyFill="1" applyBorder="1" applyAlignment="1" applyProtection="1">
      <alignment horizontal="center"/>
    </xf>
    <xf numFmtId="39" fontId="189" fillId="15" borderId="6" xfId="188" applyNumberFormat="1" applyFont="1" applyFill="1" applyBorder="1" applyAlignment="1" applyProtection="1">
      <alignment horizontal="center"/>
    </xf>
    <xf numFmtId="40" fontId="189" fillId="17" borderId="36" xfId="188" applyNumberFormat="1" applyFont="1" applyFill="1" applyBorder="1" applyAlignment="1" applyProtection="1">
      <alignment horizontal="center"/>
    </xf>
    <xf numFmtId="39" fontId="190" fillId="15" borderId="36" xfId="188" applyNumberFormat="1" applyFont="1" applyFill="1" applyBorder="1" applyAlignment="1" applyProtection="1">
      <alignment horizontal="center"/>
    </xf>
    <xf numFmtId="4" fontId="189" fillId="15" borderId="6" xfId="188" applyNumberFormat="1" applyFont="1" applyFill="1" applyBorder="1" applyAlignment="1" applyProtection="1">
      <alignment horizontal="center"/>
    </xf>
    <xf numFmtId="176" fontId="191" fillId="15" borderId="0" xfId="188" applyNumberFormat="1" applyFont="1" applyFill="1" applyBorder="1" applyAlignment="1">
      <alignment horizontal="center"/>
    </xf>
    <xf numFmtId="174" fontId="191" fillId="15" borderId="0" xfId="188" applyNumberFormat="1" applyFont="1" applyFill="1" applyBorder="1" applyAlignment="1" applyProtection="1"/>
    <xf numFmtId="49" fontId="191" fillId="15" borderId="0" xfId="188" applyNumberFormat="1" applyFont="1" applyFill="1" applyBorder="1" applyAlignment="1">
      <alignment horizontal="center"/>
    </xf>
    <xf numFmtId="49" fontId="191" fillId="15" borderId="0" xfId="188" applyNumberFormat="1" applyFont="1" applyFill="1" applyBorder="1" applyAlignment="1">
      <alignment horizontal="left"/>
    </xf>
    <xf numFmtId="0" fontId="191" fillId="15" borderId="0" xfId="188" applyFont="1" applyFill="1" applyBorder="1" applyAlignment="1">
      <alignment horizontal="left" vertical="center"/>
    </xf>
    <xf numFmtId="43" fontId="191" fillId="15" borderId="0" xfId="6" applyFont="1" applyFill="1" applyBorder="1" applyAlignment="1" applyProtection="1"/>
    <xf numFmtId="43" fontId="191" fillId="15" borderId="0" xfId="6" applyFont="1" applyFill="1" applyBorder="1" applyAlignment="1" applyProtection="1">
      <alignment horizontal="right"/>
    </xf>
    <xf numFmtId="43" fontId="191" fillId="17" borderId="0" xfId="6" applyFont="1" applyFill="1" applyBorder="1" applyAlignment="1" applyProtection="1"/>
    <xf numFmtId="174" fontId="191" fillId="15" borderId="0" xfId="188" applyNumberFormat="1" applyFont="1" applyFill="1" applyBorder="1" applyAlignment="1" applyProtection="1">
      <alignment horizontal="right"/>
    </xf>
    <xf numFmtId="49" fontId="188" fillId="15" borderId="0" xfId="188" applyNumberFormat="1" applyFont="1" applyFill="1" applyBorder="1" applyAlignment="1">
      <alignment horizontal="center" vertical="center" wrapText="1"/>
    </xf>
    <xf numFmtId="1" fontId="191" fillId="15" borderId="0" xfId="188" applyNumberFormat="1" applyFont="1" applyFill="1" applyBorder="1" applyAlignment="1">
      <alignment horizontal="center"/>
    </xf>
    <xf numFmtId="2" fontId="191" fillId="15" borderId="0" xfId="6" applyNumberFormat="1" applyFont="1" applyFill="1" applyBorder="1" applyAlignment="1" applyProtection="1"/>
    <xf numFmtId="49" fontId="188" fillId="15" borderId="0" xfId="188" applyNumberFormat="1" applyFont="1" applyFill="1" applyBorder="1" applyAlignment="1">
      <alignment horizontal="center" vertical="center"/>
    </xf>
    <xf numFmtId="43" fontId="191" fillId="0" borderId="0" xfId="6" applyFont="1" applyFill="1" applyBorder="1" applyAlignment="1" applyProtection="1"/>
    <xf numFmtId="176" fontId="178" fillId="15" borderId="12" xfId="188" applyNumberFormat="1" applyFont="1" applyFill="1" applyBorder="1"/>
    <xf numFmtId="49" fontId="178" fillId="15" borderId="12" xfId="188" applyNumberFormat="1" applyFont="1" applyFill="1" applyBorder="1" applyAlignment="1" applyProtection="1">
      <alignment horizontal="right"/>
    </xf>
    <xf numFmtId="175" fontId="179" fillId="15" borderId="12" xfId="188" applyNumberFormat="1" applyFont="1" applyFill="1" applyBorder="1" applyAlignment="1" applyProtection="1">
      <alignment horizontal="center"/>
    </xf>
    <xf numFmtId="49" fontId="178" fillId="15" borderId="12" xfId="188" applyNumberFormat="1" applyFont="1" applyFill="1" applyBorder="1" applyAlignment="1" applyProtection="1">
      <alignment horizontal="center"/>
    </xf>
    <xf numFmtId="49" fontId="178" fillId="15" borderId="12" xfId="188" applyNumberFormat="1" applyFont="1" applyFill="1" applyBorder="1" applyAlignment="1">
      <alignment horizontal="left"/>
    </xf>
    <xf numFmtId="0" fontId="178" fillId="15" borderId="12" xfId="188" applyFont="1" applyFill="1" applyBorder="1" applyAlignment="1">
      <alignment horizontal="left"/>
    </xf>
    <xf numFmtId="40" fontId="178" fillId="15" borderId="12" xfId="188" applyNumberFormat="1" applyFont="1" applyFill="1" applyBorder="1" applyAlignment="1" applyProtection="1">
      <alignment horizontal="right"/>
    </xf>
    <xf numFmtId="40" fontId="178" fillId="15" borderId="12" xfId="188" applyNumberFormat="1" applyFont="1" applyFill="1" applyBorder="1" applyProtection="1"/>
    <xf numFmtId="0" fontId="178" fillId="15" borderId="12" xfId="188" applyFont="1" applyFill="1" applyBorder="1"/>
    <xf numFmtId="40" fontId="178" fillId="15" borderId="12" xfId="188" applyNumberFormat="1" applyFont="1" applyFill="1" applyBorder="1" applyAlignment="1" applyProtection="1"/>
    <xf numFmtId="175" fontId="178" fillId="15" borderId="0" xfId="188" applyNumberFormat="1" applyFont="1" applyFill="1" applyBorder="1" applyAlignment="1" applyProtection="1">
      <alignment horizontal="center"/>
    </xf>
    <xf numFmtId="49" fontId="178" fillId="15" borderId="0" xfId="188" applyNumberFormat="1" applyFont="1" applyFill="1" applyBorder="1" applyAlignment="1" applyProtection="1">
      <alignment horizontal="center"/>
    </xf>
    <xf numFmtId="49" fontId="178" fillId="15" borderId="0" xfId="188" applyNumberFormat="1" applyFont="1" applyFill="1" applyBorder="1" applyAlignment="1">
      <alignment horizontal="left"/>
    </xf>
    <xf numFmtId="40" fontId="178" fillId="15" borderId="0" xfId="188" applyNumberFormat="1" applyFont="1" applyFill="1" applyBorder="1" applyAlignment="1" applyProtection="1">
      <alignment horizontal="right"/>
    </xf>
    <xf numFmtId="40" fontId="178" fillId="15" borderId="0" xfId="188" applyNumberFormat="1" applyFont="1" applyFill="1" applyBorder="1"/>
    <xf numFmtId="40" fontId="178" fillId="15" borderId="0" xfId="188" applyNumberFormat="1" applyFont="1" applyFill="1" applyBorder="1" applyAlignment="1" applyProtection="1"/>
    <xf numFmtId="49" fontId="178" fillId="15" borderId="0" xfId="188" applyNumberFormat="1" applyFont="1" applyFill="1" applyBorder="1" applyAlignment="1">
      <alignment horizontal="center"/>
    </xf>
    <xf numFmtId="40" fontId="178" fillId="15" borderId="0" xfId="188" applyNumberFormat="1" applyFont="1" applyFill="1" applyBorder="1" applyAlignment="1">
      <alignment horizontal="center"/>
    </xf>
    <xf numFmtId="49" fontId="178" fillId="15" borderId="12" xfId="188" applyNumberFormat="1" applyFont="1" applyFill="1" applyBorder="1" applyAlignment="1">
      <alignment horizontal="right"/>
    </xf>
    <xf numFmtId="175" fontId="178" fillId="15" borderId="12" xfId="188" applyNumberFormat="1" applyFont="1" applyFill="1" applyBorder="1"/>
    <xf numFmtId="49" fontId="178" fillId="15" borderId="12" xfId="188" applyNumberFormat="1" applyFont="1" applyFill="1" applyBorder="1" applyAlignment="1">
      <alignment horizontal="center"/>
    </xf>
    <xf numFmtId="40" fontId="178" fillId="15" borderId="12" xfId="188" applyNumberFormat="1" applyFont="1" applyFill="1" applyBorder="1" applyAlignment="1">
      <alignment horizontal="center"/>
    </xf>
    <xf numFmtId="40" fontId="178" fillId="15" borderId="12" xfId="188" applyNumberFormat="1" applyFont="1" applyFill="1" applyBorder="1"/>
    <xf numFmtId="43" fontId="179" fillId="15" borderId="12" xfId="6" applyFont="1" applyFill="1" applyBorder="1"/>
    <xf numFmtId="44" fontId="192" fillId="0" borderId="0" xfId="8" applyFont="1"/>
    <xf numFmtId="44" fontId="196" fillId="0" borderId="0" xfId="8" applyFont="1" applyAlignment="1">
      <alignment horizontal="center"/>
    </xf>
    <xf numFmtId="43" fontId="192" fillId="0" borderId="0" xfId="6" applyFont="1" applyFill="1" applyBorder="1" applyAlignment="1">
      <alignment horizontal="center"/>
    </xf>
    <xf numFmtId="43" fontId="192" fillId="0" borderId="0" xfId="6" applyFont="1" applyFill="1" applyBorder="1"/>
    <xf numFmtId="44" fontId="192" fillId="0" borderId="0" xfId="8" applyFont="1" applyFill="1"/>
    <xf numFmtId="44" fontId="192" fillId="0" borderId="0" xfId="8" applyFont="1" applyBorder="1"/>
    <xf numFmtId="0" fontId="192" fillId="15" borderId="0" xfId="0" applyFont="1" applyFill="1" applyBorder="1"/>
    <xf numFmtId="43" fontId="192" fillId="15" borderId="0" xfId="6" applyFont="1" applyFill="1" applyBorder="1"/>
    <xf numFmtId="0" fontId="177" fillId="5" borderId="0" xfId="1" applyFont="1" applyFill="1"/>
    <xf numFmtId="43" fontId="177" fillId="5" borderId="0" xfId="6" applyFont="1" applyFill="1"/>
    <xf numFmtId="43" fontId="177" fillId="5" borderId="0" xfId="1" applyNumberFormat="1" applyFont="1" applyFill="1"/>
    <xf numFmtId="0" fontId="177" fillId="0" borderId="0" xfId="11" applyFont="1" applyProtection="1">
      <protection locked="0"/>
    </xf>
    <xf numFmtId="49" fontId="188" fillId="15" borderId="0" xfId="0" applyNumberFormat="1" applyFont="1" applyFill="1" applyBorder="1" applyAlignment="1">
      <alignment horizontal="center" vertical="center" wrapText="1"/>
    </xf>
    <xf numFmtId="0" fontId="130" fillId="0" borderId="0" xfId="46" applyFont="1"/>
    <xf numFmtId="176" fontId="191" fillId="14" borderId="0" xfId="0" applyNumberFormat="1" applyFont="1" applyFill="1" applyBorder="1" applyAlignment="1">
      <alignment horizontal="center"/>
    </xf>
    <xf numFmtId="174" fontId="191" fillId="14" borderId="0" xfId="0" applyNumberFormat="1" applyFont="1" applyFill="1" applyBorder="1" applyAlignment="1" applyProtection="1"/>
    <xf numFmtId="49" fontId="191" fillId="14" borderId="0" xfId="0" applyNumberFormat="1" applyFont="1" applyFill="1" applyBorder="1" applyAlignment="1">
      <alignment horizontal="center"/>
    </xf>
    <xf numFmtId="49" fontId="188" fillId="14" borderId="0" xfId="0" applyNumberFormat="1" applyFont="1" applyFill="1" applyBorder="1" applyAlignment="1">
      <alignment horizontal="center" vertical="center" wrapText="1"/>
    </xf>
    <xf numFmtId="49" fontId="191" fillId="14" borderId="0" xfId="0" applyNumberFormat="1" applyFont="1" applyFill="1" applyBorder="1" applyAlignment="1">
      <alignment horizontal="left"/>
    </xf>
    <xf numFmtId="43" fontId="192" fillId="0" borderId="10" xfId="66" applyNumberFormat="1" applyFont="1" applyBorder="1"/>
    <xf numFmtId="0" fontId="127" fillId="17" borderId="0" xfId="148" quotePrefix="1" applyNumberFormat="1" applyFont="1" applyFill="1" applyAlignment="1">
      <alignment horizontal="left"/>
    </xf>
    <xf numFmtId="2" fontId="192" fillId="14" borderId="0" xfId="0" applyNumberFormat="1" applyFont="1" applyFill="1"/>
    <xf numFmtId="0" fontId="192" fillId="23" borderId="0" xfId="66" applyFont="1" applyFill="1" applyBorder="1"/>
    <xf numFmtId="49" fontId="192" fillId="23" borderId="0" xfId="66" applyNumberFormat="1" applyFont="1" applyFill="1" applyBorder="1"/>
    <xf numFmtId="44" fontId="192" fillId="23" borderId="0" xfId="8" applyFont="1" applyFill="1"/>
    <xf numFmtId="0" fontId="192" fillId="23" borderId="0" xfId="66" applyFont="1" applyFill="1"/>
    <xf numFmtId="39" fontId="204" fillId="0" borderId="0" xfId="12" applyFont="1" applyAlignment="1" applyProtection="1">
      <alignment horizontal="left"/>
      <protection locked="0"/>
    </xf>
    <xf numFmtId="39" fontId="206" fillId="0" borderId="0" xfId="12" quotePrefix="1" applyFont="1" applyAlignment="1" applyProtection="1">
      <alignment horizontal="left"/>
      <protection locked="0"/>
    </xf>
    <xf numFmtId="39" fontId="206" fillId="0" borderId="0" xfId="12" applyFont="1" applyAlignment="1" applyProtection="1">
      <alignment horizontal="left"/>
      <protection locked="0"/>
    </xf>
    <xf numFmtId="40" fontId="206" fillId="0" borderId="0" xfId="12" applyNumberFormat="1" applyFont="1" applyAlignment="1" applyProtection="1">
      <alignment horizontal="left"/>
      <protection locked="0"/>
    </xf>
    <xf numFmtId="40" fontId="206" fillId="0" borderId="0" xfId="12" applyNumberFormat="1" applyFont="1" applyProtection="1">
      <protection locked="0"/>
    </xf>
    <xf numFmtId="39" fontId="206" fillId="0" borderId="0" xfId="12" applyFont="1" applyProtection="1">
      <protection locked="0"/>
    </xf>
    <xf numFmtId="39" fontId="192" fillId="0" borderId="0" xfId="12" applyFont="1" applyProtection="1">
      <protection locked="0"/>
    </xf>
    <xf numFmtId="40" fontId="206" fillId="0" borderId="0" xfId="12" applyNumberFormat="1" applyFont="1" applyFill="1" applyProtection="1">
      <protection locked="0"/>
    </xf>
    <xf numFmtId="39" fontId="207" fillId="0" borderId="0" xfId="12" applyFont="1" applyAlignment="1" applyProtection="1">
      <alignment horizontal="left"/>
      <protection locked="0"/>
    </xf>
    <xf numFmtId="178" fontId="207" fillId="0" borderId="0" xfId="12" applyNumberFormat="1" applyFont="1" applyAlignment="1" applyProtection="1">
      <alignment horizontal="left"/>
      <protection locked="0"/>
    </xf>
    <xf numFmtId="39" fontId="192" fillId="0" borderId="0" xfId="12" applyFont="1" applyAlignment="1" applyProtection="1">
      <alignment horizontal="left"/>
      <protection locked="0"/>
    </xf>
    <xf numFmtId="37" fontId="207" fillId="0" borderId="0" xfId="12" applyNumberFormat="1" applyFont="1" applyAlignment="1" applyProtection="1">
      <alignment horizontal="center"/>
      <protection locked="0"/>
    </xf>
    <xf numFmtId="40" fontId="192" fillId="0" borderId="0" xfId="12" applyNumberFormat="1" applyFont="1" applyProtection="1">
      <protection locked="0"/>
    </xf>
    <xf numFmtId="40" fontId="206" fillId="0" borderId="0" xfId="12" applyNumberFormat="1" applyFont="1" applyAlignment="1" applyProtection="1">
      <alignment horizontal="center"/>
      <protection locked="0"/>
    </xf>
    <xf numFmtId="39" fontId="206" fillId="0" borderId="9" xfId="12" applyFont="1" applyBorder="1" applyAlignment="1" applyProtection="1">
      <alignment horizontal="left"/>
      <protection locked="0"/>
    </xf>
    <xf numFmtId="40" fontId="206" fillId="0" borderId="9" xfId="12" applyNumberFormat="1" applyFont="1" applyBorder="1" applyAlignment="1" applyProtection="1">
      <alignment horizontal="left"/>
      <protection locked="0"/>
    </xf>
    <xf numFmtId="40" fontId="206" fillId="0" borderId="9" xfId="12" applyNumberFormat="1" applyFont="1" applyBorder="1" applyAlignment="1" applyProtection="1">
      <alignment horizontal="center"/>
      <protection locked="0"/>
    </xf>
    <xf numFmtId="40" fontId="206" fillId="17" borderId="9" xfId="12" applyNumberFormat="1" applyFont="1" applyFill="1" applyBorder="1" applyAlignment="1" applyProtection="1">
      <alignment horizontal="center"/>
      <protection locked="0"/>
    </xf>
    <xf numFmtId="14" fontId="206" fillId="0" borderId="0" xfId="12" applyNumberFormat="1" applyFont="1" applyBorder="1" applyAlignment="1" applyProtection="1">
      <alignment horizontal="fill"/>
      <protection locked="0"/>
    </xf>
    <xf numFmtId="39" fontId="206" fillId="0" borderId="0" xfId="12" applyFont="1" applyBorder="1" applyAlignment="1" applyProtection="1">
      <alignment horizontal="fill"/>
      <protection locked="0"/>
    </xf>
    <xf numFmtId="39" fontId="206" fillId="0" borderId="0" xfId="12" applyFont="1" applyBorder="1" applyAlignment="1" applyProtection="1">
      <alignment horizontal="left"/>
      <protection locked="0"/>
    </xf>
    <xf numFmtId="40" fontId="206" fillId="0" borderId="0" xfId="12" applyNumberFormat="1" applyFont="1" applyBorder="1" applyAlignment="1" applyProtection="1">
      <alignment horizontal="left"/>
      <protection locked="0"/>
    </xf>
    <xf numFmtId="39" fontId="206" fillId="0" borderId="0" xfId="12" applyNumberFormat="1" applyFont="1" applyFill="1" applyBorder="1" applyAlignment="1" applyProtection="1"/>
    <xf numFmtId="40" fontId="206" fillId="0" borderId="0" xfId="12" applyNumberFormat="1" applyFont="1" applyProtection="1"/>
    <xf numFmtId="174" fontId="206" fillId="0" borderId="0" xfId="12" applyNumberFormat="1" applyFont="1" applyFill="1" applyAlignment="1" applyProtection="1">
      <alignment horizontal="left"/>
      <protection locked="0"/>
    </xf>
    <xf numFmtId="39" fontId="206" fillId="0" borderId="0" xfId="12" applyFont="1" applyFill="1" applyBorder="1" applyAlignment="1" applyProtection="1">
      <alignment horizontal="fill"/>
      <protection locked="0"/>
    </xf>
    <xf numFmtId="49" fontId="206" fillId="0" borderId="0" xfId="12" applyNumberFormat="1" applyFont="1" applyFill="1" applyAlignment="1" applyProtection="1">
      <alignment horizontal="center"/>
      <protection locked="0"/>
    </xf>
    <xf numFmtId="1" fontId="206" fillId="0" borderId="0" xfId="12" applyNumberFormat="1" applyFont="1" applyFill="1" applyAlignment="1" applyProtection="1">
      <alignment horizontal="center"/>
      <protection locked="0"/>
    </xf>
    <xf numFmtId="40" fontId="206" fillId="0" borderId="0" xfId="12" applyNumberFormat="1" applyFont="1" applyFill="1" applyBorder="1" applyAlignment="1" applyProtection="1">
      <alignment horizontal="left"/>
      <protection locked="0"/>
    </xf>
    <xf numFmtId="39" fontId="206" fillId="0" borderId="0" xfId="12" applyFont="1" applyFill="1" applyProtection="1">
      <protection locked="0"/>
    </xf>
    <xf numFmtId="40" fontId="206" fillId="0" borderId="0" xfId="12" applyNumberFormat="1" applyFont="1" applyFill="1" applyProtection="1"/>
    <xf numFmtId="39" fontId="192" fillId="0" borderId="0" xfId="12" applyFont="1" applyFill="1" applyProtection="1">
      <protection locked="0"/>
    </xf>
    <xf numFmtId="39" fontId="206" fillId="0" borderId="0" xfId="12" applyFont="1" applyFill="1" applyBorder="1" applyAlignment="1" applyProtection="1">
      <alignment horizontal="left"/>
      <protection locked="0"/>
    </xf>
    <xf numFmtId="39" fontId="206" fillId="0" borderId="0" xfId="12" applyNumberFormat="1" applyFont="1" applyFill="1" applyBorder="1" applyAlignment="1" applyProtection="1">
      <alignment horizontal="left"/>
    </xf>
    <xf numFmtId="174" fontId="206" fillId="0" borderId="0" xfId="12" applyNumberFormat="1" applyFont="1" applyAlignment="1" applyProtection="1">
      <alignment horizontal="left"/>
      <protection locked="0"/>
    </xf>
    <xf numFmtId="183" fontId="208" fillId="0" borderId="0" xfId="12" applyNumberFormat="1" applyFont="1" applyAlignment="1" applyProtection="1">
      <alignment horizontal="left"/>
      <protection locked="0"/>
    </xf>
    <xf numFmtId="183" fontId="206" fillId="0" borderId="0" xfId="12" applyNumberFormat="1" applyFont="1" applyAlignment="1" applyProtection="1">
      <alignment horizontal="left"/>
      <protection locked="0"/>
    </xf>
    <xf numFmtId="183" fontId="209" fillId="0" borderId="0" xfId="12" applyNumberFormat="1" applyFont="1" applyAlignment="1" applyProtection="1">
      <alignment horizontal="left"/>
      <protection locked="0"/>
    </xf>
    <xf numFmtId="49" fontId="206" fillId="0" borderId="0" xfId="12" applyNumberFormat="1" applyFont="1" applyAlignment="1" applyProtection="1">
      <alignment horizontal="center"/>
      <protection locked="0"/>
    </xf>
    <xf numFmtId="183" fontId="207" fillId="0" borderId="0" xfId="12" applyNumberFormat="1" applyFont="1" applyAlignment="1" applyProtection="1">
      <alignment horizontal="left"/>
      <protection locked="0"/>
    </xf>
    <xf numFmtId="40" fontId="207" fillId="0" borderId="0" xfId="12" applyNumberFormat="1" applyFont="1" applyAlignment="1" applyProtection="1">
      <alignment horizontal="left"/>
      <protection locked="0"/>
    </xf>
    <xf numFmtId="49" fontId="206" fillId="0" borderId="0" xfId="12" applyNumberFormat="1" applyFont="1" applyAlignment="1" applyProtection="1">
      <alignment horizontal="left"/>
      <protection locked="0"/>
    </xf>
    <xf numFmtId="183" fontId="206" fillId="0" borderId="9" xfId="12" applyNumberFormat="1" applyFont="1" applyBorder="1" applyAlignment="1" applyProtection="1">
      <protection locked="0"/>
    </xf>
    <xf numFmtId="183" fontId="206" fillId="0" borderId="9" xfId="12" applyNumberFormat="1" applyFont="1" applyBorder="1" applyAlignment="1" applyProtection="1">
      <alignment horizontal="left"/>
      <protection locked="0"/>
    </xf>
    <xf numFmtId="40" fontId="206" fillId="0" borderId="9" xfId="12" applyNumberFormat="1" applyFont="1" applyBorder="1" applyAlignment="1" applyProtection="1">
      <alignment horizontal="right"/>
      <protection locked="0"/>
    </xf>
    <xf numFmtId="40" fontId="206" fillId="0" borderId="9" xfId="12" applyNumberFormat="1" applyFont="1" applyBorder="1" applyProtection="1"/>
    <xf numFmtId="183" fontId="206" fillId="0" borderId="0" xfId="12" applyNumberFormat="1" applyFont="1" applyProtection="1">
      <protection locked="0"/>
    </xf>
    <xf numFmtId="40" fontId="206" fillId="0" borderId="0" xfId="12" applyNumberFormat="1" applyFont="1" applyBorder="1" applyProtection="1">
      <protection locked="0"/>
    </xf>
    <xf numFmtId="40" fontId="206" fillId="17" borderId="0" xfId="12" applyNumberFormat="1" applyFont="1" applyFill="1" applyProtection="1"/>
    <xf numFmtId="39" fontId="192" fillId="0" borderId="0" xfId="12" applyFont="1"/>
    <xf numFmtId="40" fontId="206" fillId="0" borderId="0" xfId="12" applyNumberFormat="1" applyFont="1" applyFill="1" applyBorder="1" applyProtection="1"/>
    <xf numFmtId="40" fontId="206" fillId="0" borderId="9" xfId="12" applyNumberFormat="1" applyFont="1" applyBorder="1" applyAlignment="1" applyProtection="1">
      <alignment horizontal="fill"/>
    </xf>
    <xf numFmtId="40" fontId="206" fillId="0" borderId="0" xfId="12" applyNumberFormat="1" applyFont="1" applyBorder="1" applyAlignment="1" applyProtection="1">
      <alignment horizontal="fill"/>
    </xf>
    <xf numFmtId="40" fontId="206" fillId="0" borderId="0" xfId="12" applyNumberFormat="1" applyFont="1" applyAlignment="1" applyProtection="1">
      <alignment horizontal="fill"/>
      <protection locked="0"/>
    </xf>
    <xf numFmtId="14" fontId="206" fillId="0" borderId="0" xfId="12" applyNumberFormat="1" applyFont="1" applyAlignment="1" applyProtection="1">
      <alignment horizontal="left"/>
      <protection locked="0"/>
    </xf>
    <xf numFmtId="40" fontId="207" fillId="0" borderId="0" xfId="12" applyNumberFormat="1" applyFont="1" applyProtection="1">
      <protection locked="0"/>
    </xf>
    <xf numFmtId="40" fontId="207" fillId="0" borderId="0" xfId="12" applyNumberFormat="1" applyFont="1" applyAlignment="1" applyProtection="1">
      <alignment horizontal="center"/>
      <protection locked="0"/>
    </xf>
    <xf numFmtId="40" fontId="206" fillId="0" borderId="0" xfId="12" applyNumberFormat="1" applyFont="1" applyAlignment="1" applyProtection="1">
      <protection locked="0"/>
    </xf>
    <xf numFmtId="40" fontId="195" fillId="0" borderId="12" xfId="12" applyNumberFormat="1" applyFont="1" applyBorder="1" applyProtection="1">
      <protection locked="0"/>
    </xf>
    <xf numFmtId="40" fontId="195" fillId="0" borderId="0" xfId="12" applyNumberFormat="1" applyFont="1" applyAlignment="1" applyProtection="1">
      <alignment horizontal="left"/>
      <protection locked="0"/>
    </xf>
    <xf numFmtId="40" fontId="195" fillId="0" borderId="0" xfId="12" applyNumberFormat="1" applyFont="1" applyProtection="1">
      <protection locked="0"/>
    </xf>
    <xf numFmtId="183" fontId="192" fillId="0" borderId="0" xfId="12" applyNumberFormat="1" applyFont="1" applyProtection="1">
      <protection locked="0"/>
    </xf>
    <xf numFmtId="183" fontId="192" fillId="0" borderId="0" xfId="12" applyNumberFormat="1" applyFont="1" applyAlignment="1" applyProtection="1">
      <alignment horizontal="left"/>
      <protection locked="0"/>
    </xf>
    <xf numFmtId="40" fontId="192" fillId="0" borderId="0" xfId="12" applyNumberFormat="1" applyFont="1" applyAlignment="1" applyProtection="1">
      <alignment horizontal="left"/>
      <protection locked="0"/>
    </xf>
    <xf numFmtId="0" fontId="182" fillId="15" borderId="0" xfId="11" applyFont="1" applyFill="1" applyAlignment="1" applyProtection="1">
      <alignment horizontal="left"/>
      <protection locked="0"/>
    </xf>
    <xf numFmtId="39" fontId="182" fillId="15" borderId="0" xfId="11" quotePrefix="1" applyNumberFormat="1" applyFont="1" applyFill="1" applyAlignment="1" applyProtection="1">
      <alignment horizontal="right"/>
      <protection locked="0"/>
    </xf>
    <xf numFmtId="39" fontId="182" fillId="15" borderId="0" xfId="11" quotePrefix="1" applyNumberFormat="1" applyFont="1" applyFill="1" applyBorder="1" applyAlignment="1" applyProtection="1">
      <alignment horizontal="right"/>
      <protection locked="0"/>
    </xf>
    <xf numFmtId="0" fontId="182" fillId="15" borderId="0" xfId="11" applyFont="1" applyFill="1" applyBorder="1" applyAlignment="1" applyProtection="1">
      <alignment horizontal="left"/>
      <protection locked="0"/>
    </xf>
    <xf numFmtId="40" fontId="182" fillId="15" borderId="0" xfId="11" applyNumberFormat="1" applyFont="1" applyFill="1" applyAlignment="1" applyProtection="1">
      <alignment horizontal="left"/>
      <protection locked="0"/>
    </xf>
    <xf numFmtId="0" fontId="182" fillId="15" borderId="0" xfId="11" applyFont="1" applyFill="1" applyProtection="1">
      <protection locked="0"/>
    </xf>
    <xf numFmtId="10" fontId="182" fillId="15" borderId="0" xfId="14" applyNumberFormat="1" applyFont="1" applyFill="1" applyAlignment="1" applyProtection="1">
      <alignment horizontal="right"/>
      <protection locked="0"/>
    </xf>
    <xf numFmtId="39" fontId="182" fillId="15" borderId="0" xfId="11" applyNumberFormat="1" applyFont="1" applyFill="1" applyAlignment="1" applyProtection="1">
      <alignment horizontal="right"/>
      <protection locked="0"/>
    </xf>
    <xf numFmtId="37" fontId="182" fillId="15" borderId="0" xfId="11" applyNumberFormat="1" applyFont="1" applyFill="1" applyAlignment="1" applyProtection="1">
      <alignment horizontal="right"/>
      <protection locked="0"/>
    </xf>
    <xf numFmtId="49" fontId="188" fillId="15" borderId="0" xfId="0" applyNumberFormat="1" applyFont="1" applyFill="1" applyBorder="1" applyAlignment="1">
      <alignment horizontal="center" vertical="center" wrapText="1"/>
    </xf>
    <xf numFmtId="39" fontId="192" fillId="0" borderId="9" xfId="12" applyFont="1" applyBorder="1" applyProtection="1">
      <protection locked="0"/>
    </xf>
    <xf numFmtId="0" fontId="189" fillId="15" borderId="0" xfId="0" applyFont="1" applyFill="1" applyBorder="1" applyAlignment="1">
      <alignment horizontal="center"/>
    </xf>
    <xf numFmtId="0" fontId="191" fillId="15" borderId="0" xfId="0" applyFont="1" applyFill="1" applyBorder="1" applyAlignment="1">
      <alignment horizontal="center"/>
    </xf>
    <xf numFmtId="0" fontId="178" fillId="15" borderId="0" xfId="0" applyFont="1" applyFill="1"/>
    <xf numFmtId="49" fontId="178" fillId="15" borderId="0" xfId="0" applyNumberFormat="1" applyFont="1" applyFill="1" applyAlignment="1">
      <alignment horizontal="right"/>
    </xf>
    <xf numFmtId="175" fontId="178" fillId="15" borderId="0" xfId="0" applyNumberFormat="1" applyFont="1" applyFill="1"/>
    <xf numFmtId="0" fontId="178" fillId="15" borderId="0" xfId="0" applyFont="1" applyFill="1" applyAlignment="1">
      <alignment horizontal="center"/>
    </xf>
    <xf numFmtId="0" fontId="178" fillId="15" borderId="0" xfId="0" applyFont="1" applyFill="1" applyAlignment="1">
      <alignment horizontal="left"/>
    </xf>
    <xf numFmtId="40" fontId="178" fillId="15" borderId="0" xfId="0" applyNumberFormat="1" applyFont="1" applyFill="1"/>
    <xf numFmtId="4" fontId="191" fillId="15" borderId="0" xfId="0" applyNumberFormat="1" applyFont="1" applyFill="1"/>
    <xf numFmtId="43" fontId="178" fillId="15" borderId="0" xfId="6" applyFont="1" applyFill="1" applyAlignment="1">
      <alignment horizontal="center"/>
    </xf>
    <xf numFmtId="4" fontId="191" fillId="15" borderId="0" xfId="391" applyNumberFormat="1" applyFont="1" applyFill="1" applyBorder="1" applyAlignment="1" applyProtection="1">
      <alignment vertical="top"/>
    </xf>
    <xf numFmtId="43" fontId="178" fillId="15" borderId="0" xfId="6" applyFont="1" applyFill="1"/>
    <xf numFmtId="40" fontId="178" fillId="15" borderId="0" xfId="0" quotePrefix="1" applyNumberFormat="1" applyFont="1" applyFill="1" applyAlignment="1">
      <alignment horizontal="right"/>
    </xf>
    <xf numFmtId="43" fontId="179" fillId="15" borderId="0" xfId="6" applyFont="1" applyFill="1" applyAlignment="1">
      <alignment horizontal="center"/>
    </xf>
    <xf numFmtId="0" fontId="211" fillId="15" borderId="0" xfId="0" applyFont="1" applyFill="1"/>
    <xf numFmtId="40" fontId="211" fillId="15" borderId="0" xfId="0" applyNumberFormat="1" applyFont="1" applyFill="1"/>
    <xf numFmtId="43" fontId="192" fillId="15" borderId="0" xfId="6" applyFont="1" applyFill="1" applyBorder="1" applyAlignment="1">
      <alignment horizontal="center"/>
    </xf>
    <xf numFmtId="44" fontId="196" fillId="15" borderId="0" xfId="8" applyFont="1" applyFill="1" applyAlignment="1">
      <alignment horizontal="center"/>
    </xf>
    <xf numFmtId="39" fontId="206" fillId="0" borderId="0" xfId="12" applyFont="1" applyFill="1" applyAlignment="1" applyProtection="1">
      <alignment horizontal="left"/>
      <protection locked="0"/>
    </xf>
    <xf numFmtId="43" fontId="206" fillId="0" borderId="0" xfId="6" applyFont="1" applyFill="1" applyBorder="1" applyProtection="1"/>
    <xf numFmtId="43" fontId="206" fillId="17" borderId="0" xfId="6" applyFont="1" applyFill="1" applyProtection="1"/>
    <xf numFmtId="0" fontId="130" fillId="0" borderId="0" xfId="49" quotePrefix="1" applyFont="1"/>
    <xf numFmtId="0" fontId="192" fillId="24" borderId="0" xfId="66" applyFont="1" applyFill="1"/>
    <xf numFmtId="43" fontId="192" fillId="24" borderId="0" xfId="6" applyFont="1" applyFill="1"/>
    <xf numFmtId="43" fontId="193" fillId="25" borderId="0" xfId="66" applyNumberFormat="1" applyFont="1" applyFill="1"/>
    <xf numFmtId="0" fontId="127" fillId="0" borderId="0" xfId="46" applyFont="1"/>
    <xf numFmtId="40" fontId="131" fillId="17" borderId="0" xfId="4" applyNumberFormat="1" applyFont="1" applyFill="1" applyBorder="1" applyAlignment="1">
      <alignment horizontal="right"/>
    </xf>
    <xf numFmtId="43" fontId="130" fillId="0" borderId="0" xfId="6" applyFont="1"/>
    <xf numFmtId="184" fontId="130" fillId="0" borderId="0" xfId="0" applyNumberFormat="1" applyFont="1"/>
    <xf numFmtId="40" fontId="131" fillId="14" borderId="0" xfId="4" applyNumberFormat="1" applyFont="1" applyFill="1" applyAlignment="1">
      <alignment horizontal="right"/>
    </xf>
    <xf numFmtId="40" fontId="131" fillId="14" borderId="0" xfId="4" applyNumberFormat="1" applyFont="1" applyFill="1" applyBorder="1" applyAlignment="1">
      <alignment horizontal="right"/>
    </xf>
    <xf numFmtId="0" fontId="177" fillId="0" borderId="0" xfId="11" applyFont="1" applyAlignment="1" applyProtection="1">
      <alignment horizontal="left"/>
      <protection locked="0"/>
    </xf>
    <xf numFmtId="49" fontId="188" fillId="15" borderId="0" xfId="0" applyNumberFormat="1" applyFont="1" applyFill="1" applyBorder="1" applyAlignment="1">
      <alignment horizontal="center" vertical="center" wrapText="1"/>
    </xf>
    <xf numFmtId="0" fontId="182" fillId="15" borderId="0" xfId="11" quotePrefix="1" applyFont="1" applyFill="1" applyAlignment="1" applyProtection="1">
      <alignment horizontal="left"/>
      <protection locked="0"/>
    </xf>
    <xf numFmtId="1" fontId="207" fillId="0" borderId="0" xfId="6" applyNumberFormat="1" applyFont="1" applyAlignment="1" applyProtection="1">
      <alignment horizontal="center"/>
      <protection locked="0"/>
    </xf>
    <xf numFmtId="43" fontId="206" fillId="0" borderId="0" xfId="6" applyFont="1" applyFill="1" applyProtection="1"/>
    <xf numFmtId="14" fontId="130" fillId="0" borderId="0" xfId="49" quotePrefix="1" applyNumberFormat="1" applyFont="1"/>
    <xf numFmtId="43" fontId="128" fillId="0" borderId="10" xfId="6" applyFont="1" applyFill="1" applyBorder="1"/>
    <xf numFmtId="0" fontId="130" fillId="14" borderId="0" xfId="10" applyNumberFormat="1" applyFont="1" applyFill="1" applyAlignment="1" applyProtection="1">
      <alignment horizontal="center" vertical="justify"/>
      <protection locked="0"/>
    </xf>
    <xf numFmtId="0" fontId="130" fillId="14" borderId="0" xfId="10" applyFont="1" applyFill="1" applyAlignment="1"/>
    <xf numFmtId="0" fontId="182" fillId="0" borderId="0" xfId="11" quotePrefix="1" applyFont="1" applyAlignment="1" applyProtection="1">
      <alignment horizontal="left"/>
      <protection locked="0"/>
    </xf>
    <xf numFmtId="43" fontId="170" fillId="5" borderId="0" xfId="6" applyFont="1" applyFill="1" applyAlignment="1">
      <alignment horizontal="center"/>
    </xf>
    <xf numFmtId="0" fontId="171" fillId="5" borderId="0" xfId="9" applyFont="1" applyFill="1" applyAlignment="1">
      <alignment horizontal="center"/>
    </xf>
    <xf numFmtId="0" fontId="183" fillId="5" borderId="0" xfId="9" applyFont="1" applyFill="1" applyAlignment="1">
      <alignment horizontal="center"/>
    </xf>
    <xf numFmtId="0" fontId="150" fillId="0" borderId="0" xfId="11" applyFont="1" applyAlignment="1">
      <alignment horizontal="center"/>
    </xf>
    <xf numFmtId="0" fontId="147" fillId="5" borderId="0" xfId="11" applyFont="1" applyFill="1" applyAlignment="1">
      <alignment horizontal="center"/>
    </xf>
    <xf numFmtId="0" fontId="161" fillId="5" borderId="0" xfId="11" quotePrefix="1" applyFont="1" applyFill="1" applyAlignment="1">
      <alignment horizontal="center"/>
    </xf>
    <xf numFmtId="0" fontId="147" fillId="0" borderId="17" xfId="1" applyFont="1" applyBorder="1" applyAlignment="1">
      <alignment horizontal="center"/>
    </xf>
    <xf numFmtId="0" fontId="147" fillId="0" borderId="12" xfId="1" applyFont="1" applyBorder="1" applyAlignment="1">
      <alignment horizontal="center"/>
    </xf>
    <xf numFmtId="0" fontId="147" fillId="0" borderId="18" xfId="1" applyFont="1" applyBorder="1" applyAlignment="1">
      <alignment horizontal="center"/>
    </xf>
    <xf numFmtId="49" fontId="138" fillId="5" borderId="11" xfId="11" applyNumberFormat="1" applyFont="1" applyFill="1" applyBorder="1" applyAlignment="1">
      <alignment horizontal="center"/>
    </xf>
    <xf numFmtId="49" fontId="138" fillId="5" borderId="0" xfId="11" applyNumberFormat="1" applyFont="1" applyFill="1" applyBorder="1" applyAlignment="1">
      <alignment horizontal="center"/>
    </xf>
    <xf numFmtId="49" fontId="138" fillId="5" borderId="16" xfId="11" applyNumberFormat="1" applyFont="1" applyFill="1" applyBorder="1" applyAlignment="1">
      <alignment horizontal="center"/>
    </xf>
    <xf numFmtId="0" fontId="131" fillId="17" borderId="0" xfId="1" applyFont="1" applyFill="1" applyAlignment="1">
      <alignment horizontal="center"/>
    </xf>
    <xf numFmtId="40" fontId="186" fillId="15" borderId="0" xfId="12" applyNumberFormat="1" applyFont="1" applyFill="1" applyAlignment="1" applyProtection="1">
      <alignment horizontal="center"/>
      <protection locked="0"/>
    </xf>
    <xf numFmtId="0" fontId="189" fillId="15" borderId="5" xfId="0" applyFont="1" applyFill="1" applyBorder="1" applyAlignment="1">
      <alignment horizontal="center" vertical="center"/>
    </xf>
    <xf numFmtId="0" fontId="189" fillId="15" borderId="6" xfId="0" applyFont="1" applyFill="1" applyBorder="1" applyAlignment="1">
      <alignment horizontal="center" vertical="center"/>
    </xf>
    <xf numFmtId="49" fontId="188" fillId="15" borderId="0" xfId="0" applyNumberFormat="1" applyFont="1" applyFill="1" applyBorder="1" applyAlignment="1">
      <alignment horizontal="center" vertical="center" wrapText="1"/>
    </xf>
    <xf numFmtId="0" fontId="189" fillId="15" borderId="5" xfId="188" applyFont="1" applyFill="1" applyBorder="1" applyAlignment="1">
      <alignment horizontal="center" vertical="center"/>
    </xf>
    <xf numFmtId="0" fontId="189" fillId="15" borderId="6" xfId="188" applyFont="1" applyFill="1" applyBorder="1" applyAlignment="1">
      <alignment horizontal="center" vertical="center"/>
    </xf>
    <xf numFmtId="0" fontId="189" fillId="0" borderId="5" xfId="0" applyFont="1" applyFill="1" applyBorder="1" applyAlignment="1">
      <alignment horizontal="center" vertical="center"/>
    </xf>
    <xf numFmtId="0" fontId="189" fillId="0" borderId="6" xfId="0" applyFont="1" applyFill="1" applyBorder="1" applyAlignment="1">
      <alignment horizontal="center" vertical="center"/>
    </xf>
  </cellXfs>
  <cellStyles count="392">
    <cellStyle name="=C:\WINNT\SYSTEM32\COMMAND.COM" xfId="1"/>
    <cellStyle name="=C:\WINNT\SYSTEM32\COMMAND.COM 2" xfId="67"/>
    <cellStyle name="=C:\WINNT\SYSTEM32\COMMAND.COM_Financials Report Confia-Enero" xfId="2"/>
    <cellStyle name="Accent1 - 20%" xfId="3"/>
    <cellStyle name="Accent1 2" xfId="189"/>
    <cellStyle name="Comma 10" xfId="190"/>
    <cellStyle name="Comma 2" xfId="155"/>
    <cellStyle name="Comma 2 2" xfId="331"/>
    <cellStyle name="Comma 3" xfId="157"/>
    <cellStyle name="Comma 3 2" xfId="333"/>
    <cellStyle name="Comma 4" xfId="166"/>
    <cellStyle name="Comma 4 2" xfId="342"/>
    <cellStyle name="Comma 5" xfId="171"/>
    <cellStyle name="Comma 5 2" xfId="347"/>
    <cellStyle name="Comma 6" xfId="173"/>
    <cellStyle name="Comma 6 2" xfId="349"/>
    <cellStyle name="Comma 7" xfId="177"/>
    <cellStyle name="Comma 7 2" xfId="353"/>
    <cellStyle name="Comma 8" xfId="181"/>
    <cellStyle name="Comma 8 2" xfId="357"/>
    <cellStyle name="Comma 9" xfId="185"/>
    <cellStyle name="Comma 9 2" xfId="360"/>
    <cellStyle name="Comma_FILE03-VALORES MAYO 2011" xfId="4"/>
    <cellStyle name="Currency 2" xfId="191"/>
    <cellStyle name="Énfasis1" xfId="5" builtinId="29" customBuiltin="1"/>
    <cellStyle name="Euro" xfId="182"/>
    <cellStyle name="Hipervínculo" xfId="391" builtinId="8"/>
    <cellStyle name="Millares" xfId="6" builtinId="3"/>
    <cellStyle name="Millares_Fp0110021" xfId="7"/>
    <cellStyle name="Moneda" xfId="8" builtinId="4"/>
    <cellStyle name="Normal" xfId="0" builtinId="0"/>
    <cellStyle name="Normal 10" xfId="23"/>
    <cellStyle name="Normal 10 2" xfId="76"/>
    <cellStyle name="Normal 10 2 2" xfId="252"/>
    <cellStyle name="Normal 10 3" xfId="201"/>
    <cellStyle name="Normal 10 4" xfId="362"/>
    <cellStyle name="Normal 100" xfId="151"/>
    <cellStyle name="Normal 100 2" xfId="327"/>
    <cellStyle name="Normal 101" xfId="152"/>
    <cellStyle name="Normal 101 2" xfId="328"/>
    <cellStyle name="Normal 102" xfId="153"/>
    <cellStyle name="Normal 102 2" xfId="329"/>
    <cellStyle name="Normal 103" xfId="154"/>
    <cellStyle name="Normal 103 2" xfId="330"/>
    <cellStyle name="Normal 104" xfId="156"/>
    <cellStyle name="Normal 104 2" xfId="332"/>
    <cellStyle name="Normal 105" xfId="158"/>
    <cellStyle name="Normal 105 2" xfId="334"/>
    <cellStyle name="Normal 106" xfId="159"/>
    <cellStyle name="Normal 106 2" xfId="335"/>
    <cellStyle name="Normal 107" xfId="160"/>
    <cellStyle name="Normal 107 2" xfId="336"/>
    <cellStyle name="Normal 108" xfId="161"/>
    <cellStyle name="Normal 108 2" xfId="337"/>
    <cellStyle name="Normal 109" xfId="162"/>
    <cellStyle name="Normal 109 2" xfId="338"/>
    <cellStyle name="Normal 11" xfId="24"/>
    <cellStyle name="Normal 11 2" xfId="77"/>
    <cellStyle name="Normal 11 2 2" xfId="253"/>
    <cellStyle name="Normal 11 3" xfId="202"/>
    <cellStyle name="Normal 11 4" xfId="363"/>
    <cellStyle name="Normal 110" xfId="163"/>
    <cellStyle name="Normal 110 2" xfId="339"/>
    <cellStyle name="Normal 111" xfId="164"/>
    <cellStyle name="Normal 111 2" xfId="340"/>
    <cellStyle name="Normal 112" xfId="165"/>
    <cellStyle name="Normal 112 2" xfId="341"/>
    <cellStyle name="Normal 113" xfId="167"/>
    <cellStyle name="Normal 113 2" xfId="343"/>
    <cellStyle name="Normal 114" xfId="168"/>
    <cellStyle name="Normal 114 2" xfId="344"/>
    <cellStyle name="Normal 115" xfId="169"/>
    <cellStyle name="Normal 115 2" xfId="345"/>
    <cellStyle name="Normal 116" xfId="170"/>
    <cellStyle name="Normal 116 2" xfId="346"/>
    <cellStyle name="Normal 117" xfId="172"/>
    <cellStyle name="Normal 117 2" xfId="348"/>
    <cellStyle name="Normal 118" xfId="174"/>
    <cellStyle name="Normal 118 2" xfId="350"/>
    <cellStyle name="Normal 119" xfId="175"/>
    <cellStyle name="Normal 119 2" xfId="351"/>
    <cellStyle name="Normal 12" xfId="25"/>
    <cellStyle name="Normal 12 2" xfId="78"/>
    <cellStyle name="Normal 12 2 2" xfId="254"/>
    <cellStyle name="Normal 12 3" xfId="203"/>
    <cellStyle name="Normal 12 4" xfId="364"/>
    <cellStyle name="Normal 120" xfId="176"/>
    <cellStyle name="Normal 120 2" xfId="352"/>
    <cellStyle name="Normal 121" xfId="178"/>
    <cellStyle name="Normal 121 2" xfId="354"/>
    <cellStyle name="Normal 122" xfId="179"/>
    <cellStyle name="Normal 122 2" xfId="355"/>
    <cellStyle name="Normal 123" xfId="180"/>
    <cellStyle name="Normal 123 2" xfId="356"/>
    <cellStyle name="Normal 124" xfId="183"/>
    <cellStyle name="Normal 124 2" xfId="358"/>
    <cellStyle name="Normal 125" xfId="184"/>
    <cellStyle name="Normal 125 2" xfId="359"/>
    <cellStyle name="Normal 126" xfId="188"/>
    <cellStyle name="Normal 127" xfId="187"/>
    <cellStyle name="Normal 128" xfId="361"/>
    <cellStyle name="Normal 13" xfId="26"/>
    <cellStyle name="Normal 13 2" xfId="79"/>
    <cellStyle name="Normal 13 2 2" xfId="255"/>
    <cellStyle name="Normal 13 3" xfId="204"/>
    <cellStyle name="Normal 13 4" xfId="365"/>
    <cellStyle name="Normal 14" xfId="27"/>
    <cellStyle name="Normal 14 2" xfId="80"/>
    <cellStyle name="Normal 14 2 2" xfId="256"/>
    <cellStyle name="Normal 14 3" xfId="205"/>
    <cellStyle name="Normal 14 4" xfId="366"/>
    <cellStyle name="Normal 15" xfId="28"/>
    <cellStyle name="Normal 15 2" xfId="81"/>
    <cellStyle name="Normal 15 2 2" xfId="257"/>
    <cellStyle name="Normal 15 3" xfId="206"/>
    <cellStyle name="Normal 15 4" xfId="367"/>
    <cellStyle name="Normal 16" xfId="29"/>
    <cellStyle name="Normal 16 2" xfId="82"/>
    <cellStyle name="Normal 16 2 2" xfId="258"/>
    <cellStyle name="Normal 16 3" xfId="207"/>
    <cellStyle name="Normal 16 4" xfId="368"/>
    <cellStyle name="Normal 17" xfId="30"/>
    <cellStyle name="Normal 17 2" xfId="83"/>
    <cellStyle name="Normal 17 2 2" xfId="259"/>
    <cellStyle name="Normal 17 3" xfId="208"/>
    <cellStyle name="Normal 17 4" xfId="369"/>
    <cellStyle name="Normal 18" xfId="31"/>
    <cellStyle name="Normal 18 2" xfId="84"/>
    <cellStyle name="Normal 18 2 2" xfId="260"/>
    <cellStyle name="Normal 18 3" xfId="209"/>
    <cellStyle name="Normal 18 4" xfId="370"/>
    <cellStyle name="Normal 19" xfId="32"/>
    <cellStyle name="Normal 19 2" xfId="85"/>
    <cellStyle name="Normal 19 2 2" xfId="261"/>
    <cellStyle name="Normal 19 3" xfId="210"/>
    <cellStyle name="Normal 19 4" xfId="371"/>
    <cellStyle name="Normal 2" xfId="15"/>
    <cellStyle name="Normal 2 2" xfId="68"/>
    <cellStyle name="Normal 2 2 2" xfId="244"/>
    <cellStyle name="Normal 2 3" xfId="193"/>
    <cellStyle name="Normal 2 4" xfId="372"/>
    <cellStyle name="Normal 20" xfId="33"/>
    <cellStyle name="Normal 20 2" xfId="86"/>
    <cellStyle name="Normal 20 2 2" xfId="262"/>
    <cellStyle name="Normal 20 3" xfId="211"/>
    <cellStyle name="Normal 20 4" xfId="373"/>
    <cellStyle name="Normal 21" xfId="34"/>
    <cellStyle name="Normal 21 2" xfId="87"/>
    <cellStyle name="Normal 21 2 2" xfId="263"/>
    <cellStyle name="Normal 21 3" xfId="212"/>
    <cellStyle name="Normal 21 4" xfId="374"/>
    <cellStyle name="Normal 22" xfId="35"/>
    <cellStyle name="Normal 22 2" xfId="88"/>
    <cellStyle name="Normal 22 2 2" xfId="264"/>
    <cellStyle name="Normal 22 3" xfId="213"/>
    <cellStyle name="Normal 22 4" xfId="375"/>
    <cellStyle name="Normal 23" xfId="36"/>
    <cellStyle name="Normal 23 2" xfId="89"/>
    <cellStyle name="Normal 23 2 2" xfId="265"/>
    <cellStyle name="Normal 23 3" xfId="214"/>
    <cellStyle name="Normal 23 4" xfId="376"/>
    <cellStyle name="Normal 24" xfId="37"/>
    <cellStyle name="Normal 24 2" xfId="90"/>
    <cellStyle name="Normal 24 2 2" xfId="266"/>
    <cellStyle name="Normal 24 3" xfId="215"/>
    <cellStyle name="Normal 24 4" xfId="377"/>
    <cellStyle name="Normal 25" xfId="38"/>
    <cellStyle name="Normal 25 2" xfId="91"/>
    <cellStyle name="Normal 25 2 2" xfId="267"/>
    <cellStyle name="Normal 25 3" xfId="216"/>
    <cellStyle name="Normal 25 4" xfId="378"/>
    <cellStyle name="Normal 26" xfId="39"/>
    <cellStyle name="Normal 26 2" xfId="92"/>
    <cellStyle name="Normal 26 2 2" xfId="268"/>
    <cellStyle name="Normal 26 3" xfId="217"/>
    <cellStyle name="Normal 26 4" xfId="379"/>
    <cellStyle name="Normal 27" xfId="40"/>
    <cellStyle name="Normal 27 2" xfId="93"/>
    <cellStyle name="Normal 27 2 2" xfId="269"/>
    <cellStyle name="Normal 27 3" xfId="218"/>
    <cellStyle name="Normal 27 4" xfId="380"/>
    <cellStyle name="Normal 28" xfId="41"/>
    <cellStyle name="Normal 28 2" xfId="94"/>
    <cellStyle name="Normal 28 2 2" xfId="270"/>
    <cellStyle name="Normal 28 3" xfId="219"/>
    <cellStyle name="Normal 28 4" xfId="381"/>
    <cellStyle name="Normal 29" xfId="42"/>
    <cellStyle name="Normal 29 2" xfId="95"/>
    <cellStyle name="Normal 29 2 2" xfId="271"/>
    <cellStyle name="Normal 29 3" xfId="220"/>
    <cellStyle name="Normal 29 4" xfId="382"/>
    <cellStyle name="Normal 3" xfId="16"/>
    <cellStyle name="Normal 3 2" xfId="69"/>
    <cellStyle name="Normal 3 2 2" xfId="245"/>
    <cellStyle name="Normal 3 3" xfId="194"/>
    <cellStyle name="Normal 3 4" xfId="383"/>
    <cellStyle name="Normal 30" xfId="43"/>
    <cellStyle name="Normal 30 2" xfId="96"/>
    <cellStyle name="Normal 30 2 2" xfId="272"/>
    <cellStyle name="Normal 30 3" xfId="221"/>
    <cellStyle name="Normal 30 4" xfId="384"/>
    <cellStyle name="Normal 31" xfId="44"/>
    <cellStyle name="Normal 31 2" xfId="97"/>
    <cellStyle name="Normal 31 2 2" xfId="273"/>
    <cellStyle name="Normal 31 3" xfId="222"/>
    <cellStyle name="Normal 32" xfId="45"/>
    <cellStyle name="Normal 32 2" xfId="98"/>
    <cellStyle name="Normal 32 2 2" xfId="274"/>
    <cellStyle name="Normal 32 3" xfId="223"/>
    <cellStyle name="Normal 33" xfId="46"/>
    <cellStyle name="Normal 33 2" xfId="99"/>
    <cellStyle name="Normal 33 2 2" xfId="275"/>
    <cellStyle name="Normal 33 3" xfId="224"/>
    <cellStyle name="Normal 34" xfId="47"/>
    <cellStyle name="Normal 34 2" xfId="100"/>
    <cellStyle name="Normal 34 2 2" xfId="276"/>
    <cellStyle name="Normal 34 3" xfId="225"/>
    <cellStyle name="Normal 35" xfId="48"/>
    <cellStyle name="Normal 35 2" xfId="101"/>
    <cellStyle name="Normal 35 2 2" xfId="277"/>
    <cellStyle name="Normal 35 3" xfId="226"/>
    <cellStyle name="Normal 36" xfId="49"/>
    <cellStyle name="Normal 36 2" xfId="102"/>
    <cellStyle name="Normal 36 2 2" xfId="278"/>
    <cellStyle name="Normal 36 3" xfId="227"/>
    <cellStyle name="Normal 37" xfId="50"/>
    <cellStyle name="Normal 37 2" xfId="103"/>
    <cellStyle name="Normal 37 2 2" xfId="279"/>
    <cellStyle name="Normal 37 3" xfId="228"/>
    <cellStyle name="Normal 38" xfId="51"/>
    <cellStyle name="Normal 38 2" xfId="104"/>
    <cellStyle name="Normal 38 2 2" xfId="280"/>
    <cellStyle name="Normal 38 3" xfId="229"/>
    <cellStyle name="Normal 39" xfId="52"/>
    <cellStyle name="Normal 39 2" xfId="230"/>
    <cellStyle name="Normal 4" xfId="17"/>
    <cellStyle name="Normal 4 2" xfId="70"/>
    <cellStyle name="Normal 4 2 2" xfId="246"/>
    <cellStyle name="Normal 4 3" xfId="195"/>
    <cellStyle name="Normal 4 4" xfId="385"/>
    <cellStyle name="Normal 40" xfId="53"/>
    <cellStyle name="Normal 40 2" xfId="231"/>
    <cellStyle name="Normal 41" xfId="54"/>
    <cellStyle name="Normal 41 2" xfId="232"/>
    <cellStyle name="Normal 42" xfId="55"/>
    <cellStyle name="Normal 42 2" xfId="233"/>
    <cellStyle name="Normal 43" xfId="56"/>
    <cellStyle name="Normal 43 2" xfId="234"/>
    <cellStyle name="Normal 44" xfId="57"/>
    <cellStyle name="Normal 44 2" xfId="235"/>
    <cellStyle name="Normal 45" xfId="58"/>
    <cellStyle name="Normal 45 2" xfId="236"/>
    <cellStyle name="Normal 46" xfId="59"/>
    <cellStyle name="Normal 46 2" xfId="237"/>
    <cellStyle name="Normal 47" xfId="60"/>
    <cellStyle name="Normal 47 2" xfId="238"/>
    <cellStyle name="Normal 48" xfId="61"/>
    <cellStyle name="Normal 48 2" xfId="239"/>
    <cellStyle name="Normal 49" xfId="62"/>
    <cellStyle name="Normal 49 2" xfId="240"/>
    <cellStyle name="Normal 5" xfId="18"/>
    <cellStyle name="Normal 5 2" xfId="71"/>
    <cellStyle name="Normal 5 2 2" xfId="247"/>
    <cellStyle name="Normal 5 3" xfId="196"/>
    <cellStyle name="Normal 5 4" xfId="386"/>
    <cellStyle name="Normal 50" xfId="63"/>
    <cellStyle name="Normal 50 2" xfId="241"/>
    <cellStyle name="Normal 51" xfId="64"/>
    <cellStyle name="Normal 51 2" xfId="242"/>
    <cellStyle name="Normal 52" xfId="65"/>
    <cellStyle name="Normal 52 2" xfId="243"/>
    <cellStyle name="Normal 53" xfId="66"/>
    <cellStyle name="Normal 54" xfId="105"/>
    <cellStyle name="Normal 54 2" xfId="281"/>
    <cellStyle name="Normal 55" xfId="106"/>
    <cellStyle name="Normal 55 2" xfId="282"/>
    <cellStyle name="Normal 56" xfId="107"/>
    <cellStyle name="Normal 56 2" xfId="283"/>
    <cellStyle name="Normal 57" xfId="108"/>
    <cellStyle name="Normal 57 2" xfId="284"/>
    <cellStyle name="Normal 58" xfId="109"/>
    <cellStyle name="Normal 58 2" xfId="285"/>
    <cellStyle name="Normal 59" xfId="110"/>
    <cellStyle name="Normal 59 2" xfId="286"/>
    <cellStyle name="Normal 6" xfId="19"/>
    <cellStyle name="Normal 6 2" xfId="72"/>
    <cellStyle name="Normal 6 2 2" xfId="248"/>
    <cellStyle name="Normal 6 3" xfId="197"/>
    <cellStyle name="Normal 6 4" xfId="387"/>
    <cellStyle name="Normal 60" xfId="111"/>
    <cellStyle name="Normal 60 2" xfId="287"/>
    <cellStyle name="Normal 61" xfId="112"/>
    <cellStyle name="Normal 61 2" xfId="288"/>
    <cellStyle name="Normal 62" xfId="113"/>
    <cellStyle name="Normal 62 2" xfId="289"/>
    <cellStyle name="Normal 63" xfId="114"/>
    <cellStyle name="Normal 63 2" xfId="290"/>
    <cellStyle name="Normal 64" xfId="115"/>
    <cellStyle name="Normal 64 2" xfId="291"/>
    <cellStyle name="Normal 65" xfId="116"/>
    <cellStyle name="Normal 65 2" xfId="292"/>
    <cellStyle name="Normal 66" xfId="117"/>
    <cellStyle name="Normal 66 2" xfId="293"/>
    <cellStyle name="Normal 67" xfId="118"/>
    <cellStyle name="Normal 67 2" xfId="294"/>
    <cellStyle name="Normal 68" xfId="119"/>
    <cellStyle name="Normal 68 2" xfId="295"/>
    <cellStyle name="Normal 69" xfId="120"/>
    <cellStyle name="Normal 69 2" xfId="296"/>
    <cellStyle name="Normal 7" xfId="20"/>
    <cellStyle name="Normal 7 2" xfId="73"/>
    <cellStyle name="Normal 7 2 2" xfId="249"/>
    <cellStyle name="Normal 7 3" xfId="198"/>
    <cellStyle name="Normal 7 4" xfId="388"/>
    <cellStyle name="Normal 70" xfId="121"/>
    <cellStyle name="Normal 70 2" xfId="297"/>
    <cellStyle name="Normal 71" xfId="122"/>
    <cellStyle name="Normal 71 2" xfId="298"/>
    <cellStyle name="Normal 72" xfId="123"/>
    <cellStyle name="Normal 72 2" xfId="299"/>
    <cellStyle name="Normal 73" xfId="124"/>
    <cellStyle name="Normal 73 2" xfId="300"/>
    <cellStyle name="Normal 74" xfId="125"/>
    <cellStyle name="Normal 74 2" xfId="301"/>
    <cellStyle name="Normal 75" xfId="126"/>
    <cellStyle name="Normal 75 2" xfId="302"/>
    <cellStyle name="Normal 76" xfId="127"/>
    <cellStyle name="Normal 76 2" xfId="303"/>
    <cellStyle name="Normal 77" xfId="128"/>
    <cellStyle name="Normal 77 2" xfId="304"/>
    <cellStyle name="Normal 78" xfId="129"/>
    <cellStyle name="Normal 78 2" xfId="305"/>
    <cellStyle name="Normal 79" xfId="130"/>
    <cellStyle name="Normal 79 2" xfId="306"/>
    <cellStyle name="Normal 8" xfId="21"/>
    <cellStyle name="Normal 8 2" xfId="74"/>
    <cellStyle name="Normal 8 2 2" xfId="250"/>
    <cellStyle name="Normal 8 3" xfId="199"/>
    <cellStyle name="Normal 8 4" xfId="389"/>
    <cellStyle name="Normal 80" xfId="131"/>
    <cellStyle name="Normal 80 2" xfId="307"/>
    <cellStyle name="Normal 81" xfId="132"/>
    <cellStyle name="Normal 81 2" xfId="308"/>
    <cellStyle name="Normal 82" xfId="133"/>
    <cellStyle name="Normal 82 2" xfId="309"/>
    <cellStyle name="Normal 83" xfId="134"/>
    <cellStyle name="Normal 83 2" xfId="310"/>
    <cellStyle name="Normal 84" xfId="135"/>
    <cellStyle name="Normal 84 2" xfId="311"/>
    <cellStyle name="Normal 85" xfId="136"/>
    <cellStyle name="Normal 85 2" xfId="312"/>
    <cellStyle name="Normal 86" xfId="137"/>
    <cellStyle name="Normal 86 2" xfId="313"/>
    <cellStyle name="Normal 87" xfId="138"/>
    <cellStyle name="Normal 87 2" xfId="314"/>
    <cellStyle name="Normal 88" xfId="139"/>
    <cellStyle name="Normal 88 2" xfId="315"/>
    <cellStyle name="Normal 89" xfId="140"/>
    <cellStyle name="Normal 89 2" xfId="316"/>
    <cellStyle name="Normal 9" xfId="22"/>
    <cellStyle name="Normal 9 2" xfId="75"/>
    <cellStyle name="Normal 9 2 2" xfId="251"/>
    <cellStyle name="Normal 9 3" xfId="200"/>
    <cellStyle name="Normal 9 4" xfId="390"/>
    <cellStyle name="Normal 90" xfId="141"/>
    <cellStyle name="Normal 90 2" xfId="317"/>
    <cellStyle name="Normal 91" xfId="142"/>
    <cellStyle name="Normal 91 2" xfId="318"/>
    <cellStyle name="Normal 92" xfId="143"/>
    <cellStyle name="Normal 92 2" xfId="319"/>
    <cellStyle name="Normal 93" xfId="144"/>
    <cellStyle name="Normal 93 2" xfId="320"/>
    <cellStyle name="Normal 94" xfId="145"/>
    <cellStyle name="Normal 94 2" xfId="321"/>
    <cellStyle name="Normal 95" xfId="146"/>
    <cellStyle name="Normal 95 2" xfId="322"/>
    <cellStyle name="Normal 96" xfId="147"/>
    <cellStyle name="Normal 96 2" xfId="323"/>
    <cellStyle name="Normal 97" xfId="148"/>
    <cellStyle name="Normal 97 2" xfId="324"/>
    <cellStyle name="Normal 98" xfId="149"/>
    <cellStyle name="Normal 98 2" xfId="325"/>
    <cellStyle name="Normal 99" xfId="150"/>
    <cellStyle name="Normal 99 2" xfId="326"/>
    <cellStyle name="Normal_Balance general al 31 de Diciembre de 2010" xfId="9"/>
    <cellStyle name="Normal_FILE 03 VALORES OCTUBRE" xfId="10"/>
    <cellStyle name="Normal_Fp0110021" xfId="11"/>
    <cellStyle name="Normal_Libro Ventas Consumidor final" xfId="12"/>
    <cellStyle name="Normal_Sheet3" xfId="13"/>
    <cellStyle name="Percent 2" xfId="192"/>
    <cellStyle name="Porcentaje" xfId="14" builtinId="5"/>
    <cellStyle name="Porcentaje 2" xfId="1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64</xdr:row>
      <xdr:rowOff>0</xdr:rowOff>
    </xdr:from>
    <xdr:to>
      <xdr:col>2</xdr:col>
      <xdr:colOff>381000</xdr:colOff>
      <xdr:row>64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96</xdr:row>
      <xdr:rowOff>0</xdr:rowOff>
    </xdr:from>
    <xdr:to>
      <xdr:col>2</xdr:col>
      <xdr:colOff>381000</xdr:colOff>
      <xdr:row>96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124</xdr:row>
      <xdr:rowOff>0</xdr:rowOff>
    </xdr:from>
    <xdr:to>
      <xdr:col>2</xdr:col>
      <xdr:colOff>381000</xdr:colOff>
      <xdr:row>124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154</xdr:row>
      <xdr:rowOff>0</xdr:rowOff>
    </xdr:from>
    <xdr:to>
      <xdr:col>2</xdr:col>
      <xdr:colOff>381000</xdr:colOff>
      <xdr:row>154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192</xdr:row>
      <xdr:rowOff>0</xdr:rowOff>
    </xdr:from>
    <xdr:to>
      <xdr:col>2</xdr:col>
      <xdr:colOff>381000</xdr:colOff>
      <xdr:row>192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219</xdr:row>
      <xdr:rowOff>0</xdr:rowOff>
    </xdr:from>
    <xdr:to>
      <xdr:col>2</xdr:col>
      <xdr:colOff>381000</xdr:colOff>
      <xdr:row>219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266</xdr:row>
      <xdr:rowOff>0</xdr:rowOff>
    </xdr:from>
    <xdr:to>
      <xdr:col>2</xdr:col>
      <xdr:colOff>381000</xdr:colOff>
      <xdr:row>266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319</xdr:row>
      <xdr:rowOff>0</xdr:rowOff>
    </xdr:from>
    <xdr:to>
      <xdr:col>2</xdr:col>
      <xdr:colOff>381000</xdr:colOff>
      <xdr:row>319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432</xdr:row>
      <xdr:rowOff>0</xdr:rowOff>
    </xdr:from>
    <xdr:to>
      <xdr:col>2</xdr:col>
      <xdr:colOff>381000</xdr:colOff>
      <xdr:row>432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493</xdr:row>
      <xdr:rowOff>0</xdr:rowOff>
    </xdr:from>
    <xdr:to>
      <xdr:col>2</xdr:col>
      <xdr:colOff>381000</xdr:colOff>
      <xdr:row>493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563</xdr:row>
      <xdr:rowOff>0</xdr:rowOff>
    </xdr:from>
    <xdr:to>
      <xdr:col>2</xdr:col>
      <xdr:colOff>381000</xdr:colOff>
      <xdr:row>563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3%20MARZO/VALORES%20reporte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9%20SEPTIEMBRE/VALORES%20reporte%20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OCTUBRE%20Compras%20Ven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N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D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>
        <row r="5">
          <cell r="B5" t="str">
            <v>MES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D114" sqref="D114"/>
    </sheetView>
  </sheetViews>
  <sheetFormatPr baseColWidth="10" defaultColWidth="11.42578125" defaultRowHeight="12.75" x14ac:dyDescent="0.2"/>
  <cols>
    <col min="1" max="1" width="11.42578125" style="205"/>
    <col min="2" max="2" width="4" style="205" customWidth="1"/>
    <col min="3" max="3" width="3.7109375" style="205" customWidth="1"/>
    <col min="4" max="4" width="63.85546875" style="205" customWidth="1"/>
    <col min="5" max="5" width="15.42578125" style="206" customWidth="1"/>
    <col min="6" max="6" width="15.42578125" style="205" customWidth="1"/>
    <col min="7" max="7" width="22.85546875" style="205" customWidth="1"/>
    <col min="8" max="11" width="15.42578125" style="205" customWidth="1"/>
    <col min="12" max="16384" width="11.42578125" style="205"/>
  </cols>
  <sheetData>
    <row r="1" spans="2:12" x14ac:dyDescent="0.2">
      <c r="J1" s="207"/>
      <c r="K1" s="207"/>
      <c r="L1" s="207"/>
    </row>
    <row r="2" spans="2:12" ht="18" x14ac:dyDescent="0.25">
      <c r="D2" s="208" t="s">
        <v>355</v>
      </c>
      <c r="E2" s="209"/>
      <c r="G2" s="210"/>
      <c r="J2" s="207"/>
      <c r="K2" s="207"/>
      <c r="L2" s="207"/>
    </row>
    <row r="3" spans="2:12" ht="18" x14ac:dyDescent="0.25">
      <c r="D3" s="208" t="s">
        <v>840</v>
      </c>
      <c r="E3" s="209"/>
      <c r="G3" s="210"/>
      <c r="J3" s="207"/>
      <c r="K3" s="207"/>
      <c r="L3" s="207"/>
    </row>
    <row r="4" spans="2:12" ht="18" x14ac:dyDescent="0.25">
      <c r="D4" s="208" t="s">
        <v>836</v>
      </c>
      <c r="E4" s="209"/>
      <c r="G4" s="210"/>
      <c r="J4" s="207"/>
      <c r="K4" s="207"/>
      <c r="L4" s="207"/>
    </row>
    <row r="5" spans="2:12" ht="18" x14ac:dyDescent="0.25">
      <c r="D5" s="211" t="s">
        <v>1288</v>
      </c>
      <c r="E5" s="209"/>
      <c r="G5" s="210"/>
      <c r="J5" s="207"/>
      <c r="K5" s="207"/>
      <c r="L5" s="207"/>
    </row>
    <row r="6" spans="2:12" ht="18" x14ac:dyDescent="0.25">
      <c r="D6" s="211" t="s">
        <v>99</v>
      </c>
      <c r="E6" s="209"/>
      <c r="G6" s="210"/>
      <c r="J6" s="207"/>
      <c r="K6" s="207"/>
      <c r="L6" s="207"/>
    </row>
    <row r="7" spans="2:12" x14ac:dyDescent="0.2">
      <c r="G7" s="210"/>
      <c r="J7" s="207"/>
      <c r="K7" s="207"/>
      <c r="L7" s="207"/>
    </row>
    <row r="8" spans="2:12" x14ac:dyDescent="0.2">
      <c r="D8" s="210" t="s">
        <v>537</v>
      </c>
      <c r="J8" s="207"/>
      <c r="K8" s="207"/>
      <c r="L8" s="207"/>
    </row>
    <row r="9" spans="2:12" x14ac:dyDescent="0.2">
      <c r="B9" s="205">
        <v>11</v>
      </c>
      <c r="D9" s="210" t="s">
        <v>100</v>
      </c>
      <c r="G9" s="212">
        <v>2279570.25</v>
      </c>
      <c r="J9" s="207"/>
      <c r="K9" s="207"/>
      <c r="L9" s="207"/>
    </row>
    <row r="10" spans="2:12" x14ac:dyDescent="0.2">
      <c r="J10" s="207"/>
      <c r="K10" s="207"/>
      <c r="L10" s="207"/>
    </row>
    <row r="11" spans="2:12" x14ac:dyDescent="0.2">
      <c r="B11" s="205">
        <v>111</v>
      </c>
      <c r="D11" s="205" t="s">
        <v>101</v>
      </c>
      <c r="F11" s="213">
        <v>2155452.63</v>
      </c>
      <c r="J11" s="207"/>
      <c r="K11" s="207"/>
      <c r="L11" s="207"/>
    </row>
    <row r="12" spans="2:12" x14ac:dyDescent="0.2">
      <c r="B12" s="205">
        <v>112</v>
      </c>
      <c r="D12" s="285" t="s">
        <v>784</v>
      </c>
      <c r="F12" s="213">
        <v>114286</v>
      </c>
      <c r="J12" s="207"/>
      <c r="K12" s="207"/>
      <c r="L12" s="207"/>
    </row>
    <row r="13" spans="2:12" x14ac:dyDescent="0.2">
      <c r="B13" s="205">
        <v>113</v>
      </c>
      <c r="D13" s="205" t="s">
        <v>443</v>
      </c>
      <c r="F13" s="213">
        <v>0</v>
      </c>
      <c r="J13" s="207"/>
      <c r="K13" s="207"/>
      <c r="L13" s="207"/>
    </row>
    <row r="14" spans="2:12" x14ac:dyDescent="0.2">
      <c r="B14" s="205">
        <v>114</v>
      </c>
      <c r="D14" s="205" t="s">
        <v>613</v>
      </c>
      <c r="F14" s="213">
        <v>99.54</v>
      </c>
      <c r="I14" s="518"/>
      <c r="J14" s="519"/>
      <c r="K14" s="207"/>
      <c r="L14" s="207"/>
    </row>
    <row r="15" spans="2:12" x14ac:dyDescent="0.2">
      <c r="B15" s="205">
        <v>115</v>
      </c>
      <c r="D15" s="205" t="s">
        <v>441</v>
      </c>
      <c r="F15" s="213">
        <v>2389.9499999999998</v>
      </c>
      <c r="J15" s="207"/>
      <c r="K15" s="207"/>
      <c r="L15" s="207"/>
    </row>
    <row r="16" spans="2:12" x14ac:dyDescent="0.2">
      <c r="B16" s="205">
        <v>116</v>
      </c>
      <c r="D16" s="205" t="s">
        <v>177</v>
      </c>
      <c r="F16" s="213">
        <v>0</v>
      </c>
      <c r="J16" s="207"/>
      <c r="K16" s="207"/>
      <c r="L16" s="207"/>
    </row>
    <row r="17" spans="2:12" x14ac:dyDescent="0.2">
      <c r="B17" s="205">
        <v>117</v>
      </c>
      <c r="D17" s="205" t="s">
        <v>522</v>
      </c>
      <c r="F17" s="213">
        <v>7150.61</v>
      </c>
      <c r="J17" s="207"/>
      <c r="K17" s="207"/>
      <c r="L17" s="207"/>
    </row>
    <row r="18" spans="2:12" x14ac:dyDescent="0.2">
      <c r="B18" s="205">
        <v>118</v>
      </c>
      <c r="D18" s="205" t="s">
        <v>442</v>
      </c>
      <c r="E18" s="215"/>
      <c r="F18" s="216">
        <v>191.52</v>
      </c>
      <c r="G18" s="217"/>
      <c r="J18" s="207"/>
      <c r="K18" s="207"/>
      <c r="L18" s="207"/>
    </row>
    <row r="19" spans="2:12" x14ac:dyDescent="0.2">
      <c r="J19" s="207"/>
      <c r="K19" s="207"/>
      <c r="L19" s="207"/>
    </row>
    <row r="20" spans="2:12" x14ac:dyDescent="0.2">
      <c r="B20" s="205">
        <v>12</v>
      </c>
      <c r="D20" s="210" t="s">
        <v>102</v>
      </c>
      <c r="G20" s="212">
        <v>16864</v>
      </c>
      <c r="J20" s="207"/>
      <c r="K20" s="207"/>
      <c r="L20" s="207"/>
    </row>
    <row r="21" spans="2:12" x14ac:dyDescent="0.2">
      <c r="J21" s="207"/>
      <c r="K21" s="207"/>
      <c r="L21" s="207"/>
    </row>
    <row r="22" spans="2:12" x14ac:dyDescent="0.2">
      <c r="B22" s="205">
        <v>120</v>
      </c>
      <c r="D22" s="205" t="s">
        <v>705</v>
      </c>
      <c r="F22" s="213">
        <v>0</v>
      </c>
      <c r="J22" s="207"/>
      <c r="K22" s="207"/>
      <c r="L22" s="207"/>
    </row>
    <row r="23" spans="2:12" x14ac:dyDescent="0.2">
      <c r="B23" s="205">
        <v>121</v>
      </c>
      <c r="D23" s="205" t="s">
        <v>618</v>
      </c>
      <c r="F23" s="213">
        <v>0</v>
      </c>
      <c r="J23" s="207"/>
      <c r="K23" s="207"/>
      <c r="L23" s="207"/>
    </row>
    <row r="24" spans="2:12" x14ac:dyDescent="0.2">
      <c r="B24" s="205">
        <v>123</v>
      </c>
      <c r="D24" s="205" t="s">
        <v>103</v>
      </c>
      <c r="F24" s="213">
        <v>16864</v>
      </c>
      <c r="J24" s="207"/>
      <c r="K24" s="207"/>
      <c r="L24" s="207"/>
    </row>
    <row r="25" spans="2:12" x14ac:dyDescent="0.2">
      <c r="B25" s="205">
        <v>126</v>
      </c>
      <c r="D25" s="205" t="s">
        <v>21</v>
      </c>
      <c r="F25" s="213">
        <v>0</v>
      </c>
      <c r="J25" s="207"/>
      <c r="K25" s="207"/>
      <c r="L25" s="207"/>
    </row>
    <row r="26" spans="2:12" x14ac:dyDescent="0.2">
      <c r="J26" s="207"/>
      <c r="K26" s="207"/>
      <c r="L26" s="207"/>
    </row>
    <row r="27" spans="2:12" x14ac:dyDescent="0.2">
      <c r="E27" s="218"/>
      <c r="F27" s="219"/>
      <c r="J27" s="207"/>
      <c r="K27" s="207"/>
      <c r="L27" s="207"/>
    </row>
    <row r="28" spans="2:12" ht="13.5" thickBot="1" x14ac:dyDescent="0.25">
      <c r="E28" s="220"/>
      <c r="F28" s="221"/>
      <c r="J28" s="207"/>
      <c r="K28" s="207"/>
      <c r="L28" s="207"/>
    </row>
    <row r="29" spans="2:12" ht="13.5" thickBot="1" x14ac:dyDescent="0.25">
      <c r="D29" s="210" t="s">
        <v>104</v>
      </c>
      <c r="G29" s="222">
        <v>2296434.25</v>
      </c>
      <c r="J29" s="207"/>
      <c r="K29" s="207"/>
      <c r="L29" s="207"/>
    </row>
    <row r="30" spans="2:12" ht="13.5" thickTop="1" x14ac:dyDescent="0.2">
      <c r="I30" s="213"/>
      <c r="J30" s="207"/>
      <c r="K30" s="207"/>
      <c r="L30" s="207"/>
    </row>
    <row r="31" spans="2:12" x14ac:dyDescent="0.2">
      <c r="J31" s="207"/>
      <c r="K31" s="207"/>
      <c r="L31" s="207"/>
    </row>
    <row r="32" spans="2:12" x14ac:dyDescent="0.2">
      <c r="J32" s="207"/>
      <c r="K32" s="207"/>
      <c r="L32" s="207"/>
    </row>
    <row r="33" spans="2:12" x14ac:dyDescent="0.2">
      <c r="J33" s="207"/>
      <c r="K33" s="207"/>
      <c r="L33" s="207"/>
    </row>
    <row r="34" spans="2:12" x14ac:dyDescent="0.2">
      <c r="J34" s="207"/>
      <c r="K34" s="207"/>
      <c r="L34" s="207"/>
    </row>
    <row r="35" spans="2:12" x14ac:dyDescent="0.2">
      <c r="B35" s="205">
        <v>21</v>
      </c>
      <c r="D35" s="210" t="s">
        <v>100</v>
      </c>
      <c r="G35" s="212">
        <v>41489.310000000005</v>
      </c>
      <c r="J35" s="207"/>
      <c r="K35" s="207"/>
      <c r="L35" s="207"/>
    </row>
    <row r="36" spans="2:12" x14ac:dyDescent="0.2">
      <c r="J36" s="207"/>
      <c r="K36" s="207"/>
      <c r="L36" s="207"/>
    </row>
    <row r="37" spans="2:12" x14ac:dyDescent="0.2">
      <c r="B37" s="205">
        <v>212</v>
      </c>
      <c r="D37" s="205" t="s">
        <v>138</v>
      </c>
      <c r="F37" s="213">
        <v>0</v>
      </c>
      <c r="J37" s="207"/>
      <c r="K37" s="207"/>
      <c r="L37" s="207"/>
    </row>
    <row r="38" spans="2:12" x14ac:dyDescent="0.2">
      <c r="J38" s="207"/>
      <c r="K38" s="207"/>
      <c r="L38" s="207"/>
    </row>
    <row r="39" spans="2:12" x14ac:dyDescent="0.2">
      <c r="B39" s="205">
        <v>213</v>
      </c>
      <c r="D39" s="205" t="s">
        <v>165</v>
      </c>
      <c r="F39" s="213">
        <v>5272.62</v>
      </c>
      <c r="J39" s="207"/>
      <c r="K39" s="207"/>
      <c r="L39" s="207"/>
    </row>
    <row r="40" spans="2:12" x14ac:dyDescent="0.2">
      <c r="J40" s="207"/>
      <c r="K40" s="207"/>
      <c r="L40" s="207"/>
    </row>
    <row r="41" spans="2:12" x14ac:dyDescent="0.2">
      <c r="B41" s="205">
        <v>214</v>
      </c>
      <c r="D41" s="205" t="s">
        <v>572</v>
      </c>
      <c r="E41" s="205"/>
      <c r="F41" s="213">
        <v>0</v>
      </c>
      <c r="J41" s="207"/>
      <c r="K41" s="207"/>
      <c r="L41" s="207"/>
    </row>
    <row r="42" spans="2:12" x14ac:dyDescent="0.2">
      <c r="E42" s="115"/>
      <c r="J42" s="207"/>
      <c r="K42" s="207"/>
      <c r="L42" s="207"/>
    </row>
    <row r="43" spans="2:12" x14ac:dyDescent="0.2">
      <c r="B43" s="205">
        <v>215</v>
      </c>
      <c r="D43" s="205" t="s">
        <v>387</v>
      </c>
      <c r="F43" s="213">
        <v>36216.69</v>
      </c>
      <c r="J43" s="207"/>
      <c r="K43" s="207"/>
      <c r="L43" s="207"/>
    </row>
    <row r="44" spans="2:12" x14ac:dyDescent="0.2">
      <c r="E44" s="205"/>
      <c r="J44" s="207"/>
      <c r="K44" s="207"/>
      <c r="L44" s="207"/>
    </row>
    <row r="45" spans="2:12" x14ac:dyDescent="0.2">
      <c r="J45" s="207"/>
      <c r="K45" s="207"/>
      <c r="L45" s="207"/>
    </row>
    <row r="46" spans="2:12" x14ac:dyDescent="0.2">
      <c r="B46" s="205">
        <v>22</v>
      </c>
      <c r="D46" s="210" t="s">
        <v>53</v>
      </c>
      <c r="G46" s="223">
        <v>0</v>
      </c>
      <c r="J46" s="207"/>
      <c r="K46" s="207"/>
      <c r="L46" s="207"/>
    </row>
    <row r="47" spans="2:12" x14ac:dyDescent="0.2">
      <c r="J47" s="207"/>
      <c r="K47" s="207"/>
      <c r="L47" s="207"/>
    </row>
    <row r="48" spans="2:12" x14ac:dyDescent="0.2">
      <c r="D48" s="210"/>
      <c r="J48" s="207"/>
      <c r="K48" s="207"/>
      <c r="L48" s="207"/>
    </row>
    <row r="49" spans="2:12" x14ac:dyDescent="0.2">
      <c r="J49" s="207"/>
      <c r="K49" s="207"/>
      <c r="L49" s="207"/>
    </row>
    <row r="50" spans="2:12" x14ac:dyDescent="0.2">
      <c r="B50" s="205">
        <v>223</v>
      </c>
      <c r="D50" s="205" t="s">
        <v>264</v>
      </c>
      <c r="F50" s="213">
        <v>0</v>
      </c>
      <c r="J50" s="207"/>
      <c r="K50" s="207"/>
      <c r="L50" s="207"/>
    </row>
    <row r="51" spans="2:12" x14ac:dyDescent="0.2">
      <c r="J51" s="207"/>
      <c r="K51" s="207"/>
      <c r="L51" s="207"/>
    </row>
    <row r="52" spans="2:12" x14ac:dyDescent="0.2">
      <c r="J52" s="207"/>
      <c r="K52" s="207"/>
      <c r="L52" s="207"/>
    </row>
    <row r="53" spans="2:12" x14ac:dyDescent="0.2">
      <c r="J53" s="207"/>
      <c r="K53" s="207"/>
      <c r="L53" s="207"/>
    </row>
    <row r="54" spans="2:12" x14ac:dyDescent="0.2">
      <c r="D54" s="210" t="s">
        <v>578</v>
      </c>
      <c r="J54" s="207"/>
      <c r="K54" s="207"/>
      <c r="L54" s="207"/>
    </row>
    <row r="55" spans="2:12" x14ac:dyDescent="0.2">
      <c r="D55" s="210" t="s">
        <v>764</v>
      </c>
      <c r="G55" s="212">
        <v>1254200</v>
      </c>
      <c r="H55" s="213"/>
      <c r="J55" s="207"/>
      <c r="K55" s="207"/>
      <c r="L55" s="207"/>
    </row>
    <row r="56" spans="2:12" x14ac:dyDescent="0.2">
      <c r="J56" s="207"/>
      <c r="K56" s="207"/>
      <c r="L56" s="207"/>
    </row>
    <row r="57" spans="2:12" x14ac:dyDescent="0.2">
      <c r="B57" s="205">
        <v>310</v>
      </c>
      <c r="D57" s="205" t="s">
        <v>78</v>
      </c>
      <c r="F57" s="213">
        <v>1254200</v>
      </c>
      <c r="J57" s="207" t="s">
        <v>578</v>
      </c>
      <c r="K57" s="214">
        <f>E57+E61+E67</f>
        <v>0</v>
      </c>
      <c r="L57" s="207"/>
    </row>
    <row r="58" spans="2:12" x14ac:dyDescent="0.2">
      <c r="J58" s="207"/>
      <c r="K58" s="207"/>
      <c r="L58" s="207"/>
    </row>
    <row r="59" spans="2:12" x14ac:dyDescent="0.2">
      <c r="D59" s="210" t="s">
        <v>105</v>
      </c>
      <c r="G59" s="212">
        <v>817162.58</v>
      </c>
      <c r="J59" s="207"/>
      <c r="K59" s="207"/>
      <c r="L59" s="207"/>
    </row>
    <row r="60" spans="2:12" x14ac:dyDescent="0.2">
      <c r="J60" s="207"/>
      <c r="K60" s="207"/>
      <c r="L60" s="207"/>
    </row>
    <row r="61" spans="2:12" x14ac:dyDescent="0.2">
      <c r="B61" s="205">
        <v>320</v>
      </c>
      <c r="D61" s="205" t="s">
        <v>580</v>
      </c>
      <c r="F61" s="213">
        <v>817162.58</v>
      </c>
      <c r="J61" s="207"/>
      <c r="K61" s="207"/>
      <c r="L61" s="207"/>
    </row>
    <row r="62" spans="2:12" x14ac:dyDescent="0.2">
      <c r="J62" s="207"/>
      <c r="K62" s="207"/>
      <c r="L62" s="207"/>
    </row>
    <row r="63" spans="2:12" x14ac:dyDescent="0.2">
      <c r="B63" s="205">
        <v>33</v>
      </c>
      <c r="D63" s="210" t="s">
        <v>2</v>
      </c>
      <c r="G63" s="224">
        <v>0</v>
      </c>
      <c r="J63" s="207"/>
      <c r="K63" s="207"/>
      <c r="L63" s="207"/>
    </row>
    <row r="64" spans="2:12" x14ac:dyDescent="0.2">
      <c r="D64" s="210"/>
      <c r="G64" s="224"/>
      <c r="J64" s="207"/>
      <c r="K64" s="207"/>
      <c r="L64" s="207"/>
    </row>
    <row r="65" spans="2:12" x14ac:dyDescent="0.2">
      <c r="B65" s="205">
        <v>34</v>
      </c>
      <c r="D65" s="210" t="s">
        <v>167</v>
      </c>
      <c r="G65" s="212">
        <v>183582.36000000002</v>
      </c>
      <c r="J65" s="207"/>
      <c r="K65" s="207"/>
      <c r="L65" s="207"/>
    </row>
    <row r="66" spans="2:12" x14ac:dyDescent="0.2">
      <c r="J66" s="207"/>
      <c r="K66" s="207"/>
      <c r="L66" s="207"/>
    </row>
    <row r="67" spans="2:12" x14ac:dyDescent="0.2">
      <c r="B67" s="205">
        <v>340</v>
      </c>
      <c r="D67" s="205" t="s">
        <v>179</v>
      </c>
      <c r="F67" s="213">
        <v>166543.03</v>
      </c>
      <c r="J67" s="207"/>
      <c r="K67" s="207"/>
      <c r="L67" s="207"/>
    </row>
    <row r="68" spans="2:12" x14ac:dyDescent="0.2">
      <c r="B68" s="205">
        <v>341</v>
      </c>
      <c r="D68" s="205" t="s">
        <v>98</v>
      </c>
      <c r="F68" s="298">
        <v>17039.330000000005</v>
      </c>
      <c r="J68" s="207"/>
      <c r="K68" s="207"/>
      <c r="L68" s="207"/>
    </row>
    <row r="69" spans="2:12" ht="13.5" thickBot="1" x14ac:dyDescent="0.25">
      <c r="E69" s="220"/>
      <c r="F69" s="221"/>
      <c r="J69" s="207"/>
      <c r="K69" s="207"/>
      <c r="L69" s="207"/>
    </row>
    <row r="70" spans="2:12" ht="13.5" thickBot="1" x14ac:dyDescent="0.25">
      <c r="D70" s="210" t="s">
        <v>106</v>
      </c>
      <c r="G70" s="222">
        <v>2296434.25</v>
      </c>
      <c r="H70" s="213"/>
      <c r="I70" s="213"/>
      <c r="J70" s="207"/>
      <c r="K70" s="207"/>
      <c r="L70" s="207"/>
    </row>
    <row r="71" spans="2:12" ht="13.5" thickTop="1" x14ac:dyDescent="0.2">
      <c r="J71" s="207"/>
      <c r="K71" s="207"/>
      <c r="L71" s="207"/>
    </row>
    <row r="72" spans="2:12" x14ac:dyDescent="0.2">
      <c r="G72" s="213">
        <v>0</v>
      </c>
      <c r="J72" s="207"/>
      <c r="K72" s="207"/>
      <c r="L72" s="207"/>
    </row>
    <row r="73" spans="2:12" x14ac:dyDescent="0.2">
      <c r="J73" s="207"/>
      <c r="K73" s="207"/>
      <c r="L73" s="207"/>
    </row>
    <row r="74" spans="2:12" ht="17.25" x14ac:dyDescent="0.35">
      <c r="D74" s="230" t="s">
        <v>738</v>
      </c>
      <c r="E74" s="371" t="s">
        <v>112</v>
      </c>
      <c r="F74" s="370"/>
      <c r="J74" s="207"/>
      <c r="K74" s="207"/>
      <c r="L74" s="207"/>
    </row>
    <row r="75" spans="2:12" ht="15" x14ac:dyDescent="0.2">
      <c r="D75" s="231" t="str">
        <f>'Balance General SSF'!D124</f>
        <v>Shearlene Márquez</v>
      </c>
      <c r="E75" s="232" t="str">
        <f>'Balance General SSF'!E124</f>
        <v>Jesy Yanira Quijada</v>
      </c>
      <c r="F75" s="231"/>
      <c r="J75" s="207"/>
      <c r="K75" s="207"/>
      <c r="L75" s="207"/>
    </row>
    <row r="76" spans="2:12" ht="15" x14ac:dyDescent="0.2">
      <c r="D76" s="231" t="s">
        <v>740</v>
      </c>
      <c r="E76" s="232" t="s">
        <v>113</v>
      </c>
      <c r="F76" s="231"/>
      <c r="J76" s="207"/>
      <c r="K76" s="207"/>
      <c r="L76" s="207"/>
    </row>
    <row r="77" spans="2:12" x14ac:dyDescent="0.2">
      <c r="J77" s="207"/>
      <c r="K77" s="207"/>
      <c r="L77" s="207"/>
    </row>
    <row r="78" spans="2:12" x14ac:dyDescent="0.2">
      <c r="J78" s="207"/>
      <c r="K78" s="207"/>
      <c r="L78" s="207"/>
    </row>
    <row r="79" spans="2:12" x14ac:dyDescent="0.2">
      <c r="J79" s="207"/>
      <c r="K79" s="207"/>
      <c r="L79" s="207"/>
    </row>
    <row r="80" spans="2:12" x14ac:dyDescent="0.2">
      <c r="J80" s="207"/>
      <c r="K80" s="207"/>
      <c r="L80" s="207"/>
    </row>
    <row r="81" spans="2:12" x14ac:dyDescent="0.2">
      <c r="J81" s="207"/>
      <c r="K81" s="207"/>
      <c r="L81" s="207"/>
    </row>
    <row r="82" spans="2:12" x14ac:dyDescent="0.2">
      <c r="J82" s="207"/>
      <c r="K82" s="207"/>
      <c r="L82" s="207"/>
    </row>
    <row r="83" spans="2:12" x14ac:dyDescent="0.2">
      <c r="G83" s="210"/>
      <c r="J83" s="207"/>
      <c r="K83" s="207"/>
      <c r="L83" s="207"/>
    </row>
    <row r="84" spans="2:12" x14ac:dyDescent="0.2">
      <c r="G84" s="210"/>
      <c r="J84" s="207"/>
      <c r="K84" s="207"/>
      <c r="L84" s="207"/>
    </row>
    <row r="85" spans="2:12" s="210" customFormat="1" x14ac:dyDescent="0.2">
      <c r="B85" s="205">
        <v>61</v>
      </c>
      <c r="D85" s="210" t="s">
        <v>866</v>
      </c>
      <c r="E85" s="223"/>
      <c r="G85" s="212">
        <v>122575.81</v>
      </c>
      <c r="J85" s="225"/>
      <c r="K85" s="225"/>
      <c r="L85" s="225"/>
    </row>
    <row r="86" spans="2:12" x14ac:dyDescent="0.2">
      <c r="B86" s="205">
        <v>610</v>
      </c>
      <c r="D86" s="205" t="s">
        <v>19</v>
      </c>
      <c r="F86" s="213">
        <v>114286</v>
      </c>
      <c r="G86" s="210"/>
      <c r="J86" s="207" t="s">
        <v>107</v>
      </c>
      <c r="K86" s="214">
        <f>E86+E88+E91</f>
        <v>0</v>
      </c>
      <c r="L86" s="207"/>
    </row>
    <row r="87" spans="2:12" x14ac:dyDescent="0.2">
      <c r="B87" s="205">
        <v>612</v>
      </c>
      <c r="D87" s="112" t="s">
        <v>49</v>
      </c>
      <c r="F87" s="213">
        <v>0</v>
      </c>
      <c r="G87" s="210"/>
      <c r="J87" s="207"/>
      <c r="K87" s="214"/>
      <c r="L87" s="207"/>
    </row>
    <row r="88" spans="2:12" x14ac:dyDescent="0.2">
      <c r="B88" s="205">
        <v>613</v>
      </c>
      <c r="D88" s="205" t="s">
        <v>402</v>
      </c>
      <c r="F88" s="213">
        <v>8289.81</v>
      </c>
      <c r="G88" s="210"/>
      <c r="J88" s="207"/>
      <c r="K88" s="207"/>
      <c r="L88" s="207"/>
    </row>
    <row r="89" spans="2:12" x14ac:dyDescent="0.2">
      <c r="F89" s="213"/>
      <c r="G89" s="210"/>
      <c r="J89" s="207"/>
      <c r="K89" s="214"/>
      <c r="L89" s="207"/>
    </row>
    <row r="90" spans="2:12" x14ac:dyDescent="0.2">
      <c r="B90" s="205">
        <v>62</v>
      </c>
      <c r="C90" s="210"/>
      <c r="D90" s="210" t="s">
        <v>108</v>
      </c>
      <c r="E90" s="223"/>
      <c r="F90" s="210"/>
      <c r="G90" s="212">
        <v>131150</v>
      </c>
      <c r="J90" s="207"/>
      <c r="K90" s="214"/>
      <c r="L90" s="207"/>
    </row>
    <row r="91" spans="2:12" x14ac:dyDescent="0.2">
      <c r="B91" s="205">
        <v>620</v>
      </c>
      <c r="D91" s="205" t="s">
        <v>718</v>
      </c>
      <c r="F91" s="213">
        <v>16864</v>
      </c>
      <c r="G91" s="210"/>
      <c r="J91" s="207"/>
      <c r="K91" s="207"/>
      <c r="L91" s="207"/>
    </row>
    <row r="92" spans="2:12" x14ac:dyDescent="0.2">
      <c r="B92" s="205">
        <v>621</v>
      </c>
      <c r="D92" s="205" t="s">
        <v>109</v>
      </c>
      <c r="F92" s="213">
        <v>114286</v>
      </c>
      <c r="G92" s="210"/>
      <c r="J92" s="207"/>
      <c r="K92" s="207"/>
      <c r="L92" s="207"/>
    </row>
    <row r="93" spans="2:12" ht="13.5" thickBot="1" x14ac:dyDescent="0.25">
      <c r="E93" s="220"/>
      <c r="F93" s="221"/>
      <c r="G93" s="210"/>
      <c r="J93" s="207"/>
      <c r="K93" s="207"/>
      <c r="L93" s="207"/>
    </row>
    <row r="94" spans="2:12" s="226" customFormat="1" ht="16.5" thickBot="1" x14ac:dyDescent="0.3">
      <c r="B94" s="205"/>
      <c r="D94" s="226" t="s">
        <v>615</v>
      </c>
      <c r="E94" s="227"/>
      <c r="G94" s="228">
        <v>253725.81</v>
      </c>
      <c r="J94" s="229"/>
      <c r="K94" s="229"/>
      <c r="L94" s="229"/>
    </row>
    <row r="95" spans="2:12" ht="13.5" thickTop="1" x14ac:dyDescent="0.2">
      <c r="G95" s="210"/>
      <c r="J95" s="207"/>
      <c r="K95" s="207"/>
      <c r="L95" s="207"/>
    </row>
    <row r="96" spans="2:12" x14ac:dyDescent="0.2">
      <c r="G96" s="210"/>
      <c r="J96" s="207"/>
      <c r="K96" s="207"/>
      <c r="L96" s="207"/>
    </row>
    <row r="97" spans="2:12" x14ac:dyDescent="0.2">
      <c r="G97" s="210"/>
      <c r="J97" s="207"/>
      <c r="K97" s="207"/>
      <c r="L97" s="207"/>
    </row>
    <row r="98" spans="2:12" x14ac:dyDescent="0.2">
      <c r="G98" s="210"/>
      <c r="J98" s="207"/>
      <c r="K98" s="207"/>
      <c r="L98" s="207"/>
    </row>
    <row r="99" spans="2:12" x14ac:dyDescent="0.2">
      <c r="G99" s="210"/>
      <c r="J99" s="207"/>
      <c r="K99" s="207"/>
      <c r="L99" s="207"/>
    </row>
    <row r="100" spans="2:12" x14ac:dyDescent="0.2">
      <c r="G100" s="210"/>
      <c r="J100" s="207"/>
      <c r="K100" s="207"/>
      <c r="L100" s="207"/>
    </row>
    <row r="101" spans="2:12" x14ac:dyDescent="0.2">
      <c r="G101" s="210"/>
      <c r="J101" s="207"/>
      <c r="K101" s="207"/>
      <c r="L101" s="207"/>
    </row>
    <row r="102" spans="2:12" x14ac:dyDescent="0.2">
      <c r="G102" s="210"/>
      <c r="J102" s="207"/>
      <c r="K102" s="207"/>
      <c r="L102" s="207"/>
    </row>
    <row r="103" spans="2:12" x14ac:dyDescent="0.2">
      <c r="G103" s="210"/>
      <c r="J103" s="207"/>
      <c r="K103" s="207"/>
      <c r="L103" s="207"/>
    </row>
    <row r="104" spans="2:12" x14ac:dyDescent="0.2">
      <c r="G104" s="210"/>
      <c r="J104" s="207"/>
      <c r="K104" s="207"/>
      <c r="L104" s="207"/>
    </row>
    <row r="105" spans="2:12" x14ac:dyDescent="0.2">
      <c r="G105" s="210"/>
      <c r="J105" s="207"/>
      <c r="K105" s="207"/>
      <c r="L105" s="207"/>
    </row>
    <row r="106" spans="2:12" s="210" customFormat="1" x14ac:dyDescent="0.2">
      <c r="B106" s="205">
        <v>71</v>
      </c>
      <c r="D106" s="210" t="s">
        <v>1240</v>
      </c>
      <c r="E106" s="223"/>
      <c r="G106" s="212">
        <v>122575.81</v>
      </c>
      <c r="J106" s="225"/>
      <c r="K106" s="225"/>
      <c r="L106" s="225"/>
    </row>
    <row r="107" spans="2:12" x14ac:dyDescent="0.2">
      <c r="B107" s="205">
        <v>710</v>
      </c>
      <c r="D107" s="205" t="s">
        <v>569</v>
      </c>
      <c r="F107" s="213">
        <v>114286</v>
      </c>
      <c r="G107" s="210"/>
      <c r="J107" s="207" t="s">
        <v>110</v>
      </c>
      <c r="K107" s="214">
        <f>E107+E108+E111</f>
        <v>0</v>
      </c>
      <c r="L107" s="207"/>
    </row>
    <row r="108" spans="2:12" x14ac:dyDescent="0.2">
      <c r="B108" s="205">
        <v>713</v>
      </c>
      <c r="D108" s="205" t="s">
        <v>670</v>
      </c>
      <c r="F108" s="213">
        <v>8289.81</v>
      </c>
      <c r="G108" s="210"/>
      <c r="J108" s="207"/>
      <c r="K108" s="207"/>
      <c r="L108" s="207"/>
    </row>
    <row r="109" spans="2:12" x14ac:dyDescent="0.2">
      <c r="F109" s="213"/>
      <c r="G109" s="210"/>
      <c r="J109" s="207"/>
      <c r="K109" s="214"/>
      <c r="L109" s="207"/>
    </row>
    <row r="110" spans="2:12" x14ac:dyDescent="0.2">
      <c r="B110" s="205">
        <v>72</v>
      </c>
      <c r="C110" s="210"/>
      <c r="D110" s="210" t="s">
        <v>108</v>
      </c>
      <c r="E110" s="223"/>
      <c r="F110" s="210"/>
      <c r="G110" s="212">
        <v>131150</v>
      </c>
      <c r="J110" s="207"/>
      <c r="K110" s="214"/>
      <c r="L110" s="207"/>
    </row>
    <row r="111" spans="2:12" x14ac:dyDescent="0.2">
      <c r="B111" s="205">
        <v>720</v>
      </c>
      <c r="D111" s="205" t="s">
        <v>69</v>
      </c>
      <c r="F111" s="213">
        <v>16864</v>
      </c>
      <c r="G111" s="210"/>
      <c r="J111" s="207"/>
      <c r="K111" s="207"/>
      <c r="L111" s="207"/>
    </row>
    <row r="112" spans="2:12" x14ac:dyDescent="0.2">
      <c r="B112" s="205">
        <v>721</v>
      </c>
      <c r="D112" s="205" t="s">
        <v>111</v>
      </c>
      <c r="F112" s="213">
        <v>114286</v>
      </c>
      <c r="G112" s="210"/>
      <c r="J112" s="207"/>
      <c r="K112" s="207"/>
      <c r="L112" s="207"/>
    </row>
    <row r="113" spans="2:7" ht="13.5" thickBot="1" x14ac:dyDescent="0.25">
      <c r="E113" s="220"/>
      <c r="F113" s="221"/>
      <c r="G113" s="210"/>
    </row>
    <row r="114" spans="2:7" s="226" customFormat="1" ht="16.5" thickBot="1" x14ac:dyDescent="0.3">
      <c r="B114" s="205"/>
      <c r="D114" s="226" t="s">
        <v>722</v>
      </c>
      <c r="E114" s="227"/>
      <c r="G114" s="228">
        <v>253725.81</v>
      </c>
    </row>
    <row r="115" spans="2:7" ht="13.5" thickTop="1" x14ac:dyDescent="0.2">
      <c r="G115" s="212">
        <v>0</v>
      </c>
    </row>
    <row r="116" spans="2:7" x14ac:dyDescent="0.2">
      <c r="G116" s="212"/>
    </row>
    <row r="117" spans="2:7" x14ac:dyDescent="0.2">
      <c r="G117" s="212"/>
    </row>
    <row r="118" spans="2:7" x14ac:dyDescent="0.2">
      <c r="G118" s="212"/>
    </row>
    <row r="119" spans="2:7" x14ac:dyDescent="0.2">
      <c r="G119" s="212"/>
    </row>
    <row r="120" spans="2:7" x14ac:dyDescent="0.2">
      <c r="G120" s="212"/>
    </row>
    <row r="122" spans="2:7" x14ac:dyDescent="0.2">
      <c r="G122" s="212"/>
    </row>
    <row r="123" spans="2:7" ht="17.25" x14ac:dyDescent="0.35">
      <c r="D123" s="230" t="s">
        <v>738</v>
      </c>
      <c r="E123" s="961" t="s">
        <v>112</v>
      </c>
      <c r="F123" s="961"/>
    </row>
    <row r="124" spans="2:7" ht="15" x14ac:dyDescent="0.2">
      <c r="D124" s="231" t="s">
        <v>810</v>
      </c>
      <c r="E124" s="232" t="s">
        <v>797</v>
      </c>
      <c r="F124" s="231"/>
    </row>
    <row r="125" spans="2:7" ht="15" x14ac:dyDescent="0.2">
      <c r="D125" s="231" t="s">
        <v>740</v>
      </c>
      <c r="E125" s="231" t="s">
        <v>798</v>
      </c>
      <c r="F125" s="231"/>
    </row>
    <row r="126" spans="2:7" ht="15" x14ac:dyDescent="0.2">
      <c r="D126" s="231"/>
      <c r="E126" s="232"/>
      <c r="F126" s="231"/>
    </row>
    <row r="127" spans="2:7" x14ac:dyDescent="0.2">
      <c r="G127" s="212"/>
    </row>
    <row r="128" spans="2:7" x14ac:dyDescent="0.2">
      <c r="G128" s="212"/>
    </row>
  </sheetData>
  <mergeCells count="1">
    <mergeCell ref="E123:F123"/>
  </mergeCells>
  <phoneticPr fontId="136" type="noConversion"/>
  <pageMargins left="0.6" right="0.75" top="1" bottom="1" header="0" footer="0"/>
  <pageSetup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98"/>
  <sheetViews>
    <sheetView showGridLines="0" topLeftCell="A161" zoomScale="85" zoomScaleNormal="85" workbookViewId="0">
      <selection activeCell="A5" sqref="A5"/>
    </sheetView>
  </sheetViews>
  <sheetFormatPr baseColWidth="10" defaultRowHeight="12.75" x14ac:dyDescent="0.2"/>
  <cols>
    <col min="1" max="1" width="17.28515625" customWidth="1"/>
    <col min="2" max="2" width="16.28515625" customWidth="1"/>
    <col min="5" max="5" width="16.140625" customWidth="1"/>
  </cols>
  <sheetData>
    <row r="1" spans="1:16" ht="20.25" x14ac:dyDescent="0.3">
      <c r="A1" s="845" t="s">
        <v>1155</v>
      </c>
      <c r="B1" s="846"/>
      <c r="C1" s="847"/>
      <c r="D1" s="847"/>
      <c r="E1" s="847"/>
      <c r="F1" s="848"/>
      <c r="G1" s="849"/>
      <c r="H1" s="849"/>
      <c r="I1" s="849"/>
      <c r="J1" s="849"/>
      <c r="K1" s="849"/>
      <c r="L1" s="849"/>
      <c r="M1" s="850"/>
      <c r="N1" s="851"/>
      <c r="O1" s="851"/>
      <c r="P1" s="851"/>
    </row>
    <row r="2" spans="1:16" ht="15.75" x14ac:dyDescent="0.25">
      <c r="A2" s="847" t="s">
        <v>606</v>
      </c>
      <c r="B2" s="847"/>
      <c r="C2" s="847"/>
      <c r="D2" s="847"/>
      <c r="E2" s="847"/>
      <c r="F2" s="848"/>
      <c r="G2" s="849"/>
      <c r="H2" s="849"/>
      <c r="I2" s="849"/>
      <c r="J2" s="849"/>
      <c r="K2" s="849"/>
      <c r="L2" s="849"/>
      <c r="M2" s="850"/>
      <c r="N2" s="851"/>
      <c r="O2" s="851"/>
      <c r="P2" s="851"/>
    </row>
    <row r="3" spans="1:16" ht="15.75" x14ac:dyDescent="0.25">
      <c r="A3" s="846" t="s">
        <v>607</v>
      </c>
      <c r="B3" s="847"/>
      <c r="C3" s="847"/>
      <c r="D3" s="847"/>
      <c r="E3" s="847"/>
      <c r="F3" s="848"/>
      <c r="G3" s="852"/>
      <c r="H3" s="852"/>
      <c r="I3" s="849"/>
      <c r="J3" s="849"/>
      <c r="K3" s="849"/>
      <c r="L3" s="849"/>
      <c r="M3" s="850"/>
      <c r="N3" s="851"/>
      <c r="O3" s="851"/>
      <c r="P3" s="851"/>
    </row>
    <row r="4" spans="1:16" ht="15.75" x14ac:dyDescent="0.25">
      <c r="A4" s="847" t="s">
        <v>783</v>
      </c>
      <c r="B4" s="847"/>
      <c r="C4" s="847"/>
      <c r="D4" s="847"/>
      <c r="E4" s="847"/>
      <c r="F4" s="848"/>
      <c r="G4" s="849"/>
      <c r="H4" s="849"/>
      <c r="I4" s="849"/>
      <c r="J4" s="849"/>
      <c r="K4" s="849"/>
      <c r="L4" s="849"/>
      <c r="M4" s="850"/>
      <c r="N4" s="851"/>
      <c r="O4" s="851"/>
      <c r="P4" s="851"/>
    </row>
    <row r="5" spans="1:16" ht="15.75" x14ac:dyDescent="0.25">
      <c r="A5" s="853" t="s">
        <v>812</v>
      </c>
      <c r="B5" s="854" t="str">
        <f>'[3]Compras '!B5</f>
        <v>MES</v>
      </c>
      <c r="C5" s="855"/>
      <c r="D5" s="856">
        <v>2018</v>
      </c>
      <c r="E5" s="847"/>
      <c r="F5" s="848"/>
      <c r="G5" s="849"/>
      <c r="H5" s="857"/>
      <c r="I5" s="857"/>
      <c r="J5" s="857"/>
      <c r="K5" s="857"/>
      <c r="L5" s="857"/>
      <c r="M5" s="850"/>
      <c r="N5" s="851"/>
      <c r="O5" s="851"/>
      <c r="P5" s="851"/>
    </row>
    <row r="6" spans="1:16" ht="15.75" x14ac:dyDescent="0.25">
      <c r="A6" s="850"/>
      <c r="B6" s="850"/>
      <c r="C6" s="847"/>
      <c r="D6" s="847"/>
      <c r="E6" s="847"/>
      <c r="F6" s="848"/>
      <c r="G6" s="849"/>
      <c r="H6" s="849"/>
      <c r="I6" s="849"/>
      <c r="J6" s="849"/>
      <c r="K6" s="849"/>
      <c r="L6" s="849"/>
      <c r="M6" s="850"/>
      <c r="N6" s="851"/>
      <c r="O6" s="851"/>
      <c r="P6" s="851"/>
    </row>
    <row r="7" spans="1:16" ht="15.75" x14ac:dyDescent="0.25">
      <c r="A7" s="850"/>
      <c r="B7" s="850"/>
      <c r="C7" s="847"/>
      <c r="D7" s="847"/>
      <c r="E7" s="847"/>
      <c r="F7" s="848"/>
      <c r="G7" s="849"/>
      <c r="H7" s="849"/>
      <c r="I7" s="849"/>
      <c r="J7" s="849"/>
      <c r="K7" s="849"/>
      <c r="L7" s="849"/>
      <c r="M7" s="850"/>
      <c r="N7" s="851"/>
      <c r="O7" s="851"/>
      <c r="P7" s="851"/>
    </row>
    <row r="8" spans="1:16" ht="15.75" x14ac:dyDescent="0.25">
      <c r="A8" s="850"/>
      <c r="B8" s="850"/>
      <c r="C8" s="847"/>
      <c r="D8" s="847"/>
      <c r="E8" s="847"/>
      <c r="F8" s="848"/>
      <c r="G8" s="858" t="s">
        <v>164</v>
      </c>
      <c r="H8" s="858" t="s">
        <v>164</v>
      </c>
      <c r="I8" s="858" t="s">
        <v>1156</v>
      </c>
      <c r="J8" s="858" t="s">
        <v>1157</v>
      </c>
      <c r="K8" s="858" t="s">
        <v>164</v>
      </c>
      <c r="L8" s="858" t="s">
        <v>615</v>
      </c>
      <c r="M8" s="850"/>
      <c r="N8" s="851"/>
      <c r="O8" s="851"/>
      <c r="P8" s="851"/>
    </row>
    <row r="9" spans="1:16" ht="16.5" thickBot="1" x14ac:dyDescent="0.3">
      <c r="A9" s="859" t="s">
        <v>212</v>
      </c>
      <c r="B9" s="859"/>
      <c r="C9" s="859" t="s">
        <v>1158</v>
      </c>
      <c r="D9" s="859"/>
      <c r="E9" s="859" t="s">
        <v>1159</v>
      </c>
      <c r="F9" s="860" t="s">
        <v>215</v>
      </c>
      <c r="G9" s="861" t="s">
        <v>724</v>
      </c>
      <c r="H9" s="862" t="s">
        <v>1160</v>
      </c>
      <c r="I9" s="861" t="s">
        <v>1161</v>
      </c>
      <c r="J9" s="861" t="s">
        <v>1162</v>
      </c>
      <c r="K9" s="861" t="s">
        <v>723</v>
      </c>
      <c r="L9" s="861" t="s">
        <v>164</v>
      </c>
      <c r="M9" s="850"/>
      <c r="N9" s="851"/>
      <c r="O9" s="851"/>
      <c r="P9" s="851"/>
    </row>
    <row r="10" spans="1:16" ht="16.5" thickTop="1" x14ac:dyDescent="0.25">
      <c r="A10" s="863"/>
      <c r="B10" s="864"/>
      <c r="C10" s="865"/>
      <c r="D10" s="865"/>
      <c r="E10" s="865"/>
      <c r="F10" s="866"/>
      <c r="G10" s="866"/>
      <c r="H10" s="867"/>
      <c r="I10" s="867"/>
      <c r="J10" s="867"/>
      <c r="K10" s="867"/>
      <c r="L10" s="868"/>
      <c r="M10" s="850"/>
      <c r="N10" s="851"/>
      <c r="O10" s="851"/>
      <c r="P10" s="851"/>
    </row>
    <row r="11" spans="1:16" ht="15.75" x14ac:dyDescent="0.25">
      <c r="A11" s="869">
        <v>43388</v>
      </c>
      <c r="B11" s="870"/>
      <c r="C11" s="871" t="s">
        <v>1163</v>
      </c>
      <c r="D11" s="870"/>
      <c r="E11" s="872" t="str">
        <f t="shared" ref="E11:E20" si="0">C11</f>
        <v>01987</v>
      </c>
      <c r="F11" s="873">
        <v>0</v>
      </c>
      <c r="G11" s="873">
        <v>0</v>
      </c>
      <c r="H11" s="874">
        <v>1.85</v>
      </c>
      <c r="I11" s="867"/>
      <c r="J11" s="867"/>
      <c r="K11" s="874">
        <v>0</v>
      </c>
      <c r="L11" s="875"/>
      <c r="M11" s="874"/>
      <c r="N11" s="876"/>
      <c r="O11" s="876"/>
      <c r="P11" s="876"/>
    </row>
    <row r="12" spans="1:16" ht="15.75" x14ac:dyDescent="0.25">
      <c r="A12" s="869">
        <v>43390</v>
      </c>
      <c r="B12" s="870"/>
      <c r="C12" s="871" t="s">
        <v>1164</v>
      </c>
      <c r="D12" s="870"/>
      <c r="E12" s="872" t="str">
        <f t="shared" si="0"/>
        <v>01982</v>
      </c>
      <c r="F12" s="873">
        <v>0</v>
      </c>
      <c r="G12" s="873">
        <v>25.95</v>
      </c>
      <c r="H12" s="874">
        <v>0</v>
      </c>
      <c r="I12" s="867"/>
      <c r="J12" s="867"/>
      <c r="K12" s="874">
        <v>0</v>
      </c>
      <c r="L12" s="875"/>
      <c r="M12" s="874"/>
      <c r="N12" s="876"/>
      <c r="O12" s="876"/>
      <c r="P12" s="876"/>
    </row>
    <row r="13" spans="1:16" ht="15.75" x14ac:dyDescent="0.25">
      <c r="A13" s="869">
        <v>43403</v>
      </c>
      <c r="B13" s="870"/>
      <c r="C13" s="871" t="s">
        <v>1165</v>
      </c>
      <c r="D13" s="870"/>
      <c r="E13" s="872" t="str">
        <f t="shared" si="0"/>
        <v>1983</v>
      </c>
      <c r="F13" s="873">
        <v>0</v>
      </c>
      <c r="G13" s="873">
        <v>22.09</v>
      </c>
      <c r="H13" s="874">
        <v>0</v>
      </c>
      <c r="I13" s="867"/>
      <c r="J13" s="867"/>
      <c r="K13" s="874">
        <v>0</v>
      </c>
      <c r="L13" s="875"/>
      <c r="M13" s="874"/>
      <c r="N13" s="876"/>
      <c r="O13" s="876"/>
      <c r="P13" s="876"/>
    </row>
    <row r="14" spans="1:16" ht="15.75" x14ac:dyDescent="0.25">
      <c r="A14" s="869">
        <v>43403</v>
      </c>
      <c r="B14" s="870"/>
      <c r="C14" s="871" t="s">
        <v>1166</v>
      </c>
      <c r="D14" s="870"/>
      <c r="E14" s="872" t="str">
        <f t="shared" si="0"/>
        <v>1984</v>
      </c>
      <c r="F14" s="873">
        <v>0</v>
      </c>
      <c r="G14" s="873">
        <v>13.78</v>
      </c>
      <c r="H14" s="874">
        <v>0</v>
      </c>
      <c r="I14" s="867"/>
      <c r="J14" s="867"/>
      <c r="K14" s="874">
        <v>0</v>
      </c>
      <c r="L14" s="875"/>
      <c r="M14" s="874"/>
      <c r="N14" s="876"/>
      <c r="O14" s="876"/>
      <c r="P14" s="876"/>
    </row>
    <row r="15" spans="1:16" ht="15.75" x14ac:dyDescent="0.25">
      <c r="A15" s="869">
        <v>43403</v>
      </c>
      <c r="B15" s="870"/>
      <c r="C15" s="871" t="s">
        <v>1167</v>
      </c>
      <c r="D15" s="870"/>
      <c r="E15" s="872" t="str">
        <f t="shared" si="0"/>
        <v>1991</v>
      </c>
      <c r="F15" s="873">
        <v>0</v>
      </c>
      <c r="G15" s="873">
        <v>110.37</v>
      </c>
      <c r="H15" s="874">
        <v>0</v>
      </c>
      <c r="I15" s="867"/>
      <c r="J15" s="867"/>
      <c r="K15" s="874">
        <v>0</v>
      </c>
      <c r="L15" s="868"/>
      <c r="M15" s="850"/>
      <c r="N15" s="851"/>
      <c r="O15" s="851"/>
      <c r="P15" s="851"/>
    </row>
    <row r="16" spans="1:16" ht="15.75" x14ac:dyDescent="0.25">
      <c r="A16" s="869"/>
      <c r="B16" s="870"/>
      <c r="C16" s="871" t="s">
        <v>1004</v>
      </c>
      <c r="D16" s="870"/>
      <c r="E16" s="872" t="str">
        <f t="shared" si="0"/>
        <v>0</v>
      </c>
      <c r="F16" s="873">
        <v>0</v>
      </c>
      <c r="G16" s="873">
        <v>0</v>
      </c>
      <c r="H16" s="874">
        <v>0</v>
      </c>
      <c r="I16" s="867"/>
      <c r="J16" s="867"/>
      <c r="K16" s="874">
        <v>0</v>
      </c>
      <c r="L16" s="875"/>
      <c r="M16" s="874"/>
      <c r="N16" s="876"/>
      <c r="O16" s="876"/>
      <c r="P16" s="876"/>
    </row>
    <row r="17" spans="1:16" ht="15.75" x14ac:dyDescent="0.25">
      <c r="A17" s="869"/>
      <c r="B17" s="870"/>
      <c r="C17" s="871" t="s">
        <v>1004</v>
      </c>
      <c r="D17" s="877"/>
      <c r="E17" s="872" t="str">
        <f t="shared" si="0"/>
        <v>0</v>
      </c>
      <c r="F17" s="873">
        <v>0</v>
      </c>
      <c r="G17" s="873">
        <v>0</v>
      </c>
      <c r="H17" s="874">
        <v>0</v>
      </c>
      <c r="I17" s="867"/>
      <c r="J17" s="867"/>
      <c r="K17" s="874">
        <v>0</v>
      </c>
      <c r="L17" s="868"/>
      <c r="M17" s="850"/>
      <c r="N17" s="851"/>
      <c r="O17" s="851"/>
      <c r="P17" s="851"/>
    </row>
    <row r="18" spans="1:16" ht="15.75" x14ac:dyDescent="0.25">
      <c r="A18" s="869"/>
      <c r="B18" s="870"/>
      <c r="C18" s="871" t="s">
        <v>1004</v>
      </c>
      <c r="D18" s="877"/>
      <c r="E18" s="872" t="str">
        <f t="shared" si="0"/>
        <v>0</v>
      </c>
      <c r="F18" s="873">
        <v>0</v>
      </c>
      <c r="G18" s="873">
        <v>0</v>
      </c>
      <c r="H18" s="874">
        <v>0</v>
      </c>
      <c r="I18" s="867"/>
      <c r="J18" s="867"/>
      <c r="K18" s="874">
        <v>0</v>
      </c>
      <c r="L18" s="868"/>
      <c r="M18" s="850"/>
      <c r="N18" s="851"/>
      <c r="O18" s="851"/>
      <c r="P18" s="851"/>
    </row>
    <row r="19" spans="1:16" ht="15.75" x14ac:dyDescent="0.25">
      <c r="A19" s="869"/>
      <c r="B19" s="870"/>
      <c r="C19" s="871" t="s">
        <v>1004</v>
      </c>
      <c r="D19" s="877"/>
      <c r="E19" s="872" t="str">
        <f t="shared" si="0"/>
        <v>0</v>
      </c>
      <c r="F19" s="873">
        <v>0</v>
      </c>
      <c r="G19" s="873">
        <v>0</v>
      </c>
      <c r="H19" s="874">
        <v>0</v>
      </c>
      <c r="I19" s="867"/>
      <c r="J19" s="867"/>
      <c r="K19" s="874">
        <v>0</v>
      </c>
      <c r="L19" s="868"/>
      <c r="M19" s="850"/>
      <c r="N19" s="851"/>
      <c r="O19" s="851"/>
      <c r="P19" s="851"/>
    </row>
    <row r="20" spans="1:16" ht="15.75" x14ac:dyDescent="0.25">
      <c r="A20" s="869"/>
      <c r="B20" s="870"/>
      <c r="C20" s="871" t="s">
        <v>1004</v>
      </c>
      <c r="D20" s="877"/>
      <c r="E20" s="872" t="str">
        <f t="shared" si="0"/>
        <v>0</v>
      </c>
      <c r="F20" s="873">
        <v>0</v>
      </c>
      <c r="G20" s="873">
        <v>0</v>
      </c>
      <c r="H20" s="874">
        <v>0</v>
      </c>
      <c r="I20" s="867"/>
      <c r="J20" s="867"/>
      <c r="K20" s="874">
        <v>0</v>
      </c>
      <c r="L20" s="868"/>
      <c r="M20" s="850"/>
      <c r="N20" s="851"/>
      <c r="O20" s="851"/>
      <c r="P20" s="851"/>
    </row>
    <row r="21" spans="1:16" ht="15.75" x14ac:dyDescent="0.25">
      <c r="A21" s="869"/>
      <c r="B21" s="870"/>
      <c r="C21" s="871"/>
      <c r="D21" s="877"/>
      <c r="E21" s="872"/>
      <c r="F21" s="873"/>
      <c r="G21" s="878"/>
      <c r="H21" s="874"/>
      <c r="I21" s="867"/>
      <c r="J21" s="867"/>
      <c r="K21" s="867"/>
      <c r="L21" s="868"/>
      <c r="M21" s="850"/>
      <c r="N21" s="851"/>
      <c r="O21" s="851"/>
      <c r="P21" s="851"/>
    </row>
    <row r="22" spans="1:16" ht="15.75" x14ac:dyDescent="0.25">
      <c r="A22" s="869"/>
      <c r="B22" s="870"/>
      <c r="C22" s="871"/>
      <c r="D22" s="877"/>
      <c r="E22" s="872"/>
      <c r="F22" s="873"/>
      <c r="G22" s="878"/>
      <c r="H22" s="874"/>
      <c r="I22" s="867"/>
      <c r="J22" s="867"/>
      <c r="K22" s="867"/>
      <c r="L22" s="868"/>
      <c r="M22" s="850"/>
      <c r="N22" s="851"/>
      <c r="O22" s="851"/>
      <c r="P22" s="851"/>
    </row>
    <row r="23" spans="1:16" ht="15.75" x14ac:dyDescent="0.25">
      <c r="A23" s="869"/>
      <c r="B23" s="870"/>
      <c r="C23" s="871"/>
      <c r="D23" s="877"/>
      <c r="E23" s="872"/>
      <c r="F23" s="873"/>
      <c r="G23" s="878"/>
      <c r="H23" s="874"/>
      <c r="I23" s="867"/>
      <c r="J23" s="867"/>
      <c r="K23" s="867"/>
      <c r="L23" s="868"/>
      <c r="M23" s="850"/>
      <c r="N23" s="851"/>
      <c r="O23" s="851"/>
      <c r="P23" s="851"/>
    </row>
    <row r="24" spans="1:16" ht="15.75" x14ac:dyDescent="0.25">
      <c r="A24" s="869"/>
      <c r="B24" s="870"/>
      <c r="C24" s="871"/>
      <c r="D24" s="877"/>
      <c r="E24" s="872"/>
      <c r="F24" s="873"/>
      <c r="G24" s="878"/>
      <c r="H24" s="876"/>
      <c r="I24" s="867"/>
      <c r="J24" s="867"/>
      <c r="K24" s="867"/>
      <c r="L24" s="868"/>
      <c r="M24" s="850"/>
      <c r="N24" s="851"/>
      <c r="O24" s="851"/>
      <c r="P24" s="851"/>
    </row>
    <row r="25" spans="1:16" ht="15.75" x14ac:dyDescent="0.25">
      <c r="A25" s="869"/>
      <c r="B25" s="870"/>
      <c r="C25" s="871"/>
      <c r="D25" s="877"/>
      <c r="E25" s="872"/>
      <c r="F25" s="873"/>
      <c r="G25" s="878"/>
      <c r="H25" s="876"/>
      <c r="I25" s="867"/>
      <c r="J25" s="867"/>
      <c r="K25" s="867"/>
      <c r="L25" s="868"/>
      <c r="M25" s="850"/>
      <c r="N25" s="851"/>
      <c r="O25" s="851"/>
      <c r="P25" s="851"/>
    </row>
    <row r="26" spans="1:16" ht="15.75" x14ac:dyDescent="0.25">
      <c r="A26" s="879"/>
      <c r="B26" s="880"/>
      <c r="C26" s="871"/>
      <c r="D26" s="881"/>
      <c r="E26" s="872"/>
      <c r="F26" s="848"/>
      <c r="G26" s="878"/>
      <c r="H26" s="876"/>
      <c r="I26" s="867"/>
      <c r="J26" s="867"/>
      <c r="K26" s="867"/>
      <c r="L26" s="868"/>
      <c r="M26" s="850"/>
      <c r="N26" s="851"/>
      <c r="O26" s="851"/>
      <c r="P26" s="851"/>
    </row>
    <row r="27" spans="1:16" ht="15.75" x14ac:dyDescent="0.25">
      <c r="A27" s="879"/>
      <c r="B27" s="882"/>
      <c r="C27" s="883"/>
      <c r="D27" s="884"/>
      <c r="E27" s="872"/>
      <c r="F27" s="885"/>
      <c r="G27" s="878"/>
      <c r="H27" s="876"/>
      <c r="I27" s="867"/>
      <c r="J27" s="867"/>
      <c r="K27" s="867"/>
      <c r="L27" s="868"/>
      <c r="M27" s="850"/>
      <c r="N27" s="851"/>
      <c r="O27" s="851"/>
      <c r="P27" s="851">
        <f>+L27/1.13</f>
        <v>0</v>
      </c>
    </row>
    <row r="28" spans="1:16" ht="15.75" x14ac:dyDescent="0.25">
      <c r="A28" s="879"/>
      <c r="B28" s="880"/>
      <c r="C28" s="883"/>
      <c r="D28" s="881"/>
      <c r="E28" s="872"/>
      <c r="F28" s="848"/>
      <c r="G28" s="878"/>
      <c r="H28" s="876"/>
      <c r="I28" s="867"/>
      <c r="J28" s="867"/>
      <c r="K28" s="867"/>
      <c r="L28" s="868"/>
      <c r="M28" s="850"/>
      <c r="N28" s="851"/>
      <c r="O28" s="851"/>
      <c r="P28" s="851"/>
    </row>
    <row r="29" spans="1:16" ht="15.75" x14ac:dyDescent="0.25">
      <c r="A29" s="879"/>
      <c r="B29" s="880"/>
      <c r="C29" s="886"/>
      <c r="D29" s="881"/>
      <c r="E29" s="872"/>
      <c r="F29" s="848"/>
      <c r="G29" s="878"/>
      <c r="H29" s="867"/>
      <c r="I29" s="867"/>
      <c r="J29" s="867"/>
      <c r="K29" s="867"/>
      <c r="L29" s="868"/>
      <c r="M29" s="850"/>
      <c r="N29" s="851"/>
      <c r="O29" s="851"/>
      <c r="P29" s="851"/>
    </row>
    <row r="30" spans="1:16" ht="16.5" thickBot="1" x14ac:dyDescent="0.3">
      <c r="A30" s="887"/>
      <c r="B30" s="887"/>
      <c r="C30" s="888"/>
      <c r="D30" s="888"/>
      <c r="E30" s="888"/>
      <c r="F30" s="860"/>
      <c r="G30" s="860"/>
      <c r="H30" s="889"/>
      <c r="I30" s="889"/>
      <c r="J30" s="889"/>
      <c r="K30" s="889"/>
      <c r="L30" s="890"/>
      <c r="M30" s="850"/>
      <c r="N30" s="851"/>
      <c r="O30" s="851"/>
      <c r="P30" s="851"/>
    </row>
    <row r="31" spans="1:16" ht="16.5" thickTop="1" x14ac:dyDescent="0.25">
      <c r="A31" s="891"/>
      <c r="B31" s="891"/>
      <c r="C31" s="881"/>
      <c r="D31" s="881"/>
      <c r="E31" s="881"/>
      <c r="F31" s="875">
        <f>SUM(F10:F30)</f>
        <v>0</v>
      </c>
      <c r="G31" s="875">
        <f t="shared" ref="G31:L31" si="1">SUM(G10:G30)</f>
        <v>172.19</v>
      </c>
      <c r="H31" s="875">
        <f>SUM(H10:H30)</f>
        <v>1.85</v>
      </c>
      <c r="I31" s="875">
        <f t="shared" si="1"/>
        <v>0</v>
      </c>
      <c r="J31" s="875">
        <f t="shared" si="1"/>
        <v>0</v>
      </c>
      <c r="K31" s="875">
        <f t="shared" si="1"/>
        <v>0</v>
      </c>
      <c r="L31" s="875">
        <f t="shared" si="1"/>
        <v>0</v>
      </c>
      <c r="M31" s="850"/>
      <c r="N31" s="851"/>
      <c r="O31" s="851"/>
      <c r="P31" s="851"/>
    </row>
    <row r="32" spans="1:16" ht="15.75" x14ac:dyDescent="0.25">
      <c r="A32" s="891"/>
      <c r="B32" s="891"/>
      <c r="C32" s="881"/>
      <c r="D32" s="881"/>
      <c r="E32" s="881"/>
      <c r="F32" s="848"/>
      <c r="G32" s="875"/>
      <c r="H32" s="875"/>
      <c r="I32" s="875"/>
      <c r="J32" s="875"/>
      <c r="K32" s="875"/>
      <c r="L32" s="875"/>
      <c r="M32" s="850"/>
      <c r="N32" s="851"/>
      <c r="O32" s="851"/>
      <c r="P32" s="851"/>
    </row>
    <row r="33" spans="1:16" ht="15.75" x14ac:dyDescent="0.25">
      <c r="A33" s="891"/>
      <c r="B33" s="891"/>
      <c r="C33" s="881" t="s">
        <v>1168</v>
      </c>
      <c r="D33" s="881"/>
      <c r="E33" s="881"/>
      <c r="F33" s="848"/>
      <c r="G33" s="875"/>
      <c r="H33" s="875">
        <f>+F31</f>
        <v>0</v>
      </c>
      <c r="I33" s="875"/>
      <c r="J33" s="875"/>
      <c r="K33" s="875"/>
      <c r="L33" s="875"/>
      <c r="M33" s="850"/>
      <c r="N33" s="851"/>
      <c r="O33" s="851"/>
      <c r="P33" s="851"/>
    </row>
    <row r="34" spans="1:16" ht="15.75" x14ac:dyDescent="0.25">
      <c r="A34" s="891"/>
      <c r="B34" s="891"/>
      <c r="C34" s="881"/>
      <c r="D34" s="881"/>
      <c r="E34" s="881"/>
      <c r="F34" s="848"/>
      <c r="G34" s="875"/>
      <c r="H34" s="875"/>
      <c r="I34" s="875"/>
      <c r="J34" s="875"/>
      <c r="K34" s="875"/>
      <c r="L34" s="875"/>
      <c r="M34" s="850"/>
      <c r="N34" s="851"/>
      <c r="O34" s="851"/>
      <c r="P34" s="851"/>
    </row>
    <row r="35" spans="1:16" ht="15.75" x14ac:dyDescent="0.25">
      <c r="A35" s="891"/>
      <c r="B35" s="891"/>
      <c r="C35" s="881" t="s">
        <v>1169</v>
      </c>
      <c r="D35" s="881"/>
      <c r="E35" s="881"/>
      <c r="F35" s="848"/>
      <c r="G35" s="875"/>
      <c r="H35" s="875">
        <f>+G31</f>
        <v>172.19</v>
      </c>
      <c r="I35" s="875"/>
      <c r="J35" s="875"/>
      <c r="K35" s="875"/>
      <c r="L35" s="875"/>
      <c r="M35" s="850"/>
      <c r="N35" s="851"/>
      <c r="O35" s="851"/>
      <c r="P35" s="851"/>
    </row>
    <row r="36" spans="1:16" ht="15.75" x14ac:dyDescent="0.25">
      <c r="A36" s="891"/>
      <c r="B36" s="891"/>
      <c r="C36" s="881"/>
      <c r="D36" s="881"/>
      <c r="E36" s="881"/>
      <c r="F36" s="848"/>
      <c r="G36" s="875"/>
      <c r="H36" s="875"/>
      <c r="I36" s="875"/>
      <c r="J36" s="875"/>
      <c r="K36" s="875"/>
      <c r="L36" s="875"/>
      <c r="M36" s="850"/>
      <c r="N36" s="851"/>
      <c r="O36" s="851"/>
      <c r="P36" s="851"/>
    </row>
    <row r="37" spans="1:16" ht="15.75" x14ac:dyDescent="0.25">
      <c r="A37" s="891"/>
      <c r="B37" s="891"/>
      <c r="C37" s="881"/>
      <c r="D37" s="881"/>
      <c r="E37" s="881"/>
      <c r="F37" s="848"/>
      <c r="G37" s="892"/>
      <c r="H37" s="849"/>
      <c r="I37" s="849"/>
      <c r="J37" s="849"/>
      <c r="K37" s="849"/>
      <c r="L37" s="849"/>
      <c r="M37" s="850"/>
      <c r="N37" s="851"/>
      <c r="O37" s="851"/>
      <c r="P37" s="851"/>
    </row>
    <row r="38" spans="1:16" ht="15.75" x14ac:dyDescent="0.25">
      <c r="A38" s="891"/>
      <c r="B38" s="891"/>
      <c r="C38" s="881" t="s">
        <v>1043</v>
      </c>
      <c r="D38" s="881"/>
      <c r="E38" s="881"/>
      <c r="F38" s="848"/>
      <c r="G38" s="849"/>
      <c r="H38" s="852"/>
      <c r="I38" s="852"/>
      <c r="J38" s="852"/>
      <c r="K38" s="852"/>
      <c r="L38" s="849"/>
      <c r="M38" s="850"/>
      <c r="N38" s="851"/>
      <c r="O38" s="851"/>
      <c r="P38" s="851"/>
    </row>
    <row r="39" spans="1:16" ht="15.75" x14ac:dyDescent="0.25">
      <c r="A39" s="891"/>
      <c r="B39" s="891"/>
      <c r="C39" s="881" t="s">
        <v>216</v>
      </c>
      <c r="D39" s="881"/>
      <c r="E39" s="881"/>
      <c r="F39" s="848"/>
      <c r="G39" s="849"/>
      <c r="H39" s="893">
        <f>H31/1.13</f>
        <v>1.6371681415929207</v>
      </c>
      <c r="I39" s="875"/>
      <c r="J39" s="875"/>
      <c r="K39" s="875"/>
      <c r="L39" s="894"/>
      <c r="M39" s="850"/>
      <c r="N39" s="851"/>
      <c r="O39" s="851"/>
      <c r="P39" s="851"/>
    </row>
    <row r="40" spans="1:16" ht="15.75" x14ac:dyDescent="0.25">
      <c r="A40" s="891"/>
      <c r="B40" s="891"/>
      <c r="C40" s="881" t="s">
        <v>1044</v>
      </c>
      <c r="D40" s="881"/>
      <c r="E40" s="881"/>
      <c r="F40" s="848"/>
      <c r="G40" s="849"/>
      <c r="H40" s="895">
        <f>(H39*0.13)</f>
        <v>0.21283185840707969</v>
      </c>
      <c r="I40" s="895"/>
      <c r="J40" s="895"/>
      <c r="K40" s="895"/>
      <c r="L40" s="894"/>
      <c r="M40" s="850"/>
      <c r="N40" s="851"/>
      <c r="O40" s="851"/>
      <c r="P40" s="851"/>
    </row>
    <row r="41" spans="1:16" ht="16.5" thickBot="1" x14ac:dyDescent="0.3">
      <c r="A41" s="891"/>
      <c r="B41" s="891"/>
      <c r="C41" s="881"/>
      <c r="D41" s="881"/>
      <c r="E41" s="881"/>
      <c r="F41" s="848"/>
      <c r="G41" s="849"/>
      <c r="H41" s="896"/>
      <c r="I41" s="897"/>
      <c r="J41" s="897"/>
      <c r="K41" s="897"/>
      <c r="L41" s="894"/>
      <c r="M41" s="850"/>
      <c r="N41" s="851"/>
      <c r="O41" s="851"/>
      <c r="P41" s="851"/>
    </row>
    <row r="42" spans="1:16" ht="16.5" thickTop="1" x14ac:dyDescent="0.25">
      <c r="A42" s="891"/>
      <c r="B42" s="891"/>
      <c r="C42" s="881" t="s">
        <v>1045</v>
      </c>
      <c r="D42" s="881"/>
      <c r="E42" s="881"/>
      <c r="F42" s="848"/>
      <c r="G42" s="849"/>
      <c r="H42" s="868">
        <f>SUM(H39:H41)</f>
        <v>1.8500000000000003</v>
      </c>
      <c r="I42" s="868"/>
      <c r="J42" s="868"/>
      <c r="K42" s="868"/>
      <c r="L42" s="849"/>
      <c r="M42" s="850"/>
      <c r="N42" s="851"/>
      <c r="O42" s="851"/>
      <c r="P42" s="851"/>
    </row>
    <row r="43" spans="1:16" ht="16.5" thickBot="1" x14ac:dyDescent="0.3">
      <c r="A43" s="891"/>
      <c r="B43" s="891"/>
      <c r="C43" s="881"/>
      <c r="D43" s="881"/>
      <c r="E43" s="881"/>
      <c r="F43" s="848"/>
      <c r="G43" s="849"/>
      <c r="H43" s="896"/>
      <c r="I43" s="897"/>
      <c r="J43" s="897"/>
      <c r="K43" s="897"/>
      <c r="L43" s="849"/>
      <c r="M43" s="850"/>
      <c r="N43" s="851"/>
      <c r="O43" s="851"/>
      <c r="P43" s="851"/>
    </row>
    <row r="44" spans="1:16" ht="16.5" thickTop="1" x14ac:dyDescent="0.25">
      <c r="A44" s="891"/>
      <c r="B44" s="891"/>
      <c r="C44" s="881"/>
      <c r="D44" s="881"/>
      <c r="E44" s="881"/>
      <c r="F44" s="848"/>
      <c r="G44" s="849"/>
      <c r="H44" s="898"/>
      <c r="I44" s="898"/>
      <c r="J44" s="898"/>
      <c r="K44" s="898"/>
      <c r="L44" s="849"/>
      <c r="M44" s="850"/>
      <c r="N44" s="851"/>
      <c r="O44" s="851"/>
      <c r="P44" s="851"/>
    </row>
    <row r="45" spans="1:16" ht="15.75" x14ac:dyDescent="0.25">
      <c r="A45" s="891"/>
      <c r="B45" s="891"/>
      <c r="C45" s="881"/>
      <c r="D45" s="881"/>
      <c r="E45" s="881"/>
      <c r="F45" s="848"/>
      <c r="G45" s="849"/>
      <c r="H45" s="858"/>
      <c r="I45" s="858"/>
      <c r="J45" s="858"/>
      <c r="K45" s="858"/>
      <c r="L45" s="849"/>
      <c r="M45" s="850"/>
      <c r="N45" s="851"/>
      <c r="O45" s="851"/>
      <c r="P45" s="851"/>
    </row>
    <row r="46" spans="1:16" ht="15.75" x14ac:dyDescent="0.25">
      <c r="A46" s="891"/>
      <c r="B46" s="891"/>
      <c r="C46" s="881"/>
      <c r="D46" s="881"/>
      <c r="E46" s="881"/>
      <c r="F46" s="899"/>
      <c r="G46" s="849" t="s">
        <v>1170</v>
      </c>
      <c r="H46" s="858"/>
      <c r="I46" s="858"/>
      <c r="J46" s="858"/>
      <c r="K46" s="858"/>
      <c r="L46" s="849"/>
      <c r="M46" s="850"/>
      <c r="N46" s="851"/>
      <c r="O46" s="851"/>
      <c r="P46" s="851"/>
    </row>
    <row r="47" spans="1:16" ht="15.75" x14ac:dyDescent="0.25">
      <c r="A47" s="891"/>
      <c r="B47" s="891"/>
      <c r="C47" s="881"/>
      <c r="D47" s="881"/>
      <c r="E47" s="881"/>
      <c r="F47" s="848"/>
      <c r="G47" s="900" t="s">
        <v>1171</v>
      </c>
      <c r="H47" s="901">
        <f>+H40+H46</f>
        <v>0.21283185840707969</v>
      </c>
      <c r="I47" s="858"/>
      <c r="J47" s="858"/>
      <c r="K47" s="858"/>
      <c r="L47" s="849"/>
      <c r="M47" s="850"/>
      <c r="N47" s="851"/>
      <c r="O47" s="851"/>
      <c r="P47" s="851"/>
    </row>
    <row r="48" spans="1:16" ht="15.75" x14ac:dyDescent="0.25">
      <c r="A48" s="891"/>
      <c r="B48" s="891"/>
      <c r="C48" s="881"/>
      <c r="D48" s="881"/>
      <c r="E48" s="881"/>
      <c r="F48" s="848"/>
      <c r="G48" s="849"/>
      <c r="H48" s="858"/>
      <c r="I48" s="858"/>
      <c r="J48" s="858"/>
      <c r="K48" s="858"/>
      <c r="L48" s="849"/>
      <c r="M48" s="850"/>
      <c r="N48" s="851"/>
      <c r="O48" s="851"/>
      <c r="P48" s="851"/>
    </row>
    <row r="49" spans="1:18" ht="15.75" x14ac:dyDescent="0.25">
      <c r="A49" s="891"/>
      <c r="B49" s="891"/>
      <c r="C49" s="881"/>
      <c r="D49" s="881"/>
      <c r="E49" s="881"/>
      <c r="F49" s="848"/>
      <c r="G49" s="849"/>
      <c r="H49" s="858"/>
      <c r="I49" s="858"/>
      <c r="J49" s="858"/>
      <c r="K49" s="858"/>
      <c r="L49" s="849"/>
      <c r="M49" s="850"/>
      <c r="N49" s="851"/>
      <c r="O49" s="851"/>
      <c r="P49" s="851"/>
    </row>
    <row r="50" spans="1:18" ht="15.75" x14ac:dyDescent="0.25">
      <c r="A50" s="891"/>
      <c r="B50" s="891"/>
      <c r="C50" s="881"/>
      <c r="D50" s="881"/>
      <c r="E50" s="881"/>
      <c r="F50" s="848"/>
      <c r="G50" s="849"/>
      <c r="H50" s="902"/>
      <c r="I50" s="902"/>
      <c r="J50" s="902"/>
      <c r="K50" s="902"/>
      <c r="L50" s="849"/>
      <c r="M50" s="850"/>
      <c r="N50" s="851"/>
      <c r="O50" s="851"/>
      <c r="P50" s="851"/>
    </row>
    <row r="51" spans="1:18" ht="15.75" x14ac:dyDescent="0.25">
      <c r="A51" s="891"/>
      <c r="B51" s="891"/>
      <c r="C51" s="881"/>
      <c r="D51" s="881"/>
      <c r="E51" s="881"/>
      <c r="F51" s="848"/>
      <c r="G51" s="849"/>
      <c r="H51" s="902"/>
      <c r="I51" s="902"/>
      <c r="J51" s="902"/>
      <c r="K51" s="902"/>
      <c r="L51" s="849"/>
      <c r="M51" s="850"/>
      <c r="N51" s="851"/>
      <c r="O51" s="851"/>
      <c r="P51" s="851"/>
    </row>
    <row r="52" spans="1:18" ht="15.75" x14ac:dyDescent="0.25">
      <c r="A52" s="891"/>
      <c r="B52" s="891"/>
      <c r="C52" s="881"/>
      <c r="D52" s="881"/>
      <c r="E52" s="881"/>
      <c r="F52" s="848"/>
      <c r="G52" s="849"/>
      <c r="H52" s="898"/>
      <c r="I52" s="898"/>
      <c r="J52" s="898"/>
      <c r="K52" s="898"/>
      <c r="L52" s="849"/>
      <c r="M52" s="850"/>
      <c r="N52" s="851"/>
      <c r="O52" s="851"/>
      <c r="P52" s="851"/>
    </row>
    <row r="53" spans="1:18" ht="15.75" x14ac:dyDescent="0.25">
      <c r="A53" s="891"/>
      <c r="B53" s="891"/>
      <c r="C53" s="881"/>
      <c r="D53" s="881"/>
      <c r="E53" s="881"/>
      <c r="F53" s="848"/>
      <c r="G53" s="849"/>
      <c r="H53" s="898"/>
      <c r="I53" s="898"/>
      <c r="J53" s="898"/>
      <c r="K53" s="898"/>
      <c r="L53" s="849"/>
      <c r="M53" s="850"/>
      <c r="N53" s="851"/>
      <c r="O53" s="851"/>
      <c r="P53" s="851"/>
    </row>
    <row r="54" spans="1:18" ht="15.75" x14ac:dyDescent="0.25">
      <c r="A54" s="891"/>
      <c r="B54" s="891"/>
      <c r="C54" s="881"/>
      <c r="D54" s="881"/>
      <c r="E54" s="881"/>
      <c r="F54" s="848"/>
      <c r="G54" s="849"/>
      <c r="H54" s="902"/>
      <c r="I54" s="902"/>
      <c r="J54" s="902"/>
      <c r="K54" s="902"/>
      <c r="L54" s="849"/>
      <c r="M54" s="850"/>
      <c r="N54" s="851"/>
      <c r="O54" s="851"/>
      <c r="P54" s="851"/>
    </row>
    <row r="55" spans="1:18" ht="15.75" x14ac:dyDescent="0.25">
      <c r="A55" s="891"/>
      <c r="B55" s="891"/>
      <c r="C55" s="881"/>
      <c r="D55" s="881"/>
      <c r="E55" s="881"/>
      <c r="F55" s="848"/>
      <c r="G55" s="849"/>
      <c r="H55" s="849"/>
      <c r="I55" s="849"/>
      <c r="J55" s="849"/>
      <c r="K55" s="849"/>
      <c r="L55" s="849"/>
      <c r="M55" s="850"/>
      <c r="N55" s="851"/>
      <c r="O55" s="851"/>
      <c r="P55" s="851"/>
    </row>
    <row r="56" spans="1:18" ht="18.75" thickBot="1" x14ac:dyDescent="0.3">
      <c r="A56" s="891"/>
      <c r="B56" s="891"/>
      <c r="C56" s="881"/>
      <c r="D56" s="881"/>
      <c r="E56" s="881"/>
      <c r="F56" s="848"/>
      <c r="G56" s="849"/>
      <c r="H56" s="903" t="s">
        <v>1172</v>
      </c>
      <c r="I56" s="903"/>
      <c r="J56" s="903"/>
      <c r="K56" s="903"/>
      <c r="L56" s="903"/>
      <c r="M56" s="850"/>
      <c r="N56" s="851"/>
      <c r="O56" s="851"/>
      <c r="P56" s="851"/>
    </row>
    <row r="57" spans="1:18" ht="18" x14ac:dyDescent="0.25">
      <c r="A57" s="891"/>
      <c r="B57" s="891"/>
      <c r="C57" s="881"/>
      <c r="D57" s="881"/>
      <c r="E57" s="881"/>
      <c r="F57" s="848"/>
      <c r="G57" s="849"/>
      <c r="H57" s="904"/>
      <c r="I57" s="904"/>
      <c r="J57" s="904"/>
      <c r="K57" s="904"/>
      <c r="L57" s="905"/>
      <c r="M57" s="850"/>
      <c r="N57" s="851"/>
      <c r="O57" s="851"/>
      <c r="P57" s="851"/>
    </row>
    <row r="58" spans="1:18" ht="18" x14ac:dyDescent="0.25">
      <c r="A58" s="891"/>
      <c r="B58" s="891"/>
      <c r="C58" s="881"/>
      <c r="D58" s="881"/>
      <c r="E58" s="881"/>
      <c r="F58" s="848"/>
      <c r="G58" s="849"/>
      <c r="H58" s="905" t="s">
        <v>1173</v>
      </c>
      <c r="I58" s="905"/>
      <c r="J58" s="905"/>
      <c r="K58" s="905"/>
      <c r="L58" s="905"/>
      <c r="M58" s="850"/>
      <c r="N58" s="851"/>
      <c r="O58" s="851"/>
      <c r="P58" s="851"/>
    </row>
    <row r="59" spans="1:18" ht="15.75" x14ac:dyDescent="0.25">
      <c r="A59" s="906"/>
      <c r="B59" s="906"/>
      <c r="C59" s="907"/>
      <c r="D59" s="907"/>
      <c r="E59" s="907"/>
      <c r="F59" s="908"/>
      <c r="G59" s="857"/>
      <c r="H59" s="857"/>
      <c r="I59" s="857"/>
      <c r="J59" s="857"/>
      <c r="K59" s="857"/>
      <c r="L59" s="857"/>
      <c r="M59" s="850"/>
      <c r="N59" s="851"/>
      <c r="O59" s="851"/>
      <c r="P59" s="851"/>
    </row>
    <row r="60" spans="1:18" ht="15.75" x14ac:dyDescent="0.25">
      <c r="A60" s="906"/>
      <c r="B60" s="906"/>
      <c r="C60" s="907"/>
      <c r="D60" s="907"/>
      <c r="E60" s="907"/>
      <c r="F60" s="908"/>
      <c r="G60" s="857"/>
      <c r="H60" s="857"/>
      <c r="I60" s="857"/>
      <c r="J60" s="857"/>
      <c r="K60" s="857"/>
      <c r="L60" s="857"/>
      <c r="M60" s="850"/>
      <c r="N60" s="851"/>
      <c r="O60" s="851"/>
      <c r="P60" s="851"/>
    </row>
    <row r="62" spans="1:18" ht="20.25" x14ac:dyDescent="0.3">
      <c r="A62" s="851"/>
      <c r="B62" s="845" t="s">
        <v>1155</v>
      </c>
      <c r="C62" s="846"/>
      <c r="D62" s="847"/>
      <c r="E62" s="847"/>
      <c r="F62" s="847"/>
      <c r="G62" s="848"/>
      <c r="H62" s="849"/>
      <c r="I62" s="849"/>
      <c r="J62" s="849"/>
      <c r="K62" s="849"/>
      <c r="L62" s="849"/>
      <c r="M62" s="849"/>
      <c r="N62" s="850"/>
      <c r="O62" s="851"/>
      <c r="P62" s="851"/>
      <c r="Q62" s="851"/>
      <c r="R62" s="851"/>
    </row>
    <row r="63" spans="1:18" ht="15.75" x14ac:dyDescent="0.25">
      <c r="A63" s="851"/>
      <c r="B63" s="847" t="s">
        <v>606</v>
      </c>
      <c r="C63" s="847"/>
      <c r="D63" s="847"/>
      <c r="E63" s="847"/>
      <c r="F63" s="847"/>
      <c r="G63" s="848"/>
      <c r="H63" s="849"/>
      <c r="I63" s="849"/>
      <c r="J63" s="849"/>
      <c r="K63" s="849"/>
      <c r="L63" s="849"/>
      <c r="M63" s="849"/>
      <c r="N63" s="850"/>
      <c r="O63" s="851"/>
      <c r="P63" s="851"/>
      <c r="Q63" s="851"/>
      <c r="R63" s="851"/>
    </row>
    <row r="64" spans="1:18" ht="15.75" x14ac:dyDescent="0.25">
      <c r="A64" s="851"/>
      <c r="B64" s="846" t="s">
        <v>607</v>
      </c>
      <c r="C64" s="847"/>
      <c r="D64" s="847"/>
      <c r="E64" s="847"/>
      <c r="F64" s="847"/>
      <c r="G64" s="848"/>
      <c r="H64" s="852"/>
      <c r="I64" s="852"/>
      <c r="J64" s="849"/>
      <c r="K64" s="849"/>
      <c r="L64" s="849"/>
      <c r="M64" s="849"/>
      <c r="N64" s="850"/>
      <c r="O64" s="851"/>
      <c r="P64" s="851"/>
      <c r="Q64" s="851"/>
      <c r="R64" s="851"/>
    </row>
    <row r="65" spans="1:18" ht="15.75" x14ac:dyDescent="0.25">
      <c r="A65" s="851"/>
      <c r="B65" s="847" t="s">
        <v>783</v>
      </c>
      <c r="C65" s="847"/>
      <c r="D65" s="847"/>
      <c r="E65" s="847"/>
      <c r="F65" s="847"/>
      <c r="G65" s="848"/>
      <c r="H65" s="849"/>
      <c r="I65" s="849"/>
      <c r="J65" s="849"/>
      <c r="K65" s="849"/>
      <c r="L65" s="849"/>
      <c r="M65" s="849"/>
      <c r="N65" s="850"/>
      <c r="O65" s="851"/>
      <c r="P65" s="851"/>
      <c r="Q65" s="851"/>
      <c r="R65" s="851"/>
    </row>
    <row r="66" spans="1:18" ht="15.75" x14ac:dyDescent="0.25">
      <c r="A66" s="851"/>
      <c r="B66" s="853" t="s">
        <v>812</v>
      </c>
      <c r="C66" s="854"/>
      <c r="D66" s="855"/>
      <c r="E66" s="856" t="s">
        <v>1190</v>
      </c>
      <c r="F66" s="847"/>
      <c r="G66" s="848"/>
      <c r="H66" s="849"/>
      <c r="I66" s="857"/>
      <c r="J66" s="857"/>
      <c r="K66" s="857"/>
      <c r="L66" s="857"/>
      <c r="M66" s="857"/>
      <c r="N66" s="850"/>
      <c r="O66" s="851"/>
      <c r="P66" s="851"/>
      <c r="Q66" s="851"/>
      <c r="R66" s="851"/>
    </row>
    <row r="67" spans="1:18" ht="15.75" x14ac:dyDescent="0.25">
      <c r="A67" s="851"/>
      <c r="B67" s="850"/>
      <c r="C67" s="850"/>
      <c r="D67" s="847"/>
      <c r="E67" s="847"/>
      <c r="F67" s="847"/>
      <c r="G67" s="848"/>
      <c r="H67" s="849"/>
      <c r="I67" s="849"/>
      <c r="J67" s="849"/>
      <c r="K67" s="849"/>
      <c r="L67" s="849"/>
      <c r="M67" s="849"/>
      <c r="N67" s="850"/>
      <c r="O67" s="851"/>
      <c r="P67" s="851"/>
      <c r="Q67" s="851"/>
      <c r="R67" s="851"/>
    </row>
    <row r="68" spans="1:18" ht="15.75" x14ac:dyDescent="0.25">
      <c r="A68" s="851"/>
      <c r="B68" s="850"/>
      <c r="C68" s="850"/>
      <c r="D68" s="847"/>
      <c r="E68" s="847"/>
      <c r="F68" s="847"/>
      <c r="G68" s="848"/>
      <c r="H68" s="849"/>
      <c r="I68" s="849"/>
      <c r="J68" s="849"/>
      <c r="K68" s="849"/>
      <c r="L68" s="849"/>
      <c r="M68" s="849"/>
      <c r="N68" s="850"/>
      <c r="O68" s="851"/>
      <c r="P68" s="851"/>
      <c r="Q68" s="851"/>
      <c r="R68" s="851"/>
    </row>
    <row r="69" spans="1:18" ht="15.75" x14ac:dyDescent="0.25">
      <c r="A69" s="851"/>
      <c r="B69" s="850"/>
      <c r="C69" s="850"/>
      <c r="D69" s="847"/>
      <c r="E69" s="847"/>
      <c r="F69" s="847"/>
      <c r="G69" s="848"/>
      <c r="H69" s="858" t="s">
        <v>164</v>
      </c>
      <c r="I69" s="858" t="s">
        <v>164</v>
      </c>
      <c r="J69" s="858" t="s">
        <v>1156</v>
      </c>
      <c r="K69" s="858" t="s">
        <v>1157</v>
      </c>
      <c r="L69" s="858" t="s">
        <v>164</v>
      </c>
      <c r="M69" s="858" t="s">
        <v>615</v>
      </c>
      <c r="N69" s="850"/>
      <c r="O69" s="851"/>
      <c r="P69" s="851"/>
      <c r="Q69" s="851"/>
      <c r="R69" s="851"/>
    </row>
    <row r="70" spans="1:18" ht="16.5" thickBot="1" x14ac:dyDescent="0.3">
      <c r="A70" s="919"/>
      <c r="B70" s="859" t="s">
        <v>212</v>
      </c>
      <c r="C70" s="859"/>
      <c r="D70" s="859" t="s">
        <v>1158</v>
      </c>
      <c r="E70" s="859"/>
      <c r="F70" s="859" t="s">
        <v>1159</v>
      </c>
      <c r="G70" s="860" t="s">
        <v>215</v>
      </c>
      <c r="H70" s="861" t="s">
        <v>724</v>
      </c>
      <c r="I70" s="862" t="s">
        <v>1160</v>
      </c>
      <c r="J70" s="861" t="s">
        <v>1161</v>
      </c>
      <c r="K70" s="861" t="s">
        <v>1162</v>
      </c>
      <c r="L70" s="861" t="s">
        <v>723</v>
      </c>
      <c r="M70" s="861" t="s">
        <v>164</v>
      </c>
      <c r="N70" s="850"/>
      <c r="O70" s="851"/>
      <c r="P70" s="851"/>
      <c r="Q70" s="851"/>
      <c r="R70" s="851"/>
    </row>
    <row r="71" spans="1:18" ht="16.5" thickTop="1" x14ac:dyDescent="0.25">
      <c r="A71" s="851"/>
      <c r="B71" s="863"/>
      <c r="C71" s="864"/>
      <c r="D71" s="865"/>
      <c r="E71" s="865"/>
      <c r="F71" s="865"/>
      <c r="G71" s="866"/>
      <c r="H71" s="866"/>
      <c r="I71" s="867"/>
      <c r="J71" s="867"/>
      <c r="K71" s="867"/>
      <c r="L71" s="867"/>
      <c r="M71" s="868"/>
      <c r="N71" s="850"/>
      <c r="O71" s="851"/>
      <c r="P71" s="851"/>
      <c r="Q71" s="851"/>
      <c r="R71" s="851"/>
    </row>
    <row r="72" spans="1:18" ht="15.75" x14ac:dyDescent="0.25">
      <c r="A72" s="876"/>
      <c r="B72" s="869">
        <v>43419</v>
      </c>
      <c r="C72" s="870"/>
      <c r="D72" s="871" t="s">
        <v>1191</v>
      </c>
      <c r="E72" s="870"/>
      <c r="F72" s="872" t="str">
        <f t="shared" ref="F72:F74" si="2">D72</f>
        <v>1993</v>
      </c>
      <c r="G72" s="873">
        <v>0</v>
      </c>
      <c r="H72" s="873">
        <v>0</v>
      </c>
      <c r="I72" s="874">
        <v>25.97</v>
      </c>
      <c r="J72" s="867"/>
      <c r="K72" s="867"/>
      <c r="L72" s="874">
        <v>0</v>
      </c>
      <c r="M72" s="875"/>
      <c r="N72" s="874"/>
      <c r="O72" s="876"/>
      <c r="P72" s="876"/>
      <c r="Q72" s="876"/>
      <c r="R72" s="876"/>
    </row>
    <row r="73" spans="1:18" ht="15.75" x14ac:dyDescent="0.25">
      <c r="A73" s="876"/>
      <c r="B73" s="869">
        <v>43432</v>
      </c>
      <c r="C73" s="870"/>
      <c r="D73" s="871" t="s">
        <v>1192</v>
      </c>
      <c r="E73" s="870"/>
      <c r="F73" s="872" t="str">
        <f t="shared" si="2"/>
        <v>1992</v>
      </c>
      <c r="G73" s="873">
        <v>0</v>
      </c>
      <c r="H73" s="873">
        <v>4.6500000000000004</v>
      </c>
      <c r="I73" s="874">
        <v>0</v>
      </c>
      <c r="J73" s="867"/>
      <c r="K73" s="867"/>
      <c r="L73" s="874">
        <v>0</v>
      </c>
      <c r="M73" s="875"/>
      <c r="N73" s="874"/>
      <c r="O73" s="876"/>
      <c r="P73" s="876"/>
      <c r="Q73" s="876"/>
      <c r="R73" s="876"/>
    </row>
    <row r="74" spans="1:18" ht="15.75" x14ac:dyDescent="0.25">
      <c r="A74" s="876"/>
      <c r="B74" s="869"/>
      <c r="C74" s="870"/>
      <c r="D74" s="871" t="s">
        <v>1004</v>
      </c>
      <c r="E74" s="870"/>
      <c r="F74" s="872" t="str">
        <f t="shared" si="2"/>
        <v>0</v>
      </c>
      <c r="G74" s="873">
        <v>0</v>
      </c>
      <c r="H74" s="873">
        <v>0</v>
      </c>
      <c r="I74" s="874">
        <v>0</v>
      </c>
      <c r="J74" s="867"/>
      <c r="K74" s="867"/>
      <c r="L74" s="874">
        <v>0</v>
      </c>
      <c r="M74" s="875"/>
      <c r="N74" s="874"/>
      <c r="O74" s="876"/>
      <c r="P74" s="876"/>
      <c r="Q74" s="876"/>
      <c r="R74" s="876"/>
    </row>
    <row r="75" spans="1:18" ht="15.75" x14ac:dyDescent="0.25">
      <c r="A75" s="850"/>
      <c r="B75" s="879"/>
      <c r="C75" s="880"/>
      <c r="D75" s="871"/>
      <c r="E75" s="881"/>
      <c r="F75" s="872"/>
      <c r="G75" s="848"/>
      <c r="H75" s="878"/>
      <c r="I75" s="876"/>
      <c r="J75" s="867"/>
      <c r="K75" s="867"/>
      <c r="L75" s="867"/>
      <c r="M75" s="868"/>
      <c r="N75" s="850"/>
      <c r="O75" s="851"/>
      <c r="P75" s="851"/>
      <c r="Q75" s="851"/>
      <c r="R75" s="851"/>
    </row>
    <row r="76" spans="1:18" ht="15.75" x14ac:dyDescent="0.25">
      <c r="A76" s="850"/>
      <c r="B76" s="879"/>
      <c r="C76" s="882"/>
      <c r="D76" s="883"/>
      <c r="E76" s="884"/>
      <c r="F76" s="872"/>
      <c r="G76" s="885"/>
      <c r="H76" s="878"/>
      <c r="I76" s="876"/>
      <c r="J76" s="867"/>
      <c r="K76" s="867"/>
      <c r="L76" s="867"/>
      <c r="M76" s="868"/>
      <c r="N76" s="850"/>
      <c r="O76" s="851"/>
      <c r="P76" s="851"/>
      <c r="Q76" s="851">
        <f>+M76/1.13</f>
        <v>0</v>
      </c>
      <c r="R76" s="851">
        <f>+Q76*0.13</f>
        <v>0</v>
      </c>
    </row>
    <row r="77" spans="1:18" ht="15.75" x14ac:dyDescent="0.25">
      <c r="A77" s="850"/>
      <c r="B77" s="879"/>
      <c r="C77" s="880"/>
      <c r="D77" s="883"/>
      <c r="E77" s="881"/>
      <c r="F77" s="872"/>
      <c r="G77" s="848"/>
      <c r="H77" s="878"/>
      <c r="I77" s="876"/>
      <c r="J77" s="867"/>
      <c r="K77" s="867"/>
      <c r="L77" s="867"/>
      <c r="M77" s="868"/>
      <c r="N77" s="850"/>
      <c r="O77" s="851"/>
      <c r="P77" s="851"/>
      <c r="Q77" s="851"/>
      <c r="R77" s="851"/>
    </row>
    <row r="78" spans="1:18" ht="15.75" x14ac:dyDescent="0.25">
      <c r="A78" s="850"/>
      <c r="B78" s="879"/>
      <c r="C78" s="880"/>
      <c r="D78" s="886"/>
      <c r="E78" s="881"/>
      <c r="F78" s="872"/>
      <c r="G78" s="848"/>
      <c r="H78" s="878"/>
      <c r="I78" s="867"/>
      <c r="J78" s="867"/>
      <c r="K78" s="867"/>
      <c r="L78" s="867"/>
      <c r="M78" s="868"/>
      <c r="N78" s="850"/>
      <c r="O78" s="851"/>
      <c r="P78" s="851"/>
      <c r="Q78" s="851"/>
      <c r="R78" s="851"/>
    </row>
    <row r="79" spans="1:18" ht="16.5" thickBot="1" x14ac:dyDescent="0.3">
      <c r="A79" s="850"/>
      <c r="B79" s="887"/>
      <c r="C79" s="887"/>
      <c r="D79" s="888"/>
      <c r="E79" s="888"/>
      <c r="F79" s="888"/>
      <c r="G79" s="860"/>
      <c r="H79" s="860"/>
      <c r="I79" s="889"/>
      <c r="J79" s="889"/>
      <c r="K79" s="889"/>
      <c r="L79" s="889"/>
      <c r="M79" s="890"/>
      <c r="N79" s="850"/>
      <c r="O79" s="851"/>
      <c r="P79" s="851"/>
      <c r="Q79" s="851"/>
      <c r="R79" s="851"/>
    </row>
    <row r="80" spans="1:18" ht="16.5" thickTop="1" x14ac:dyDescent="0.25">
      <c r="A80" s="850"/>
      <c r="B80" s="891"/>
      <c r="C80" s="891"/>
      <c r="D80" s="881"/>
      <c r="E80" s="881"/>
      <c r="F80" s="881"/>
      <c r="G80" s="875">
        <f>SUM(G71:G79)</f>
        <v>0</v>
      </c>
      <c r="H80" s="875">
        <f t="shared" ref="H80:M80" si="3">SUM(H71:H79)</f>
        <v>4.6500000000000004</v>
      </c>
      <c r="I80" s="875">
        <f>SUM(I71:I79)</f>
        <v>25.97</v>
      </c>
      <c r="J80" s="875">
        <f t="shared" si="3"/>
        <v>0</v>
      </c>
      <c r="K80" s="875">
        <f t="shared" si="3"/>
        <v>0</v>
      </c>
      <c r="L80" s="875">
        <f t="shared" si="3"/>
        <v>0</v>
      </c>
      <c r="M80" s="875">
        <f t="shared" si="3"/>
        <v>0</v>
      </c>
      <c r="N80" s="850"/>
      <c r="O80" s="851"/>
      <c r="P80" s="851"/>
      <c r="Q80" s="851"/>
      <c r="R80" s="851"/>
    </row>
    <row r="81" spans="1:18" ht="15.75" x14ac:dyDescent="0.25">
      <c r="A81" s="850"/>
      <c r="B81" s="891"/>
      <c r="C81" s="891"/>
      <c r="D81" s="881"/>
      <c r="E81" s="881"/>
      <c r="F81" s="881"/>
      <c r="G81" s="848"/>
      <c r="H81" s="875"/>
      <c r="I81" s="875"/>
      <c r="J81" s="875"/>
      <c r="K81" s="875"/>
      <c r="L81" s="875"/>
      <c r="M81" s="875"/>
      <c r="N81" s="850"/>
      <c r="O81" s="851"/>
      <c r="P81" s="851"/>
      <c r="Q81" s="851"/>
      <c r="R81" s="851"/>
    </row>
    <row r="82" spans="1:18" ht="15.75" x14ac:dyDescent="0.25">
      <c r="A82" s="850"/>
      <c r="B82" s="891"/>
      <c r="C82" s="891"/>
      <c r="D82" s="881" t="s">
        <v>1168</v>
      </c>
      <c r="E82" s="881"/>
      <c r="F82" s="881"/>
      <c r="G82" s="848"/>
      <c r="H82" s="875"/>
      <c r="I82" s="875">
        <f>+G80</f>
        <v>0</v>
      </c>
      <c r="J82" s="875"/>
      <c r="K82" s="875"/>
      <c r="L82" s="875"/>
      <c r="M82" s="875"/>
      <c r="N82" s="850"/>
      <c r="O82" s="851"/>
      <c r="P82" s="851"/>
      <c r="Q82" s="851"/>
      <c r="R82" s="851"/>
    </row>
    <row r="83" spans="1:18" ht="15.75" x14ac:dyDescent="0.25">
      <c r="A83" s="850"/>
      <c r="B83" s="891"/>
      <c r="C83" s="891"/>
      <c r="D83" s="881"/>
      <c r="E83" s="881"/>
      <c r="F83" s="881"/>
      <c r="G83" s="848"/>
      <c r="H83" s="875"/>
      <c r="I83" s="875"/>
      <c r="J83" s="875"/>
      <c r="K83" s="875"/>
      <c r="L83" s="875"/>
      <c r="M83" s="875"/>
      <c r="N83" s="850"/>
      <c r="O83" s="851"/>
      <c r="P83" s="851"/>
      <c r="Q83" s="851"/>
      <c r="R83" s="851"/>
    </row>
    <row r="84" spans="1:18" ht="15.75" x14ac:dyDescent="0.25">
      <c r="A84" s="850"/>
      <c r="B84" s="891"/>
      <c r="C84" s="891"/>
      <c r="D84" s="881" t="s">
        <v>1169</v>
      </c>
      <c r="E84" s="881"/>
      <c r="F84" s="881"/>
      <c r="G84" s="848"/>
      <c r="H84" s="875"/>
      <c r="I84" s="875">
        <f>+H80</f>
        <v>4.6500000000000004</v>
      </c>
      <c r="J84" s="875"/>
      <c r="K84" s="875"/>
      <c r="L84" s="875"/>
      <c r="M84" s="875"/>
      <c r="N84" s="850"/>
      <c r="O84" s="851"/>
      <c r="P84" s="851"/>
      <c r="Q84" s="851"/>
      <c r="R84" s="851"/>
    </row>
    <row r="85" spans="1:18" ht="15.75" x14ac:dyDescent="0.25">
      <c r="A85" s="850"/>
      <c r="B85" s="891"/>
      <c r="C85" s="891"/>
      <c r="D85" s="881"/>
      <c r="E85" s="881"/>
      <c r="F85" s="881"/>
      <c r="G85" s="848"/>
      <c r="H85" s="875"/>
      <c r="I85" s="875"/>
      <c r="J85" s="875"/>
      <c r="K85" s="875"/>
      <c r="L85" s="875"/>
      <c r="M85" s="875"/>
      <c r="N85" s="850"/>
      <c r="O85" s="851"/>
      <c r="P85" s="851"/>
      <c r="Q85" s="851"/>
      <c r="R85" s="851"/>
    </row>
    <row r="86" spans="1:18" ht="15.75" x14ac:dyDescent="0.25">
      <c r="A86" s="850"/>
      <c r="B86" s="891"/>
      <c r="C86" s="891"/>
      <c r="D86" s="881"/>
      <c r="E86" s="881"/>
      <c r="F86" s="881"/>
      <c r="G86" s="848"/>
      <c r="H86" s="892"/>
      <c r="I86" s="849"/>
      <c r="J86" s="849"/>
      <c r="K86" s="849"/>
      <c r="L86" s="849"/>
      <c r="M86" s="849"/>
      <c r="N86" s="850"/>
      <c r="O86" s="851"/>
      <c r="P86" s="851"/>
      <c r="Q86" s="851"/>
      <c r="R86" s="851"/>
    </row>
    <row r="87" spans="1:18" ht="15.75" x14ac:dyDescent="0.25">
      <c r="A87" s="850"/>
      <c r="B87" s="891"/>
      <c r="C87" s="891"/>
      <c r="D87" s="881" t="s">
        <v>1043</v>
      </c>
      <c r="E87" s="881"/>
      <c r="F87" s="881"/>
      <c r="G87" s="848"/>
      <c r="H87" s="849"/>
      <c r="I87" s="852"/>
      <c r="J87" s="852"/>
      <c r="K87" s="852"/>
      <c r="L87" s="852"/>
      <c r="M87" s="849"/>
      <c r="N87" s="850"/>
      <c r="O87" s="851"/>
      <c r="P87" s="851"/>
      <c r="Q87" s="851"/>
      <c r="R87" s="851"/>
    </row>
    <row r="88" spans="1:18" ht="15.75" x14ac:dyDescent="0.25">
      <c r="A88" s="850"/>
      <c r="B88" s="891"/>
      <c r="C88" s="891"/>
      <c r="D88" s="881" t="s">
        <v>216</v>
      </c>
      <c r="E88" s="881"/>
      <c r="F88" s="881"/>
      <c r="G88" s="848"/>
      <c r="H88" s="849"/>
      <c r="I88" s="893">
        <f>I80/1.13</f>
        <v>22.982300884955752</v>
      </c>
      <c r="J88" s="875"/>
      <c r="K88" s="875"/>
      <c r="L88" s="875"/>
      <c r="M88" s="894"/>
      <c r="N88" s="850"/>
      <c r="O88" s="851"/>
      <c r="P88" s="851"/>
      <c r="Q88" s="851"/>
      <c r="R88" s="851"/>
    </row>
    <row r="89" spans="1:18" ht="15.75" x14ac:dyDescent="0.25">
      <c r="A89" s="850"/>
      <c r="B89" s="891"/>
      <c r="C89" s="891"/>
      <c r="D89" s="881" t="s">
        <v>1044</v>
      </c>
      <c r="E89" s="881"/>
      <c r="F89" s="881"/>
      <c r="G89" s="848"/>
      <c r="H89" s="849"/>
      <c r="I89" s="895">
        <f>(I88*0.13)</f>
        <v>2.987699115044248</v>
      </c>
      <c r="J89" s="895"/>
      <c r="K89" s="895"/>
      <c r="L89" s="895"/>
      <c r="M89" s="894"/>
      <c r="N89" s="850"/>
      <c r="O89" s="851"/>
      <c r="P89" s="851"/>
      <c r="Q89" s="851"/>
      <c r="R89" s="851"/>
    </row>
    <row r="90" spans="1:18" ht="16.5" thickBot="1" x14ac:dyDescent="0.3">
      <c r="A90" s="850"/>
      <c r="B90" s="891"/>
      <c r="C90" s="891"/>
      <c r="D90" s="881"/>
      <c r="E90" s="881"/>
      <c r="F90" s="881"/>
      <c r="G90" s="848"/>
      <c r="H90" s="849"/>
      <c r="I90" s="896"/>
      <c r="J90" s="897"/>
      <c r="K90" s="897"/>
      <c r="L90" s="897"/>
      <c r="M90" s="894"/>
      <c r="N90" s="850"/>
      <c r="O90" s="851"/>
      <c r="P90" s="851"/>
      <c r="Q90" s="851"/>
      <c r="R90" s="851"/>
    </row>
    <row r="91" spans="1:18" ht="16.5" thickTop="1" x14ac:dyDescent="0.25">
      <c r="A91" s="850"/>
      <c r="B91" s="891"/>
      <c r="C91" s="891"/>
      <c r="D91" s="881" t="s">
        <v>1045</v>
      </c>
      <c r="E91" s="881"/>
      <c r="F91" s="881"/>
      <c r="G91" s="848"/>
      <c r="H91" s="849"/>
      <c r="I91" s="868">
        <f>SUM(I88:I90)</f>
        <v>25.97</v>
      </c>
      <c r="J91" s="868"/>
      <c r="K91" s="868"/>
      <c r="L91" s="868"/>
      <c r="M91" s="849"/>
      <c r="N91" s="850"/>
      <c r="O91" s="851"/>
      <c r="P91" s="851"/>
      <c r="Q91" s="851"/>
      <c r="R91" s="851"/>
    </row>
    <row r="92" spans="1:18" ht="16.5" thickBot="1" x14ac:dyDescent="0.3">
      <c r="A92" s="850"/>
      <c r="B92" s="891"/>
      <c r="C92" s="891"/>
      <c r="D92" s="881"/>
      <c r="E92" s="881"/>
      <c r="F92" s="881"/>
      <c r="G92" s="848"/>
      <c r="H92" s="849"/>
      <c r="I92" s="896"/>
      <c r="J92" s="897"/>
      <c r="K92" s="897"/>
      <c r="L92" s="897"/>
      <c r="M92" s="849"/>
      <c r="N92" s="850"/>
      <c r="O92" s="851"/>
      <c r="P92" s="851"/>
      <c r="Q92" s="851"/>
      <c r="R92" s="851"/>
    </row>
    <row r="93" spans="1:18" ht="16.5" thickTop="1" x14ac:dyDescent="0.25">
      <c r="A93" s="850"/>
      <c r="B93" s="891"/>
      <c r="C93" s="891"/>
      <c r="D93" s="881"/>
      <c r="E93" s="881"/>
      <c r="F93" s="881"/>
      <c r="G93" s="848"/>
      <c r="H93" s="849"/>
      <c r="I93" s="898"/>
      <c r="J93" s="898"/>
      <c r="K93" s="898"/>
      <c r="L93" s="898"/>
      <c r="M93" s="849"/>
      <c r="N93" s="850"/>
      <c r="O93" s="851"/>
      <c r="P93" s="851"/>
      <c r="Q93" s="851"/>
      <c r="R93" s="851"/>
    </row>
    <row r="94" spans="1:18" ht="15.75" x14ac:dyDescent="0.25">
      <c r="A94" s="850"/>
      <c r="B94" s="891"/>
      <c r="C94" s="891"/>
      <c r="D94" s="881"/>
      <c r="E94" s="881"/>
      <c r="F94" s="881"/>
      <c r="G94" s="848"/>
      <c r="H94" s="849"/>
      <c r="I94" s="858"/>
      <c r="J94" s="858"/>
      <c r="K94" s="858"/>
      <c r="L94" s="858"/>
      <c r="M94" s="849"/>
      <c r="N94" s="850"/>
      <c r="O94" s="851"/>
      <c r="P94" s="851"/>
      <c r="Q94" s="851"/>
      <c r="R94" s="851"/>
    </row>
    <row r="95" spans="1:18" ht="15.75" x14ac:dyDescent="0.25">
      <c r="A95" s="850"/>
      <c r="B95" s="891"/>
      <c r="C95" s="891"/>
      <c r="D95" s="881"/>
      <c r="E95" s="881"/>
      <c r="F95" s="881"/>
      <c r="G95" s="899"/>
      <c r="H95" s="849" t="s">
        <v>1170</v>
      </c>
      <c r="I95" s="858">
        <v>-2.99</v>
      </c>
      <c r="J95" s="858"/>
      <c r="K95" s="858"/>
      <c r="L95" s="858"/>
      <c r="M95" s="849"/>
      <c r="N95" s="850"/>
      <c r="O95" s="851"/>
      <c r="P95" s="851"/>
      <c r="Q95" s="851"/>
      <c r="R95" s="851"/>
    </row>
    <row r="96" spans="1:18" ht="15.75" x14ac:dyDescent="0.25">
      <c r="A96" s="850"/>
      <c r="B96" s="891"/>
      <c r="C96" s="891"/>
      <c r="D96" s="881"/>
      <c r="E96" s="881"/>
      <c r="F96" s="881"/>
      <c r="G96" s="848"/>
      <c r="H96" s="900" t="s">
        <v>1171</v>
      </c>
      <c r="I96" s="901">
        <f>+I89+I95</f>
        <v>-2.3008849557522026E-3</v>
      </c>
      <c r="J96" s="858"/>
      <c r="K96" s="858"/>
      <c r="L96" s="858"/>
      <c r="M96" s="849"/>
      <c r="N96" s="850"/>
      <c r="O96" s="851"/>
      <c r="P96" s="851"/>
      <c r="Q96" s="851"/>
      <c r="R96" s="851"/>
    </row>
    <row r="102" spans="1:18" ht="20.25" x14ac:dyDescent="0.3">
      <c r="A102" s="851"/>
      <c r="B102" s="845" t="s">
        <v>1155</v>
      </c>
      <c r="C102" s="846"/>
      <c r="D102" s="847"/>
      <c r="E102" s="847"/>
      <c r="F102" s="847"/>
      <c r="G102" s="848"/>
      <c r="H102" s="849"/>
      <c r="I102" s="849"/>
      <c r="J102" s="849"/>
      <c r="K102" s="849"/>
      <c r="L102" s="849"/>
      <c r="M102" s="849"/>
      <c r="N102" s="850"/>
      <c r="O102" s="851"/>
      <c r="P102" s="851"/>
      <c r="Q102" s="851"/>
      <c r="R102" s="851"/>
    </row>
    <row r="103" spans="1:18" ht="15.75" x14ac:dyDescent="0.25">
      <c r="A103" s="851"/>
      <c r="B103" s="847" t="s">
        <v>606</v>
      </c>
      <c r="C103" s="847"/>
      <c r="D103" s="847"/>
      <c r="E103" s="847"/>
      <c r="F103" s="847"/>
      <c r="G103" s="848"/>
      <c r="H103" s="849"/>
      <c r="I103" s="849"/>
      <c r="J103" s="849"/>
      <c r="K103" s="849"/>
      <c r="L103" s="849"/>
      <c r="M103" s="849"/>
      <c r="N103" s="850"/>
      <c r="O103" s="851"/>
      <c r="P103" s="851"/>
      <c r="Q103" s="851"/>
      <c r="R103" s="851"/>
    </row>
    <row r="104" spans="1:18" ht="15.75" x14ac:dyDescent="0.25">
      <c r="A104" s="851"/>
      <c r="B104" s="846" t="s">
        <v>607</v>
      </c>
      <c r="C104" s="847"/>
      <c r="D104" s="847"/>
      <c r="E104" s="847"/>
      <c r="F104" s="847"/>
      <c r="G104" s="848"/>
      <c r="H104" s="852"/>
      <c r="I104" s="852"/>
      <c r="J104" s="849"/>
      <c r="K104" s="849"/>
      <c r="L104" s="849"/>
      <c r="M104" s="849"/>
      <c r="N104" s="850"/>
      <c r="O104" s="851"/>
      <c r="P104" s="851"/>
      <c r="Q104" s="851"/>
      <c r="R104" s="851"/>
    </row>
    <row r="105" spans="1:18" ht="15.75" x14ac:dyDescent="0.25">
      <c r="A105" s="851"/>
      <c r="B105" s="847" t="s">
        <v>783</v>
      </c>
      <c r="C105" s="847"/>
      <c r="D105" s="847"/>
      <c r="E105" s="847"/>
      <c r="F105" s="847"/>
      <c r="G105" s="848"/>
      <c r="H105" s="849"/>
      <c r="I105" s="849"/>
      <c r="J105" s="849"/>
      <c r="K105" s="849"/>
      <c r="L105" s="849"/>
      <c r="M105" s="849"/>
      <c r="N105" s="850"/>
      <c r="O105" s="851"/>
      <c r="P105" s="851"/>
      <c r="Q105" s="851"/>
      <c r="R105" s="851"/>
    </row>
    <row r="106" spans="1:18" ht="15.75" x14ac:dyDescent="0.25">
      <c r="A106" s="851"/>
      <c r="B106" s="853" t="s">
        <v>812</v>
      </c>
      <c r="C106" s="854"/>
      <c r="D106" s="855"/>
      <c r="E106" s="856" t="s">
        <v>1203</v>
      </c>
      <c r="F106" s="847"/>
      <c r="G106" s="848"/>
      <c r="H106" s="849"/>
      <c r="I106" s="857"/>
      <c r="J106" s="857"/>
      <c r="K106" s="857"/>
      <c r="L106" s="857"/>
      <c r="M106" s="857"/>
      <c r="N106" s="850"/>
      <c r="O106" s="851"/>
      <c r="P106" s="851"/>
      <c r="Q106" s="851"/>
      <c r="R106" s="851"/>
    </row>
    <row r="107" spans="1:18" ht="15.75" x14ac:dyDescent="0.25">
      <c r="A107" s="851"/>
      <c r="B107" s="850"/>
      <c r="C107" s="850"/>
      <c r="D107" s="847"/>
      <c r="E107" s="847"/>
      <c r="F107" s="847"/>
      <c r="G107" s="848"/>
      <c r="H107" s="849"/>
      <c r="I107" s="849"/>
      <c r="J107" s="849"/>
      <c r="K107" s="849"/>
      <c r="L107" s="849"/>
      <c r="M107" s="849"/>
      <c r="N107" s="850"/>
      <c r="O107" s="851"/>
      <c r="P107" s="851"/>
      <c r="Q107" s="851"/>
      <c r="R107" s="851"/>
    </row>
    <row r="108" spans="1:18" ht="15.75" x14ac:dyDescent="0.25">
      <c r="A108" s="851"/>
      <c r="B108" s="850"/>
      <c r="C108" s="850"/>
      <c r="D108" s="847"/>
      <c r="E108" s="847"/>
      <c r="F108" s="847"/>
      <c r="G108" s="848"/>
      <c r="H108" s="849"/>
      <c r="I108" s="849"/>
      <c r="J108" s="849"/>
      <c r="K108" s="849"/>
      <c r="L108" s="849"/>
      <c r="M108" s="849"/>
      <c r="N108" s="850"/>
      <c r="O108" s="851"/>
      <c r="P108" s="851"/>
      <c r="Q108" s="851"/>
      <c r="R108" s="851"/>
    </row>
    <row r="109" spans="1:18" ht="15.75" x14ac:dyDescent="0.25">
      <c r="A109" s="851"/>
      <c r="B109" s="850"/>
      <c r="C109" s="850"/>
      <c r="D109" s="847"/>
      <c r="E109" s="847"/>
      <c r="F109" s="847"/>
      <c r="G109" s="848"/>
      <c r="H109" s="858" t="s">
        <v>164</v>
      </c>
      <c r="I109" s="858" t="s">
        <v>164</v>
      </c>
      <c r="J109" s="858" t="s">
        <v>1156</v>
      </c>
      <c r="K109" s="858" t="s">
        <v>1157</v>
      </c>
      <c r="L109" s="858" t="s">
        <v>164</v>
      </c>
      <c r="M109" s="858" t="s">
        <v>615</v>
      </c>
      <c r="N109" s="850"/>
      <c r="O109" s="851"/>
      <c r="P109" s="851"/>
      <c r="Q109" s="851"/>
      <c r="R109" s="851"/>
    </row>
    <row r="110" spans="1:18" ht="16.5" thickBot="1" x14ac:dyDescent="0.3">
      <c r="A110" s="919"/>
      <c r="B110" s="859" t="s">
        <v>212</v>
      </c>
      <c r="C110" s="859"/>
      <c r="D110" s="859" t="s">
        <v>1158</v>
      </c>
      <c r="E110" s="859"/>
      <c r="F110" s="859" t="s">
        <v>1159</v>
      </c>
      <c r="G110" s="860" t="s">
        <v>215</v>
      </c>
      <c r="H110" s="861" t="s">
        <v>724</v>
      </c>
      <c r="I110" s="862" t="s">
        <v>1160</v>
      </c>
      <c r="J110" s="861" t="s">
        <v>1161</v>
      </c>
      <c r="K110" s="861" t="s">
        <v>1162</v>
      </c>
      <c r="L110" s="861" t="s">
        <v>723</v>
      </c>
      <c r="M110" s="861" t="s">
        <v>164</v>
      </c>
      <c r="N110" s="850"/>
      <c r="O110" s="851"/>
      <c r="P110" s="851"/>
      <c r="Q110" s="851"/>
      <c r="R110" s="851"/>
    </row>
    <row r="111" spans="1:18" ht="16.5" thickTop="1" x14ac:dyDescent="0.25">
      <c r="A111" s="851"/>
      <c r="B111" s="863"/>
      <c r="C111" s="864"/>
      <c r="D111" s="865"/>
      <c r="E111" s="865"/>
      <c r="F111" s="865"/>
      <c r="G111" s="866"/>
      <c r="H111" s="866"/>
      <c r="I111" s="867"/>
      <c r="J111" s="867"/>
      <c r="K111" s="867"/>
      <c r="L111" s="867"/>
      <c r="M111" s="868"/>
      <c r="N111" s="850"/>
      <c r="O111" s="851"/>
      <c r="P111" s="851"/>
      <c r="Q111" s="851"/>
      <c r="R111" s="851"/>
    </row>
    <row r="112" spans="1:18" ht="15.75" x14ac:dyDescent="0.25">
      <c r="A112" s="876"/>
      <c r="B112" s="869">
        <v>43451</v>
      </c>
      <c r="C112" s="870"/>
      <c r="D112" s="871" t="s">
        <v>979</v>
      </c>
      <c r="E112" s="870"/>
      <c r="F112" s="872" t="str">
        <f t="shared" ref="F112:F121" si="4">D112</f>
        <v>1994</v>
      </c>
      <c r="G112" s="873">
        <v>0</v>
      </c>
      <c r="H112" s="873">
        <v>0</v>
      </c>
      <c r="I112" s="874">
        <v>1.8</v>
      </c>
      <c r="J112" s="867"/>
      <c r="K112" s="867"/>
      <c r="L112" s="874">
        <v>0</v>
      </c>
      <c r="M112" s="875"/>
      <c r="N112" s="874"/>
      <c r="O112" s="876"/>
      <c r="P112" s="876"/>
      <c r="Q112" s="876"/>
      <c r="R112" s="876"/>
    </row>
    <row r="113" spans="1:18" ht="15.75" x14ac:dyDescent="0.25">
      <c r="A113" s="876"/>
      <c r="B113" s="869">
        <v>43465</v>
      </c>
      <c r="C113" s="870"/>
      <c r="D113" s="871" t="s">
        <v>1204</v>
      </c>
      <c r="E113" s="870"/>
      <c r="F113" s="872" t="str">
        <f t="shared" si="4"/>
        <v>1995</v>
      </c>
      <c r="G113" s="873">
        <v>0</v>
      </c>
      <c r="H113" s="873">
        <v>22.08</v>
      </c>
      <c r="I113" s="874">
        <v>0</v>
      </c>
      <c r="J113" s="867"/>
      <c r="K113" s="867"/>
      <c r="L113" s="874">
        <v>0</v>
      </c>
      <c r="M113" s="875"/>
      <c r="N113" s="874"/>
      <c r="O113" s="876"/>
      <c r="P113" s="876"/>
      <c r="Q113" s="876"/>
      <c r="R113" s="876"/>
    </row>
    <row r="114" spans="1:18" ht="15.75" x14ac:dyDescent="0.25">
      <c r="A114" s="876"/>
      <c r="B114" s="869">
        <v>43465</v>
      </c>
      <c r="C114" s="870"/>
      <c r="D114" s="871" t="s">
        <v>1205</v>
      </c>
      <c r="E114" s="870"/>
      <c r="F114" s="872" t="str">
        <f t="shared" si="4"/>
        <v>1996</v>
      </c>
      <c r="G114" s="873">
        <v>0</v>
      </c>
      <c r="H114" s="938">
        <v>111.38</v>
      </c>
      <c r="I114" s="874">
        <v>0</v>
      </c>
      <c r="J114" s="867"/>
      <c r="K114" s="867"/>
      <c r="L114" s="874">
        <v>0</v>
      </c>
      <c r="M114" s="875"/>
      <c r="N114" s="874"/>
      <c r="O114" s="876"/>
      <c r="P114" s="876"/>
      <c r="Q114" s="876"/>
      <c r="R114" s="876"/>
    </row>
    <row r="115" spans="1:18" ht="15.75" x14ac:dyDescent="0.25">
      <c r="A115" s="876"/>
      <c r="B115" s="869">
        <v>43465</v>
      </c>
      <c r="C115" s="870"/>
      <c r="D115" s="871" t="s">
        <v>1206</v>
      </c>
      <c r="E115" s="870"/>
      <c r="F115" s="872" t="str">
        <f t="shared" si="4"/>
        <v>1997</v>
      </c>
      <c r="G115" s="873">
        <v>0</v>
      </c>
      <c r="H115" s="873">
        <v>1191.96</v>
      </c>
      <c r="I115" s="874">
        <v>0</v>
      </c>
      <c r="J115" s="867"/>
      <c r="K115" s="867"/>
      <c r="L115" s="874">
        <v>0</v>
      </c>
      <c r="M115" s="875"/>
      <c r="N115" s="874"/>
      <c r="O115" s="876"/>
      <c r="P115" s="876"/>
      <c r="Q115" s="876"/>
      <c r="R115" s="876"/>
    </row>
    <row r="116" spans="1:18" ht="15.75" x14ac:dyDescent="0.25">
      <c r="A116" s="850"/>
      <c r="B116" s="869">
        <v>43465</v>
      </c>
      <c r="C116" s="870"/>
      <c r="D116" s="871" t="s">
        <v>1207</v>
      </c>
      <c r="E116" s="870"/>
      <c r="F116" s="872" t="str">
        <f t="shared" si="4"/>
        <v>1998</v>
      </c>
      <c r="G116" s="873">
        <v>0</v>
      </c>
      <c r="H116" s="873">
        <v>9.15</v>
      </c>
      <c r="I116" s="874">
        <v>0</v>
      </c>
      <c r="J116" s="867"/>
      <c r="K116" s="867"/>
      <c r="L116" s="874">
        <v>0</v>
      </c>
      <c r="M116" s="868"/>
      <c r="N116" s="850"/>
      <c r="O116" s="851"/>
      <c r="P116" s="851"/>
      <c r="Q116" s="851"/>
      <c r="R116" s="851"/>
    </row>
    <row r="117" spans="1:18" ht="15.75" x14ac:dyDescent="0.25">
      <c r="A117" s="876"/>
      <c r="B117" s="869"/>
      <c r="C117" s="870"/>
      <c r="D117" s="871" t="s">
        <v>1004</v>
      </c>
      <c r="E117" s="870"/>
      <c r="F117" s="872" t="str">
        <f t="shared" si="4"/>
        <v>0</v>
      </c>
      <c r="G117" s="873">
        <v>0</v>
      </c>
      <c r="H117" s="873">
        <v>0</v>
      </c>
      <c r="I117" s="874">
        <v>0</v>
      </c>
      <c r="J117" s="867"/>
      <c r="K117" s="867"/>
      <c r="L117" s="874">
        <v>0</v>
      </c>
      <c r="M117" s="875"/>
      <c r="N117" s="874"/>
      <c r="O117" s="876"/>
      <c r="P117" s="876"/>
      <c r="Q117" s="876"/>
      <c r="R117" s="876"/>
    </row>
    <row r="118" spans="1:18" ht="15.75" x14ac:dyDescent="0.25">
      <c r="A118" s="851"/>
      <c r="B118" s="869"/>
      <c r="C118" s="870"/>
      <c r="D118" s="871" t="s">
        <v>1004</v>
      </c>
      <c r="E118" s="877"/>
      <c r="F118" s="872" t="str">
        <f t="shared" si="4"/>
        <v>0</v>
      </c>
      <c r="G118" s="873">
        <v>0</v>
      </c>
      <c r="H118" s="873">
        <v>0</v>
      </c>
      <c r="I118" s="874">
        <v>0</v>
      </c>
      <c r="J118" s="867"/>
      <c r="K118" s="867"/>
      <c r="L118" s="874">
        <v>0</v>
      </c>
      <c r="M118" s="868"/>
      <c r="N118" s="850"/>
      <c r="O118" s="851"/>
      <c r="P118" s="851"/>
      <c r="Q118" s="851"/>
      <c r="R118" s="851"/>
    </row>
    <row r="119" spans="1:18" ht="15.75" x14ac:dyDescent="0.25">
      <c r="A119" s="851"/>
      <c r="B119" s="869"/>
      <c r="C119" s="870"/>
      <c r="D119" s="871" t="s">
        <v>1004</v>
      </c>
      <c r="E119" s="877"/>
      <c r="F119" s="872" t="str">
        <f t="shared" si="4"/>
        <v>0</v>
      </c>
      <c r="G119" s="873">
        <v>0</v>
      </c>
      <c r="H119" s="873">
        <v>0</v>
      </c>
      <c r="I119" s="874">
        <v>0</v>
      </c>
      <c r="J119" s="867"/>
      <c r="K119" s="867"/>
      <c r="L119" s="874">
        <v>0</v>
      </c>
      <c r="M119" s="868"/>
      <c r="N119" s="850"/>
      <c r="O119" s="851"/>
      <c r="P119" s="851"/>
      <c r="Q119" s="851"/>
      <c r="R119" s="851"/>
    </row>
    <row r="120" spans="1:18" ht="15.75" x14ac:dyDescent="0.25">
      <c r="A120" s="851"/>
      <c r="B120" s="869"/>
      <c r="C120" s="870"/>
      <c r="D120" s="871" t="s">
        <v>1004</v>
      </c>
      <c r="E120" s="877"/>
      <c r="F120" s="872" t="str">
        <f t="shared" si="4"/>
        <v>0</v>
      </c>
      <c r="G120" s="873">
        <v>0</v>
      </c>
      <c r="H120" s="873">
        <v>0</v>
      </c>
      <c r="I120" s="874">
        <v>0</v>
      </c>
      <c r="J120" s="867"/>
      <c r="K120" s="867"/>
      <c r="L120" s="874">
        <v>0</v>
      </c>
      <c r="M120" s="868"/>
      <c r="N120" s="850"/>
      <c r="O120" s="851"/>
      <c r="P120" s="851"/>
      <c r="Q120" s="851"/>
      <c r="R120" s="851"/>
    </row>
    <row r="121" spans="1:18" ht="15.75" x14ac:dyDescent="0.25">
      <c r="A121" s="851"/>
      <c r="B121" s="869"/>
      <c r="C121" s="870"/>
      <c r="D121" s="871" t="s">
        <v>1004</v>
      </c>
      <c r="E121" s="877"/>
      <c r="F121" s="872" t="str">
        <f t="shared" si="4"/>
        <v>0</v>
      </c>
      <c r="G121" s="873">
        <v>0</v>
      </c>
      <c r="H121" s="873">
        <v>0</v>
      </c>
      <c r="I121" s="874">
        <v>0</v>
      </c>
      <c r="J121" s="867"/>
      <c r="K121" s="867"/>
      <c r="L121" s="874">
        <v>0</v>
      </c>
      <c r="M121" s="868"/>
      <c r="N121" s="850"/>
      <c r="O121" s="851"/>
      <c r="P121" s="851"/>
      <c r="Q121" s="851"/>
      <c r="R121" s="851"/>
    </row>
    <row r="122" spans="1:18" ht="15.75" x14ac:dyDescent="0.25">
      <c r="A122" s="851"/>
      <c r="B122" s="869"/>
      <c r="C122" s="870"/>
      <c r="D122" s="871"/>
      <c r="E122" s="877"/>
      <c r="F122" s="872"/>
      <c r="G122" s="873"/>
      <c r="H122" s="878"/>
      <c r="I122" s="874"/>
      <c r="J122" s="867"/>
      <c r="K122" s="867"/>
      <c r="L122" s="867"/>
      <c r="M122" s="868"/>
      <c r="N122" s="850"/>
      <c r="O122" s="851"/>
      <c r="P122" s="851"/>
      <c r="Q122" s="851"/>
      <c r="R122" s="851"/>
    </row>
    <row r="123" spans="1:18" ht="15.75" x14ac:dyDescent="0.25">
      <c r="A123" s="851"/>
      <c r="B123" s="869"/>
      <c r="C123" s="870"/>
      <c r="D123" s="871"/>
      <c r="E123" s="877"/>
      <c r="F123" s="872"/>
      <c r="G123" s="873"/>
      <c r="H123" s="878"/>
      <c r="I123" s="874"/>
      <c r="J123" s="867"/>
      <c r="K123" s="867"/>
      <c r="L123" s="867"/>
      <c r="N123" s="850"/>
      <c r="O123" s="851"/>
      <c r="P123" s="851"/>
      <c r="Q123" s="851"/>
      <c r="R123" s="851"/>
    </row>
    <row r="124" spans="1:18" ht="15.75" x14ac:dyDescent="0.25">
      <c r="A124" s="851"/>
      <c r="B124" s="869"/>
      <c r="C124" s="870"/>
      <c r="D124" s="871"/>
      <c r="E124" s="877"/>
      <c r="F124" s="872"/>
      <c r="G124" s="873"/>
      <c r="H124" s="878"/>
      <c r="I124" s="874"/>
      <c r="J124" s="867"/>
      <c r="K124" s="867"/>
      <c r="L124" s="867"/>
      <c r="M124" s="868"/>
      <c r="N124" s="850"/>
      <c r="O124" s="851"/>
      <c r="P124" s="851"/>
      <c r="Q124" s="851"/>
      <c r="R124" s="851"/>
    </row>
    <row r="125" spans="1:18" ht="15.75" x14ac:dyDescent="0.25">
      <c r="A125" s="851"/>
      <c r="B125" s="869"/>
      <c r="C125" s="870"/>
      <c r="D125" s="871"/>
      <c r="E125" s="877"/>
      <c r="F125" s="872"/>
      <c r="G125" s="873"/>
      <c r="H125" s="878"/>
      <c r="I125" s="876"/>
      <c r="J125" s="867"/>
      <c r="K125" s="867"/>
      <c r="L125" s="867"/>
      <c r="M125" s="868"/>
      <c r="N125" s="850"/>
      <c r="O125" s="851"/>
      <c r="P125" s="851"/>
      <c r="Q125" s="851"/>
      <c r="R125" s="851"/>
    </row>
    <row r="126" spans="1:18" ht="15.75" x14ac:dyDescent="0.25">
      <c r="A126" s="851"/>
      <c r="B126" s="869"/>
      <c r="C126" s="870"/>
      <c r="D126" s="871"/>
      <c r="E126" s="877"/>
      <c r="F126" s="872"/>
      <c r="G126" s="873"/>
      <c r="H126" s="878"/>
      <c r="I126" s="876"/>
      <c r="J126" s="867"/>
      <c r="K126" s="867"/>
      <c r="L126" s="867"/>
      <c r="M126" s="868"/>
      <c r="N126" s="850"/>
      <c r="O126" s="851"/>
      <c r="P126" s="851"/>
      <c r="Q126" s="851"/>
      <c r="R126" s="851"/>
    </row>
    <row r="127" spans="1:18" ht="15.75" x14ac:dyDescent="0.25">
      <c r="A127" s="850"/>
      <c r="B127" s="879"/>
      <c r="C127" s="880"/>
      <c r="D127" s="871"/>
      <c r="E127" s="881"/>
      <c r="F127" s="872"/>
      <c r="G127" s="848"/>
      <c r="H127" s="878"/>
      <c r="I127" s="876"/>
      <c r="J127" s="867"/>
      <c r="K127" s="867"/>
      <c r="L127" s="867"/>
      <c r="M127" s="868"/>
      <c r="N127" s="850"/>
      <c r="O127" s="851"/>
      <c r="P127" s="851"/>
      <c r="Q127" s="851"/>
      <c r="R127" s="851"/>
    </row>
    <row r="128" spans="1:18" ht="15.75" x14ac:dyDescent="0.25">
      <c r="A128" s="850"/>
      <c r="B128" s="879"/>
      <c r="C128" s="882"/>
      <c r="D128" s="883"/>
      <c r="E128" s="884"/>
      <c r="F128" s="872"/>
      <c r="G128" s="885"/>
      <c r="H128" s="878"/>
      <c r="I128" s="876"/>
      <c r="J128" s="867"/>
      <c r="K128" s="867"/>
      <c r="L128" s="867"/>
      <c r="M128" s="868"/>
      <c r="N128" s="850"/>
      <c r="O128" s="851"/>
      <c r="P128" s="851"/>
      <c r="Q128" s="851">
        <f>+M128/1.13</f>
        <v>0</v>
      </c>
      <c r="R128" s="851">
        <f>+Q128*0.13</f>
        <v>0</v>
      </c>
    </row>
    <row r="129" spans="1:18" ht="15.75" x14ac:dyDescent="0.25">
      <c r="A129" s="850"/>
      <c r="B129" s="879"/>
      <c r="C129" s="880"/>
      <c r="D129" s="883"/>
      <c r="E129" s="881"/>
      <c r="F129" s="872"/>
      <c r="G129" s="848"/>
      <c r="H129" s="878"/>
      <c r="I129" s="876"/>
      <c r="J129" s="867"/>
      <c r="K129" s="867"/>
      <c r="L129" s="867"/>
      <c r="M129" s="868"/>
      <c r="N129" s="850"/>
      <c r="O129" s="851"/>
      <c r="P129" s="851"/>
      <c r="Q129" s="851"/>
      <c r="R129" s="851"/>
    </row>
    <row r="130" spans="1:18" ht="15.75" x14ac:dyDescent="0.25">
      <c r="A130" s="850"/>
      <c r="B130" s="879"/>
      <c r="C130" s="880"/>
      <c r="D130" s="886"/>
      <c r="E130" s="881"/>
      <c r="F130" s="872"/>
      <c r="G130" s="848"/>
      <c r="H130" s="878"/>
      <c r="I130" s="867"/>
      <c r="J130" s="867"/>
      <c r="K130" s="867"/>
      <c r="L130" s="867"/>
      <c r="M130" s="868"/>
      <c r="N130" s="850"/>
      <c r="O130" s="851"/>
      <c r="P130" s="851"/>
      <c r="Q130" s="851"/>
      <c r="R130" s="851"/>
    </row>
    <row r="131" spans="1:18" ht="16.5" thickBot="1" x14ac:dyDescent="0.3">
      <c r="A131" s="850"/>
      <c r="B131" s="887"/>
      <c r="C131" s="887"/>
      <c r="D131" s="888"/>
      <c r="E131" s="888"/>
      <c r="F131" s="888"/>
      <c r="G131" s="860"/>
      <c r="H131" s="860"/>
      <c r="I131" s="889"/>
      <c r="J131" s="889"/>
      <c r="K131" s="889"/>
      <c r="L131" s="889"/>
      <c r="M131" s="890"/>
      <c r="N131" s="850"/>
      <c r="O131" s="851"/>
      <c r="P131" s="851"/>
      <c r="Q131" s="851"/>
      <c r="R131" s="851"/>
    </row>
    <row r="132" spans="1:18" ht="16.5" thickTop="1" x14ac:dyDescent="0.25">
      <c r="A132" s="850"/>
      <c r="B132" s="891"/>
      <c r="C132" s="891"/>
      <c r="D132" s="881"/>
      <c r="E132" s="881"/>
      <c r="F132" s="881"/>
      <c r="G132" s="875">
        <f>SUM(G111:G131)</f>
        <v>0</v>
      </c>
      <c r="H132" s="875">
        <f t="shared" ref="H132:M132" si="5">SUM(H111:H131)</f>
        <v>1334.5700000000002</v>
      </c>
      <c r="I132" s="875">
        <f>SUM(I111:I131)</f>
        <v>1.8</v>
      </c>
      <c r="J132" s="875">
        <f t="shared" si="5"/>
        <v>0</v>
      </c>
      <c r="K132" s="875">
        <f t="shared" si="5"/>
        <v>0</v>
      </c>
      <c r="L132" s="875">
        <f t="shared" si="5"/>
        <v>0</v>
      </c>
      <c r="M132" s="875">
        <f t="shared" si="5"/>
        <v>0</v>
      </c>
      <c r="N132" s="850"/>
      <c r="O132" s="851"/>
      <c r="P132" s="851"/>
      <c r="Q132" s="851"/>
      <c r="R132" s="851"/>
    </row>
    <row r="133" spans="1:18" ht="15.75" x14ac:dyDescent="0.25">
      <c r="A133" s="850"/>
      <c r="B133" s="891"/>
      <c r="C133" s="891"/>
      <c r="D133" s="881"/>
      <c r="E133" s="881"/>
      <c r="F133" s="881"/>
      <c r="G133" s="848"/>
      <c r="H133" s="875"/>
      <c r="I133" s="875"/>
      <c r="J133" s="875"/>
      <c r="K133" s="875"/>
      <c r="L133" s="875"/>
      <c r="M133" s="875"/>
      <c r="N133" s="850"/>
      <c r="O133" s="851"/>
      <c r="P133" s="851"/>
      <c r="Q133" s="851"/>
      <c r="R133" s="851"/>
    </row>
    <row r="134" spans="1:18" ht="15.75" x14ac:dyDescent="0.25">
      <c r="A134" s="850"/>
      <c r="B134" s="891"/>
      <c r="C134" s="891"/>
      <c r="D134" s="881" t="s">
        <v>1168</v>
      </c>
      <c r="E134" s="881"/>
      <c r="F134" s="881"/>
      <c r="G134" s="848"/>
      <c r="H134" s="875"/>
      <c r="I134" s="875">
        <f>+G132</f>
        <v>0</v>
      </c>
      <c r="J134" s="875"/>
      <c r="K134" s="875"/>
      <c r="L134" s="875"/>
      <c r="M134" s="875"/>
      <c r="N134" s="850"/>
      <c r="O134" s="851"/>
      <c r="P134" s="851"/>
      <c r="Q134" s="851"/>
      <c r="R134" s="851"/>
    </row>
    <row r="135" spans="1:18" ht="15.75" x14ac:dyDescent="0.25">
      <c r="A135" s="850"/>
      <c r="B135" s="891"/>
      <c r="C135" s="891"/>
      <c r="D135" s="881"/>
      <c r="E135" s="881"/>
      <c r="F135" s="881"/>
      <c r="G135" s="848"/>
      <c r="H135" s="875"/>
      <c r="I135" s="875"/>
      <c r="J135" s="875"/>
      <c r="K135" s="875"/>
      <c r="L135" s="875"/>
      <c r="M135" s="875"/>
      <c r="N135" s="850"/>
      <c r="O135" s="851"/>
      <c r="P135" s="851"/>
      <c r="Q135" s="851"/>
      <c r="R135" s="851"/>
    </row>
    <row r="136" spans="1:18" ht="15.75" x14ac:dyDescent="0.25">
      <c r="A136" s="850"/>
      <c r="B136" s="891"/>
      <c r="C136" s="891"/>
      <c r="D136" s="881" t="s">
        <v>1169</v>
      </c>
      <c r="E136" s="881"/>
      <c r="F136" s="881"/>
      <c r="G136" s="848"/>
      <c r="H136" s="875"/>
      <c r="I136" s="875">
        <f>+H132</f>
        <v>1334.5700000000002</v>
      </c>
      <c r="J136" s="875"/>
      <c r="K136" s="875"/>
      <c r="L136" s="875"/>
      <c r="M136" s="875"/>
      <c r="N136" s="850"/>
      <c r="O136" s="851"/>
      <c r="P136" s="851"/>
      <c r="Q136" s="851"/>
      <c r="R136" s="851"/>
    </row>
    <row r="137" spans="1:18" ht="15.75" x14ac:dyDescent="0.25">
      <c r="A137" s="850"/>
      <c r="B137" s="891"/>
      <c r="C137" s="891"/>
      <c r="D137" s="881"/>
      <c r="E137" s="881"/>
      <c r="F137" s="881"/>
      <c r="G137" s="848"/>
      <c r="H137" s="875"/>
      <c r="I137" s="875"/>
      <c r="J137" s="875"/>
      <c r="K137" s="875"/>
      <c r="L137" s="875"/>
      <c r="M137" s="875"/>
      <c r="N137" s="850"/>
      <c r="O137" s="851"/>
      <c r="P137" s="851"/>
      <c r="Q137" s="851"/>
      <c r="R137" s="851"/>
    </row>
    <row r="138" spans="1:18" ht="15.75" x14ac:dyDescent="0.25">
      <c r="A138" s="850"/>
      <c r="B138" s="891"/>
      <c r="C138" s="891"/>
      <c r="D138" s="881"/>
      <c r="E138" s="881"/>
      <c r="F138" s="881"/>
      <c r="G138" s="848"/>
      <c r="H138" s="892"/>
      <c r="I138" s="849"/>
      <c r="J138" s="849"/>
      <c r="K138" s="849"/>
      <c r="L138" s="849"/>
      <c r="M138" s="849"/>
      <c r="N138" s="850"/>
      <c r="O138" s="851"/>
      <c r="P138" s="851"/>
      <c r="Q138" s="851"/>
      <c r="R138" s="851"/>
    </row>
    <row r="139" spans="1:18" ht="15.75" x14ac:dyDescent="0.25">
      <c r="A139" s="850"/>
      <c r="B139" s="891"/>
      <c r="C139" s="891"/>
      <c r="D139" s="881" t="s">
        <v>1043</v>
      </c>
      <c r="E139" s="881"/>
      <c r="F139" s="881"/>
      <c r="G139" s="848"/>
      <c r="H139" s="849"/>
      <c r="I139" s="852"/>
      <c r="J139" s="852"/>
      <c r="K139" s="852"/>
      <c r="L139" s="852"/>
      <c r="M139" s="849"/>
      <c r="N139" s="850"/>
      <c r="O139" s="851"/>
      <c r="P139" s="851"/>
      <c r="Q139" s="851"/>
      <c r="R139" s="851"/>
    </row>
    <row r="140" spans="1:18" ht="15.75" x14ac:dyDescent="0.25">
      <c r="A140" s="850"/>
      <c r="B140" s="891"/>
      <c r="C140" s="891"/>
      <c r="D140" s="881" t="s">
        <v>216</v>
      </c>
      <c r="E140" s="881"/>
      <c r="F140" s="881"/>
      <c r="G140" s="848"/>
      <c r="H140" s="849"/>
      <c r="I140" s="940">
        <f>ROUND(I132/1.13,2)</f>
        <v>1.59</v>
      </c>
      <c r="J140" s="875"/>
      <c r="K140" s="875"/>
      <c r="L140" s="875"/>
      <c r="M140" s="894"/>
      <c r="N140" s="850"/>
      <c r="O140" s="851"/>
      <c r="P140" s="851"/>
      <c r="Q140" s="851"/>
      <c r="R140" s="851"/>
    </row>
    <row r="141" spans="1:18" ht="15.75" x14ac:dyDescent="0.25">
      <c r="A141" s="850"/>
      <c r="B141" s="891"/>
      <c r="C141" s="891"/>
      <c r="D141" s="881" t="s">
        <v>1044</v>
      </c>
      <c r="E141" s="881"/>
      <c r="F141" s="881"/>
      <c r="G141" s="848"/>
      <c r="H141" s="849"/>
      <c r="I141" s="939">
        <f>(I140*0.13)</f>
        <v>0.20670000000000002</v>
      </c>
      <c r="J141" s="895"/>
      <c r="K141" s="895"/>
      <c r="L141" s="895"/>
      <c r="M141" s="894"/>
      <c r="N141" s="850"/>
      <c r="O141" s="851"/>
      <c r="P141" s="851"/>
      <c r="Q141" s="851"/>
      <c r="R141" s="851"/>
    </row>
    <row r="142" spans="1:18" ht="16.5" thickBot="1" x14ac:dyDescent="0.3">
      <c r="A142" s="850"/>
      <c r="B142" s="891"/>
      <c r="C142" s="891"/>
      <c r="D142" s="881"/>
      <c r="E142" s="881"/>
      <c r="F142" s="881"/>
      <c r="G142" s="848"/>
      <c r="H142" s="849"/>
      <c r="I142" s="896"/>
      <c r="J142" s="897"/>
      <c r="K142" s="897"/>
      <c r="L142" s="897"/>
      <c r="M142" s="894"/>
      <c r="N142" s="850"/>
      <c r="O142" s="851"/>
      <c r="P142" s="851"/>
      <c r="Q142" s="851"/>
      <c r="R142" s="851"/>
    </row>
    <row r="143" spans="1:18" ht="16.5" thickTop="1" x14ac:dyDescent="0.25">
      <c r="A143" s="850"/>
      <c r="B143" s="891"/>
      <c r="C143" s="891"/>
      <c r="D143" s="881" t="s">
        <v>1045</v>
      </c>
      <c r="E143" s="881"/>
      <c r="F143" s="881"/>
      <c r="G143" s="848"/>
      <c r="H143" s="849"/>
      <c r="I143" s="868">
        <f>SUM(I140:I142)</f>
        <v>1.7967000000000002</v>
      </c>
      <c r="J143" s="868"/>
      <c r="K143" s="868"/>
      <c r="L143" s="868"/>
      <c r="M143" s="849"/>
      <c r="N143" s="850"/>
      <c r="O143" s="851"/>
      <c r="P143" s="851"/>
      <c r="Q143" s="851"/>
      <c r="R143" s="851"/>
    </row>
    <row r="144" spans="1:18" ht="16.5" thickBot="1" x14ac:dyDescent="0.3">
      <c r="A144" s="850"/>
      <c r="B144" s="891"/>
      <c r="C144" s="891"/>
      <c r="D144" s="881"/>
      <c r="E144" s="881"/>
      <c r="F144" s="881"/>
      <c r="G144" s="848"/>
      <c r="H144" s="849"/>
      <c r="I144" s="896"/>
      <c r="J144" s="897"/>
      <c r="K144" s="897"/>
      <c r="L144" s="897"/>
      <c r="M144" s="849"/>
      <c r="N144" s="850"/>
      <c r="O144" s="851"/>
      <c r="P144" s="851"/>
      <c r="Q144" s="851"/>
      <c r="R144" s="851"/>
    </row>
    <row r="145" spans="1:18" ht="16.5" thickTop="1" x14ac:dyDescent="0.25">
      <c r="A145" s="850"/>
      <c r="B145" s="891"/>
      <c r="C145" s="891"/>
      <c r="D145" s="881"/>
      <c r="E145" s="881"/>
      <c r="F145" s="881"/>
      <c r="G145" s="848"/>
      <c r="H145" s="849"/>
      <c r="I145" s="898"/>
      <c r="J145" s="898"/>
      <c r="K145" s="898"/>
      <c r="L145" s="898"/>
      <c r="M145" s="849"/>
      <c r="N145" s="850"/>
      <c r="O145" s="851"/>
      <c r="P145" s="851"/>
      <c r="Q145" s="851"/>
      <c r="R145" s="851"/>
    </row>
    <row r="146" spans="1:18" ht="15.75" x14ac:dyDescent="0.25">
      <c r="A146" s="850"/>
      <c r="B146" s="891"/>
      <c r="C146" s="891"/>
      <c r="D146" s="881"/>
      <c r="E146" s="881"/>
      <c r="F146" s="881"/>
      <c r="G146" s="848"/>
      <c r="H146" s="849"/>
      <c r="I146" s="858"/>
      <c r="J146" s="858"/>
      <c r="K146" s="858"/>
      <c r="L146" s="858"/>
      <c r="M146" s="849"/>
      <c r="N146" s="850"/>
      <c r="O146" s="851"/>
      <c r="P146" s="851"/>
      <c r="Q146" s="851"/>
      <c r="R146" s="851"/>
    </row>
    <row r="147" spans="1:18" ht="15.75" x14ac:dyDescent="0.25">
      <c r="A147" s="850"/>
      <c r="B147" s="891"/>
      <c r="C147" s="891"/>
      <c r="D147" s="881"/>
      <c r="E147" s="881"/>
      <c r="F147" s="881"/>
      <c r="G147" s="899"/>
      <c r="H147" s="849" t="s">
        <v>1170</v>
      </c>
      <c r="I147" s="858">
        <v>-0.21</v>
      </c>
      <c r="J147" s="858"/>
      <c r="K147" s="858"/>
      <c r="L147" s="858"/>
      <c r="M147" s="849"/>
      <c r="N147" s="850"/>
      <c r="O147" s="851"/>
      <c r="P147" s="851"/>
      <c r="Q147" s="851"/>
      <c r="R147" s="851"/>
    </row>
    <row r="148" spans="1:18" ht="15.75" x14ac:dyDescent="0.25">
      <c r="A148" s="850"/>
      <c r="B148" s="891"/>
      <c r="C148" s="891"/>
      <c r="D148" s="881"/>
      <c r="E148" s="881"/>
      <c r="F148" s="881"/>
      <c r="G148" s="848"/>
      <c r="H148" s="900" t="s">
        <v>1171</v>
      </c>
      <c r="I148" s="901">
        <f>+I141+I147</f>
        <v>-3.2999999999999696E-3</v>
      </c>
      <c r="J148" s="858"/>
      <c r="K148" s="858"/>
      <c r="L148" s="858"/>
      <c r="M148" s="849"/>
      <c r="N148" s="850"/>
      <c r="O148" s="851"/>
      <c r="P148" s="851"/>
      <c r="Q148" s="851"/>
      <c r="R148" s="851"/>
    </row>
    <row r="149" spans="1:18" ht="15.75" x14ac:dyDescent="0.25">
      <c r="A149" s="850"/>
      <c r="B149" s="891"/>
      <c r="C149" s="891"/>
      <c r="D149" s="881"/>
      <c r="E149" s="881"/>
      <c r="F149" s="881"/>
      <c r="G149" s="848"/>
      <c r="H149" s="849"/>
      <c r="I149" s="858"/>
      <c r="J149" s="858"/>
      <c r="K149" s="858"/>
      <c r="L149" s="858"/>
      <c r="M149" s="849"/>
      <c r="N149" s="850"/>
      <c r="O149" s="851"/>
      <c r="P149" s="851"/>
      <c r="Q149" s="851"/>
      <c r="R149" s="851"/>
    </row>
    <row r="150" spans="1:18" ht="15.75" x14ac:dyDescent="0.25">
      <c r="A150" s="850"/>
      <c r="B150" s="891"/>
      <c r="C150" s="891"/>
      <c r="D150" s="881"/>
      <c r="E150" s="881"/>
      <c r="F150" s="881"/>
      <c r="G150" s="848"/>
      <c r="H150" s="849"/>
      <c r="I150" s="858"/>
      <c r="J150" s="858"/>
      <c r="K150" s="858"/>
      <c r="L150" s="858"/>
      <c r="M150" s="849"/>
      <c r="N150" s="850"/>
      <c r="O150" s="851"/>
      <c r="P150" s="851"/>
      <c r="Q150" s="851"/>
      <c r="R150" s="851"/>
    </row>
    <row r="151" spans="1:18" ht="15.75" x14ac:dyDescent="0.25">
      <c r="A151" s="850"/>
      <c r="B151" s="891"/>
      <c r="C151" s="891"/>
      <c r="D151" s="881"/>
      <c r="E151" s="881"/>
      <c r="F151" s="881"/>
      <c r="G151" s="848"/>
      <c r="H151" s="849"/>
      <c r="I151" s="902"/>
      <c r="J151" s="902"/>
      <c r="K151" s="902"/>
      <c r="L151" s="902"/>
      <c r="M151" s="849"/>
      <c r="N151" s="850"/>
      <c r="O151" s="851"/>
      <c r="P151" s="851"/>
      <c r="Q151" s="851"/>
      <c r="R151" s="851"/>
    </row>
    <row r="152" spans="1:18" ht="20.25" x14ac:dyDescent="0.3">
      <c r="B152" s="845" t="s">
        <v>1155</v>
      </c>
      <c r="C152" s="846"/>
      <c r="D152" s="847"/>
      <c r="E152" s="847"/>
      <c r="F152" s="847"/>
      <c r="G152" s="848"/>
      <c r="H152" s="849"/>
      <c r="I152" s="849"/>
      <c r="J152" s="849"/>
      <c r="K152" s="849"/>
      <c r="L152" s="849"/>
      <c r="M152" s="849"/>
    </row>
    <row r="153" spans="1:18" ht="15.75" x14ac:dyDescent="0.25">
      <c r="B153" s="847" t="s">
        <v>606</v>
      </c>
      <c r="C153" s="847"/>
      <c r="D153" s="847"/>
      <c r="E153" s="847"/>
      <c r="F153" s="847"/>
      <c r="G153" s="848"/>
      <c r="H153" s="849"/>
      <c r="I153" s="849"/>
      <c r="J153" s="849"/>
      <c r="K153" s="849"/>
      <c r="L153" s="849"/>
      <c r="M153" s="849"/>
    </row>
    <row r="154" spans="1:18" ht="15.75" x14ac:dyDescent="0.25">
      <c r="B154" s="846" t="s">
        <v>607</v>
      </c>
      <c r="C154" s="847"/>
      <c r="D154" s="847"/>
      <c r="E154" s="847"/>
      <c r="F154" s="847"/>
      <c r="G154" s="848"/>
      <c r="H154" s="852"/>
      <c r="I154" s="852"/>
      <c r="J154" s="849"/>
      <c r="K154" s="849"/>
      <c r="L154" s="849"/>
      <c r="M154" s="849"/>
    </row>
    <row r="155" spans="1:18" ht="15.75" x14ac:dyDescent="0.25">
      <c r="B155" s="847" t="s">
        <v>783</v>
      </c>
      <c r="C155" s="847"/>
      <c r="D155" s="847"/>
      <c r="E155" s="847"/>
      <c r="F155" s="847"/>
      <c r="G155" s="848"/>
      <c r="H155" s="849"/>
      <c r="I155" s="849"/>
      <c r="J155" s="849"/>
      <c r="K155" s="849"/>
      <c r="L155" s="849"/>
      <c r="M155" s="849"/>
    </row>
    <row r="156" spans="1:18" ht="15.75" x14ac:dyDescent="0.25">
      <c r="B156" s="853" t="s">
        <v>812</v>
      </c>
      <c r="C156" s="854">
        <f>'[6]Compras '!C156</f>
        <v>0</v>
      </c>
      <c r="D156" s="855"/>
      <c r="E156" s="954">
        <v>2019</v>
      </c>
      <c r="F156" s="847"/>
      <c r="G156" s="848"/>
      <c r="H156" s="849"/>
      <c r="I156" s="857"/>
      <c r="J156" s="857"/>
      <c r="K156" s="857"/>
      <c r="L156" s="857"/>
      <c r="M156" s="857"/>
    </row>
    <row r="157" spans="1:18" ht="15.75" x14ac:dyDescent="0.25">
      <c r="B157" s="850"/>
      <c r="C157" s="850"/>
      <c r="D157" s="847"/>
      <c r="E157" s="847"/>
      <c r="F157" s="847"/>
      <c r="G157" s="848"/>
      <c r="H157" s="849"/>
      <c r="I157" s="849"/>
      <c r="J157" s="849"/>
      <c r="K157" s="849"/>
      <c r="L157" s="849"/>
      <c r="M157" s="849"/>
    </row>
    <row r="158" spans="1:18" ht="15.75" x14ac:dyDescent="0.25">
      <c r="B158" s="850"/>
      <c r="C158" s="850"/>
      <c r="D158" s="847"/>
      <c r="E158" s="847"/>
      <c r="F158" s="847"/>
      <c r="G158" s="848"/>
      <c r="H158" s="849"/>
      <c r="I158" s="849"/>
      <c r="J158" s="849"/>
      <c r="K158" s="849"/>
      <c r="L158" s="849"/>
      <c r="M158" s="849"/>
    </row>
    <row r="159" spans="1:18" ht="15.75" x14ac:dyDescent="0.25">
      <c r="B159" s="850"/>
      <c r="C159" s="850"/>
      <c r="D159" s="847"/>
      <c r="E159" s="847"/>
      <c r="F159" s="847"/>
      <c r="G159" s="848"/>
      <c r="H159" s="858" t="s">
        <v>164</v>
      </c>
      <c r="I159" s="858" t="s">
        <v>164</v>
      </c>
      <c r="J159" s="858" t="s">
        <v>1156</v>
      </c>
      <c r="K159" s="858" t="s">
        <v>1157</v>
      </c>
      <c r="L159" s="858" t="s">
        <v>164</v>
      </c>
      <c r="M159" s="858" t="s">
        <v>615</v>
      </c>
    </row>
    <row r="160" spans="1:18" ht="16.5" thickBot="1" x14ac:dyDescent="0.3">
      <c r="B160" s="859" t="s">
        <v>212</v>
      </c>
      <c r="C160" s="859"/>
      <c r="D160" s="859" t="s">
        <v>1158</v>
      </c>
      <c r="E160" s="859"/>
      <c r="F160" s="859" t="s">
        <v>1159</v>
      </c>
      <c r="G160" s="860" t="s">
        <v>215</v>
      </c>
      <c r="H160" s="861" t="s">
        <v>724</v>
      </c>
      <c r="I160" s="862" t="s">
        <v>1160</v>
      </c>
      <c r="J160" s="861" t="s">
        <v>1161</v>
      </c>
      <c r="K160" s="861" t="s">
        <v>1162</v>
      </c>
      <c r="L160" s="861" t="s">
        <v>723</v>
      </c>
      <c r="M160" s="861" t="s">
        <v>164</v>
      </c>
    </row>
    <row r="161" spans="2:13" ht="16.5" thickTop="1" x14ac:dyDescent="0.25">
      <c r="B161" s="863"/>
      <c r="C161" s="864"/>
      <c r="D161" s="865"/>
      <c r="E161" s="865"/>
      <c r="F161" s="865"/>
      <c r="G161" s="866"/>
      <c r="H161" s="866"/>
      <c r="I161" s="867"/>
      <c r="J161" s="867"/>
      <c r="K161" s="867"/>
      <c r="L161" s="867"/>
      <c r="M161" s="868"/>
    </row>
    <row r="162" spans="2:13" ht="15.75" x14ac:dyDescent="0.25">
      <c r="B162" s="869">
        <v>43481</v>
      </c>
      <c r="C162" s="870"/>
      <c r="D162" s="871" t="s">
        <v>1255</v>
      </c>
      <c r="E162" s="870"/>
      <c r="F162" s="872" t="str">
        <f t="shared" ref="F162:F171" si="6">D162</f>
        <v>02005</v>
      </c>
      <c r="G162" s="873">
        <v>0</v>
      </c>
      <c r="H162" s="873">
        <v>0</v>
      </c>
      <c r="I162" s="874">
        <v>24.85</v>
      </c>
      <c r="J162" s="867"/>
      <c r="K162" s="867"/>
      <c r="L162" s="874">
        <v>0</v>
      </c>
      <c r="M162" s="875"/>
    </row>
    <row r="163" spans="2:13" ht="15.75" x14ac:dyDescent="0.25">
      <c r="B163" s="869"/>
      <c r="C163" s="870"/>
      <c r="D163" s="871"/>
      <c r="E163" s="870"/>
      <c r="F163" s="872">
        <f t="shared" si="6"/>
        <v>0</v>
      </c>
      <c r="G163" s="873">
        <v>0</v>
      </c>
      <c r="H163" s="873">
        <v>0</v>
      </c>
      <c r="I163" s="874">
        <v>0</v>
      </c>
      <c r="J163" s="867"/>
      <c r="K163" s="867"/>
      <c r="L163" s="874">
        <v>0</v>
      </c>
      <c r="M163" s="875"/>
    </row>
    <row r="164" spans="2:13" ht="15.75" x14ac:dyDescent="0.25">
      <c r="B164" s="869"/>
      <c r="C164" s="870"/>
      <c r="D164" s="871"/>
      <c r="E164" s="870"/>
      <c r="F164" s="872">
        <f t="shared" si="6"/>
        <v>0</v>
      </c>
      <c r="G164" s="873">
        <v>0</v>
      </c>
      <c r="H164" s="938">
        <v>0</v>
      </c>
      <c r="I164" s="874">
        <v>0</v>
      </c>
      <c r="J164" s="867"/>
      <c r="K164" s="867"/>
      <c r="L164" s="874">
        <v>0</v>
      </c>
      <c r="M164" s="875"/>
    </row>
    <row r="165" spans="2:13" ht="15.75" x14ac:dyDescent="0.25">
      <c r="B165" s="869"/>
      <c r="C165" s="870"/>
      <c r="D165" s="871"/>
      <c r="E165" s="870"/>
      <c r="F165" s="872">
        <f t="shared" si="6"/>
        <v>0</v>
      </c>
      <c r="G165" s="873">
        <v>0</v>
      </c>
      <c r="H165" s="873">
        <v>0</v>
      </c>
      <c r="I165" s="874">
        <v>0</v>
      </c>
      <c r="J165" s="867"/>
      <c r="K165" s="867"/>
      <c r="L165" s="874">
        <v>0</v>
      </c>
      <c r="M165" s="875"/>
    </row>
    <row r="166" spans="2:13" ht="15.75" x14ac:dyDescent="0.25">
      <c r="B166" s="869"/>
      <c r="C166" s="870"/>
      <c r="D166" s="871"/>
      <c r="E166" s="870"/>
      <c r="F166" s="872">
        <f t="shared" si="6"/>
        <v>0</v>
      </c>
      <c r="G166" s="873">
        <v>0</v>
      </c>
      <c r="H166" s="873">
        <v>0</v>
      </c>
      <c r="I166" s="874">
        <v>0</v>
      </c>
      <c r="J166" s="867"/>
      <c r="K166" s="867"/>
      <c r="L166" s="874">
        <v>0</v>
      </c>
      <c r="M166" s="868"/>
    </row>
    <row r="167" spans="2:13" ht="15.75" x14ac:dyDescent="0.25">
      <c r="B167" s="869"/>
      <c r="C167" s="870"/>
      <c r="D167" s="871" t="s">
        <v>1004</v>
      </c>
      <c r="E167" s="870"/>
      <c r="F167" s="872" t="str">
        <f t="shared" si="6"/>
        <v>0</v>
      </c>
      <c r="G167" s="873">
        <v>0</v>
      </c>
      <c r="H167" s="873">
        <v>0</v>
      </c>
      <c r="I167" s="874">
        <v>0</v>
      </c>
      <c r="J167" s="867"/>
      <c r="K167" s="867"/>
      <c r="L167" s="874">
        <v>0</v>
      </c>
      <c r="M167" s="875"/>
    </row>
    <row r="168" spans="2:13" ht="15.75" x14ac:dyDescent="0.25">
      <c r="B168" s="869"/>
      <c r="C168" s="870"/>
      <c r="D168" s="871" t="s">
        <v>1004</v>
      </c>
      <c r="E168" s="877"/>
      <c r="F168" s="872" t="str">
        <f t="shared" si="6"/>
        <v>0</v>
      </c>
      <c r="G168" s="873">
        <v>0</v>
      </c>
      <c r="H168" s="873">
        <v>0</v>
      </c>
      <c r="I168" s="874">
        <v>0</v>
      </c>
      <c r="J168" s="867"/>
      <c r="K168" s="867"/>
      <c r="L168" s="874">
        <v>0</v>
      </c>
      <c r="M168" s="868"/>
    </row>
    <row r="169" spans="2:13" ht="15.75" x14ac:dyDescent="0.25">
      <c r="B169" s="869"/>
      <c r="C169" s="870"/>
      <c r="D169" s="871" t="s">
        <v>1004</v>
      </c>
      <c r="E169" s="877"/>
      <c r="F169" s="872" t="str">
        <f t="shared" si="6"/>
        <v>0</v>
      </c>
      <c r="G169" s="873">
        <v>0</v>
      </c>
      <c r="H169" s="873">
        <v>0</v>
      </c>
      <c r="I169" s="874">
        <v>0</v>
      </c>
      <c r="J169" s="867"/>
      <c r="K169" s="867"/>
      <c r="L169" s="874">
        <v>0</v>
      </c>
      <c r="M169" s="868"/>
    </row>
    <row r="170" spans="2:13" ht="15.75" x14ac:dyDescent="0.25">
      <c r="B170" s="869"/>
      <c r="C170" s="870"/>
      <c r="D170" s="871" t="s">
        <v>1004</v>
      </c>
      <c r="E170" s="877"/>
      <c r="F170" s="872" t="str">
        <f t="shared" si="6"/>
        <v>0</v>
      </c>
      <c r="G170" s="873">
        <v>0</v>
      </c>
      <c r="H170" s="873">
        <v>0</v>
      </c>
      <c r="I170" s="874">
        <v>0</v>
      </c>
      <c r="J170" s="867"/>
      <c r="K170" s="867"/>
      <c r="L170" s="874">
        <v>0</v>
      </c>
      <c r="M170" s="868"/>
    </row>
    <row r="171" spans="2:13" ht="15.75" x14ac:dyDescent="0.25">
      <c r="B171" s="869"/>
      <c r="C171" s="870"/>
      <c r="D171" s="871" t="s">
        <v>1004</v>
      </c>
      <c r="E171" s="877"/>
      <c r="F171" s="872" t="str">
        <f t="shared" si="6"/>
        <v>0</v>
      </c>
      <c r="G171" s="873">
        <v>0</v>
      </c>
      <c r="H171" s="873">
        <v>0</v>
      </c>
      <c r="I171" s="874">
        <v>0</v>
      </c>
      <c r="J171" s="867"/>
      <c r="K171" s="867"/>
      <c r="L171" s="874">
        <v>0</v>
      </c>
      <c r="M171" s="868"/>
    </row>
    <row r="172" spans="2:13" ht="15.75" x14ac:dyDescent="0.25">
      <c r="B172" s="869"/>
      <c r="C172" s="870"/>
      <c r="D172" s="871"/>
      <c r="E172" s="877"/>
      <c r="F172" s="872"/>
      <c r="G172" s="873"/>
      <c r="H172" s="878"/>
      <c r="I172" s="874"/>
      <c r="J172" s="867"/>
      <c r="K172" s="867"/>
      <c r="L172" s="867"/>
      <c r="M172" s="868"/>
    </row>
    <row r="173" spans="2:13" ht="15.75" x14ac:dyDescent="0.25">
      <c r="B173" s="869"/>
      <c r="C173" s="870"/>
      <c r="D173" s="871"/>
      <c r="E173" s="877"/>
      <c r="F173" s="872"/>
      <c r="G173" s="873"/>
      <c r="H173" s="878"/>
      <c r="I173" s="874"/>
      <c r="J173" s="867"/>
      <c r="K173" s="867"/>
      <c r="L173" s="867"/>
      <c r="M173" s="868"/>
    </row>
    <row r="174" spans="2:13" ht="15.75" x14ac:dyDescent="0.25">
      <c r="B174" s="869"/>
      <c r="C174" s="870"/>
      <c r="D174" s="871"/>
      <c r="E174" s="877"/>
      <c r="F174" s="872"/>
      <c r="G174" s="873"/>
      <c r="H174" s="878"/>
      <c r="I174" s="874"/>
      <c r="J174" s="867"/>
      <c r="K174" s="867"/>
      <c r="L174" s="867"/>
      <c r="M174" s="868"/>
    </row>
    <row r="175" spans="2:13" ht="15.75" x14ac:dyDescent="0.25">
      <c r="B175" s="869"/>
      <c r="C175" s="870"/>
      <c r="D175" s="871"/>
      <c r="E175" s="877"/>
      <c r="F175" s="872"/>
      <c r="G175" s="873"/>
      <c r="H175" s="878"/>
      <c r="I175" s="876"/>
      <c r="J175" s="867"/>
      <c r="K175" s="867"/>
      <c r="L175" s="867"/>
      <c r="M175" s="868"/>
    </row>
    <row r="176" spans="2:13" ht="15.75" x14ac:dyDescent="0.25">
      <c r="B176" s="869"/>
      <c r="C176" s="870"/>
      <c r="D176" s="871"/>
      <c r="E176" s="877"/>
      <c r="F176" s="872"/>
      <c r="G176" s="873"/>
      <c r="H176" s="878"/>
      <c r="I176" s="876"/>
      <c r="J176" s="867"/>
      <c r="K176" s="867"/>
      <c r="L176" s="867"/>
      <c r="M176" s="868"/>
    </row>
    <row r="177" spans="2:13" ht="15.75" x14ac:dyDescent="0.25">
      <c r="B177" s="879"/>
      <c r="C177" s="880"/>
      <c r="D177" s="871"/>
      <c r="E177" s="881"/>
      <c r="F177" s="872"/>
      <c r="G177" s="848"/>
      <c r="H177" s="878"/>
      <c r="I177" s="876"/>
      <c r="J177" s="867"/>
      <c r="K177" s="867"/>
      <c r="L177" s="867"/>
      <c r="M177" s="868"/>
    </row>
    <row r="178" spans="2:13" ht="15.75" x14ac:dyDescent="0.25">
      <c r="B178" s="879"/>
      <c r="C178" s="882"/>
      <c r="D178" s="883"/>
      <c r="E178" s="884"/>
      <c r="F178" s="872"/>
      <c r="G178" s="885"/>
      <c r="H178" s="878"/>
      <c r="I178" s="876"/>
      <c r="J178" s="867"/>
      <c r="K178" s="867"/>
      <c r="L178" s="867"/>
      <c r="M178" s="868"/>
    </row>
    <row r="179" spans="2:13" ht="15.75" x14ac:dyDescent="0.25">
      <c r="B179" s="879"/>
      <c r="C179" s="880"/>
      <c r="D179" s="883"/>
      <c r="E179" s="881"/>
      <c r="F179" s="872"/>
      <c r="G179" s="848"/>
      <c r="H179" s="878"/>
      <c r="I179" s="876"/>
      <c r="J179" s="867"/>
      <c r="K179" s="867"/>
      <c r="L179" s="867"/>
      <c r="M179" s="868"/>
    </row>
    <row r="180" spans="2:13" ht="15.75" x14ac:dyDescent="0.25">
      <c r="B180" s="879"/>
      <c r="C180" s="880"/>
      <c r="D180" s="886"/>
      <c r="E180" s="881"/>
      <c r="F180" s="872"/>
      <c r="G180" s="848"/>
      <c r="H180" s="878"/>
      <c r="I180" s="867"/>
      <c r="J180" s="867"/>
      <c r="K180" s="867"/>
      <c r="L180" s="867"/>
      <c r="M180" s="868"/>
    </row>
    <row r="181" spans="2:13" ht="16.5" thickBot="1" x14ac:dyDescent="0.3">
      <c r="B181" s="887"/>
      <c r="C181" s="887"/>
      <c r="D181" s="888"/>
      <c r="E181" s="888"/>
      <c r="F181" s="888"/>
      <c r="G181" s="860"/>
      <c r="H181" s="860"/>
      <c r="I181" s="889"/>
      <c r="J181" s="889"/>
      <c r="K181" s="889"/>
      <c r="L181" s="889"/>
      <c r="M181" s="890"/>
    </row>
    <row r="182" spans="2:13" ht="16.5" thickTop="1" x14ac:dyDescent="0.25">
      <c r="B182" s="891"/>
      <c r="C182" s="891"/>
      <c r="D182" s="881"/>
      <c r="E182" s="881"/>
      <c r="F182" s="881"/>
      <c r="G182" s="875">
        <f>SUM(G161:G181)</f>
        <v>0</v>
      </c>
      <c r="H182" s="875">
        <f t="shared" ref="H182:M182" si="7">SUM(H161:H181)</f>
        <v>0</v>
      </c>
      <c r="I182" s="875">
        <f>SUM(I161:I181)</f>
        <v>24.85</v>
      </c>
      <c r="J182" s="875">
        <f t="shared" si="7"/>
        <v>0</v>
      </c>
      <c r="K182" s="875">
        <f t="shared" si="7"/>
        <v>0</v>
      </c>
      <c r="L182" s="875">
        <f t="shared" si="7"/>
        <v>0</v>
      </c>
      <c r="M182" s="875">
        <f t="shared" si="7"/>
        <v>0</v>
      </c>
    </row>
    <row r="183" spans="2:13" ht="15.75" x14ac:dyDescent="0.25">
      <c r="B183" s="891"/>
      <c r="C183" s="891"/>
      <c r="D183" s="881"/>
      <c r="E183" s="881"/>
      <c r="F183" s="881"/>
      <c r="G183" s="848"/>
      <c r="H183" s="875"/>
      <c r="I183" s="875"/>
      <c r="J183" s="875"/>
      <c r="K183" s="875"/>
      <c r="L183" s="875"/>
      <c r="M183" s="875"/>
    </row>
    <row r="184" spans="2:13" ht="15.75" x14ac:dyDescent="0.25">
      <c r="B184" s="891"/>
      <c r="C184" s="891"/>
      <c r="D184" s="881" t="s">
        <v>1168</v>
      </c>
      <c r="E184" s="881"/>
      <c r="F184" s="881"/>
      <c r="G184" s="848"/>
      <c r="H184" s="875"/>
      <c r="I184" s="875">
        <f>+G182</f>
        <v>0</v>
      </c>
      <c r="J184" s="875"/>
      <c r="K184" s="875"/>
      <c r="L184" s="875"/>
      <c r="M184" s="875"/>
    </row>
    <row r="185" spans="2:13" ht="15.75" x14ac:dyDescent="0.25">
      <c r="B185" s="891"/>
      <c r="C185" s="891"/>
      <c r="D185" s="881"/>
      <c r="E185" s="881"/>
      <c r="F185" s="881"/>
      <c r="G185" s="848"/>
      <c r="H185" s="875"/>
      <c r="I185" s="875"/>
      <c r="J185" s="875"/>
      <c r="K185" s="875"/>
      <c r="L185" s="875"/>
      <c r="M185" s="875"/>
    </row>
    <row r="186" spans="2:13" ht="15.75" x14ac:dyDescent="0.25">
      <c r="B186" s="891"/>
      <c r="C186" s="891"/>
      <c r="D186" s="881" t="s">
        <v>1169</v>
      </c>
      <c r="E186" s="881"/>
      <c r="F186" s="881"/>
      <c r="G186" s="848"/>
      <c r="H186" s="875"/>
      <c r="I186" s="875">
        <f>+H182</f>
        <v>0</v>
      </c>
      <c r="J186" s="875"/>
      <c r="K186" s="875"/>
      <c r="L186" s="875"/>
      <c r="M186" s="875"/>
    </row>
    <row r="187" spans="2:13" ht="15.75" x14ac:dyDescent="0.25">
      <c r="B187" s="891"/>
      <c r="C187" s="891"/>
      <c r="D187" s="881"/>
      <c r="E187" s="881"/>
      <c r="F187" s="881"/>
      <c r="G187" s="848"/>
      <c r="H187" s="875"/>
      <c r="I187" s="875"/>
      <c r="J187" s="875"/>
      <c r="K187" s="875"/>
      <c r="L187" s="875"/>
      <c r="M187" s="875"/>
    </row>
    <row r="188" spans="2:13" ht="15.75" x14ac:dyDescent="0.25">
      <c r="B188" s="891"/>
      <c r="C188" s="891"/>
      <c r="D188" s="881"/>
      <c r="E188" s="881"/>
      <c r="F188" s="881"/>
      <c r="G188" s="848"/>
      <c r="H188" s="892"/>
      <c r="I188" s="849"/>
      <c r="J188" s="849"/>
      <c r="K188" s="849"/>
      <c r="L188" s="849"/>
      <c r="M188" s="849"/>
    </row>
    <row r="189" spans="2:13" ht="15.75" x14ac:dyDescent="0.25">
      <c r="B189" s="891"/>
      <c r="C189" s="891"/>
      <c r="D189" s="881" t="s">
        <v>1043</v>
      </c>
      <c r="E189" s="881"/>
      <c r="F189" s="881"/>
      <c r="G189" s="848"/>
      <c r="H189" s="849"/>
      <c r="I189" s="852"/>
      <c r="J189" s="852"/>
      <c r="K189" s="852"/>
      <c r="L189" s="852"/>
      <c r="M189" s="849"/>
    </row>
    <row r="190" spans="2:13" ht="15.75" x14ac:dyDescent="0.25">
      <c r="B190" s="891"/>
      <c r="C190" s="891"/>
      <c r="D190" s="881" t="s">
        <v>216</v>
      </c>
      <c r="E190" s="881"/>
      <c r="F190" s="881"/>
      <c r="G190" s="848"/>
      <c r="H190" s="849"/>
      <c r="I190" s="955">
        <f>ROUND(I182/1.13,2)</f>
        <v>21.99</v>
      </c>
      <c r="J190" s="875"/>
      <c r="K190" s="875"/>
      <c r="L190" s="875"/>
      <c r="M190" s="894"/>
    </row>
    <row r="191" spans="2:13" ht="15.75" x14ac:dyDescent="0.25">
      <c r="B191" s="891"/>
      <c r="C191" s="891"/>
      <c r="D191" s="881" t="s">
        <v>1044</v>
      </c>
      <c r="E191" s="881"/>
      <c r="F191" s="881"/>
      <c r="G191" s="848"/>
      <c r="H191" s="849"/>
      <c r="I191" s="939">
        <f>(I190*0.13)</f>
        <v>2.8586999999999998</v>
      </c>
      <c r="J191" s="895"/>
      <c r="K191" s="895"/>
      <c r="L191" s="895"/>
      <c r="M191" s="894"/>
    </row>
    <row r="192" spans="2:13" ht="16.5" thickBot="1" x14ac:dyDescent="0.3">
      <c r="B192" s="891"/>
      <c r="C192" s="891"/>
      <c r="D192" s="881"/>
      <c r="E192" s="881"/>
      <c r="F192" s="881"/>
      <c r="G192" s="848"/>
      <c r="H192" s="849"/>
      <c r="I192" s="896"/>
      <c r="J192" s="897"/>
      <c r="K192" s="897"/>
      <c r="L192" s="897"/>
      <c r="M192" s="894"/>
    </row>
    <row r="193" spans="2:13" ht="16.5" thickTop="1" x14ac:dyDescent="0.25">
      <c r="B193" s="891"/>
      <c r="C193" s="891"/>
      <c r="D193" s="881" t="s">
        <v>1045</v>
      </c>
      <c r="E193" s="881"/>
      <c r="F193" s="881"/>
      <c r="G193" s="848"/>
      <c r="H193" s="849"/>
      <c r="I193" s="868">
        <f>SUM(I190:I192)</f>
        <v>24.848699999999997</v>
      </c>
      <c r="J193" s="868"/>
      <c r="K193" s="868"/>
      <c r="L193" s="868"/>
      <c r="M193" s="849"/>
    </row>
    <row r="194" spans="2:13" ht="16.5" thickBot="1" x14ac:dyDescent="0.3">
      <c r="B194" s="891"/>
      <c r="C194" s="891"/>
      <c r="D194" s="881"/>
      <c r="E194" s="881"/>
      <c r="F194" s="881"/>
      <c r="G194" s="848"/>
      <c r="H194" s="849"/>
      <c r="I194" s="896"/>
      <c r="J194" s="897"/>
      <c r="K194" s="897"/>
      <c r="L194" s="897"/>
      <c r="M194" s="849"/>
    </row>
    <row r="195" spans="2:13" ht="16.5" thickTop="1" x14ac:dyDescent="0.25">
      <c r="B195" s="891"/>
      <c r="C195" s="891"/>
      <c r="D195" s="881"/>
      <c r="E195" s="881"/>
      <c r="F195" s="881"/>
      <c r="G195" s="848"/>
      <c r="H195" s="849"/>
      <c r="I195" s="898"/>
      <c r="J195" s="898"/>
      <c r="K195" s="898"/>
      <c r="L195" s="898"/>
      <c r="M195" s="849"/>
    </row>
    <row r="196" spans="2:13" ht="15.75" x14ac:dyDescent="0.25">
      <c r="B196" s="891"/>
      <c r="C196" s="891"/>
      <c r="D196" s="881"/>
      <c r="E196" s="881"/>
      <c r="F196" s="881"/>
      <c r="G196" s="848"/>
      <c r="H196" s="849"/>
      <c r="I196" s="858"/>
      <c r="J196" s="858"/>
      <c r="K196" s="858"/>
      <c r="L196" s="858"/>
      <c r="M196" s="849"/>
    </row>
    <row r="197" spans="2:13" ht="15.75" x14ac:dyDescent="0.25">
      <c r="B197" s="891"/>
      <c r="C197" s="891"/>
      <c r="D197" s="881"/>
      <c r="E197" s="881"/>
      <c r="F197" s="881"/>
      <c r="G197" s="899"/>
      <c r="H197" s="849" t="s">
        <v>1170</v>
      </c>
      <c r="I197" s="858">
        <v>-2.86</v>
      </c>
      <c r="J197" s="858"/>
      <c r="K197" s="858"/>
      <c r="L197" s="858"/>
      <c r="M197" s="849"/>
    </row>
    <row r="198" spans="2:13" ht="15.75" x14ac:dyDescent="0.25">
      <c r="B198" s="891"/>
      <c r="C198" s="891"/>
      <c r="D198" s="881"/>
      <c r="E198" s="881"/>
      <c r="F198" s="881"/>
      <c r="G198" s="848"/>
      <c r="H198" s="900" t="s">
        <v>1171</v>
      </c>
      <c r="I198" s="901">
        <f>+I191+I197</f>
        <v>-1.3000000000000789E-3</v>
      </c>
      <c r="J198" s="858"/>
      <c r="K198" s="858"/>
      <c r="L198" s="858"/>
      <c r="M198" s="84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494"/>
  <sheetViews>
    <sheetView topLeftCell="B449" zoomScale="70" zoomScaleNormal="70" zoomScaleSheetLayoutView="70" workbookViewId="0">
      <selection activeCell="A5" sqref="A5"/>
    </sheetView>
  </sheetViews>
  <sheetFormatPr baseColWidth="10" defaultColWidth="11.42578125" defaultRowHeight="12.75" x14ac:dyDescent="0.2"/>
  <cols>
    <col min="1" max="1" width="5.42578125" style="346" hidden="1" customWidth="1"/>
    <col min="2" max="2" width="6.28515625" style="346" customWidth="1"/>
    <col min="3" max="3" width="12.140625" style="347" customWidth="1"/>
    <col min="4" max="4" width="19.7109375" style="348" customWidth="1"/>
    <col min="5" max="5" width="19" style="346" customWidth="1"/>
    <col min="6" max="6" width="13.140625" style="349" customWidth="1"/>
    <col min="7" max="7" width="11" style="350" customWidth="1"/>
    <col min="8" max="8" width="49.28515625" style="346" customWidth="1"/>
    <col min="9" max="9" width="19.5703125" style="346" customWidth="1"/>
    <col min="10" max="10" width="11.28515625" style="346" customWidth="1"/>
    <col min="11" max="11" width="12.42578125" style="351" bestFit="1" customWidth="1"/>
    <col min="12" max="12" width="12.28515625" style="346" customWidth="1"/>
    <col min="13" max="13" width="12.42578125" style="351" bestFit="1" customWidth="1"/>
    <col min="14" max="14" width="13.28515625" style="351" customWidth="1"/>
    <col min="15" max="15" width="11.5703125" style="346" customWidth="1"/>
    <col min="16" max="16" width="11.85546875" style="346" customWidth="1"/>
    <col min="17" max="17" width="12" style="346" customWidth="1"/>
    <col min="18" max="18" width="14.85546875" style="346" customWidth="1"/>
    <col min="19" max="19" width="18" style="346" customWidth="1"/>
    <col min="20" max="20" width="13.5703125" style="346" bestFit="1" customWidth="1"/>
    <col min="21" max="16384" width="11.42578125" style="346"/>
  </cols>
  <sheetData>
    <row r="1" spans="2:19" s="330" customFormat="1" ht="21" x14ac:dyDescent="0.35">
      <c r="B1" s="331" t="s">
        <v>811</v>
      </c>
      <c r="C1" s="332"/>
      <c r="D1" s="333"/>
      <c r="E1" s="333"/>
      <c r="F1" s="333"/>
      <c r="G1" s="334"/>
      <c r="H1" s="335"/>
      <c r="I1" s="335"/>
      <c r="J1" s="335"/>
      <c r="K1" s="335"/>
      <c r="L1" s="335"/>
      <c r="M1" s="335"/>
      <c r="N1" s="336"/>
    </row>
    <row r="2" spans="2:19" s="330" customFormat="1" ht="15.75" x14ac:dyDescent="0.25">
      <c r="B2" s="333" t="s">
        <v>606</v>
      </c>
      <c r="C2" s="333"/>
      <c r="D2" s="333"/>
      <c r="E2" s="333"/>
      <c r="F2" s="333"/>
      <c r="G2" s="334"/>
      <c r="H2" s="335"/>
      <c r="I2" s="335"/>
      <c r="J2" s="335"/>
      <c r="K2" s="335"/>
      <c r="L2" s="974"/>
      <c r="M2" s="974"/>
      <c r="N2" s="336"/>
    </row>
    <row r="3" spans="2:19" s="330" customFormat="1" ht="15.75" x14ac:dyDescent="0.25">
      <c r="B3" s="332" t="s">
        <v>607</v>
      </c>
      <c r="C3" s="333"/>
      <c r="D3" s="333"/>
      <c r="E3" s="333"/>
      <c r="F3" s="333"/>
      <c r="G3" s="334"/>
      <c r="H3" s="335"/>
      <c r="I3" s="335"/>
      <c r="J3" s="335"/>
      <c r="K3" s="335"/>
      <c r="L3" s="335"/>
      <c r="M3" s="335"/>
      <c r="N3" s="336"/>
    </row>
    <row r="4" spans="2:19" s="330" customFormat="1" ht="15.75" x14ac:dyDescent="0.25">
      <c r="B4" s="333" t="s">
        <v>783</v>
      </c>
      <c r="C4" s="333"/>
      <c r="D4" s="333"/>
      <c r="E4" s="333"/>
      <c r="F4" s="333"/>
      <c r="G4" s="334"/>
      <c r="H4" s="335"/>
      <c r="I4" s="335"/>
      <c r="J4" s="335"/>
      <c r="K4" s="335"/>
      <c r="L4" s="335"/>
      <c r="M4" s="335"/>
      <c r="N4" s="336"/>
    </row>
    <row r="5" spans="2:19" ht="15.75" x14ac:dyDescent="0.25">
      <c r="B5" s="337" t="s">
        <v>812</v>
      </c>
      <c r="C5" s="338" t="s">
        <v>254</v>
      </c>
      <c r="D5" s="339"/>
      <c r="E5" s="340">
        <v>2018</v>
      </c>
      <c r="F5" s="333"/>
      <c r="G5" s="334"/>
      <c r="H5" s="376"/>
      <c r="I5" s="341"/>
      <c r="J5" s="341"/>
      <c r="K5" s="341"/>
      <c r="L5" s="341"/>
      <c r="M5" s="341"/>
      <c r="N5" s="336"/>
      <c r="O5" s="330"/>
      <c r="P5" s="330"/>
      <c r="Q5" s="330"/>
      <c r="R5" s="330"/>
      <c r="S5" s="330"/>
    </row>
    <row r="6" spans="2:19" x14ac:dyDescent="0.2">
      <c r="B6" s="377"/>
      <c r="C6" s="378"/>
      <c r="D6" s="379"/>
      <c r="E6" s="380"/>
      <c r="F6" s="381"/>
      <c r="G6" s="382"/>
      <c r="H6" s="382"/>
      <c r="I6" s="383"/>
      <c r="J6" s="384"/>
      <c r="K6" s="385"/>
      <c r="L6" s="384"/>
      <c r="M6" s="385"/>
      <c r="N6" s="385"/>
      <c r="O6" s="384"/>
      <c r="P6" s="384"/>
      <c r="Q6" s="382"/>
      <c r="R6" s="382"/>
      <c r="S6" s="386"/>
    </row>
    <row r="7" spans="2:19" x14ac:dyDescent="0.2">
      <c r="B7" s="377"/>
      <c r="C7" s="378"/>
      <c r="D7" s="379"/>
      <c r="E7" s="380"/>
      <c r="F7" s="458"/>
      <c r="G7" s="387"/>
      <c r="H7" s="388"/>
      <c r="I7" s="383"/>
      <c r="J7" s="384"/>
      <c r="K7" s="385"/>
      <c r="L7" s="384"/>
      <c r="M7" s="385"/>
      <c r="N7" s="385"/>
      <c r="O7" s="384"/>
      <c r="P7" s="384"/>
      <c r="Q7" s="382"/>
      <c r="R7" s="382"/>
      <c r="S7" s="386"/>
    </row>
    <row r="8" spans="2:19" x14ac:dyDescent="0.2">
      <c r="B8" s="389"/>
      <c r="C8" s="390"/>
      <c r="D8" s="391"/>
      <c r="E8" s="380"/>
      <c r="F8" s="381"/>
      <c r="G8" s="392"/>
      <c r="H8" s="382"/>
      <c r="I8" s="383"/>
      <c r="J8" s="384"/>
      <c r="K8" s="385"/>
      <c r="L8" s="384"/>
      <c r="M8" s="385"/>
      <c r="N8" s="385"/>
      <c r="O8" s="384"/>
      <c r="P8" s="342">
        <v>0.01</v>
      </c>
      <c r="Q8" s="382"/>
      <c r="R8" s="382" t="s">
        <v>813</v>
      </c>
      <c r="S8" s="343">
        <v>0.13</v>
      </c>
    </row>
    <row r="9" spans="2:19" x14ac:dyDescent="0.2">
      <c r="B9" s="393" t="s">
        <v>814</v>
      </c>
      <c r="C9" s="394" t="s">
        <v>608</v>
      </c>
      <c r="D9" s="395" t="s">
        <v>608</v>
      </c>
      <c r="E9" s="396" t="s">
        <v>609</v>
      </c>
      <c r="F9" s="396" t="s">
        <v>815</v>
      </c>
      <c r="G9" s="459" t="s">
        <v>816</v>
      </c>
      <c r="H9" s="980" t="s">
        <v>614</v>
      </c>
      <c r="I9" s="460" t="s">
        <v>817</v>
      </c>
      <c r="J9" s="461"/>
      <c r="K9" s="462" t="s">
        <v>818</v>
      </c>
      <c r="L9" s="463"/>
      <c r="M9" s="464"/>
      <c r="N9" s="465" t="s">
        <v>615</v>
      </c>
      <c r="O9" s="397" t="s">
        <v>819</v>
      </c>
      <c r="P9" s="398" t="s">
        <v>820</v>
      </c>
      <c r="Q9" s="399" t="s">
        <v>821</v>
      </c>
      <c r="R9" s="399" t="s">
        <v>822</v>
      </c>
      <c r="S9" s="399" t="s">
        <v>822</v>
      </c>
    </row>
    <row r="10" spans="2:19" x14ac:dyDescent="0.2">
      <c r="B10" s="400"/>
      <c r="C10" s="401" t="s">
        <v>823</v>
      </c>
      <c r="D10" s="402" t="s">
        <v>616</v>
      </c>
      <c r="E10" s="403" t="s">
        <v>616</v>
      </c>
      <c r="F10" s="404" t="s">
        <v>824</v>
      </c>
      <c r="G10" s="466" t="s">
        <v>617</v>
      </c>
      <c r="H10" s="981"/>
      <c r="I10" s="467" t="s">
        <v>825</v>
      </c>
      <c r="J10" s="468" t="s">
        <v>826</v>
      </c>
      <c r="K10" s="467" t="s">
        <v>825</v>
      </c>
      <c r="L10" s="469" t="s">
        <v>826</v>
      </c>
      <c r="M10" s="467" t="s">
        <v>157</v>
      </c>
      <c r="N10" s="470" t="s">
        <v>827</v>
      </c>
      <c r="O10" s="405" t="s">
        <v>828</v>
      </c>
      <c r="P10" s="405" t="s">
        <v>829</v>
      </c>
      <c r="Q10" s="406" t="s">
        <v>830</v>
      </c>
      <c r="R10" s="406" t="s">
        <v>831</v>
      </c>
      <c r="S10" s="406" t="s">
        <v>832</v>
      </c>
    </row>
    <row r="11" spans="2:19" x14ac:dyDescent="0.2">
      <c r="B11" s="412">
        <v>1</v>
      </c>
      <c r="C11" s="413">
        <v>43111</v>
      </c>
      <c r="D11" s="413">
        <v>43111</v>
      </c>
      <c r="E11" s="414" t="s">
        <v>872</v>
      </c>
      <c r="F11" s="453"/>
      <c r="G11" s="415" t="s">
        <v>158</v>
      </c>
      <c r="H11" s="416" t="s">
        <v>835</v>
      </c>
      <c r="I11" s="417"/>
      <c r="J11" s="417"/>
      <c r="K11" s="418">
        <v>132.19999999999999</v>
      </c>
      <c r="L11" s="417"/>
      <c r="M11" s="417">
        <v>17.190000000000001</v>
      </c>
      <c r="N11" s="417">
        <v>149.38999999999999</v>
      </c>
      <c r="O11" s="417">
        <v>0</v>
      </c>
      <c r="P11" s="417">
        <v>0</v>
      </c>
      <c r="Q11" s="417"/>
      <c r="R11" s="417"/>
      <c r="S11" s="417"/>
    </row>
    <row r="12" spans="2:19" x14ac:dyDescent="0.2">
      <c r="B12" s="407">
        <v>2</v>
      </c>
      <c r="C12" s="408">
        <v>43115</v>
      </c>
      <c r="D12" s="408">
        <v>43098</v>
      </c>
      <c r="E12" s="409" t="s">
        <v>873</v>
      </c>
      <c r="F12" s="376" t="s">
        <v>874</v>
      </c>
      <c r="G12" s="410" t="s">
        <v>806</v>
      </c>
      <c r="H12" s="411" t="s">
        <v>807</v>
      </c>
      <c r="I12" s="344"/>
      <c r="J12" s="344"/>
      <c r="K12" s="345">
        <v>1012.18</v>
      </c>
      <c r="L12" s="344"/>
      <c r="M12" s="344">
        <v>131.58000000000001</v>
      </c>
      <c r="N12" s="344">
        <v>1143.76</v>
      </c>
      <c r="O12" s="344">
        <v>0</v>
      </c>
      <c r="P12" s="417">
        <v>10.119999999999999</v>
      </c>
      <c r="Q12" s="344"/>
      <c r="R12" s="344"/>
      <c r="S12" s="344"/>
    </row>
    <row r="13" spans="2:19" x14ac:dyDescent="0.2">
      <c r="B13" s="407">
        <v>3</v>
      </c>
      <c r="C13" s="408">
        <v>43118</v>
      </c>
      <c r="D13" s="408">
        <v>43111</v>
      </c>
      <c r="E13" s="409" t="s">
        <v>875</v>
      </c>
      <c r="F13" s="376"/>
      <c r="G13" s="410" t="s">
        <v>781</v>
      </c>
      <c r="H13" s="411" t="s">
        <v>801</v>
      </c>
      <c r="I13" s="344"/>
      <c r="J13" s="344"/>
      <c r="K13" s="345">
        <v>660.94</v>
      </c>
      <c r="L13" s="344"/>
      <c r="M13" s="344">
        <v>85.92</v>
      </c>
      <c r="N13" s="344">
        <v>746.86</v>
      </c>
      <c r="O13" s="344">
        <v>0</v>
      </c>
      <c r="P13" s="417">
        <v>0</v>
      </c>
      <c r="Q13" s="344"/>
      <c r="R13" s="344"/>
      <c r="S13" s="344"/>
    </row>
    <row r="14" spans="2:19" x14ac:dyDescent="0.2">
      <c r="B14" s="407">
        <v>4</v>
      </c>
      <c r="C14" s="408">
        <v>43118</v>
      </c>
      <c r="D14" s="408">
        <v>43112</v>
      </c>
      <c r="E14" s="409" t="s">
        <v>876</v>
      </c>
      <c r="F14" s="376"/>
      <c r="G14" s="410" t="s">
        <v>781</v>
      </c>
      <c r="H14" s="411" t="s">
        <v>801</v>
      </c>
      <c r="I14" s="344"/>
      <c r="J14" s="344"/>
      <c r="K14" s="345">
        <v>1644.53</v>
      </c>
      <c r="L14" s="344"/>
      <c r="M14" s="344">
        <v>213.79</v>
      </c>
      <c r="N14" s="344">
        <v>1858.32</v>
      </c>
      <c r="O14" s="344">
        <v>0</v>
      </c>
      <c r="P14" s="417">
        <v>0</v>
      </c>
      <c r="Q14" s="344"/>
      <c r="R14" s="344"/>
      <c r="S14" s="344"/>
    </row>
    <row r="15" spans="2:19" x14ac:dyDescent="0.2">
      <c r="B15" s="407">
        <v>5</v>
      </c>
      <c r="C15" s="408">
        <v>43118</v>
      </c>
      <c r="D15" s="408">
        <v>43116</v>
      </c>
      <c r="E15" s="409" t="s">
        <v>877</v>
      </c>
      <c r="F15" s="376"/>
      <c r="G15" s="410" t="s">
        <v>781</v>
      </c>
      <c r="H15" s="411" t="s">
        <v>801</v>
      </c>
      <c r="I15" s="344"/>
      <c r="J15" s="344"/>
      <c r="K15" s="345">
        <v>988.12</v>
      </c>
      <c r="L15" s="344"/>
      <c r="M15" s="344">
        <v>128.46</v>
      </c>
      <c r="N15" s="344">
        <v>1116.58</v>
      </c>
      <c r="O15" s="344">
        <v>0</v>
      </c>
      <c r="P15" s="417">
        <v>0</v>
      </c>
      <c r="Q15" s="344"/>
      <c r="R15" s="344"/>
      <c r="S15" s="344"/>
    </row>
    <row r="16" spans="2:19" x14ac:dyDescent="0.2">
      <c r="B16" s="407">
        <v>6</v>
      </c>
      <c r="C16" s="408">
        <v>43118</v>
      </c>
      <c r="D16" s="408">
        <v>43117</v>
      </c>
      <c r="E16" s="409" t="s">
        <v>878</v>
      </c>
      <c r="F16" s="376"/>
      <c r="G16" s="410" t="s">
        <v>781</v>
      </c>
      <c r="H16" s="411" t="s">
        <v>801</v>
      </c>
      <c r="I16" s="344"/>
      <c r="J16" s="344"/>
      <c r="K16" s="345">
        <v>2634.5</v>
      </c>
      <c r="L16" s="344"/>
      <c r="M16" s="344">
        <v>342.49</v>
      </c>
      <c r="N16" s="344">
        <v>2976.98</v>
      </c>
      <c r="O16" s="344">
        <v>0</v>
      </c>
      <c r="P16" s="417">
        <v>0</v>
      </c>
      <c r="Q16" s="344"/>
      <c r="R16" s="344"/>
      <c r="S16" s="344"/>
    </row>
    <row r="17" spans="2:19" x14ac:dyDescent="0.2">
      <c r="B17" s="407">
        <v>7</v>
      </c>
      <c r="C17" s="408">
        <v>43122</v>
      </c>
      <c r="D17" s="408">
        <v>43122</v>
      </c>
      <c r="E17" s="409" t="s">
        <v>879</v>
      </c>
      <c r="F17" s="376"/>
      <c r="G17" s="410" t="s">
        <v>781</v>
      </c>
      <c r="H17" s="411" t="s">
        <v>801</v>
      </c>
      <c r="I17" s="344"/>
      <c r="J17" s="344"/>
      <c r="K17" s="345">
        <v>25000</v>
      </c>
      <c r="L17" s="344"/>
      <c r="M17" s="344">
        <v>3250</v>
      </c>
      <c r="N17" s="344">
        <v>28250</v>
      </c>
      <c r="O17" s="344">
        <v>0</v>
      </c>
      <c r="P17" s="417">
        <v>0</v>
      </c>
      <c r="Q17" s="344"/>
      <c r="R17" s="344"/>
      <c r="S17" s="344"/>
    </row>
    <row r="18" spans="2:19" x14ac:dyDescent="0.2">
      <c r="B18" s="407">
        <v>8</v>
      </c>
      <c r="C18" s="408">
        <v>43126</v>
      </c>
      <c r="D18" s="408">
        <v>43102</v>
      </c>
      <c r="E18" s="409" t="s">
        <v>880</v>
      </c>
      <c r="F18" s="376" t="s">
        <v>881</v>
      </c>
      <c r="G18" s="410" t="s">
        <v>802</v>
      </c>
      <c r="H18" s="411" t="s">
        <v>803</v>
      </c>
      <c r="I18" s="344"/>
      <c r="J18" s="344"/>
      <c r="K18" s="345">
        <v>225.75</v>
      </c>
      <c r="L18" s="344"/>
      <c r="M18" s="344">
        <v>29.35</v>
      </c>
      <c r="N18" s="344">
        <v>255.1</v>
      </c>
      <c r="O18" s="344">
        <v>0</v>
      </c>
      <c r="P18" s="417">
        <v>2.2599999999999998</v>
      </c>
      <c r="Q18" s="344"/>
      <c r="R18" s="344"/>
      <c r="S18" s="344"/>
    </row>
    <row r="19" spans="2:19" x14ac:dyDescent="0.2">
      <c r="B19" s="407">
        <v>9</v>
      </c>
      <c r="C19" s="408">
        <v>43126</v>
      </c>
      <c r="D19" s="471">
        <v>43119</v>
      </c>
      <c r="E19" s="409" t="s">
        <v>882</v>
      </c>
      <c r="F19" s="376"/>
      <c r="G19" s="410" t="s">
        <v>804</v>
      </c>
      <c r="H19" s="411" t="s">
        <v>805</v>
      </c>
      <c r="I19" s="344"/>
      <c r="J19" s="344"/>
      <c r="K19" s="345">
        <v>85.5</v>
      </c>
      <c r="L19" s="344"/>
      <c r="M19" s="344">
        <v>11.12</v>
      </c>
      <c r="N19" s="344">
        <v>96.62</v>
      </c>
      <c r="O19" s="344">
        <v>0</v>
      </c>
      <c r="P19" s="417">
        <v>0</v>
      </c>
      <c r="Q19" s="344"/>
      <c r="R19" s="344"/>
      <c r="S19" s="344"/>
    </row>
    <row r="20" spans="2:19" x14ac:dyDescent="0.2">
      <c r="B20" s="407">
        <v>10</v>
      </c>
      <c r="C20" s="408">
        <v>43126</v>
      </c>
      <c r="D20" s="471">
        <v>43119</v>
      </c>
      <c r="E20" s="409" t="s">
        <v>867</v>
      </c>
      <c r="F20" s="376"/>
      <c r="G20" s="410" t="s">
        <v>804</v>
      </c>
      <c r="H20" s="411" t="s">
        <v>805</v>
      </c>
      <c r="I20" s="344"/>
      <c r="J20" s="344"/>
      <c r="K20" s="345">
        <v>61.2</v>
      </c>
      <c r="L20" s="344"/>
      <c r="M20" s="344">
        <v>7.96</v>
      </c>
      <c r="N20" s="344">
        <v>69.16</v>
      </c>
      <c r="O20" s="344">
        <v>0</v>
      </c>
      <c r="P20" s="417">
        <v>0</v>
      </c>
      <c r="Q20" s="344"/>
      <c r="R20" s="344"/>
      <c r="S20" s="344"/>
    </row>
    <row r="21" spans="2:19" x14ac:dyDescent="0.2">
      <c r="B21" s="407">
        <v>11</v>
      </c>
      <c r="C21" s="408">
        <v>43126</v>
      </c>
      <c r="D21" s="471">
        <v>43124</v>
      </c>
      <c r="E21" s="409" t="s">
        <v>883</v>
      </c>
      <c r="F21" s="376"/>
      <c r="G21" s="410" t="s">
        <v>781</v>
      </c>
      <c r="H21" s="411" t="s">
        <v>801</v>
      </c>
      <c r="I21" s="344"/>
      <c r="J21" s="344"/>
      <c r="K21" s="345">
        <v>-6249.91</v>
      </c>
      <c r="L21" s="344"/>
      <c r="M21" s="344">
        <v>-812.49</v>
      </c>
      <c r="N21" s="344">
        <v>-7062.4</v>
      </c>
      <c r="O21" s="344">
        <v>0</v>
      </c>
      <c r="P21" s="417">
        <v>0</v>
      </c>
      <c r="Q21" s="344"/>
      <c r="R21" s="344"/>
      <c r="S21" s="344"/>
    </row>
    <row r="22" spans="2:19" x14ac:dyDescent="0.2">
      <c r="B22" s="407">
        <v>12</v>
      </c>
      <c r="C22" s="408">
        <v>43126</v>
      </c>
      <c r="D22" s="471"/>
      <c r="E22" s="409" t="s">
        <v>849</v>
      </c>
      <c r="F22" s="376"/>
      <c r="G22" s="410" t="s">
        <v>781</v>
      </c>
      <c r="H22" s="411" t="s">
        <v>801</v>
      </c>
      <c r="I22" s="344"/>
      <c r="J22" s="344"/>
      <c r="K22" s="345">
        <v>328.12</v>
      </c>
      <c r="L22" s="344"/>
      <c r="M22" s="344">
        <v>42.66</v>
      </c>
      <c r="N22" s="344">
        <v>370.78</v>
      </c>
      <c r="O22" s="344">
        <v>0</v>
      </c>
      <c r="P22" s="417">
        <v>0</v>
      </c>
      <c r="Q22" s="344"/>
      <c r="R22" s="344"/>
      <c r="S22" s="344"/>
    </row>
    <row r="23" spans="2:19" x14ac:dyDescent="0.2">
      <c r="B23" s="407"/>
      <c r="C23" s="408"/>
      <c r="D23" s="408"/>
      <c r="E23" s="409"/>
      <c r="F23" s="376"/>
      <c r="G23" s="410"/>
      <c r="H23" s="411"/>
      <c r="I23" s="344"/>
      <c r="J23" s="344"/>
      <c r="K23" s="345"/>
      <c r="L23" s="344"/>
      <c r="M23" s="344"/>
      <c r="N23" s="344"/>
      <c r="O23" s="344"/>
      <c r="P23" s="417"/>
      <c r="Q23" s="344"/>
      <c r="R23" s="344"/>
      <c r="S23" s="344"/>
    </row>
    <row r="24" spans="2:19" x14ac:dyDescent="0.2">
      <c r="B24" s="407"/>
      <c r="C24" s="408">
        <v>43131</v>
      </c>
      <c r="D24" s="408"/>
      <c r="E24" s="409"/>
      <c r="F24" s="376"/>
      <c r="G24" s="410"/>
      <c r="H24" s="411" t="s">
        <v>868</v>
      </c>
      <c r="I24" s="344"/>
      <c r="J24" s="344"/>
      <c r="K24" s="516"/>
      <c r="L24" s="344"/>
      <c r="M24" s="516">
        <v>-3448.03</v>
      </c>
      <c r="N24" s="344"/>
      <c r="O24" s="344"/>
      <c r="P24" s="417">
        <v>0</v>
      </c>
      <c r="Q24" s="344"/>
      <c r="R24" s="344"/>
      <c r="S24" s="344"/>
    </row>
    <row r="25" spans="2:19" x14ac:dyDescent="0.2">
      <c r="B25" s="407"/>
      <c r="C25" s="408"/>
      <c r="D25" s="408"/>
      <c r="E25" s="409"/>
      <c r="F25" s="473"/>
      <c r="G25" s="410"/>
      <c r="H25" s="411"/>
      <c r="I25" s="344"/>
      <c r="J25" s="344"/>
      <c r="K25" s="345"/>
      <c r="L25" s="344"/>
      <c r="M25" s="344"/>
      <c r="N25" s="344"/>
      <c r="O25" s="344"/>
      <c r="P25" s="344"/>
      <c r="Q25" s="344"/>
      <c r="R25" s="344"/>
      <c r="S25" s="344"/>
    </row>
    <row r="26" spans="2:19" ht="13.5" thickBot="1" x14ac:dyDescent="0.25">
      <c r="B26" s="482"/>
      <c r="C26" s="483"/>
      <c r="D26" s="484"/>
      <c r="E26" s="483"/>
      <c r="F26" s="485"/>
      <c r="G26" s="486"/>
      <c r="H26" s="487"/>
      <c r="I26" s="488"/>
      <c r="J26" s="489"/>
      <c r="K26" s="489"/>
      <c r="L26" s="490"/>
      <c r="M26" s="489"/>
      <c r="N26" s="489"/>
      <c r="O26" s="489"/>
      <c r="P26" s="489"/>
      <c r="Q26" s="491"/>
      <c r="R26" s="491"/>
      <c r="S26" s="491"/>
    </row>
    <row r="27" spans="2:19" x14ac:dyDescent="0.2">
      <c r="B27" s="389"/>
      <c r="C27" s="390"/>
      <c r="D27" s="492"/>
      <c r="E27" s="390"/>
      <c r="F27" s="493"/>
      <c r="G27" s="494"/>
      <c r="H27" s="392"/>
      <c r="I27" s="495"/>
      <c r="J27" s="385"/>
      <c r="K27" s="385"/>
      <c r="L27" s="496"/>
      <c r="M27" s="385"/>
      <c r="N27" s="385"/>
      <c r="O27" s="385"/>
      <c r="P27" s="385"/>
      <c r="Q27" s="497"/>
      <c r="R27" s="497"/>
      <c r="S27" s="497"/>
    </row>
    <row r="28" spans="2:19" x14ac:dyDescent="0.2">
      <c r="B28" s="389"/>
      <c r="C28" s="378"/>
      <c r="D28" s="379"/>
      <c r="E28" s="378"/>
      <c r="F28" s="498"/>
      <c r="G28" s="494"/>
      <c r="H28" s="499" t="s">
        <v>856</v>
      </c>
      <c r="I28" s="496">
        <v>0</v>
      </c>
      <c r="J28" s="496">
        <v>0</v>
      </c>
      <c r="K28" s="496">
        <v>26523.13</v>
      </c>
      <c r="L28" s="496">
        <v>0</v>
      </c>
      <c r="M28" s="496">
        <v>0</v>
      </c>
      <c r="N28" s="496">
        <v>29971.15</v>
      </c>
      <c r="O28" s="496">
        <v>0</v>
      </c>
      <c r="P28" s="496">
        <v>12.379999999999999</v>
      </c>
      <c r="Q28" s="496">
        <v>0</v>
      </c>
      <c r="R28" s="496">
        <v>0</v>
      </c>
      <c r="S28" s="496">
        <v>0</v>
      </c>
    </row>
    <row r="29" spans="2:19" ht="13.5" thickBot="1" x14ac:dyDescent="0.25">
      <c r="B29" s="482"/>
      <c r="C29" s="500"/>
      <c r="D29" s="501"/>
      <c r="E29" s="500"/>
      <c r="F29" s="502"/>
      <c r="G29" s="486"/>
      <c r="H29" s="503"/>
      <c r="I29" s="490"/>
      <c r="J29" s="504"/>
      <c r="K29" s="504"/>
      <c r="L29" s="504"/>
      <c r="M29" s="504"/>
      <c r="N29" s="504"/>
      <c r="O29" s="504"/>
      <c r="P29" s="504"/>
      <c r="Q29" s="490"/>
      <c r="R29" s="490"/>
      <c r="S29" s="505"/>
    </row>
    <row r="30" spans="2:19" x14ac:dyDescent="0.2">
      <c r="B30" s="389"/>
      <c r="C30" s="378"/>
      <c r="D30" s="379"/>
      <c r="E30" s="378"/>
      <c r="F30" s="498"/>
      <c r="G30" s="494"/>
      <c r="H30" s="499"/>
      <c r="I30" s="382"/>
      <c r="J30" s="496"/>
      <c r="K30" s="496"/>
      <c r="L30" s="382"/>
      <c r="M30" s="496"/>
      <c r="N30" s="496"/>
      <c r="O30" s="496"/>
      <c r="P30" s="496"/>
      <c r="Q30" s="382"/>
      <c r="R30" s="382"/>
      <c r="S30" s="499"/>
    </row>
    <row r="31" spans="2:19" x14ac:dyDescent="0.2">
      <c r="B31" s="407"/>
      <c r="C31" s="408"/>
      <c r="D31" s="408"/>
      <c r="E31" s="409"/>
      <c r="F31" s="376"/>
      <c r="G31" s="410"/>
      <c r="H31" s="411"/>
      <c r="I31" s="344"/>
      <c r="J31" s="344"/>
      <c r="K31" s="345"/>
      <c r="L31" s="344"/>
      <c r="M31" s="344"/>
      <c r="N31" s="344"/>
      <c r="O31" s="344"/>
      <c r="P31" s="344"/>
      <c r="Q31" s="344"/>
      <c r="R31" s="344"/>
      <c r="S31" s="344"/>
    </row>
    <row r="32" spans="2:19" x14ac:dyDescent="0.2">
      <c r="B32" s="407"/>
      <c r="C32" s="408"/>
      <c r="D32" s="408"/>
      <c r="E32" s="409"/>
      <c r="F32" s="376"/>
      <c r="G32" s="410"/>
      <c r="H32" s="411"/>
      <c r="I32" s="344"/>
      <c r="J32" s="344"/>
      <c r="K32" s="345"/>
      <c r="L32" s="344"/>
      <c r="M32" s="344"/>
      <c r="N32" s="344"/>
      <c r="O32" s="344"/>
      <c r="P32" s="344"/>
      <c r="Q32" s="344"/>
      <c r="R32" s="344"/>
      <c r="S32" s="344"/>
    </row>
    <row r="33" spans="2:19" x14ac:dyDescent="0.2">
      <c r="B33" s="407"/>
      <c r="C33" s="408"/>
      <c r="D33" s="408"/>
      <c r="E33" s="409"/>
      <c r="F33" s="376"/>
      <c r="G33" s="410"/>
      <c r="H33" s="411"/>
      <c r="I33" s="344"/>
      <c r="J33" s="344"/>
      <c r="K33" s="345"/>
      <c r="L33" s="344"/>
      <c r="M33" s="344"/>
      <c r="N33" s="344"/>
      <c r="O33" s="344"/>
      <c r="P33" s="344"/>
      <c r="Q33" s="344"/>
      <c r="R33" s="344"/>
      <c r="S33" s="344"/>
    </row>
    <row r="34" spans="2:19" x14ac:dyDescent="0.2">
      <c r="B34" s="407"/>
      <c r="C34" s="408"/>
      <c r="D34" s="408"/>
      <c r="E34" s="409"/>
      <c r="F34" s="376"/>
      <c r="G34" s="410"/>
      <c r="H34" s="411"/>
      <c r="I34" s="344"/>
      <c r="J34" s="344"/>
      <c r="K34" s="345"/>
      <c r="L34" s="344"/>
      <c r="M34" s="344"/>
      <c r="N34" s="344"/>
      <c r="O34" s="344"/>
      <c r="P34" s="344"/>
      <c r="Q34" s="344"/>
      <c r="R34" s="344"/>
      <c r="S34" s="344"/>
    </row>
    <row r="35" spans="2:19" ht="15.75" x14ac:dyDescent="0.25">
      <c r="B35" s="337" t="s">
        <v>812</v>
      </c>
      <c r="C35" s="338" t="s">
        <v>255</v>
      </c>
      <c r="D35" s="339"/>
      <c r="E35" s="340">
        <v>2018</v>
      </c>
      <c r="F35" s="333"/>
      <c r="G35" s="334"/>
      <c r="H35" s="376"/>
      <c r="I35" s="341"/>
      <c r="J35" s="341"/>
      <c r="K35" s="341"/>
      <c r="L35" s="341"/>
      <c r="M35" s="341"/>
      <c r="N35" s="336"/>
      <c r="O35" s="330"/>
      <c r="P35" s="330"/>
      <c r="Q35" s="330"/>
      <c r="R35" s="330"/>
      <c r="S35" s="330"/>
    </row>
    <row r="36" spans="2:19" x14ac:dyDescent="0.2">
      <c r="B36" s="377"/>
      <c r="C36" s="378"/>
      <c r="D36" s="379"/>
      <c r="E36" s="380"/>
      <c r="F36" s="381"/>
      <c r="G36" s="382"/>
      <c r="H36" s="382"/>
      <c r="I36" s="383"/>
      <c r="J36" s="384"/>
      <c r="K36" s="385"/>
      <c r="L36" s="384"/>
      <c r="M36" s="385"/>
      <c r="N36" s="385"/>
      <c r="O36" s="384"/>
      <c r="P36" s="384"/>
      <c r="Q36" s="382"/>
      <c r="R36" s="382"/>
      <c r="S36" s="386"/>
    </row>
    <row r="37" spans="2:19" x14ac:dyDescent="0.2">
      <c r="B37" s="377"/>
      <c r="C37" s="378"/>
      <c r="D37" s="379"/>
      <c r="E37" s="380"/>
      <c r="F37" s="458"/>
      <c r="G37" s="387"/>
      <c r="H37" s="388"/>
      <c r="I37" s="383"/>
      <c r="J37" s="384"/>
      <c r="K37" s="385"/>
      <c r="L37" s="384"/>
      <c r="M37" s="385"/>
      <c r="N37" s="385"/>
      <c r="O37" s="384"/>
      <c r="P37" s="384"/>
      <c r="Q37" s="382"/>
      <c r="R37" s="382"/>
      <c r="S37" s="386"/>
    </row>
    <row r="38" spans="2:19" x14ac:dyDescent="0.2">
      <c r="B38" s="389"/>
      <c r="C38" s="390"/>
      <c r="D38" s="391"/>
      <c r="E38" s="380"/>
      <c r="F38" s="381"/>
      <c r="G38" s="392"/>
      <c r="H38" s="382"/>
      <c r="I38" s="383"/>
      <c r="J38" s="384"/>
      <c r="K38" s="385"/>
      <c r="L38" s="384"/>
      <c r="M38" s="385"/>
      <c r="N38" s="385"/>
      <c r="O38" s="384"/>
      <c r="P38" s="342">
        <v>0.01</v>
      </c>
      <c r="Q38" s="382"/>
      <c r="R38" s="382" t="s">
        <v>813</v>
      </c>
      <c r="S38" s="343">
        <v>0.13</v>
      </c>
    </row>
    <row r="39" spans="2:19" x14ac:dyDescent="0.2">
      <c r="B39" s="393" t="s">
        <v>814</v>
      </c>
      <c r="C39" s="394" t="s">
        <v>608</v>
      </c>
      <c r="D39" s="395" t="s">
        <v>608</v>
      </c>
      <c r="E39" s="396" t="s">
        <v>609</v>
      </c>
      <c r="F39" s="396" t="s">
        <v>815</v>
      </c>
      <c r="G39" s="529" t="s">
        <v>816</v>
      </c>
      <c r="H39" s="975" t="s">
        <v>614</v>
      </c>
      <c r="I39" s="539" t="s">
        <v>817</v>
      </c>
      <c r="J39" s="540"/>
      <c r="K39" s="541" t="s">
        <v>818</v>
      </c>
      <c r="L39" s="542"/>
      <c r="M39" s="543"/>
      <c r="N39" s="530" t="s">
        <v>615</v>
      </c>
      <c r="O39" s="397" t="s">
        <v>819</v>
      </c>
      <c r="P39" s="398" t="s">
        <v>820</v>
      </c>
      <c r="Q39" s="399" t="s">
        <v>821</v>
      </c>
      <c r="R39" s="399" t="s">
        <v>822</v>
      </c>
      <c r="S39" s="399" t="s">
        <v>822</v>
      </c>
    </row>
    <row r="40" spans="2:19" x14ac:dyDescent="0.2">
      <c r="B40" s="400"/>
      <c r="C40" s="401" t="s">
        <v>823</v>
      </c>
      <c r="D40" s="402" t="s">
        <v>616</v>
      </c>
      <c r="E40" s="403" t="s">
        <v>616</v>
      </c>
      <c r="F40" s="404" t="s">
        <v>824</v>
      </c>
      <c r="G40" s="531" t="s">
        <v>617</v>
      </c>
      <c r="H40" s="976"/>
      <c r="I40" s="532" t="s">
        <v>825</v>
      </c>
      <c r="J40" s="533" t="s">
        <v>826</v>
      </c>
      <c r="K40" s="534" t="s">
        <v>825</v>
      </c>
      <c r="L40" s="535" t="s">
        <v>826</v>
      </c>
      <c r="M40" s="534" t="s">
        <v>157</v>
      </c>
      <c r="N40" s="536" t="s">
        <v>827</v>
      </c>
      <c r="O40" s="405" t="s">
        <v>828</v>
      </c>
      <c r="P40" s="405" t="s">
        <v>829</v>
      </c>
      <c r="Q40" s="406" t="s">
        <v>830</v>
      </c>
      <c r="R40" s="406" t="s">
        <v>831</v>
      </c>
      <c r="S40" s="406" t="s">
        <v>832</v>
      </c>
    </row>
    <row r="41" spans="2:19" x14ac:dyDescent="0.2">
      <c r="B41" s="407">
        <v>1</v>
      </c>
      <c r="C41" s="408">
        <v>43133</v>
      </c>
      <c r="D41" s="408">
        <v>43108</v>
      </c>
      <c r="E41" s="409" t="s">
        <v>919</v>
      </c>
      <c r="F41" s="376" t="s">
        <v>920</v>
      </c>
      <c r="G41" s="410" t="s">
        <v>921</v>
      </c>
      <c r="H41" s="411" t="s">
        <v>940</v>
      </c>
      <c r="I41" s="344"/>
      <c r="J41" s="344"/>
      <c r="K41" s="345">
        <v>2400</v>
      </c>
      <c r="L41" s="344"/>
      <c r="M41" s="344">
        <v>312</v>
      </c>
      <c r="N41" s="344">
        <v>2712</v>
      </c>
      <c r="O41" s="344">
        <v>0</v>
      </c>
      <c r="P41" s="417">
        <v>24</v>
      </c>
      <c r="Q41" s="344"/>
      <c r="R41" s="344"/>
      <c r="S41" s="344"/>
    </row>
    <row r="42" spans="2:19" x14ac:dyDescent="0.2">
      <c r="B42" s="412">
        <v>2</v>
      </c>
      <c r="C42" s="413">
        <v>43136</v>
      </c>
      <c r="D42" s="413">
        <v>43136</v>
      </c>
      <c r="E42" s="414" t="s">
        <v>922</v>
      </c>
      <c r="F42" s="453"/>
      <c r="G42" s="415" t="s">
        <v>158</v>
      </c>
      <c r="H42" s="416" t="s">
        <v>835</v>
      </c>
      <c r="I42" s="417"/>
      <c r="J42" s="417"/>
      <c r="K42" s="418">
        <v>132.19999999999999</v>
      </c>
      <c r="L42" s="417"/>
      <c r="M42" s="417">
        <v>17.190000000000001</v>
      </c>
      <c r="N42" s="417">
        <v>149.38999999999999</v>
      </c>
      <c r="O42" s="417">
        <v>0</v>
      </c>
      <c r="P42" s="417">
        <v>0</v>
      </c>
      <c r="Q42" s="417"/>
      <c r="R42" s="417"/>
      <c r="S42" s="417"/>
    </row>
    <row r="43" spans="2:19" x14ac:dyDescent="0.2">
      <c r="B43" s="407">
        <v>3</v>
      </c>
      <c r="C43" s="408">
        <v>43137</v>
      </c>
      <c r="D43" s="408">
        <v>43115</v>
      </c>
      <c r="E43" s="409" t="s">
        <v>923</v>
      </c>
      <c r="F43" s="376"/>
      <c r="G43" s="410" t="s">
        <v>781</v>
      </c>
      <c r="H43" s="411" t="s">
        <v>801</v>
      </c>
      <c r="I43" s="344"/>
      <c r="J43" s="344"/>
      <c r="K43" s="345">
        <v>195</v>
      </c>
      <c r="L43" s="344"/>
      <c r="M43" s="344">
        <v>25.35</v>
      </c>
      <c r="N43" s="344">
        <v>220.35</v>
      </c>
      <c r="O43" s="344">
        <v>0</v>
      </c>
      <c r="P43" s="417">
        <v>0</v>
      </c>
      <c r="Q43" s="344"/>
      <c r="R43" s="344"/>
      <c r="S43" s="344"/>
    </row>
    <row r="44" spans="2:19" x14ac:dyDescent="0.2">
      <c r="B44" s="407">
        <v>4</v>
      </c>
      <c r="C44" s="408">
        <v>43137</v>
      </c>
      <c r="D44" s="408">
        <v>43132</v>
      </c>
      <c r="E44" s="409" t="s">
        <v>924</v>
      </c>
      <c r="F44" s="376" t="s">
        <v>925</v>
      </c>
      <c r="G44" s="410" t="s">
        <v>802</v>
      </c>
      <c r="H44" s="411" t="s">
        <v>803</v>
      </c>
      <c r="I44" s="344"/>
      <c r="J44" s="344"/>
      <c r="K44" s="345">
        <v>225.75</v>
      </c>
      <c r="L44" s="344"/>
      <c r="M44" s="344">
        <v>29.35</v>
      </c>
      <c r="N44" s="344">
        <v>255.1</v>
      </c>
      <c r="O44" s="344">
        <v>0</v>
      </c>
      <c r="P44" s="417">
        <v>2.2599999999999998</v>
      </c>
      <c r="Q44" s="344"/>
      <c r="R44" s="344"/>
      <c r="S44" s="344"/>
    </row>
    <row r="45" spans="2:19" x14ac:dyDescent="0.2">
      <c r="B45" s="407">
        <v>5</v>
      </c>
      <c r="C45" s="408">
        <v>43145</v>
      </c>
      <c r="D45" s="408">
        <v>43145</v>
      </c>
      <c r="E45" s="409" t="s">
        <v>926</v>
      </c>
      <c r="F45" s="376"/>
      <c r="G45" s="410" t="s">
        <v>781</v>
      </c>
      <c r="H45" s="411" t="s">
        <v>801</v>
      </c>
      <c r="I45" s="344"/>
      <c r="J45" s="344"/>
      <c r="K45" s="345">
        <v>6453.12</v>
      </c>
      <c r="L45" s="344"/>
      <c r="M45" s="344">
        <v>838.91</v>
      </c>
      <c r="N45" s="344">
        <v>7292.03</v>
      </c>
      <c r="O45" s="344">
        <v>0</v>
      </c>
      <c r="P45" s="417">
        <v>0</v>
      </c>
      <c r="Q45" s="344"/>
      <c r="R45" s="344"/>
      <c r="S45" s="344"/>
    </row>
    <row r="46" spans="2:19" x14ac:dyDescent="0.2">
      <c r="B46" s="407">
        <v>6</v>
      </c>
      <c r="C46" s="408">
        <v>43145</v>
      </c>
      <c r="D46" s="408">
        <v>43131</v>
      </c>
      <c r="E46" s="409" t="s">
        <v>927</v>
      </c>
      <c r="F46" s="376" t="s">
        <v>928</v>
      </c>
      <c r="G46" s="410" t="s">
        <v>806</v>
      </c>
      <c r="H46" s="411" t="s">
        <v>807</v>
      </c>
      <c r="I46" s="344"/>
      <c r="J46" s="344"/>
      <c r="K46" s="345">
        <v>3404.47</v>
      </c>
      <c r="L46" s="344"/>
      <c r="M46" s="344">
        <v>442.58</v>
      </c>
      <c r="N46" s="344">
        <v>3847.05</v>
      </c>
      <c r="O46" s="344">
        <v>0</v>
      </c>
      <c r="P46" s="417">
        <v>34.04</v>
      </c>
      <c r="Q46" s="344"/>
      <c r="R46" s="344"/>
      <c r="S46" s="344"/>
    </row>
    <row r="47" spans="2:19" x14ac:dyDescent="0.2">
      <c r="B47" s="407">
        <v>7</v>
      </c>
      <c r="C47" s="408">
        <v>43146</v>
      </c>
      <c r="D47" s="408">
        <v>43146</v>
      </c>
      <c r="E47" s="409" t="s">
        <v>929</v>
      </c>
      <c r="F47" s="376"/>
      <c r="G47" s="410" t="s">
        <v>781</v>
      </c>
      <c r="H47" s="411" t="s">
        <v>801</v>
      </c>
      <c r="I47" s="344"/>
      <c r="J47" s="344"/>
      <c r="K47" s="345">
        <v>2341.9</v>
      </c>
      <c r="L47" s="344"/>
      <c r="M47" s="344">
        <v>304.45</v>
      </c>
      <c r="N47" s="344">
        <v>2646.35</v>
      </c>
      <c r="O47" s="344">
        <v>0</v>
      </c>
      <c r="P47" s="417">
        <v>0</v>
      </c>
      <c r="Q47" s="344"/>
      <c r="R47" s="344"/>
      <c r="S47" s="344"/>
    </row>
    <row r="48" spans="2:19" x14ac:dyDescent="0.2">
      <c r="B48" s="407">
        <v>8</v>
      </c>
      <c r="C48" s="408">
        <v>43147</v>
      </c>
      <c r="D48" s="408">
        <v>43131</v>
      </c>
      <c r="E48" s="409" t="s">
        <v>930</v>
      </c>
      <c r="F48" s="376"/>
      <c r="G48" s="410" t="s">
        <v>931</v>
      </c>
      <c r="H48" s="411" t="s">
        <v>941</v>
      </c>
      <c r="I48" s="344"/>
      <c r="J48" s="344"/>
      <c r="K48" s="345">
        <v>2.25</v>
      </c>
      <c r="L48" s="344"/>
      <c r="M48" s="344">
        <v>0.28999999999999998</v>
      </c>
      <c r="N48" s="344">
        <v>2.54</v>
      </c>
      <c r="O48" s="344">
        <v>0</v>
      </c>
      <c r="P48" s="417">
        <v>0</v>
      </c>
      <c r="Q48" s="344"/>
      <c r="R48" s="344"/>
      <c r="S48" s="344"/>
    </row>
    <row r="49" spans="2:19" x14ac:dyDescent="0.2">
      <c r="B49" s="407">
        <v>9</v>
      </c>
      <c r="C49" s="408">
        <v>43152</v>
      </c>
      <c r="D49" s="471">
        <v>43150</v>
      </c>
      <c r="E49" s="409" t="s">
        <v>932</v>
      </c>
      <c r="F49" s="376" t="s">
        <v>933</v>
      </c>
      <c r="G49" s="410" t="s">
        <v>804</v>
      </c>
      <c r="H49" s="411" t="s">
        <v>805</v>
      </c>
      <c r="I49" s="344"/>
      <c r="J49" s="344"/>
      <c r="K49" s="345">
        <v>153.9</v>
      </c>
      <c r="L49" s="344"/>
      <c r="M49" s="344">
        <v>20.010000000000002</v>
      </c>
      <c r="N49" s="344">
        <v>173.91</v>
      </c>
      <c r="O49" s="344">
        <v>0</v>
      </c>
      <c r="P49" s="417">
        <v>1.54</v>
      </c>
      <c r="Q49" s="344"/>
      <c r="R49" s="344"/>
      <c r="S49" s="344"/>
    </row>
    <row r="50" spans="2:19" x14ac:dyDescent="0.2">
      <c r="B50" s="407">
        <v>10</v>
      </c>
      <c r="C50" s="408">
        <v>43152</v>
      </c>
      <c r="D50" s="471">
        <v>43140</v>
      </c>
      <c r="E50" s="409" t="s">
        <v>934</v>
      </c>
      <c r="F50" s="376" t="s">
        <v>935</v>
      </c>
      <c r="G50" s="410" t="s">
        <v>936</v>
      </c>
      <c r="H50" s="411" t="s">
        <v>942</v>
      </c>
      <c r="I50" s="344"/>
      <c r="J50" s="344"/>
      <c r="K50" s="345">
        <v>418.8</v>
      </c>
      <c r="L50" s="344"/>
      <c r="M50" s="344">
        <v>54.44</v>
      </c>
      <c r="N50" s="344">
        <v>473.24</v>
      </c>
      <c r="O50" s="344">
        <v>0</v>
      </c>
      <c r="P50" s="417">
        <v>4.1900000000000004</v>
      </c>
      <c r="Q50" s="344"/>
      <c r="R50" s="344"/>
      <c r="S50" s="344"/>
    </row>
    <row r="51" spans="2:19" x14ac:dyDescent="0.2">
      <c r="B51" s="407">
        <v>11</v>
      </c>
      <c r="C51" s="408">
        <v>43152</v>
      </c>
      <c r="D51" s="471">
        <v>43117</v>
      </c>
      <c r="E51" s="409" t="s">
        <v>937</v>
      </c>
      <c r="F51" s="376" t="s">
        <v>935</v>
      </c>
      <c r="G51" s="410" t="s">
        <v>936</v>
      </c>
      <c r="H51" s="411" t="s">
        <v>942</v>
      </c>
      <c r="I51" s="344"/>
      <c r="J51" s="344"/>
      <c r="K51" s="345">
        <v>418.8</v>
      </c>
      <c r="L51" s="344"/>
      <c r="M51" s="344">
        <v>54.44</v>
      </c>
      <c r="N51" s="344">
        <v>473.24</v>
      </c>
      <c r="O51" s="344">
        <v>0</v>
      </c>
      <c r="P51" s="417">
        <v>4.1900000000000004</v>
      </c>
      <c r="Q51" s="344"/>
      <c r="R51" s="344"/>
      <c r="S51" s="344"/>
    </row>
    <row r="52" spans="2:19" x14ac:dyDescent="0.2">
      <c r="B52" s="407">
        <v>12</v>
      </c>
      <c r="C52" s="408">
        <v>43153</v>
      </c>
      <c r="D52" s="471">
        <v>43152</v>
      </c>
      <c r="E52" s="409" t="s">
        <v>938</v>
      </c>
      <c r="F52" s="376"/>
      <c r="G52" s="410" t="s">
        <v>939</v>
      </c>
      <c r="H52" s="411" t="s">
        <v>943</v>
      </c>
      <c r="I52" s="344"/>
      <c r="J52" s="344"/>
      <c r="K52" s="345">
        <v>17.7</v>
      </c>
      <c r="L52" s="344"/>
      <c r="M52" s="344">
        <v>2.2999999999999998</v>
      </c>
      <c r="N52" s="344">
        <v>20</v>
      </c>
      <c r="O52" s="344">
        <v>0</v>
      </c>
      <c r="P52" s="417">
        <v>0</v>
      </c>
      <c r="Q52" s="344"/>
      <c r="R52" s="344"/>
      <c r="S52" s="344"/>
    </row>
    <row r="53" spans="2:19" x14ac:dyDescent="0.2">
      <c r="B53" s="407"/>
      <c r="C53" s="408"/>
      <c r="D53" s="408"/>
      <c r="E53" s="409"/>
      <c r="F53" s="376"/>
      <c r="G53" s="410"/>
      <c r="H53" s="411"/>
      <c r="I53" s="344"/>
      <c r="J53" s="344"/>
      <c r="K53" s="345"/>
      <c r="L53" s="344"/>
      <c r="M53" s="344"/>
      <c r="N53" s="344"/>
      <c r="O53" s="344"/>
      <c r="P53" s="417"/>
      <c r="Q53" s="344"/>
      <c r="R53" s="344"/>
      <c r="S53" s="344"/>
    </row>
    <row r="54" spans="2:19" x14ac:dyDescent="0.2">
      <c r="B54" s="407"/>
      <c r="C54" s="408"/>
      <c r="D54" s="408"/>
      <c r="E54" s="409"/>
      <c r="F54" s="376"/>
      <c r="G54" s="410"/>
      <c r="H54" s="411" t="s">
        <v>868</v>
      </c>
      <c r="I54" s="344"/>
      <c r="J54" s="344"/>
      <c r="K54" s="516"/>
      <c r="L54" s="344"/>
      <c r="M54" s="516">
        <v>-2101.31</v>
      </c>
      <c r="N54" s="344"/>
      <c r="O54" s="344"/>
      <c r="P54" s="417">
        <v>0</v>
      </c>
      <c r="Q54" s="344"/>
      <c r="R54" s="344"/>
      <c r="S54" s="344"/>
    </row>
    <row r="55" spans="2:19" x14ac:dyDescent="0.2">
      <c r="B55" s="407"/>
      <c r="C55" s="408"/>
      <c r="D55" s="408"/>
      <c r="E55" s="409"/>
      <c r="F55" s="376"/>
      <c r="G55" s="410"/>
      <c r="H55" s="411"/>
      <c r="I55" s="344"/>
      <c r="J55" s="344"/>
      <c r="K55" s="345"/>
      <c r="L55" s="344"/>
      <c r="M55" s="344"/>
      <c r="N55" s="344"/>
      <c r="O55" s="344"/>
      <c r="P55" s="417"/>
      <c r="Q55" s="344"/>
      <c r="R55" s="344"/>
      <c r="S55" s="344"/>
    </row>
    <row r="56" spans="2:19" x14ac:dyDescent="0.2">
      <c r="B56" s="407"/>
      <c r="C56" s="408"/>
      <c r="D56" s="408"/>
      <c r="E56" s="409"/>
      <c r="F56" s="537"/>
      <c r="G56" s="410"/>
      <c r="H56" s="411"/>
      <c r="I56" s="344"/>
      <c r="J56" s="344"/>
      <c r="K56" s="345"/>
      <c r="L56" s="344"/>
      <c r="M56" s="344"/>
      <c r="N56" s="344"/>
      <c r="O56" s="344"/>
      <c r="P56" s="344"/>
      <c r="Q56" s="344"/>
      <c r="R56" s="344"/>
      <c r="S56" s="344"/>
    </row>
    <row r="57" spans="2:19" x14ac:dyDescent="0.2">
      <c r="B57" s="407"/>
      <c r="C57" s="408"/>
      <c r="D57" s="408"/>
      <c r="E57" s="409"/>
      <c r="F57" s="538"/>
      <c r="G57" s="410"/>
      <c r="H57" s="411"/>
      <c r="I57" s="344"/>
      <c r="J57" s="344"/>
      <c r="K57" s="344"/>
      <c r="L57" s="344"/>
      <c r="M57" s="344"/>
      <c r="N57" s="344">
        <v>0</v>
      </c>
      <c r="O57" s="344"/>
      <c r="P57" s="344"/>
      <c r="Q57" s="344"/>
      <c r="R57" s="344"/>
      <c r="S57" s="344"/>
    </row>
    <row r="58" spans="2:19" ht="13.5" thickBot="1" x14ac:dyDescent="0.25">
      <c r="B58" s="482"/>
      <c r="C58" s="483"/>
      <c r="D58" s="484"/>
      <c r="E58" s="483"/>
      <c r="F58" s="485"/>
      <c r="G58" s="486"/>
      <c r="H58" s="487"/>
      <c r="I58" s="488"/>
      <c r="J58" s="489"/>
      <c r="K58" s="489"/>
      <c r="L58" s="490"/>
      <c r="M58" s="489"/>
      <c r="N58" s="489"/>
      <c r="O58" s="489"/>
      <c r="P58" s="489"/>
      <c r="Q58" s="491"/>
      <c r="R58" s="491"/>
      <c r="S58" s="491"/>
    </row>
    <row r="59" spans="2:19" x14ac:dyDescent="0.2">
      <c r="B59" s="389"/>
      <c r="C59" s="390"/>
      <c r="D59" s="492"/>
      <c r="E59" s="390"/>
      <c r="F59" s="493"/>
      <c r="G59" s="494"/>
      <c r="H59" s="392"/>
      <c r="I59" s="495"/>
      <c r="J59" s="385"/>
      <c r="K59" s="385"/>
      <c r="L59" s="496"/>
      <c r="M59" s="385"/>
      <c r="N59" s="385"/>
      <c r="O59" s="385"/>
      <c r="P59" s="385"/>
      <c r="Q59" s="497"/>
      <c r="R59" s="497"/>
      <c r="S59" s="497"/>
    </row>
    <row r="60" spans="2:19" x14ac:dyDescent="0.2">
      <c r="B60" s="389"/>
      <c r="C60" s="378"/>
      <c r="D60" s="379"/>
      <c r="E60" s="378"/>
      <c r="F60" s="498"/>
      <c r="G60" s="494"/>
      <c r="H60" s="499" t="s">
        <v>856</v>
      </c>
      <c r="I60" s="496">
        <v>0</v>
      </c>
      <c r="J60" s="496">
        <v>0</v>
      </c>
      <c r="K60" s="496">
        <v>16163.889999999998</v>
      </c>
      <c r="L60" s="496">
        <v>0</v>
      </c>
      <c r="M60" s="496">
        <v>0</v>
      </c>
      <c r="N60" s="496">
        <v>18265.2</v>
      </c>
      <c r="O60" s="496">
        <v>0</v>
      </c>
      <c r="P60" s="496">
        <v>70.22</v>
      </c>
      <c r="Q60" s="496">
        <v>0</v>
      </c>
      <c r="R60" s="496">
        <v>0</v>
      </c>
      <c r="S60" s="496">
        <v>0</v>
      </c>
    </row>
    <row r="61" spans="2:19" ht="13.5" thickBot="1" x14ac:dyDescent="0.25">
      <c r="B61" s="482"/>
      <c r="C61" s="500"/>
      <c r="D61" s="501"/>
      <c r="E61" s="500"/>
      <c r="F61" s="502"/>
      <c r="G61" s="486"/>
      <c r="H61" s="503"/>
      <c r="I61" s="490"/>
      <c r="J61" s="504"/>
      <c r="K61" s="504"/>
      <c r="L61" s="504"/>
      <c r="M61" s="504"/>
      <c r="N61" s="504"/>
      <c r="O61" s="504"/>
      <c r="P61" s="504"/>
      <c r="Q61" s="490"/>
      <c r="R61" s="490"/>
      <c r="S61" s="505"/>
    </row>
    <row r="65" spans="2:19" ht="15.75" x14ac:dyDescent="0.25">
      <c r="B65" s="337" t="s">
        <v>812</v>
      </c>
      <c r="C65" s="338" t="s">
        <v>256</v>
      </c>
      <c r="D65" s="339"/>
      <c r="E65" s="340">
        <v>2018</v>
      </c>
      <c r="F65" s="333"/>
      <c r="G65" s="334"/>
      <c r="H65" s="376"/>
      <c r="I65" s="341"/>
      <c r="J65" s="341"/>
      <c r="K65" s="341"/>
      <c r="L65" s="341"/>
      <c r="M65" s="341"/>
      <c r="N65" s="336"/>
      <c r="O65" s="330"/>
      <c r="P65" s="330"/>
      <c r="Q65" s="330"/>
      <c r="R65" s="330"/>
      <c r="S65" s="330"/>
    </row>
    <row r="66" spans="2:19" x14ac:dyDescent="0.2">
      <c r="B66" s="377"/>
      <c r="C66" s="378"/>
      <c r="D66" s="379"/>
      <c r="E66" s="380"/>
      <c r="F66" s="381"/>
      <c r="G66" s="382"/>
      <c r="H66" s="382"/>
      <c r="I66" s="383"/>
      <c r="J66" s="384"/>
      <c r="K66" s="385"/>
      <c r="L66" s="384"/>
      <c r="M66" s="385"/>
      <c r="N66" s="385"/>
      <c r="O66" s="384"/>
      <c r="P66" s="384"/>
      <c r="Q66" s="382"/>
      <c r="R66" s="382"/>
      <c r="S66" s="386"/>
    </row>
    <row r="67" spans="2:19" x14ac:dyDescent="0.2">
      <c r="B67" s="377"/>
      <c r="C67" s="378"/>
      <c r="D67" s="379"/>
      <c r="E67" s="380"/>
      <c r="F67" s="458"/>
      <c r="G67" s="387"/>
      <c r="H67" s="388"/>
      <c r="I67" s="383"/>
      <c r="J67" s="384"/>
      <c r="K67" s="385"/>
      <c r="L67" s="384"/>
      <c r="M67" s="385"/>
      <c r="N67" s="385"/>
      <c r="O67" s="384"/>
      <c r="P67" s="384"/>
      <c r="Q67" s="382"/>
      <c r="R67" s="382"/>
      <c r="S67" s="386"/>
    </row>
    <row r="68" spans="2:19" x14ac:dyDescent="0.2">
      <c r="B68" s="389"/>
      <c r="C68" s="390"/>
      <c r="D68" s="391"/>
      <c r="E68" s="380"/>
      <c r="F68" s="381"/>
      <c r="G68" s="392"/>
      <c r="H68" s="382"/>
      <c r="I68" s="383"/>
      <c r="J68" s="384"/>
      <c r="K68" s="385"/>
      <c r="L68" s="384"/>
      <c r="M68" s="385"/>
      <c r="N68" s="385"/>
      <c r="O68" s="384"/>
      <c r="P68" s="342">
        <v>0.01</v>
      </c>
      <c r="Q68" s="382"/>
      <c r="R68" s="382" t="s">
        <v>813</v>
      </c>
      <c r="S68" s="343">
        <v>0.13</v>
      </c>
    </row>
    <row r="69" spans="2:19" x14ac:dyDescent="0.2">
      <c r="B69" s="393" t="s">
        <v>814</v>
      </c>
      <c r="C69" s="394" t="s">
        <v>608</v>
      </c>
      <c r="D69" s="395" t="s">
        <v>608</v>
      </c>
      <c r="E69" s="396" t="s">
        <v>609</v>
      </c>
      <c r="F69" s="396" t="s">
        <v>815</v>
      </c>
      <c r="G69" s="529" t="s">
        <v>816</v>
      </c>
      <c r="H69" s="975" t="s">
        <v>614</v>
      </c>
      <c r="I69" s="545" t="s">
        <v>817</v>
      </c>
      <c r="J69" s="546"/>
      <c r="K69" s="547" t="s">
        <v>818</v>
      </c>
      <c r="L69" s="548"/>
      <c r="M69" s="549"/>
      <c r="N69" s="530" t="s">
        <v>615</v>
      </c>
      <c r="O69" s="397" t="s">
        <v>819</v>
      </c>
      <c r="P69" s="398" t="s">
        <v>820</v>
      </c>
      <c r="Q69" s="399" t="s">
        <v>821</v>
      </c>
      <c r="R69" s="399" t="s">
        <v>822</v>
      </c>
      <c r="S69" s="399" t="s">
        <v>822</v>
      </c>
    </row>
    <row r="70" spans="2:19" x14ac:dyDescent="0.2">
      <c r="B70" s="400"/>
      <c r="C70" s="401" t="s">
        <v>823</v>
      </c>
      <c r="D70" s="402" t="s">
        <v>616</v>
      </c>
      <c r="E70" s="403" t="s">
        <v>616</v>
      </c>
      <c r="F70" s="404" t="s">
        <v>824</v>
      </c>
      <c r="G70" s="531" t="s">
        <v>617</v>
      </c>
      <c r="H70" s="976"/>
      <c r="I70" s="532" t="s">
        <v>825</v>
      </c>
      <c r="J70" s="533" t="s">
        <v>826</v>
      </c>
      <c r="K70" s="534" t="s">
        <v>825</v>
      </c>
      <c r="L70" s="535" t="s">
        <v>826</v>
      </c>
      <c r="M70" s="534" t="s">
        <v>157</v>
      </c>
      <c r="N70" s="536" t="s">
        <v>827</v>
      </c>
      <c r="O70" s="405" t="s">
        <v>828</v>
      </c>
      <c r="P70" s="405" t="s">
        <v>829</v>
      </c>
      <c r="Q70" s="406" t="s">
        <v>830</v>
      </c>
      <c r="R70" s="406" t="s">
        <v>831</v>
      </c>
      <c r="S70" s="406" t="s">
        <v>832</v>
      </c>
    </row>
    <row r="71" spans="2:19" x14ac:dyDescent="0.2">
      <c r="B71" s="407">
        <v>1</v>
      </c>
      <c r="C71" s="408">
        <v>43167</v>
      </c>
      <c r="D71" s="408">
        <v>43160</v>
      </c>
      <c r="E71" s="409" t="s">
        <v>951</v>
      </c>
      <c r="F71" s="376" t="s">
        <v>952</v>
      </c>
      <c r="G71" s="410" t="s">
        <v>802</v>
      </c>
      <c r="H71" s="563" t="str">
        <f>+VLOOKUP(G71,[1]bd!A:C,2,0)</f>
        <v>KPMG, S.A.</v>
      </c>
      <c r="I71" s="344"/>
      <c r="J71" s="344"/>
      <c r="K71" s="345">
        <v>225.75</v>
      </c>
      <c r="L71" s="344"/>
      <c r="M71" s="344">
        <v>29.35</v>
      </c>
      <c r="N71" s="344">
        <v>255.1</v>
      </c>
      <c r="O71" s="344">
        <v>0</v>
      </c>
      <c r="P71" s="344">
        <v>2.2599999999999998</v>
      </c>
      <c r="Q71" s="344"/>
      <c r="R71" s="344"/>
      <c r="S71" s="344"/>
    </row>
    <row r="72" spans="2:19" x14ac:dyDescent="0.2">
      <c r="B72" s="407">
        <v>2</v>
      </c>
      <c r="C72" s="408">
        <v>43178</v>
      </c>
      <c r="D72" s="408">
        <v>43159</v>
      </c>
      <c r="E72" s="409" t="s">
        <v>953</v>
      </c>
      <c r="F72" s="376" t="s">
        <v>954</v>
      </c>
      <c r="G72" s="410" t="s">
        <v>806</v>
      </c>
      <c r="H72" s="563" t="str">
        <f>+VLOOKUP(G72,[1]bd!A:C,2,0)</f>
        <v>CENTRAL DE DEPOSITO DE VALORES, S.A. DE C.V.</v>
      </c>
      <c r="I72" s="344"/>
      <c r="J72" s="344"/>
      <c r="K72" s="345">
        <v>2831.06</v>
      </c>
      <c r="L72" s="344"/>
      <c r="M72" s="344">
        <v>368.04</v>
      </c>
      <c r="N72" s="344">
        <v>3199.1</v>
      </c>
      <c r="O72" s="344">
        <v>0</v>
      </c>
      <c r="P72" s="344">
        <v>28.31</v>
      </c>
      <c r="Q72" s="344"/>
      <c r="R72" s="344"/>
      <c r="S72" s="344"/>
    </row>
    <row r="73" spans="2:19" x14ac:dyDescent="0.2">
      <c r="B73" s="407">
        <v>3</v>
      </c>
      <c r="C73" s="408">
        <v>43178</v>
      </c>
      <c r="D73" s="408">
        <v>43157</v>
      </c>
      <c r="E73" s="409" t="s">
        <v>955</v>
      </c>
      <c r="F73" s="376"/>
      <c r="G73" s="410" t="s">
        <v>781</v>
      </c>
      <c r="H73" s="563" t="str">
        <f>+VLOOKUP(G73,[1]bd!A:C,2,0)</f>
        <v>BOLSA DE VALORES DE EL SALVADOR, S.A. DE C.V.</v>
      </c>
      <c r="I73" s="344"/>
      <c r="J73" s="344"/>
      <c r="K73" s="345">
        <v>195</v>
      </c>
      <c r="L73" s="344"/>
      <c r="M73" s="344">
        <v>25.35</v>
      </c>
      <c r="N73" s="344">
        <v>220.35</v>
      </c>
      <c r="O73" s="344">
        <v>0</v>
      </c>
      <c r="P73" s="344">
        <v>0</v>
      </c>
      <c r="Q73" s="344"/>
      <c r="R73" s="344"/>
      <c r="S73" s="344"/>
    </row>
    <row r="74" spans="2:19" x14ac:dyDescent="0.2">
      <c r="B74" s="407">
        <v>4</v>
      </c>
      <c r="C74" s="408">
        <v>43180</v>
      </c>
      <c r="D74" s="408">
        <v>43179</v>
      </c>
      <c r="E74" s="409" t="s">
        <v>956</v>
      </c>
      <c r="F74" s="376"/>
      <c r="G74" s="410" t="s">
        <v>804</v>
      </c>
      <c r="H74" s="563" t="str">
        <f>+VLOOKUP(G74,[1]bd!A:C,2,0)</f>
        <v>COMUNICACIÓN CREATIVA SA DE CV</v>
      </c>
      <c r="I74" s="344"/>
      <c r="J74" s="344"/>
      <c r="K74" s="345">
        <v>64.8</v>
      </c>
      <c r="L74" s="344"/>
      <c r="M74" s="344">
        <v>8.42</v>
      </c>
      <c r="N74" s="344">
        <v>73.22</v>
      </c>
      <c r="O74" s="344">
        <v>0</v>
      </c>
      <c r="P74" s="344">
        <v>0</v>
      </c>
      <c r="Q74" s="344"/>
      <c r="R74" s="344"/>
      <c r="S74" s="344"/>
    </row>
    <row r="75" spans="2:19" x14ac:dyDescent="0.2">
      <c r="B75" s="407">
        <v>5</v>
      </c>
      <c r="C75" s="408">
        <v>43180</v>
      </c>
      <c r="D75" s="408">
        <v>43179</v>
      </c>
      <c r="E75" s="409" t="s">
        <v>957</v>
      </c>
      <c r="F75" s="376"/>
      <c r="G75" s="410" t="s">
        <v>804</v>
      </c>
      <c r="H75" s="563" t="str">
        <f>+VLOOKUP(G75,[1]bd!A:C,2,0)</f>
        <v>COMUNICACIÓN CREATIVA SA DE CV</v>
      </c>
      <c r="I75" s="344"/>
      <c r="J75" s="344"/>
      <c r="K75" s="345">
        <v>63</v>
      </c>
      <c r="L75" s="344"/>
      <c r="M75" s="344">
        <v>8.19</v>
      </c>
      <c r="N75" s="344">
        <v>71.19</v>
      </c>
      <c r="O75" s="344">
        <v>0</v>
      </c>
      <c r="P75" s="344">
        <v>0</v>
      </c>
      <c r="Q75" s="344"/>
      <c r="R75" s="344"/>
      <c r="S75" s="344"/>
    </row>
    <row r="76" spans="2:19" x14ac:dyDescent="0.2">
      <c r="B76" s="407">
        <v>28</v>
      </c>
      <c r="C76" s="408"/>
      <c r="D76" s="408"/>
      <c r="E76" s="409"/>
      <c r="F76" s="376"/>
      <c r="G76" s="410"/>
      <c r="H76" s="411"/>
      <c r="I76" s="344"/>
      <c r="J76" s="344"/>
      <c r="K76" s="345"/>
      <c r="L76" s="344"/>
      <c r="M76" s="344"/>
      <c r="N76" s="344"/>
      <c r="O76" s="344"/>
      <c r="P76" s="344">
        <v>0</v>
      </c>
      <c r="Q76" s="344"/>
      <c r="R76" s="344"/>
      <c r="S76" s="344"/>
    </row>
    <row r="77" spans="2:19" x14ac:dyDescent="0.2">
      <c r="B77" s="407"/>
      <c r="C77" s="408"/>
      <c r="D77" s="408"/>
      <c r="E77" s="409"/>
      <c r="F77" s="376"/>
      <c r="G77" s="410"/>
      <c r="H77" s="411" t="s">
        <v>868</v>
      </c>
      <c r="I77" s="344"/>
      <c r="J77" s="344"/>
      <c r="K77" s="516"/>
      <c r="L77" s="344"/>
      <c r="M77" s="516">
        <v>-439.35</v>
      </c>
      <c r="N77" s="344"/>
      <c r="O77" s="344"/>
      <c r="P77" s="344">
        <v>0</v>
      </c>
      <c r="Q77" s="344"/>
      <c r="R77" s="344"/>
      <c r="S77" s="344"/>
    </row>
    <row r="78" spans="2:19" x14ac:dyDescent="0.2">
      <c r="B78" s="407"/>
      <c r="C78" s="408"/>
      <c r="D78" s="408"/>
      <c r="E78" s="409"/>
      <c r="F78" s="376"/>
      <c r="G78" s="410"/>
      <c r="H78" s="411"/>
      <c r="I78" s="344"/>
      <c r="J78" s="344"/>
      <c r="K78" s="345"/>
      <c r="L78" s="344"/>
      <c r="M78" s="344"/>
      <c r="N78" s="344"/>
      <c r="O78" s="344"/>
      <c r="P78" s="344"/>
      <c r="Q78" s="344"/>
      <c r="R78" s="344"/>
      <c r="S78" s="344"/>
    </row>
    <row r="79" spans="2:19" x14ac:dyDescent="0.2">
      <c r="B79" s="407"/>
      <c r="C79" s="408"/>
      <c r="D79" s="408"/>
      <c r="E79" s="409"/>
      <c r="F79" s="550"/>
      <c r="G79" s="410"/>
      <c r="H79" s="411"/>
      <c r="I79" s="344"/>
      <c r="J79" s="344"/>
      <c r="K79" s="345"/>
      <c r="L79" s="344"/>
      <c r="M79" s="344"/>
      <c r="N79" s="344"/>
      <c r="O79" s="344"/>
      <c r="P79" s="344"/>
      <c r="Q79" s="344"/>
      <c r="R79" s="344"/>
      <c r="S79" s="344"/>
    </row>
    <row r="80" spans="2:19" x14ac:dyDescent="0.2">
      <c r="B80" s="407"/>
      <c r="C80" s="408"/>
      <c r="D80" s="408"/>
      <c r="E80" s="409"/>
      <c r="F80" s="550"/>
      <c r="G80" s="410"/>
      <c r="H80" s="411"/>
      <c r="I80" s="344"/>
      <c r="J80" s="344"/>
      <c r="K80" s="345"/>
      <c r="L80" s="344"/>
      <c r="M80" s="344"/>
      <c r="N80" s="344"/>
      <c r="O80" s="344"/>
      <c r="P80" s="344"/>
      <c r="Q80" s="344"/>
      <c r="R80" s="344"/>
      <c r="S80" s="344"/>
    </row>
    <row r="81" spans="2:19" x14ac:dyDescent="0.2">
      <c r="B81" s="407"/>
      <c r="C81" s="408"/>
      <c r="D81" s="408"/>
      <c r="E81" s="409"/>
      <c r="F81" s="550"/>
      <c r="G81" s="410"/>
      <c r="H81" s="411"/>
      <c r="I81" s="344"/>
      <c r="J81" s="344"/>
      <c r="K81" s="345"/>
      <c r="L81" s="344"/>
      <c r="M81" s="344"/>
      <c r="N81" s="344"/>
      <c r="O81" s="344"/>
      <c r="P81" s="344"/>
      <c r="Q81" s="344"/>
      <c r="R81" s="344"/>
      <c r="S81" s="344"/>
    </row>
    <row r="82" spans="2:19" x14ac:dyDescent="0.2">
      <c r="B82" s="407"/>
      <c r="C82" s="408"/>
      <c r="D82" s="408"/>
      <c r="E82" s="409"/>
      <c r="F82" s="550"/>
      <c r="G82" s="410"/>
      <c r="H82" s="411"/>
      <c r="I82" s="344"/>
      <c r="J82" s="344"/>
      <c r="K82" s="345"/>
      <c r="L82" s="344"/>
      <c r="M82" s="344"/>
      <c r="N82" s="344"/>
      <c r="O82" s="344"/>
      <c r="P82" s="344"/>
      <c r="Q82" s="344"/>
      <c r="R82" s="344"/>
      <c r="S82" s="344"/>
    </row>
    <row r="83" spans="2:19" x14ac:dyDescent="0.2">
      <c r="B83" s="407"/>
      <c r="C83" s="408"/>
      <c r="D83" s="408"/>
      <c r="E83" s="409"/>
      <c r="F83" s="977"/>
      <c r="G83" s="410"/>
      <c r="H83" s="411"/>
      <c r="I83" s="551"/>
      <c r="J83" s="344"/>
      <c r="K83" s="345"/>
      <c r="L83" s="344"/>
      <c r="M83" s="344"/>
      <c r="N83" s="344"/>
      <c r="O83" s="344"/>
      <c r="P83" s="344"/>
      <c r="Q83" s="344"/>
      <c r="R83" s="344"/>
      <c r="S83" s="344"/>
    </row>
    <row r="84" spans="2:19" x14ac:dyDescent="0.2">
      <c r="B84" s="407"/>
      <c r="C84" s="408"/>
      <c r="D84" s="408"/>
      <c r="E84" s="409"/>
      <c r="F84" s="977"/>
      <c r="G84" s="410"/>
      <c r="H84" s="411"/>
      <c r="I84" s="344"/>
      <c r="J84" s="344"/>
      <c r="K84" s="345"/>
      <c r="L84" s="344"/>
      <c r="M84" s="344"/>
      <c r="N84" s="344"/>
      <c r="O84" s="344"/>
      <c r="P84" s="344"/>
      <c r="Q84" s="344"/>
      <c r="R84" s="344"/>
      <c r="S84" s="344"/>
    </row>
    <row r="85" spans="2:19" x14ac:dyDescent="0.2">
      <c r="B85" s="407"/>
      <c r="C85" s="408"/>
      <c r="D85" s="408"/>
      <c r="E85" s="409"/>
      <c r="F85" s="537"/>
      <c r="G85" s="410"/>
      <c r="H85" s="411"/>
      <c r="I85" s="344"/>
      <c r="J85" s="344"/>
      <c r="K85" s="345"/>
      <c r="L85" s="344"/>
      <c r="M85" s="344"/>
      <c r="N85" s="344"/>
      <c r="O85" s="344"/>
      <c r="P85" s="344"/>
      <c r="Q85" s="344"/>
      <c r="R85" s="344"/>
      <c r="S85" s="344"/>
    </row>
    <row r="86" spans="2:19" x14ac:dyDescent="0.2">
      <c r="B86" s="407"/>
      <c r="C86" s="408"/>
      <c r="D86" s="408"/>
      <c r="E86" s="409"/>
      <c r="F86" s="538"/>
      <c r="G86" s="410"/>
      <c r="H86" s="411"/>
      <c r="I86" s="344"/>
      <c r="J86" s="344"/>
      <c r="K86" s="344"/>
      <c r="L86" s="344"/>
      <c r="M86" s="344"/>
      <c r="N86" s="344">
        <f t="shared" ref="N86" si="0">+K86+M86</f>
        <v>0</v>
      </c>
      <c r="O86" s="344"/>
      <c r="P86" s="344"/>
      <c r="Q86" s="344"/>
      <c r="R86" s="344"/>
      <c r="S86" s="344"/>
    </row>
    <row r="87" spans="2:19" ht="13.5" thickBot="1" x14ac:dyDescent="0.25">
      <c r="B87" s="482"/>
      <c r="C87" s="483"/>
      <c r="D87" s="484"/>
      <c r="E87" s="483"/>
      <c r="F87" s="485"/>
      <c r="G87" s="486"/>
      <c r="H87" s="487"/>
      <c r="I87" s="488"/>
      <c r="J87" s="489"/>
      <c r="K87" s="489"/>
      <c r="L87" s="490"/>
      <c r="M87" s="489"/>
      <c r="N87" s="489"/>
      <c r="O87" s="489"/>
      <c r="P87" s="489"/>
      <c r="Q87" s="491"/>
      <c r="R87" s="491"/>
      <c r="S87" s="491"/>
    </row>
    <row r="88" spans="2:19" x14ac:dyDescent="0.2">
      <c r="B88" s="389"/>
      <c r="C88" s="390"/>
      <c r="D88" s="492"/>
      <c r="E88" s="390"/>
      <c r="F88" s="493"/>
      <c r="G88" s="494"/>
      <c r="H88" s="392"/>
      <c r="I88" s="495"/>
      <c r="J88" s="385"/>
      <c r="K88" s="385"/>
      <c r="L88" s="496"/>
      <c r="M88" s="385"/>
      <c r="N88" s="385"/>
      <c r="O88" s="385"/>
      <c r="P88" s="385"/>
      <c r="Q88" s="497"/>
      <c r="R88" s="497"/>
      <c r="S88" s="497"/>
    </row>
    <row r="89" spans="2:19" x14ac:dyDescent="0.2">
      <c r="B89" s="389"/>
      <c r="C89" s="378"/>
      <c r="D89" s="379"/>
      <c r="E89" s="378"/>
      <c r="F89" s="498"/>
      <c r="G89" s="494"/>
      <c r="H89" s="499" t="s">
        <v>856</v>
      </c>
      <c r="I89" s="496">
        <f t="shared" ref="I89:S89" si="1">SUM(I71:I87)</f>
        <v>0</v>
      </c>
      <c r="J89" s="496">
        <f t="shared" si="1"/>
        <v>0</v>
      </c>
      <c r="K89" s="496">
        <f t="shared" si="1"/>
        <v>3379.61</v>
      </c>
      <c r="L89" s="496">
        <f t="shared" si="1"/>
        <v>0</v>
      </c>
      <c r="M89" s="496">
        <f>SUM(M71:M87)</f>
        <v>0</v>
      </c>
      <c r="N89" s="496">
        <f t="shared" si="1"/>
        <v>3818.9599999999996</v>
      </c>
      <c r="O89" s="496">
        <f t="shared" si="1"/>
        <v>0</v>
      </c>
      <c r="P89" s="496">
        <f t="shared" si="1"/>
        <v>30.57</v>
      </c>
      <c r="Q89" s="496">
        <f t="shared" si="1"/>
        <v>0</v>
      </c>
      <c r="R89" s="496">
        <f t="shared" si="1"/>
        <v>0</v>
      </c>
      <c r="S89" s="496">
        <f t="shared" si="1"/>
        <v>0</v>
      </c>
    </row>
    <row r="90" spans="2:19" ht="13.5" thickBot="1" x14ac:dyDescent="0.25">
      <c r="B90" s="482"/>
      <c r="C90" s="500"/>
      <c r="D90" s="501"/>
      <c r="E90" s="500"/>
      <c r="F90" s="502"/>
      <c r="G90" s="486"/>
      <c r="H90" s="503"/>
      <c r="I90" s="490"/>
      <c r="J90" s="504"/>
      <c r="K90" s="504"/>
      <c r="L90" s="504"/>
      <c r="M90" s="504"/>
      <c r="N90" s="504"/>
      <c r="O90" s="504"/>
      <c r="P90" s="504"/>
      <c r="Q90" s="490"/>
      <c r="R90" s="490"/>
      <c r="S90" s="505"/>
    </row>
    <row r="96" spans="2:19" ht="15.75" x14ac:dyDescent="0.25">
      <c r="B96" s="337" t="s">
        <v>812</v>
      </c>
      <c r="C96" s="338" t="s">
        <v>257</v>
      </c>
      <c r="D96" s="339"/>
      <c r="E96" s="340">
        <v>2018</v>
      </c>
      <c r="F96" s="333"/>
      <c r="G96" s="334"/>
      <c r="H96" s="376"/>
      <c r="I96" s="341"/>
      <c r="J96" s="341"/>
      <c r="K96" s="341"/>
      <c r="L96" s="341"/>
      <c r="M96" s="341"/>
      <c r="N96" s="336"/>
      <c r="O96" s="330"/>
      <c r="P96" s="330"/>
      <c r="Q96" s="330"/>
      <c r="R96" s="330"/>
      <c r="S96" s="330"/>
    </row>
    <row r="97" spans="2:19" x14ac:dyDescent="0.2">
      <c r="B97" s="377"/>
      <c r="C97" s="378"/>
      <c r="D97" s="379"/>
      <c r="E97" s="380"/>
      <c r="F97" s="381"/>
      <c r="G97" s="382"/>
      <c r="H97" s="382"/>
      <c r="I97" s="383"/>
      <c r="J97" s="384"/>
      <c r="K97" s="385"/>
      <c r="L97" s="384"/>
      <c r="M97" s="385"/>
      <c r="N97" s="385"/>
      <c r="O97" s="384"/>
      <c r="P97" s="384"/>
      <c r="Q97" s="382"/>
      <c r="R97" s="382"/>
      <c r="S97" s="386"/>
    </row>
    <row r="98" spans="2:19" x14ac:dyDescent="0.2">
      <c r="B98" s="377"/>
      <c r="C98" s="378"/>
      <c r="D98" s="379"/>
      <c r="E98" s="380"/>
      <c r="F98" s="458"/>
      <c r="G98" s="387"/>
      <c r="H98" s="388"/>
      <c r="I98" s="383"/>
      <c r="J98" s="384"/>
      <c r="K98" s="385"/>
      <c r="L98" s="384"/>
      <c r="M98" s="385"/>
      <c r="N98" s="385"/>
      <c r="O98" s="384"/>
      <c r="P98" s="384"/>
      <c r="Q98" s="382"/>
      <c r="R98" s="382"/>
      <c r="S98" s="386"/>
    </row>
    <row r="99" spans="2:19" x14ac:dyDescent="0.2">
      <c r="B99" s="389"/>
      <c r="C99" s="390"/>
      <c r="D99" s="391"/>
      <c r="E99" s="380"/>
      <c r="F99" s="381"/>
      <c r="G99" s="392"/>
      <c r="H99" s="382"/>
      <c r="I99" s="383"/>
      <c r="J99" s="384"/>
      <c r="K99" s="385"/>
      <c r="L99" s="384"/>
      <c r="M99" s="385"/>
      <c r="N99" s="385"/>
      <c r="O99" s="384"/>
      <c r="P99" s="342">
        <v>0.01</v>
      </c>
      <c r="Q99" s="382"/>
      <c r="R99" s="382" t="s">
        <v>813</v>
      </c>
      <c r="S99" s="343">
        <v>0.13</v>
      </c>
    </row>
    <row r="100" spans="2:19" x14ac:dyDescent="0.2">
      <c r="B100" s="393" t="s">
        <v>814</v>
      </c>
      <c r="C100" s="394" t="s">
        <v>608</v>
      </c>
      <c r="D100" s="395" t="s">
        <v>608</v>
      </c>
      <c r="E100" s="396" t="s">
        <v>609</v>
      </c>
      <c r="F100" s="396" t="s">
        <v>815</v>
      </c>
      <c r="G100" s="529" t="s">
        <v>816</v>
      </c>
      <c r="H100" s="975" t="s">
        <v>614</v>
      </c>
      <c r="I100" s="539" t="s">
        <v>817</v>
      </c>
      <c r="J100" s="540"/>
      <c r="K100" s="541" t="s">
        <v>818</v>
      </c>
      <c r="L100" s="542"/>
      <c r="M100" s="543"/>
      <c r="N100" s="530" t="s">
        <v>615</v>
      </c>
      <c r="O100" s="397" t="s">
        <v>819</v>
      </c>
      <c r="P100" s="398" t="s">
        <v>820</v>
      </c>
      <c r="Q100" s="399" t="s">
        <v>821</v>
      </c>
      <c r="R100" s="399" t="s">
        <v>822</v>
      </c>
      <c r="S100" s="399" t="s">
        <v>822</v>
      </c>
    </row>
    <row r="101" spans="2:19" x14ac:dyDescent="0.2">
      <c r="B101" s="400"/>
      <c r="C101" s="401" t="s">
        <v>823</v>
      </c>
      <c r="D101" s="402" t="s">
        <v>616</v>
      </c>
      <c r="E101" s="403" t="s">
        <v>616</v>
      </c>
      <c r="F101" s="404" t="s">
        <v>824</v>
      </c>
      <c r="G101" s="531" t="s">
        <v>617</v>
      </c>
      <c r="H101" s="976"/>
      <c r="I101" s="532" t="s">
        <v>825</v>
      </c>
      <c r="J101" s="533" t="s">
        <v>826</v>
      </c>
      <c r="K101" s="534" t="s">
        <v>825</v>
      </c>
      <c r="L101" s="535" t="s">
        <v>826</v>
      </c>
      <c r="M101" s="534" t="s">
        <v>157</v>
      </c>
      <c r="N101" s="536" t="s">
        <v>827</v>
      </c>
      <c r="O101" s="405" t="s">
        <v>828</v>
      </c>
      <c r="P101" s="405" t="s">
        <v>829</v>
      </c>
      <c r="Q101" s="406" t="s">
        <v>830</v>
      </c>
      <c r="R101" s="406" t="s">
        <v>831</v>
      </c>
      <c r="S101" s="406" t="s">
        <v>832</v>
      </c>
    </row>
    <row r="102" spans="2:19" x14ac:dyDescent="0.2">
      <c r="B102" s="412">
        <v>1</v>
      </c>
      <c r="C102" s="413">
        <v>43193</v>
      </c>
      <c r="D102" s="413">
        <v>43190</v>
      </c>
      <c r="E102" s="414" t="s">
        <v>961</v>
      </c>
      <c r="F102" s="453"/>
      <c r="G102" s="415" t="s">
        <v>158</v>
      </c>
      <c r="H102" s="416" t="s">
        <v>835</v>
      </c>
      <c r="I102" s="417"/>
      <c r="J102" s="417"/>
      <c r="K102" s="418">
        <v>132.19999999999999</v>
      </c>
      <c r="L102" s="417"/>
      <c r="M102" s="417">
        <v>17.190000000000001</v>
      </c>
      <c r="N102" s="417">
        <f>+K102+M102</f>
        <v>149.38999999999999</v>
      </c>
      <c r="O102" s="417">
        <v>0</v>
      </c>
      <c r="P102" s="417">
        <v>0</v>
      </c>
      <c r="Q102" s="417"/>
      <c r="R102" s="417"/>
      <c r="S102" s="344"/>
    </row>
    <row r="103" spans="2:19" x14ac:dyDescent="0.2">
      <c r="B103" s="407">
        <v>2</v>
      </c>
      <c r="C103" s="408">
        <v>43196</v>
      </c>
      <c r="D103" s="408">
        <v>43196</v>
      </c>
      <c r="E103" s="409" t="s">
        <v>962</v>
      </c>
      <c r="F103" s="376"/>
      <c r="G103" s="410" t="s">
        <v>781</v>
      </c>
      <c r="H103" s="411" t="s">
        <v>801</v>
      </c>
      <c r="I103" s="344"/>
      <c r="J103" s="344"/>
      <c r="K103" s="345">
        <v>193.27</v>
      </c>
      <c r="L103" s="344"/>
      <c r="M103" s="344">
        <v>25.12</v>
      </c>
      <c r="N103" s="344">
        <f t="shared" ref="N103:N112" si="2">+K103+M103</f>
        <v>218.39000000000001</v>
      </c>
      <c r="O103" s="344">
        <v>0</v>
      </c>
      <c r="P103" s="417">
        <v>0</v>
      </c>
      <c r="Q103" s="344"/>
      <c r="R103" s="344"/>
      <c r="S103" s="344"/>
    </row>
    <row r="104" spans="2:19" x14ac:dyDescent="0.2">
      <c r="B104" s="407">
        <v>3</v>
      </c>
      <c r="C104" s="408">
        <v>43206</v>
      </c>
      <c r="D104" s="408">
        <v>43192</v>
      </c>
      <c r="E104" s="409" t="s">
        <v>963</v>
      </c>
      <c r="F104" s="376" t="s">
        <v>964</v>
      </c>
      <c r="G104" s="410" t="s">
        <v>802</v>
      </c>
      <c r="H104" s="411" t="s">
        <v>803</v>
      </c>
      <c r="I104" s="344"/>
      <c r="J104" s="344"/>
      <c r="K104" s="345">
        <v>225.75</v>
      </c>
      <c r="L104" s="344"/>
      <c r="M104" s="344">
        <v>29.35</v>
      </c>
      <c r="N104" s="344">
        <f t="shared" si="2"/>
        <v>255.1</v>
      </c>
      <c r="O104" s="344">
        <v>0</v>
      </c>
      <c r="P104" s="417">
        <v>2.2599999999999998</v>
      </c>
      <c r="Q104" s="344"/>
      <c r="R104" s="344"/>
      <c r="S104" s="344"/>
    </row>
    <row r="105" spans="2:19" x14ac:dyDescent="0.2">
      <c r="B105" s="407">
        <v>4</v>
      </c>
      <c r="C105" s="408">
        <v>43213</v>
      </c>
      <c r="D105" s="408">
        <v>43186</v>
      </c>
      <c r="E105" s="409">
        <v>2051</v>
      </c>
      <c r="F105" s="376" t="s">
        <v>965</v>
      </c>
      <c r="G105" s="410" t="s">
        <v>806</v>
      </c>
      <c r="H105" s="411" t="s">
        <v>807</v>
      </c>
      <c r="I105" s="344"/>
      <c r="J105" s="344"/>
      <c r="K105" s="345">
        <v>1024.71</v>
      </c>
      <c r="L105" s="344"/>
      <c r="M105" s="344">
        <v>133.21</v>
      </c>
      <c r="N105" s="344">
        <f t="shared" si="2"/>
        <v>1157.92</v>
      </c>
      <c r="O105" s="344">
        <v>0</v>
      </c>
      <c r="P105" s="417">
        <v>10.25</v>
      </c>
      <c r="Q105" s="344"/>
      <c r="R105" s="344"/>
      <c r="S105" s="344"/>
    </row>
    <row r="106" spans="2:19" x14ac:dyDescent="0.2">
      <c r="B106" s="407">
        <v>5</v>
      </c>
      <c r="C106" s="408">
        <v>43213</v>
      </c>
      <c r="D106" s="408">
        <v>43208</v>
      </c>
      <c r="E106" s="409">
        <v>399</v>
      </c>
      <c r="F106" s="376" t="s">
        <v>966</v>
      </c>
      <c r="G106" s="410" t="s">
        <v>804</v>
      </c>
      <c r="H106" s="411" t="s">
        <v>805</v>
      </c>
      <c r="I106" s="344"/>
      <c r="J106" s="344"/>
      <c r="K106" s="345">
        <v>2520</v>
      </c>
      <c r="L106" s="344"/>
      <c r="M106" s="344">
        <v>327.60000000000002</v>
      </c>
      <c r="N106" s="344">
        <f t="shared" si="2"/>
        <v>2847.6</v>
      </c>
      <c r="O106" s="344">
        <v>0</v>
      </c>
      <c r="P106" s="417">
        <v>25.2</v>
      </c>
      <c r="Q106" s="344"/>
      <c r="R106" s="344"/>
      <c r="S106" s="344"/>
    </row>
    <row r="107" spans="2:19" x14ac:dyDescent="0.2">
      <c r="B107" s="407">
        <v>6</v>
      </c>
      <c r="C107" s="408">
        <v>43213</v>
      </c>
      <c r="D107" s="408">
        <v>43208</v>
      </c>
      <c r="E107" s="409">
        <v>398</v>
      </c>
      <c r="F107" s="376" t="s">
        <v>966</v>
      </c>
      <c r="G107" s="410" t="s">
        <v>804</v>
      </c>
      <c r="H107" s="411" t="s">
        <v>805</v>
      </c>
      <c r="I107" s="344"/>
      <c r="J107" s="344"/>
      <c r="K107" s="345">
        <v>440.1</v>
      </c>
      <c r="L107" s="344"/>
      <c r="M107" s="344">
        <v>57.21</v>
      </c>
      <c r="N107" s="344">
        <f t="shared" si="2"/>
        <v>497.31</v>
      </c>
      <c r="O107" s="344">
        <v>0</v>
      </c>
      <c r="P107" s="417">
        <v>4.4000000000000004</v>
      </c>
      <c r="Q107" s="344"/>
      <c r="R107" s="344"/>
      <c r="S107" s="344"/>
    </row>
    <row r="108" spans="2:19" x14ac:dyDescent="0.2">
      <c r="B108" s="407">
        <v>7</v>
      </c>
      <c r="C108" s="408">
        <v>43214</v>
      </c>
      <c r="D108" s="408">
        <v>43178</v>
      </c>
      <c r="E108" s="409">
        <v>605</v>
      </c>
      <c r="F108" s="376"/>
      <c r="G108" s="410" t="s">
        <v>781</v>
      </c>
      <c r="H108" s="411" t="s">
        <v>801</v>
      </c>
      <c r="I108" s="344"/>
      <c r="J108" s="344"/>
      <c r="K108" s="345">
        <v>195</v>
      </c>
      <c r="L108" s="344"/>
      <c r="M108" s="344">
        <v>25.35</v>
      </c>
      <c r="N108" s="344">
        <f t="shared" si="2"/>
        <v>220.35</v>
      </c>
      <c r="O108" s="344">
        <v>0</v>
      </c>
      <c r="P108" s="417">
        <v>0</v>
      </c>
      <c r="Q108" s="344"/>
      <c r="R108" s="344"/>
      <c r="S108" s="344"/>
    </row>
    <row r="109" spans="2:19" x14ac:dyDescent="0.2">
      <c r="B109" s="407">
        <v>8</v>
      </c>
      <c r="C109" s="408">
        <v>43214</v>
      </c>
      <c r="D109" s="408">
        <v>43186</v>
      </c>
      <c r="E109" s="409">
        <v>701</v>
      </c>
      <c r="F109" s="376"/>
      <c r="G109" s="410" t="s">
        <v>781</v>
      </c>
      <c r="H109" s="411" t="s">
        <v>801</v>
      </c>
      <c r="I109" s="344"/>
      <c r="J109" s="344"/>
      <c r="K109" s="345">
        <v>300</v>
      </c>
      <c r="L109" s="344"/>
      <c r="M109" s="344">
        <v>39</v>
      </c>
      <c r="N109" s="344">
        <f t="shared" si="2"/>
        <v>339</v>
      </c>
      <c r="O109" s="344">
        <v>0</v>
      </c>
      <c r="P109" s="417">
        <v>0</v>
      </c>
      <c r="Q109" s="344"/>
      <c r="R109" s="344"/>
      <c r="S109" s="344"/>
    </row>
    <row r="110" spans="2:19" x14ac:dyDescent="0.2">
      <c r="B110" s="407">
        <v>9</v>
      </c>
      <c r="C110" s="408">
        <v>43215</v>
      </c>
      <c r="D110" s="471">
        <v>43172</v>
      </c>
      <c r="E110" s="409">
        <v>6000003227</v>
      </c>
      <c r="F110" s="376" t="s">
        <v>967</v>
      </c>
      <c r="G110" s="410" t="s">
        <v>936</v>
      </c>
      <c r="H110" s="411" t="s">
        <v>942</v>
      </c>
      <c r="I110" s="344"/>
      <c r="J110" s="344"/>
      <c r="K110" s="345">
        <v>418.8</v>
      </c>
      <c r="L110" s="344"/>
      <c r="M110" s="344">
        <v>54.44</v>
      </c>
      <c r="N110" s="344">
        <f t="shared" si="2"/>
        <v>473.24</v>
      </c>
      <c r="O110" s="344">
        <v>0</v>
      </c>
      <c r="P110" s="417">
        <v>4.1900000000000004</v>
      </c>
      <c r="Q110" s="344"/>
      <c r="R110" s="344"/>
      <c r="S110" s="344"/>
    </row>
    <row r="111" spans="2:19" x14ac:dyDescent="0.2">
      <c r="B111" s="407">
        <v>10</v>
      </c>
      <c r="C111" s="408">
        <v>43215</v>
      </c>
      <c r="D111" s="471">
        <v>43195</v>
      </c>
      <c r="E111" s="409">
        <v>6000003780</v>
      </c>
      <c r="F111" s="376" t="s">
        <v>967</v>
      </c>
      <c r="G111" s="410" t="s">
        <v>936</v>
      </c>
      <c r="H111" s="411" t="s">
        <v>942</v>
      </c>
      <c r="I111" s="344"/>
      <c r="J111" s="344"/>
      <c r="K111" s="345">
        <v>418.8</v>
      </c>
      <c r="L111" s="344"/>
      <c r="M111" s="344">
        <v>54.44</v>
      </c>
      <c r="N111" s="344">
        <f t="shared" si="2"/>
        <v>473.24</v>
      </c>
      <c r="O111" s="344">
        <v>0</v>
      </c>
      <c r="P111" s="417">
        <v>4.1900000000000004</v>
      </c>
      <c r="Q111" s="344"/>
      <c r="R111" s="344"/>
      <c r="S111" s="344"/>
    </row>
    <row r="112" spans="2:19" x14ac:dyDescent="0.2">
      <c r="B112" s="412">
        <v>11</v>
      </c>
      <c r="C112" s="413">
        <v>43217</v>
      </c>
      <c r="D112" s="571">
        <v>43217</v>
      </c>
      <c r="E112" s="414" t="s">
        <v>968</v>
      </c>
      <c r="F112" s="453"/>
      <c r="G112" s="415" t="s">
        <v>158</v>
      </c>
      <c r="H112" s="416" t="s">
        <v>835</v>
      </c>
      <c r="I112" s="417"/>
      <c r="J112" s="417"/>
      <c r="K112" s="418">
        <v>132.19999999999999</v>
      </c>
      <c r="L112" s="417"/>
      <c r="M112" s="417">
        <v>17.190000000000001</v>
      </c>
      <c r="N112" s="417">
        <f t="shared" si="2"/>
        <v>149.38999999999999</v>
      </c>
      <c r="O112" s="417">
        <v>0</v>
      </c>
      <c r="P112" s="417">
        <v>0</v>
      </c>
      <c r="Q112" s="344"/>
      <c r="R112" s="344"/>
      <c r="S112" s="344"/>
    </row>
    <row r="114" spans="2:19" x14ac:dyDescent="0.2">
      <c r="B114" s="407"/>
      <c r="C114" s="408"/>
      <c r="D114" s="408"/>
      <c r="E114" s="409"/>
      <c r="F114" s="376"/>
      <c r="G114" s="410"/>
      <c r="H114" s="411" t="s">
        <v>868</v>
      </c>
      <c r="I114" s="344"/>
      <c r="J114" s="344"/>
      <c r="K114" s="516"/>
      <c r="L114" s="344"/>
      <c r="M114" s="516">
        <v>-780.1</v>
      </c>
      <c r="N114" s="344"/>
      <c r="O114" s="344"/>
      <c r="P114" s="417">
        <v>0</v>
      </c>
      <c r="Q114" s="344"/>
      <c r="R114" s="344"/>
      <c r="S114" s="344"/>
    </row>
    <row r="115" spans="2:19" x14ac:dyDescent="0.2">
      <c r="B115" s="407"/>
      <c r="C115" s="408"/>
      <c r="D115" s="408"/>
      <c r="E115" s="409"/>
      <c r="F115" s="376"/>
      <c r="G115" s="410"/>
      <c r="H115" s="411"/>
      <c r="I115" s="344"/>
      <c r="J115" s="344"/>
      <c r="K115" s="345"/>
      <c r="L115" s="344"/>
      <c r="M115" s="344"/>
      <c r="N115" s="344"/>
      <c r="O115" s="344"/>
      <c r="P115" s="417"/>
      <c r="Q115" s="344"/>
      <c r="R115" s="344"/>
      <c r="S115" s="344"/>
    </row>
    <row r="116" spans="2:19" x14ac:dyDescent="0.2">
      <c r="B116" s="407"/>
      <c r="C116" s="408"/>
      <c r="D116" s="408"/>
      <c r="E116" s="409"/>
      <c r="F116" s="550"/>
      <c r="G116" s="410"/>
      <c r="H116" s="411"/>
      <c r="I116" s="344"/>
      <c r="J116" s="344"/>
      <c r="K116" s="345"/>
      <c r="L116" s="344"/>
      <c r="M116" s="344"/>
      <c r="N116" s="344"/>
      <c r="O116" s="344"/>
      <c r="P116" s="344"/>
      <c r="Q116" s="344"/>
      <c r="R116" s="344"/>
      <c r="S116" s="344"/>
    </row>
    <row r="117" spans="2:19" x14ac:dyDescent="0.2">
      <c r="B117" s="407"/>
      <c r="C117" s="408"/>
      <c r="D117" s="408"/>
      <c r="E117" s="409"/>
      <c r="F117" s="550"/>
      <c r="G117" s="410"/>
      <c r="H117" s="411"/>
      <c r="I117" s="344"/>
      <c r="J117" s="344"/>
      <c r="K117" s="345"/>
      <c r="L117" s="344"/>
      <c r="M117" s="344"/>
      <c r="N117" s="344"/>
      <c r="O117" s="344"/>
      <c r="P117" s="344"/>
      <c r="Q117" s="344"/>
      <c r="R117" s="344"/>
      <c r="S117" s="344"/>
    </row>
    <row r="118" spans="2:19" x14ac:dyDescent="0.2">
      <c r="B118" s="407"/>
      <c r="C118" s="408"/>
      <c r="D118" s="408"/>
      <c r="E118" s="409"/>
      <c r="F118" s="538"/>
      <c r="G118" s="410"/>
      <c r="H118" s="411"/>
      <c r="I118" s="344"/>
      <c r="J118" s="344"/>
      <c r="K118" s="344"/>
      <c r="L118" s="344"/>
      <c r="M118" s="344"/>
      <c r="N118" s="344">
        <f t="shared" ref="N118" si="3">+K118+M118</f>
        <v>0</v>
      </c>
      <c r="O118" s="344"/>
      <c r="P118" s="344"/>
      <c r="Q118" s="344"/>
      <c r="R118" s="344"/>
      <c r="S118" s="344"/>
    </row>
    <row r="119" spans="2:19" ht="13.5" thickBot="1" x14ac:dyDescent="0.25">
      <c r="B119" s="482"/>
      <c r="C119" s="483"/>
      <c r="D119" s="484"/>
      <c r="E119" s="483"/>
      <c r="F119" s="485"/>
      <c r="G119" s="486"/>
      <c r="H119" s="487"/>
      <c r="I119" s="488"/>
      <c r="J119" s="489"/>
      <c r="K119" s="489"/>
      <c r="L119" s="490"/>
      <c r="M119" s="489"/>
      <c r="N119" s="489"/>
      <c r="O119" s="489"/>
      <c r="P119" s="489"/>
      <c r="Q119" s="491"/>
      <c r="R119" s="491"/>
      <c r="S119" s="491"/>
    </row>
    <row r="120" spans="2:19" x14ac:dyDescent="0.2">
      <c r="B120" s="389"/>
      <c r="C120" s="390"/>
      <c r="D120" s="492"/>
      <c r="E120" s="390"/>
      <c r="F120" s="493"/>
      <c r="G120" s="494"/>
      <c r="H120" s="392"/>
      <c r="I120" s="495"/>
      <c r="J120" s="385"/>
      <c r="K120" s="385"/>
      <c r="L120" s="496"/>
      <c r="M120" s="385"/>
      <c r="N120" s="385"/>
      <c r="O120" s="385"/>
      <c r="P120" s="385"/>
      <c r="Q120" s="497"/>
      <c r="R120" s="497"/>
      <c r="S120" s="497"/>
    </row>
    <row r="121" spans="2:19" x14ac:dyDescent="0.2">
      <c r="B121" s="389"/>
      <c r="C121" s="378"/>
      <c r="D121" s="379"/>
      <c r="E121" s="378"/>
      <c r="F121" s="498"/>
      <c r="G121" s="494"/>
      <c r="H121" s="499" t="s">
        <v>856</v>
      </c>
      <c r="I121" s="496">
        <f t="shared" ref="I121:S121" si="4">SUM(I86:I119)</f>
        <v>0</v>
      </c>
      <c r="J121" s="496">
        <f t="shared" si="4"/>
        <v>0</v>
      </c>
      <c r="K121" s="496">
        <f t="shared" si="4"/>
        <v>9380.4399999999987</v>
      </c>
      <c r="L121" s="496">
        <f t="shared" si="4"/>
        <v>0</v>
      </c>
      <c r="M121" s="496">
        <f>SUM(M86:M119)</f>
        <v>0</v>
      </c>
      <c r="N121" s="496">
        <f t="shared" si="4"/>
        <v>10599.89</v>
      </c>
      <c r="O121" s="496">
        <f t="shared" si="4"/>
        <v>0</v>
      </c>
      <c r="P121" s="496">
        <f t="shared" si="4"/>
        <v>81.070000000000007</v>
      </c>
      <c r="Q121" s="496">
        <f t="shared" si="4"/>
        <v>0</v>
      </c>
      <c r="R121" s="496">
        <f t="shared" si="4"/>
        <v>0</v>
      </c>
      <c r="S121" s="496">
        <f t="shared" si="4"/>
        <v>0.13</v>
      </c>
    </row>
    <row r="122" spans="2:19" ht="13.5" thickBot="1" x14ac:dyDescent="0.25">
      <c r="B122" s="482"/>
      <c r="C122" s="500"/>
      <c r="D122" s="501"/>
      <c r="E122" s="500"/>
      <c r="F122" s="502"/>
      <c r="G122" s="486"/>
      <c r="H122" s="503"/>
      <c r="I122" s="490"/>
      <c r="J122" s="504"/>
      <c r="K122" s="504"/>
      <c r="L122" s="504"/>
      <c r="M122" s="504"/>
      <c r="N122" s="504"/>
      <c r="O122" s="504"/>
      <c r="P122" s="504"/>
      <c r="Q122" s="490"/>
      <c r="R122" s="490"/>
      <c r="S122" s="505"/>
    </row>
    <row r="130" spans="2:19" ht="15.75" x14ac:dyDescent="0.25">
      <c r="B130" s="337" t="s">
        <v>812</v>
      </c>
      <c r="C130" s="338" t="s">
        <v>258</v>
      </c>
      <c r="D130" s="339"/>
      <c r="E130" s="340">
        <v>2018</v>
      </c>
      <c r="F130" s="333"/>
      <c r="G130" s="334"/>
      <c r="H130" s="376"/>
      <c r="I130" s="341"/>
      <c r="J130" s="341"/>
      <c r="K130" s="341"/>
      <c r="L130" s="341"/>
      <c r="M130" s="341"/>
      <c r="N130" s="336"/>
      <c r="O130" s="330"/>
      <c r="P130" s="330"/>
      <c r="Q130" s="330"/>
      <c r="R130" s="330"/>
      <c r="S130" s="330"/>
    </row>
    <row r="131" spans="2:19" x14ac:dyDescent="0.2">
      <c r="B131" s="377"/>
      <c r="C131" s="378"/>
      <c r="D131" s="379"/>
      <c r="E131" s="380"/>
      <c r="F131" s="381"/>
      <c r="G131" s="382"/>
      <c r="H131" s="382"/>
      <c r="I131" s="383"/>
      <c r="J131" s="384"/>
      <c r="K131" s="385"/>
      <c r="L131" s="384"/>
      <c r="M131" s="385"/>
      <c r="N131" s="385"/>
      <c r="O131" s="384"/>
      <c r="P131" s="384"/>
      <c r="Q131" s="382"/>
      <c r="R131" s="382"/>
      <c r="S131" s="386"/>
    </row>
    <row r="132" spans="2:19" x14ac:dyDescent="0.2">
      <c r="B132" s="377"/>
      <c r="C132" s="378"/>
      <c r="D132" s="379"/>
      <c r="E132" s="380"/>
      <c r="F132" s="458"/>
      <c r="G132" s="387"/>
      <c r="H132" s="388"/>
      <c r="I132" s="383"/>
      <c r="J132" s="384"/>
      <c r="K132" s="385"/>
      <c r="L132" s="384"/>
      <c r="M132" s="385"/>
      <c r="N132" s="385"/>
      <c r="O132" s="384"/>
      <c r="P132" s="384"/>
      <c r="Q132" s="382"/>
      <c r="R132" s="382"/>
      <c r="S132" s="386"/>
    </row>
    <row r="133" spans="2:19" x14ac:dyDescent="0.2">
      <c r="B133" s="389"/>
      <c r="C133" s="390"/>
      <c r="D133" s="391"/>
      <c r="E133" s="380"/>
      <c r="F133" s="381"/>
      <c r="G133" s="392"/>
      <c r="H133" s="382"/>
      <c r="I133" s="383"/>
      <c r="J133" s="384"/>
      <c r="K133" s="385"/>
      <c r="L133" s="384"/>
      <c r="M133" s="385"/>
      <c r="N133" s="385"/>
      <c r="O133" s="384"/>
      <c r="P133" s="342">
        <v>0.01</v>
      </c>
      <c r="Q133" s="382"/>
      <c r="R133" s="382" t="s">
        <v>813</v>
      </c>
      <c r="S133" s="343">
        <v>0.13</v>
      </c>
    </row>
    <row r="134" spans="2:19" x14ac:dyDescent="0.2">
      <c r="B134" s="393" t="s">
        <v>814</v>
      </c>
      <c r="C134" s="394" t="s">
        <v>608</v>
      </c>
      <c r="D134" s="395" t="s">
        <v>608</v>
      </c>
      <c r="E134" s="396" t="s">
        <v>609</v>
      </c>
      <c r="F134" s="396" t="s">
        <v>815</v>
      </c>
      <c r="G134" s="529" t="s">
        <v>816</v>
      </c>
      <c r="H134" s="975" t="s">
        <v>614</v>
      </c>
      <c r="I134" s="545" t="s">
        <v>817</v>
      </c>
      <c r="J134" s="546"/>
      <c r="K134" s="547" t="s">
        <v>818</v>
      </c>
      <c r="L134" s="548"/>
      <c r="M134" s="549"/>
      <c r="N134" s="530" t="s">
        <v>615</v>
      </c>
      <c r="O134" s="397" t="s">
        <v>819</v>
      </c>
      <c r="P134" s="398" t="s">
        <v>820</v>
      </c>
      <c r="Q134" s="399" t="s">
        <v>821</v>
      </c>
      <c r="R134" s="399" t="s">
        <v>822</v>
      </c>
      <c r="S134" s="399" t="s">
        <v>822</v>
      </c>
    </row>
    <row r="135" spans="2:19" x14ac:dyDescent="0.2">
      <c r="B135" s="400"/>
      <c r="C135" s="401" t="s">
        <v>823</v>
      </c>
      <c r="D135" s="402" t="s">
        <v>616</v>
      </c>
      <c r="E135" s="403" t="s">
        <v>616</v>
      </c>
      <c r="F135" s="404" t="s">
        <v>824</v>
      </c>
      <c r="G135" s="531" t="s">
        <v>617</v>
      </c>
      <c r="H135" s="976"/>
      <c r="I135" s="532" t="s">
        <v>825</v>
      </c>
      <c r="J135" s="533" t="s">
        <v>826</v>
      </c>
      <c r="K135" s="534" t="s">
        <v>825</v>
      </c>
      <c r="L135" s="535" t="s">
        <v>826</v>
      </c>
      <c r="M135" s="534" t="s">
        <v>157</v>
      </c>
      <c r="N135" s="536" t="s">
        <v>827</v>
      </c>
      <c r="O135" s="405" t="s">
        <v>828</v>
      </c>
      <c r="P135" s="405" t="s">
        <v>829</v>
      </c>
      <c r="Q135" s="406" t="s">
        <v>830</v>
      </c>
      <c r="R135" s="406" t="s">
        <v>831</v>
      </c>
      <c r="S135" s="406" t="s">
        <v>832</v>
      </c>
    </row>
    <row r="136" spans="2:19" x14ac:dyDescent="0.2">
      <c r="B136" s="407">
        <v>1</v>
      </c>
      <c r="C136" s="408">
        <v>43222</v>
      </c>
      <c r="D136" s="408">
        <v>43222</v>
      </c>
      <c r="E136" s="409" t="s">
        <v>977</v>
      </c>
      <c r="F136" s="376"/>
      <c r="G136" s="410" t="s">
        <v>781</v>
      </c>
      <c r="H136" s="411" t="s">
        <v>801</v>
      </c>
      <c r="I136" s="344"/>
      <c r="J136" s="344"/>
      <c r="K136" s="345">
        <v>4493.72</v>
      </c>
      <c r="L136" s="344"/>
      <c r="M136" s="344">
        <v>584.17999999999995</v>
      </c>
      <c r="N136" s="344">
        <f>+K136+M136</f>
        <v>5077.9000000000005</v>
      </c>
      <c r="O136" s="344">
        <v>0</v>
      </c>
      <c r="P136" s="417">
        <v>0</v>
      </c>
      <c r="Q136" s="344"/>
      <c r="R136" s="344"/>
      <c r="S136" s="344"/>
    </row>
    <row r="137" spans="2:19" x14ac:dyDescent="0.2">
      <c r="B137" s="412">
        <v>2</v>
      </c>
      <c r="C137" s="413">
        <v>43228</v>
      </c>
      <c r="D137" s="413">
        <v>43228</v>
      </c>
      <c r="E137" s="414" t="s">
        <v>978</v>
      </c>
      <c r="F137" s="453"/>
      <c r="G137" s="415" t="s">
        <v>158</v>
      </c>
      <c r="H137" s="416" t="s">
        <v>835</v>
      </c>
      <c r="I137" s="417"/>
      <c r="J137" s="417"/>
      <c r="K137" s="418">
        <v>132.19999999999999</v>
      </c>
      <c r="L137" s="417"/>
      <c r="M137" s="417">
        <v>17.190000000000001</v>
      </c>
      <c r="N137" s="417">
        <f t="shared" ref="N137:N144" si="5">+K137+M137</f>
        <v>149.38999999999999</v>
      </c>
      <c r="O137" s="417">
        <v>0</v>
      </c>
      <c r="P137" s="417">
        <v>0</v>
      </c>
      <c r="Q137" s="417"/>
      <c r="R137" s="417"/>
      <c r="S137" s="417"/>
    </row>
    <row r="138" spans="2:19" x14ac:dyDescent="0.2">
      <c r="B138" s="407">
        <v>3</v>
      </c>
      <c r="C138" s="408">
        <v>43234</v>
      </c>
      <c r="D138" s="408">
        <v>43222</v>
      </c>
      <c r="E138" s="409" t="s">
        <v>979</v>
      </c>
      <c r="F138" s="376" t="s">
        <v>980</v>
      </c>
      <c r="G138" s="410" t="s">
        <v>802</v>
      </c>
      <c r="H138" s="411" t="s">
        <v>803</v>
      </c>
      <c r="I138" s="344"/>
      <c r="J138" s="344"/>
      <c r="K138" s="345">
        <v>225.75</v>
      </c>
      <c r="L138" s="344"/>
      <c r="M138" s="344">
        <v>29.35</v>
      </c>
      <c r="N138" s="344">
        <f t="shared" si="5"/>
        <v>255.1</v>
      </c>
      <c r="O138" s="344">
        <v>0</v>
      </c>
      <c r="P138" s="417">
        <v>2.2599999999999998</v>
      </c>
      <c r="Q138" s="344"/>
      <c r="R138" s="344"/>
      <c r="S138" s="344"/>
    </row>
    <row r="139" spans="2:19" x14ac:dyDescent="0.2">
      <c r="B139" s="407">
        <v>4</v>
      </c>
      <c r="C139" s="408">
        <v>43235</v>
      </c>
      <c r="D139" s="408">
        <v>43235</v>
      </c>
      <c r="E139" s="409" t="s">
        <v>981</v>
      </c>
      <c r="F139" s="376"/>
      <c r="G139" s="410" t="s">
        <v>781</v>
      </c>
      <c r="H139" s="411" t="s">
        <v>801</v>
      </c>
      <c r="I139" s="344"/>
      <c r="J139" s="344"/>
      <c r="K139" s="345">
        <v>6476.86</v>
      </c>
      <c r="L139" s="344"/>
      <c r="M139" s="344">
        <v>841.99</v>
      </c>
      <c r="N139" s="344">
        <f t="shared" si="5"/>
        <v>7318.8499999999995</v>
      </c>
      <c r="O139" s="344">
        <v>0</v>
      </c>
      <c r="P139" s="417">
        <v>0</v>
      </c>
      <c r="Q139" s="344"/>
      <c r="R139" s="344"/>
      <c r="S139" s="344"/>
    </row>
    <row r="140" spans="2:19" x14ac:dyDescent="0.2">
      <c r="B140" s="407">
        <v>5</v>
      </c>
      <c r="C140" s="408">
        <v>43238</v>
      </c>
      <c r="D140" s="408">
        <v>43220</v>
      </c>
      <c r="E140" s="409" t="s">
        <v>982</v>
      </c>
      <c r="F140" s="376" t="s">
        <v>983</v>
      </c>
      <c r="G140" s="410" t="s">
        <v>806</v>
      </c>
      <c r="H140" s="411" t="s">
        <v>807</v>
      </c>
      <c r="I140" s="344"/>
      <c r="J140" s="344"/>
      <c r="K140" s="345">
        <v>942.2</v>
      </c>
      <c r="L140" s="344"/>
      <c r="M140" s="344">
        <v>122.49</v>
      </c>
      <c r="N140" s="344">
        <f t="shared" si="5"/>
        <v>1064.69</v>
      </c>
      <c r="O140" s="344">
        <v>0</v>
      </c>
      <c r="P140" s="417">
        <v>9.42</v>
      </c>
      <c r="Q140" s="344"/>
      <c r="R140" s="344"/>
      <c r="S140" s="344"/>
    </row>
    <row r="141" spans="2:19" x14ac:dyDescent="0.2">
      <c r="B141" s="407">
        <v>6</v>
      </c>
      <c r="C141" s="408">
        <v>43238</v>
      </c>
      <c r="D141" s="408">
        <v>43208</v>
      </c>
      <c r="E141" s="409" t="s">
        <v>984</v>
      </c>
      <c r="F141" s="376"/>
      <c r="G141" s="410" t="s">
        <v>781</v>
      </c>
      <c r="H141" s="411" t="s">
        <v>801</v>
      </c>
      <c r="I141" s="344"/>
      <c r="J141" s="344"/>
      <c r="K141" s="345">
        <v>195</v>
      </c>
      <c r="L141" s="344"/>
      <c r="M141" s="344">
        <v>25.35</v>
      </c>
      <c r="N141" s="344">
        <f t="shared" si="5"/>
        <v>220.35</v>
      </c>
      <c r="O141" s="344">
        <v>0</v>
      </c>
      <c r="P141" s="417">
        <v>0</v>
      </c>
      <c r="Q141" s="344"/>
      <c r="R141" s="344"/>
      <c r="S141" s="344"/>
    </row>
    <row r="142" spans="2:19" x14ac:dyDescent="0.2">
      <c r="B142" s="407">
        <v>7</v>
      </c>
      <c r="C142" s="408">
        <v>43238</v>
      </c>
      <c r="D142" s="408">
        <v>43220</v>
      </c>
      <c r="E142" s="409" t="s">
        <v>985</v>
      </c>
      <c r="F142" s="376"/>
      <c r="G142" s="410" t="s">
        <v>781</v>
      </c>
      <c r="H142" s="411" t="s">
        <v>801</v>
      </c>
      <c r="I142" s="344"/>
      <c r="J142" s="344"/>
      <c r="K142" s="345">
        <v>106.73</v>
      </c>
      <c r="L142" s="344"/>
      <c r="M142" s="344">
        <v>13.88</v>
      </c>
      <c r="N142" s="344">
        <f t="shared" si="5"/>
        <v>120.61</v>
      </c>
      <c r="O142" s="344">
        <v>0</v>
      </c>
      <c r="P142" s="417">
        <v>0</v>
      </c>
      <c r="Q142" s="344"/>
      <c r="R142" s="344"/>
      <c r="S142" s="344"/>
    </row>
    <row r="143" spans="2:19" x14ac:dyDescent="0.2">
      <c r="B143" s="407">
        <v>8</v>
      </c>
      <c r="C143" s="408">
        <v>43243</v>
      </c>
      <c r="D143" s="408">
        <v>43241</v>
      </c>
      <c r="E143" s="409" t="s">
        <v>986</v>
      </c>
      <c r="F143" s="376"/>
      <c r="G143" s="410" t="s">
        <v>804</v>
      </c>
      <c r="H143" s="411" t="s">
        <v>805</v>
      </c>
      <c r="I143" s="344"/>
      <c r="J143" s="344"/>
      <c r="K143" s="345">
        <v>63</v>
      </c>
      <c r="L143" s="344"/>
      <c r="M143" s="344">
        <v>8.19</v>
      </c>
      <c r="N143" s="344">
        <f t="shared" si="5"/>
        <v>71.19</v>
      </c>
      <c r="O143" s="344">
        <v>0</v>
      </c>
      <c r="P143" s="417">
        <v>0</v>
      </c>
      <c r="Q143" s="344"/>
      <c r="R143" s="344"/>
      <c r="S143" s="344"/>
    </row>
    <row r="144" spans="2:19" x14ac:dyDescent="0.2">
      <c r="B144" s="407">
        <v>9</v>
      </c>
      <c r="C144" s="408">
        <v>43243</v>
      </c>
      <c r="D144" s="471">
        <v>43241</v>
      </c>
      <c r="E144" s="409" t="s">
        <v>987</v>
      </c>
      <c r="F144" s="376"/>
      <c r="G144" s="410" t="s">
        <v>804</v>
      </c>
      <c r="H144" s="411" t="s">
        <v>805</v>
      </c>
      <c r="I144" s="344"/>
      <c r="J144" s="344"/>
      <c r="K144" s="345">
        <v>64.8</v>
      </c>
      <c r="L144" s="344"/>
      <c r="M144" s="344">
        <v>8.42</v>
      </c>
      <c r="N144" s="344">
        <f t="shared" si="5"/>
        <v>73.22</v>
      </c>
      <c r="O144" s="344">
        <v>0</v>
      </c>
      <c r="P144" s="417">
        <v>0</v>
      </c>
      <c r="Q144" s="344"/>
      <c r="R144" s="344"/>
      <c r="S144" s="344"/>
    </row>
    <row r="146" spans="2:19" x14ac:dyDescent="0.2">
      <c r="H146" s="346" t="s">
        <v>868</v>
      </c>
      <c r="M146" s="351">
        <v>-1651.04</v>
      </c>
      <c r="P146" s="346">
        <v>0</v>
      </c>
    </row>
    <row r="148" spans="2:19" ht="13.5" thickBot="1" x14ac:dyDescent="0.25">
      <c r="B148" s="482"/>
      <c r="C148" s="483"/>
      <c r="D148" s="574"/>
      <c r="E148" s="483"/>
      <c r="F148" s="485"/>
      <c r="G148" s="486"/>
      <c r="H148" s="487"/>
      <c r="I148" s="488"/>
      <c r="J148" s="489"/>
      <c r="K148" s="489"/>
      <c r="L148" s="504"/>
      <c r="M148" s="489"/>
      <c r="N148" s="489"/>
      <c r="O148" s="489"/>
      <c r="P148" s="489"/>
      <c r="Q148" s="491"/>
      <c r="R148" s="491"/>
      <c r="S148" s="491"/>
    </row>
    <row r="149" spans="2:19" x14ac:dyDescent="0.2">
      <c r="B149" s="389"/>
      <c r="C149" s="378"/>
      <c r="D149" s="379"/>
      <c r="E149" s="378"/>
      <c r="F149" s="498"/>
      <c r="G149" s="494"/>
      <c r="H149" s="499" t="s">
        <v>856</v>
      </c>
      <c r="I149" s="496">
        <v>0</v>
      </c>
      <c r="J149" s="496">
        <v>0</v>
      </c>
      <c r="K149" s="496">
        <v>12700.259999999998</v>
      </c>
      <c r="L149" s="496">
        <v>0</v>
      </c>
      <c r="M149" s="496">
        <v>0</v>
      </c>
      <c r="N149" s="496">
        <v>14351.300000000003</v>
      </c>
      <c r="O149" s="496">
        <v>0</v>
      </c>
      <c r="P149" s="496">
        <v>11.68</v>
      </c>
      <c r="Q149" s="496">
        <v>0</v>
      </c>
      <c r="R149" s="496">
        <v>0</v>
      </c>
      <c r="S149" s="496">
        <v>0</v>
      </c>
    </row>
    <row r="150" spans="2:19" ht="13.5" thickBot="1" x14ac:dyDescent="0.25">
      <c r="B150" s="482"/>
      <c r="C150" s="500"/>
      <c r="D150" s="501"/>
      <c r="E150" s="500"/>
      <c r="F150" s="502"/>
      <c r="G150" s="486"/>
      <c r="H150" s="503"/>
      <c r="I150" s="490"/>
      <c r="J150" s="504"/>
      <c r="K150" s="504"/>
      <c r="L150" s="504"/>
      <c r="M150" s="504"/>
      <c r="N150" s="504"/>
      <c r="O150" s="504"/>
      <c r="P150" s="504"/>
      <c r="Q150" s="490"/>
      <c r="R150" s="490"/>
      <c r="S150" s="505"/>
    </row>
    <row r="158" spans="2:19" ht="15.75" x14ac:dyDescent="0.25">
      <c r="B158" s="337" t="s">
        <v>812</v>
      </c>
      <c r="C158" s="338" t="s">
        <v>259</v>
      </c>
      <c r="D158" s="339"/>
      <c r="E158" s="340">
        <v>2018</v>
      </c>
      <c r="F158" s="333"/>
      <c r="G158" s="334"/>
      <c r="H158" s="376"/>
      <c r="I158" s="341"/>
      <c r="J158" s="341"/>
      <c r="K158" s="341"/>
      <c r="L158" s="341"/>
      <c r="M158" s="341"/>
      <c r="N158" s="336"/>
      <c r="O158" s="330"/>
      <c r="P158" s="330"/>
      <c r="Q158" s="330"/>
      <c r="R158" s="330"/>
      <c r="S158" s="330"/>
    </row>
    <row r="159" spans="2:19" x14ac:dyDescent="0.2">
      <c r="B159" s="377"/>
      <c r="C159" s="378"/>
      <c r="D159" s="379"/>
      <c r="E159" s="380"/>
      <c r="F159" s="381"/>
      <c r="G159" s="382"/>
      <c r="H159" s="382"/>
      <c r="I159" s="383"/>
      <c r="J159" s="384"/>
      <c r="K159" s="385"/>
      <c r="L159" s="384"/>
      <c r="M159" s="385"/>
      <c r="N159" s="385"/>
      <c r="O159" s="384"/>
      <c r="P159" s="384"/>
      <c r="Q159" s="382"/>
      <c r="R159" s="382"/>
      <c r="S159" s="386"/>
    </row>
    <row r="160" spans="2:19" x14ac:dyDescent="0.2">
      <c r="B160" s="377"/>
      <c r="C160" s="378"/>
      <c r="D160" s="379"/>
      <c r="E160" s="380"/>
      <c r="F160" s="458"/>
      <c r="G160" s="387"/>
      <c r="H160" s="388"/>
      <c r="I160" s="383"/>
      <c r="J160" s="384"/>
      <c r="K160" s="385"/>
      <c r="L160" s="384"/>
      <c r="M160" s="385"/>
      <c r="N160" s="385"/>
      <c r="O160" s="384"/>
      <c r="P160" s="384"/>
      <c r="Q160" s="382"/>
      <c r="R160" s="382"/>
      <c r="S160" s="386"/>
    </row>
    <row r="161" spans="2:19" x14ac:dyDescent="0.2">
      <c r="B161" s="389"/>
      <c r="C161" s="390"/>
      <c r="D161" s="391"/>
      <c r="E161" s="380"/>
      <c r="F161" s="381"/>
      <c r="G161" s="392"/>
      <c r="H161" s="382"/>
      <c r="I161" s="383"/>
      <c r="J161" s="384"/>
      <c r="K161" s="385"/>
      <c r="L161" s="384"/>
      <c r="M161" s="385"/>
      <c r="N161" s="385"/>
      <c r="O161" s="384"/>
      <c r="P161" s="342">
        <v>0.01</v>
      </c>
      <c r="Q161" s="382"/>
      <c r="R161" s="382" t="s">
        <v>813</v>
      </c>
      <c r="S161" s="343">
        <v>0.13</v>
      </c>
    </row>
    <row r="162" spans="2:19" x14ac:dyDescent="0.2">
      <c r="B162" s="393" t="s">
        <v>814</v>
      </c>
      <c r="C162" s="394" t="s">
        <v>608</v>
      </c>
      <c r="D162" s="395" t="s">
        <v>608</v>
      </c>
      <c r="E162" s="396" t="s">
        <v>609</v>
      </c>
      <c r="F162" s="396" t="s">
        <v>815</v>
      </c>
      <c r="G162" s="529" t="s">
        <v>816</v>
      </c>
      <c r="H162" s="975" t="s">
        <v>614</v>
      </c>
      <c r="I162" s="545" t="s">
        <v>817</v>
      </c>
      <c r="J162" s="546"/>
      <c r="K162" s="547" t="s">
        <v>818</v>
      </c>
      <c r="L162" s="548"/>
      <c r="M162" s="549"/>
      <c r="N162" s="530" t="s">
        <v>615</v>
      </c>
      <c r="O162" s="397" t="s">
        <v>819</v>
      </c>
      <c r="P162" s="398" t="s">
        <v>820</v>
      </c>
      <c r="Q162" s="399" t="s">
        <v>821</v>
      </c>
      <c r="R162" s="399" t="s">
        <v>822</v>
      </c>
      <c r="S162" s="399" t="s">
        <v>822</v>
      </c>
    </row>
    <row r="163" spans="2:19" x14ac:dyDescent="0.2">
      <c r="B163" s="400"/>
      <c r="C163" s="401" t="s">
        <v>823</v>
      </c>
      <c r="D163" s="402" t="s">
        <v>616</v>
      </c>
      <c r="E163" s="403" t="s">
        <v>616</v>
      </c>
      <c r="F163" s="404" t="s">
        <v>824</v>
      </c>
      <c r="G163" s="531" t="s">
        <v>617</v>
      </c>
      <c r="H163" s="976"/>
      <c r="I163" s="532" t="s">
        <v>825</v>
      </c>
      <c r="J163" s="533" t="s">
        <v>826</v>
      </c>
      <c r="K163" s="534" t="s">
        <v>825</v>
      </c>
      <c r="L163" s="535" t="s">
        <v>826</v>
      </c>
      <c r="M163" s="534" t="s">
        <v>157</v>
      </c>
      <c r="N163" s="536" t="s">
        <v>827</v>
      </c>
      <c r="O163" s="405" t="s">
        <v>828</v>
      </c>
      <c r="P163" s="405" t="s">
        <v>829</v>
      </c>
      <c r="Q163" s="406" t="s">
        <v>830</v>
      </c>
      <c r="R163" s="406" t="s">
        <v>831</v>
      </c>
      <c r="S163" s="406" t="s">
        <v>832</v>
      </c>
    </row>
    <row r="164" spans="2:19" x14ac:dyDescent="0.2">
      <c r="B164" s="407">
        <v>1</v>
      </c>
      <c r="C164" s="408">
        <v>43257</v>
      </c>
      <c r="D164" s="408">
        <v>43220</v>
      </c>
      <c r="E164" s="409" t="s">
        <v>1005</v>
      </c>
      <c r="F164" s="376"/>
      <c r="G164" s="410" t="s">
        <v>1006</v>
      </c>
      <c r="H164" s="411" t="s">
        <v>1013</v>
      </c>
      <c r="I164" s="344"/>
      <c r="J164" s="344"/>
      <c r="K164" s="345">
        <v>447</v>
      </c>
      <c r="L164" s="344"/>
      <c r="M164" s="344">
        <v>58.11</v>
      </c>
      <c r="N164" s="344">
        <f>+K164+M164</f>
        <v>505.11</v>
      </c>
      <c r="O164" s="344">
        <v>0</v>
      </c>
      <c r="P164" s="417">
        <v>0</v>
      </c>
      <c r="Q164" s="344"/>
      <c r="R164" s="344"/>
      <c r="S164" s="344"/>
    </row>
    <row r="165" spans="2:19" x14ac:dyDescent="0.2">
      <c r="B165" s="412">
        <v>2</v>
      </c>
      <c r="C165" s="413">
        <v>43258</v>
      </c>
      <c r="D165" s="413">
        <v>43258</v>
      </c>
      <c r="E165" s="414" t="s">
        <v>1007</v>
      </c>
      <c r="F165" s="453"/>
      <c r="G165" s="415" t="s">
        <v>158</v>
      </c>
      <c r="H165" s="416" t="s">
        <v>835</v>
      </c>
      <c r="I165" s="417"/>
      <c r="J165" s="417"/>
      <c r="K165" s="418">
        <v>132.19999999999999</v>
      </c>
      <c r="L165" s="417"/>
      <c r="M165" s="417">
        <v>17.190000000000001</v>
      </c>
      <c r="N165" s="417">
        <f t="shared" ref="N165:N168" si="6">+K165+M165</f>
        <v>149.38999999999999</v>
      </c>
      <c r="O165" s="417">
        <v>0</v>
      </c>
      <c r="P165" s="417">
        <v>0</v>
      </c>
      <c r="Q165" s="417"/>
      <c r="R165" s="417"/>
      <c r="S165" s="417"/>
    </row>
    <row r="166" spans="2:19" x14ac:dyDescent="0.2">
      <c r="B166" s="407">
        <v>3</v>
      </c>
      <c r="C166" s="408">
        <v>43263</v>
      </c>
      <c r="D166" s="408">
        <v>43255</v>
      </c>
      <c r="E166" s="409" t="s">
        <v>1008</v>
      </c>
      <c r="F166" s="376" t="s">
        <v>1009</v>
      </c>
      <c r="G166" s="410" t="s">
        <v>802</v>
      </c>
      <c r="H166" s="411" t="s">
        <v>803</v>
      </c>
      <c r="I166" s="344"/>
      <c r="J166" s="344"/>
      <c r="K166" s="345">
        <v>1033.32</v>
      </c>
      <c r="L166" s="344"/>
      <c r="M166" s="344">
        <v>134.33000000000001</v>
      </c>
      <c r="N166" s="344">
        <f t="shared" si="6"/>
        <v>1167.6499999999999</v>
      </c>
      <c r="O166" s="344">
        <v>0</v>
      </c>
      <c r="P166" s="417">
        <v>10.33</v>
      </c>
      <c r="Q166" s="344"/>
      <c r="R166" s="344"/>
      <c r="S166" s="344"/>
    </row>
    <row r="167" spans="2:19" x14ac:dyDescent="0.2">
      <c r="B167" s="407">
        <v>4</v>
      </c>
      <c r="C167" s="408">
        <v>43277</v>
      </c>
      <c r="D167" s="408">
        <v>43270</v>
      </c>
      <c r="E167" s="409" t="s">
        <v>1010</v>
      </c>
      <c r="F167" s="376" t="s">
        <v>1011</v>
      </c>
      <c r="G167" s="410" t="s">
        <v>802</v>
      </c>
      <c r="H167" s="411" t="s">
        <v>803</v>
      </c>
      <c r="I167" s="344"/>
      <c r="J167" s="344"/>
      <c r="K167" s="345">
        <v>118.18</v>
      </c>
      <c r="L167" s="344"/>
      <c r="M167" s="344">
        <v>15.36</v>
      </c>
      <c r="N167" s="344">
        <f t="shared" si="6"/>
        <v>133.54000000000002</v>
      </c>
      <c r="O167" s="344">
        <v>0</v>
      </c>
      <c r="P167" s="417">
        <v>1.18</v>
      </c>
      <c r="Q167" s="344"/>
      <c r="R167" s="344"/>
      <c r="S167" s="344"/>
    </row>
    <row r="168" spans="2:19" x14ac:dyDescent="0.2">
      <c r="B168" s="407">
        <v>5</v>
      </c>
      <c r="C168" s="408">
        <v>43278</v>
      </c>
      <c r="D168" s="408">
        <v>43278</v>
      </c>
      <c r="E168" s="409" t="s">
        <v>1012</v>
      </c>
      <c r="F168" s="376"/>
      <c r="G168" s="410" t="s">
        <v>781</v>
      </c>
      <c r="H168" s="411" t="s">
        <v>801</v>
      </c>
      <c r="I168" s="344"/>
      <c r="J168" s="344"/>
      <c r="K168" s="345">
        <v>36.78</v>
      </c>
      <c r="L168" s="344"/>
      <c r="M168" s="344">
        <v>4.78</v>
      </c>
      <c r="N168" s="344">
        <f t="shared" si="6"/>
        <v>41.56</v>
      </c>
      <c r="O168" s="344">
        <v>0</v>
      </c>
      <c r="P168" s="417">
        <v>0</v>
      </c>
      <c r="Q168" s="344"/>
      <c r="R168" s="344"/>
      <c r="S168" s="344"/>
    </row>
    <row r="172" spans="2:19" x14ac:dyDescent="0.2">
      <c r="B172" s="407"/>
      <c r="C172" s="408"/>
      <c r="D172" s="408"/>
      <c r="E172" s="409"/>
      <c r="F172" s="376"/>
      <c r="G172" s="410"/>
      <c r="H172" s="411" t="s">
        <v>868</v>
      </c>
      <c r="I172" s="344"/>
      <c r="J172" s="344"/>
      <c r="K172" s="516"/>
      <c r="L172" s="344"/>
      <c r="M172" s="516">
        <v>-229.77</v>
      </c>
      <c r="N172" s="344"/>
      <c r="O172" s="344"/>
      <c r="P172" s="417">
        <v>0</v>
      </c>
      <c r="Q172" s="344"/>
      <c r="R172" s="344"/>
      <c r="S172" s="344"/>
    </row>
    <row r="173" spans="2:19" x14ac:dyDescent="0.2">
      <c r="B173" s="407"/>
      <c r="C173" s="408"/>
      <c r="D173" s="408"/>
      <c r="E173" s="409"/>
      <c r="F173" s="376"/>
      <c r="G173" s="410"/>
      <c r="H173" s="411"/>
      <c r="I173" s="344"/>
      <c r="J173" s="344"/>
      <c r="K173" s="345"/>
      <c r="L173" s="344"/>
      <c r="M173" s="344"/>
      <c r="N173" s="344"/>
      <c r="O173" s="344"/>
      <c r="P173" s="417"/>
      <c r="Q173" s="344"/>
      <c r="R173" s="344"/>
      <c r="S173" s="344"/>
    </row>
    <row r="174" spans="2:19" x14ac:dyDescent="0.2">
      <c r="B174" s="407"/>
      <c r="C174" s="408"/>
      <c r="D174" s="408"/>
      <c r="E174" s="409"/>
      <c r="F174" s="550"/>
      <c r="G174" s="410"/>
      <c r="H174" s="411"/>
      <c r="I174" s="344"/>
      <c r="J174" s="344"/>
      <c r="K174" s="345"/>
      <c r="L174" s="344"/>
      <c r="M174" s="344"/>
      <c r="N174" s="344"/>
      <c r="O174" s="344"/>
      <c r="P174" s="344"/>
      <c r="Q174" s="344"/>
      <c r="R174" s="344"/>
      <c r="S174" s="344"/>
    </row>
    <row r="175" spans="2:19" x14ac:dyDescent="0.2">
      <c r="B175" s="407"/>
      <c r="C175" s="408"/>
      <c r="D175" s="408"/>
      <c r="E175" s="409"/>
      <c r="F175" s="550"/>
      <c r="G175" s="410"/>
      <c r="H175" s="411"/>
      <c r="I175" s="344"/>
      <c r="J175" s="344"/>
      <c r="K175" s="345"/>
      <c r="L175" s="344"/>
      <c r="M175" s="344"/>
      <c r="N175" s="344"/>
      <c r="O175" s="344"/>
      <c r="P175" s="344"/>
      <c r="Q175" s="344"/>
      <c r="R175" s="344"/>
      <c r="S175" s="344"/>
    </row>
    <row r="176" spans="2:19" x14ac:dyDescent="0.2">
      <c r="B176" s="407"/>
      <c r="C176" s="408"/>
      <c r="D176" s="408"/>
      <c r="E176" s="409"/>
      <c r="F176" s="550"/>
      <c r="G176" s="410"/>
      <c r="H176" s="411"/>
      <c r="I176" s="344"/>
      <c r="J176" s="344"/>
      <c r="K176" s="345"/>
      <c r="L176" s="344"/>
      <c r="M176" s="344"/>
      <c r="N176" s="344"/>
      <c r="O176" s="344"/>
      <c r="P176" s="344"/>
      <c r="Q176" s="344"/>
      <c r="R176" s="344"/>
      <c r="S176" s="344"/>
    </row>
    <row r="177" spans="2:19" x14ac:dyDescent="0.2">
      <c r="B177" s="407"/>
      <c r="C177" s="408"/>
      <c r="D177" s="408"/>
      <c r="E177" s="409"/>
      <c r="F177" s="550"/>
      <c r="G177" s="410"/>
      <c r="H177" s="411"/>
      <c r="I177" s="344"/>
      <c r="J177" s="344"/>
      <c r="K177" s="345"/>
      <c r="L177" s="344"/>
      <c r="M177" s="344"/>
      <c r="N177" s="344"/>
      <c r="O177" s="344"/>
      <c r="P177" s="417"/>
      <c r="Q177" s="344"/>
      <c r="R177" s="344"/>
      <c r="S177" s="344"/>
    </row>
    <row r="178" spans="2:19" x14ac:dyDescent="0.2">
      <c r="B178" s="407"/>
      <c r="C178" s="408"/>
      <c r="D178" s="408"/>
      <c r="E178" s="409"/>
      <c r="F178" s="977"/>
      <c r="G178" s="410"/>
      <c r="H178" s="411"/>
      <c r="I178" s="551"/>
      <c r="J178" s="344"/>
      <c r="K178" s="345"/>
      <c r="L178" s="344"/>
      <c r="M178" s="344"/>
      <c r="N178" s="344"/>
      <c r="O178" s="344"/>
      <c r="P178" s="344"/>
      <c r="Q178" s="344"/>
      <c r="R178" s="344"/>
      <c r="S178" s="344"/>
    </row>
    <row r="179" spans="2:19" x14ac:dyDescent="0.2">
      <c r="B179" s="407"/>
      <c r="C179" s="408"/>
      <c r="D179" s="408"/>
      <c r="E179" s="409"/>
      <c r="F179" s="977"/>
      <c r="G179" s="410"/>
      <c r="H179" s="411"/>
      <c r="I179" s="344"/>
      <c r="J179" s="344"/>
      <c r="K179" s="345"/>
      <c r="L179" s="344"/>
      <c r="M179" s="344"/>
      <c r="N179" s="344"/>
      <c r="O179" s="344"/>
      <c r="P179" s="344"/>
      <c r="Q179" s="344"/>
      <c r="R179" s="344"/>
      <c r="S179" s="344"/>
    </row>
    <row r="180" spans="2:19" x14ac:dyDescent="0.2">
      <c r="B180" s="407"/>
      <c r="C180" s="408"/>
      <c r="D180" s="408"/>
      <c r="E180" s="409"/>
      <c r="F180" s="537"/>
      <c r="G180" s="410"/>
      <c r="H180" s="411"/>
      <c r="I180" s="344"/>
      <c r="J180" s="344"/>
      <c r="K180" s="345"/>
      <c r="L180" s="344"/>
      <c r="M180" s="344"/>
      <c r="N180" s="344"/>
      <c r="O180" s="344"/>
      <c r="P180" s="344"/>
      <c r="Q180" s="344"/>
      <c r="R180" s="344"/>
      <c r="S180" s="344"/>
    </row>
    <row r="181" spans="2:19" x14ac:dyDescent="0.2">
      <c r="B181" s="407"/>
      <c r="C181" s="408"/>
      <c r="D181" s="408"/>
      <c r="E181" s="409"/>
      <c r="F181" s="538"/>
      <c r="G181" s="410"/>
      <c r="H181" s="411"/>
      <c r="I181" s="344"/>
      <c r="J181" s="344"/>
      <c r="K181" s="344"/>
      <c r="L181" s="344"/>
      <c r="M181" s="344"/>
      <c r="N181" s="344">
        <f t="shared" ref="N181" si="7">+K181+M181</f>
        <v>0</v>
      </c>
      <c r="O181" s="344"/>
      <c r="P181" s="344"/>
      <c r="Q181" s="344"/>
      <c r="R181" s="344"/>
      <c r="S181" s="344"/>
    </row>
    <row r="182" spans="2:19" ht="13.5" thickBot="1" x14ac:dyDescent="0.25">
      <c r="B182" s="482"/>
      <c r="C182" s="483"/>
      <c r="D182" s="484"/>
      <c r="E182" s="483"/>
      <c r="F182" s="485"/>
      <c r="G182" s="486"/>
      <c r="H182" s="487"/>
      <c r="I182" s="488"/>
      <c r="J182" s="489"/>
      <c r="K182" s="489"/>
      <c r="L182" s="490"/>
      <c r="M182" s="489"/>
      <c r="N182" s="489"/>
      <c r="O182" s="489"/>
      <c r="P182" s="489"/>
      <c r="Q182" s="491"/>
      <c r="R182" s="491"/>
      <c r="S182" s="491"/>
    </row>
    <row r="183" spans="2:19" x14ac:dyDescent="0.2">
      <c r="B183" s="389"/>
      <c r="C183" s="390"/>
      <c r="D183" s="492"/>
      <c r="E183" s="390"/>
      <c r="F183" s="493"/>
      <c r="G183" s="494"/>
      <c r="H183" s="392"/>
      <c r="I183" s="495"/>
      <c r="J183" s="385"/>
      <c r="K183" s="385"/>
      <c r="L183" s="496"/>
      <c r="M183" s="385"/>
      <c r="N183" s="385"/>
      <c r="O183" s="385"/>
      <c r="P183" s="385"/>
      <c r="Q183" s="497"/>
      <c r="R183" s="497"/>
      <c r="S183" s="497"/>
    </row>
    <row r="184" spans="2:19" x14ac:dyDescent="0.2">
      <c r="B184" s="389"/>
      <c r="C184" s="378"/>
      <c r="D184" s="379"/>
      <c r="E184" s="378"/>
      <c r="F184" s="498"/>
      <c r="G184" s="494"/>
      <c r="H184" s="499" t="s">
        <v>856</v>
      </c>
      <c r="I184" s="496">
        <f t="shared" ref="I184:S184" si="8">SUM(I144:I182)</f>
        <v>0</v>
      </c>
      <c r="J184" s="496">
        <f t="shared" si="8"/>
        <v>0</v>
      </c>
      <c r="K184" s="496">
        <f t="shared" si="8"/>
        <v>14532.539999999999</v>
      </c>
      <c r="L184" s="496">
        <f t="shared" si="8"/>
        <v>0</v>
      </c>
      <c r="M184" s="496">
        <f>SUM(M144:M182)</f>
        <v>-1642.6200000000001</v>
      </c>
      <c r="N184" s="496">
        <f t="shared" si="8"/>
        <v>16421.770000000004</v>
      </c>
      <c r="O184" s="496">
        <f t="shared" si="8"/>
        <v>0</v>
      </c>
      <c r="P184" s="496">
        <f t="shared" si="8"/>
        <v>23.2</v>
      </c>
      <c r="Q184" s="496">
        <f t="shared" si="8"/>
        <v>0</v>
      </c>
      <c r="R184" s="496">
        <f t="shared" si="8"/>
        <v>0</v>
      </c>
      <c r="S184" s="496">
        <f t="shared" si="8"/>
        <v>0.13</v>
      </c>
    </row>
    <row r="185" spans="2:19" ht="13.5" thickBot="1" x14ac:dyDescent="0.25">
      <c r="B185" s="482"/>
      <c r="C185" s="500"/>
      <c r="D185" s="501"/>
      <c r="E185" s="500"/>
      <c r="F185" s="502"/>
      <c r="G185" s="486"/>
      <c r="H185" s="503"/>
      <c r="I185" s="490"/>
      <c r="J185" s="504"/>
      <c r="K185" s="504"/>
      <c r="L185" s="504"/>
      <c r="M185" s="504"/>
      <c r="N185" s="504"/>
      <c r="O185" s="504"/>
      <c r="P185" s="504"/>
      <c r="Q185" s="490"/>
      <c r="R185" s="490"/>
      <c r="S185" s="505"/>
    </row>
    <row r="190" spans="2:19" ht="21" x14ac:dyDescent="0.35">
      <c r="B190" s="598" t="s">
        <v>811</v>
      </c>
      <c r="C190" s="599"/>
      <c r="D190" s="600"/>
      <c r="E190" s="600"/>
      <c r="F190" s="600"/>
      <c r="G190" s="601"/>
      <c r="H190" s="602"/>
      <c r="I190" s="602"/>
      <c r="J190" s="602"/>
      <c r="K190" s="602"/>
      <c r="L190" s="602"/>
      <c r="M190" s="602"/>
      <c r="N190" s="603"/>
      <c r="O190" s="597"/>
      <c r="P190" s="597"/>
      <c r="Q190" s="597"/>
      <c r="R190" s="597"/>
      <c r="S190" s="597"/>
    </row>
    <row r="191" spans="2:19" ht="15.75" x14ac:dyDescent="0.25">
      <c r="B191" s="600" t="s">
        <v>606</v>
      </c>
      <c r="C191" s="600"/>
      <c r="D191" s="600"/>
      <c r="E191" s="600"/>
      <c r="F191" s="600"/>
      <c r="G191" s="601"/>
      <c r="H191" s="602"/>
      <c r="I191" s="602"/>
      <c r="J191" s="602"/>
      <c r="K191" s="602"/>
      <c r="L191" s="974"/>
      <c r="M191" s="974"/>
      <c r="N191" s="603"/>
      <c r="O191" s="597"/>
      <c r="P191" s="597"/>
      <c r="Q191" s="597"/>
      <c r="R191" s="597"/>
      <c r="S191" s="597"/>
    </row>
    <row r="192" spans="2:19" ht="15.75" x14ac:dyDescent="0.25">
      <c r="B192" s="599" t="s">
        <v>607</v>
      </c>
      <c r="C192" s="600"/>
      <c r="D192" s="600"/>
      <c r="E192" s="600"/>
      <c r="F192" s="600"/>
      <c r="G192" s="601"/>
      <c r="H192" s="602"/>
      <c r="I192" s="602"/>
      <c r="J192" s="602"/>
      <c r="K192" s="602"/>
      <c r="L192" s="602"/>
      <c r="M192" s="602"/>
      <c r="N192" s="603"/>
      <c r="O192" s="597"/>
      <c r="P192" s="597"/>
      <c r="Q192" s="597"/>
      <c r="R192" s="597"/>
      <c r="S192" s="597"/>
    </row>
    <row r="193" spans="2:19" ht="15.75" x14ac:dyDescent="0.25">
      <c r="B193" s="600" t="s">
        <v>783</v>
      </c>
      <c r="C193" s="600"/>
      <c r="D193" s="600"/>
      <c r="E193" s="600"/>
      <c r="F193" s="600"/>
      <c r="G193" s="601"/>
      <c r="H193" s="602"/>
      <c r="I193" s="602"/>
      <c r="J193" s="602"/>
      <c r="K193" s="602"/>
      <c r="L193" s="602"/>
      <c r="M193" s="602"/>
      <c r="N193" s="603"/>
      <c r="O193" s="597"/>
      <c r="P193" s="597"/>
      <c r="Q193" s="597"/>
      <c r="R193" s="597"/>
      <c r="S193" s="597"/>
    </row>
    <row r="194" spans="2:19" ht="15.75" x14ac:dyDescent="0.25">
      <c r="B194" s="604" t="s">
        <v>812</v>
      </c>
      <c r="C194" s="605" t="s">
        <v>260</v>
      </c>
      <c r="D194" s="606"/>
      <c r="E194" s="607">
        <v>2018</v>
      </c>
      <c r="F194" s="600"/>
      <c r="G194" s="601"/>
      <c r="H194" s="608"/>
      <c r="I194" s="609"/>
      <c r="J194" s="609"/>
      <c r="K194" s="609"/>
      <c r="L194" s="609"/>
      <c r="M194" s="609"/>
      <c r="N194" s="603"/>
      <c r="O194" s="597"/>
      <c r="P194" s="597"/>
      <c r="Q194" s="597"/>
      <c r="R194" s="597"/>
      <c r="S194" s="597"/>
    </row>
    <row r="195" spans="2:19" x14ac:dyDescent="0.2">
      <c r="B195" s="610"/>
      <c r="C195" s="611"/>
      <c r="D195" s="612"/>
      <c r="E195" s="613"/>
      <c r="F195" s="614"/>
      <c r="G195" s="615"/>
      <c r="H195" s="615"/>
      <c r="I195" s="616"/>
      <c r="J195" s="617"/>
      <c r="K195" s="618"/>
      <c r="L195" s="617"/>
      <c r="M195" s="618"/>
      <c r="N195" s="618"/>
      <c r="O195" s="617"/>
      <c r="P195" s="617"/>
      <c r="Q195" s="615"/>
      <c r="R195" s="615"/>
      <c r="S195" s="619"/>
    </row>
    <row r="196" spans="2:19" x14ac:dyDescent="0.2">
      <c r="B196" s="610"/>
      <c r="C196" s="611"/>
      <c r="D196" s="612"/>
      <c r="E196" s="613"/>
      <c r="F196" s="620"/>
      <c r="G196" s="621"/>
      <c r="H196" s="622"/>
      <c r="I196" s="616"/>
      <c r="J196" s="617"/>
      <c r="K196" s="618"/>
      <c r="L196" s="617"/>
      <c r="M196" s="618"/>
      <c r="N196" s="618"/>
      <c r="O196" s="617"/>
      <c r="P196" s="617"/>
      <c r="Q196" s="615"/>
      <c r="R196" s="615"/>
      <c r="S196" s="619"/>
    </row>
    <row r="197" spans="2:19" x14ac:dyDescent="0.2">
      <c r="B197" s="623"/>
      <c r="C197" s="624"/>
      <c r="D197" s="625"/>
      <c r="E197" s="613"/>
      <c r="F197" s="614"/>
      <c r="G197" s="626"/>
      <c r="H197" s="615"/>
      <c r="I197" s="616"/>
      <c r="J197" s="617"/>
      <c r="K197" s="618"/>
      <c r="L197" s="617"/>
      <c r="M197" s="618"/>
      <c r="N197" s="618"/>
      <c r="O197" s="617"/>
      <c r="P197" s="627">
        <v>0.01</v>
      </c>
      <c r="Q197" s="615"/>
      <c r="R197" s="615" t="s">
        <v>813</v>
      </c>
      <c r="S197" s="628">
        <v>0.13</v>
      </c>
    </row>
    <row r="198" spans="2:19" x14ac:dyDescent="0.2">
      <c r="B198" s="629" t="s">
        <v>814</v>
      </c>
      <c r="C198" s="630" t="s">
        <v>608</v>
      </c>
      <c r="D198" s="631" t="s">
        <v>608</v>
      </c>
      <c r="E198" s="632" t="s">
        <v>609</v>
      </c>
      <c r="F198" s="632" t="s">
        <v>815</v>
      </c>
      <c r="G198" s="633" t="s">
        <v>816</v>
      </c>
      <c r="H198" s="978" t="s">
        <v>614</v>
      </c>
      <c r="I198" s="634" t="s">
        <v>817</v>
      </c>
      <c r="J198" s="635"/>
      <c r="K198" s="636" t="s">
        <v>818</v>
      </c>
      <c r="L198" s="637"/>
      <c r="M198" s="638"/>
      <c r="N198" s="639" t="s">
        <v>615</v>
      </c>
      <c r="O198" s="640" t="s">
        <v>819</v>
      </c>
      <c r="P198" s="641" t="s">
        <v>820</v>
      </c>
      <c r="Q198" s="642" t="s">
        <v>821</v>
      </c>
      <c r="R198" s="642" t="s">
        <v>822</v>
      </c>
      <c r="S198" s="642" t="s">
        <v>822</v>
      </c>
    </row>
    <row r="199" spans="2:19" x14ac:dyDescent="0.2">
      <c r="B199" s="643"/>
      <c r="C199" s="644" t="s">
        <v>823</v>
      </c>
      <c r="D199" s="645" t="s">
        <v>616</v>
      </c>
      <c r="E199" s="646" t="s">
        <v>616</v>
      </c>
      <c r="F199" s="647" t="s">
        <v>824</v>
      </c>
      <c r="G199" s="648" t="s">
        <v>617</v>
      </c>
      <c r="H199" s="979"/>
      <c r="I199" s="649" t="s">
        <v>825</v>
      </c>
      <c r="J199" s="650" t="s">
        <v>826</v>
      </c>
      <c r="K199" s="651" t="s">
        <v>825</v>
      </c>
      <c r="L199" s="652" t="s">
        <v>826</v>
      </c>
      <c r="M199" s="651" t="s">
        <v>157</v>
      </c>
      <c r="N199" s="653" t="s">
        <v>827</v>
      </c>
      <c r="O199" s="654" t="s">
        <v>828</v>
      </c>
      <c r="P199" s="654" t="s">
        <v>829</v>
      </c>
      <c r="Q199" s="655" t="s">
        <v>830</v>
      </c>
      <c r="R199" s="655" t="s">
        <v>831</v>
      </c>
      <c r="S199" s="655" t="s">
        <v>832</v>
      </c>
    </row>
    <row r="200" spans="2:19" x14ac:dyDescent="0.2">
      <c r="B200" s="656">
        <v>1</v>
      </c>
      <c r="C200" s="657">
        <v>43287</v>
      </c>
      <c r="D200" s="657">
        <v>43283</v>
      </c>
      <c r="E200" s="658" t="s">
        <v>1015</v>
      </c>
      <c r="F200" s="608" t="s">
        <v>1016</v>
      </c>
      <c r="G200" s="659" t="s">
        <v>802</v>
      </c>
      <c r="H200" s="660" t="s">
        <v>803</v>
      </c>
      <c r="I200" s="661"/>
      <c r="J200" s="661"/>
      <c r="K200" s="662">
        <v>118.18</v>
      </c>
      <c r="L200" s="661"/>
      <c r="M200" s="661">
        <v>15.36</v>
      </c>
      <c r="N200" s="661">
        <v>133.54000000000002</v>
      </c>
      <c r="O200" s="661">
        <v>0</v>
      </c>
      <c r="P200" s="663">
        <v>1.18</v>
      </c>
      <c r="Q200" s="661"/>
      <c r="R200" s="661"/>
      <c r="S200" s="661"/>
    </row>
    <row r="201" spans="2:19" x14ac:dyDescent="0.2">
      <c r="B201" s="656">
        <v>2</v>
      </c>
      <c r="C201" s="657">
        <v>43290</v>
      </c>
      <c r="D201" s="657">
        <v>43272</v>
      </c>
      <c r="E201" s="658" t="s">
        <v>1017</v>
      </c>
      <c r="F201" s="608"/>
      <c r="G201" s="659" t="s">
        <v>804</v>
      </c>
      <c r="H201" s="660" t="s">
        <v>805</v>
      </c>
      <c r="I201" s="661"/>
      <c r="J201" s="661"/>
      <c r="K201" s="662">
        <v>72</v>
      </c>
      <c r="L201" s="661"/>
      <c r="M201" s="661">
        <v>9.36</v>
      </c>
      <c r="N201" s="661">
        <v>81.36</v>
      </c>
      <c r="O201" s="661">
        <v>0</v>
      </c>
      <c r="P201" s="663">
        <v>0</v>
      </c>
      <c r="Q201" s="661"/>
      <c r="R201" s="661"/>
      <c r="S201" s="661"/>
    </row>
    <row r="202" spans="2:19" x14ac:dyDescent="0.2">
      <c r="B202" s="656">
        <v>3</v>
      </c>
      <c r="C202" s="657">
        <v>43290</v>
      </c>
      <c r="D202" s="657">
        <v>43279</v>
      </c>
      <c r="E202" s="658" t="s">
        <v>1018</v>
      </c>
      <c r="F202" s="608"/>
      <c r="G202" s="659" t="s">
        <v>804</v>
      </c>
      <c r="H202" s="660" t="s">
        <v>805</v>
      </c>
      <c r="I202" s="661"/>
      <c r="J202" s="661"/>
      <c r="K202" s="662">
        <v>63</v>
      </c>
      <c r="L202" s="661"/>
      <c r="M202" s="661">
        <v>8.19</v>
      </c>
      <c r="N202" s="661">
        <v>71.19</v>
      </c>
      <c r="O202" s="661">
        <v>0</v>
      </c>
      <c r="P202" s="663">
        <v>0</v>
      </c>
      <c r="Q202" s="661"/>
      <c r="R202" s="661"/>
      <c r="S202" s="661"/>
    </row>
    <row r="203" spans="2:19" x14ac:dyDescent="0.2">
      <c r="B203" s="656">
        <v>4</v>
      </c>
      <c r="C203" s="657">
        <v>43291</v>
      </c>
      <c r="D203" s="657">
        <v>43291</v>
      </c>
      <c r="E203" s="658" t="s">
        <v>1019</v>
      </c>
      <c r="F203" s="608"/>
      <c r="G203" s="659" t="s">
        <v>158</v>
      </c>
      <c r="H203" s="703" t="s">
        <v>835</v>
      </c>
      <c r="I203" s="704"/>
      <c r="J203" s="704"/>
      <c r="K203" s="705">
        <v>132.19999999999999</v>
      </c>
      <c r="L203" s="704"/>
      <c r="M203" s="704">
        <v>17.190000000000001</v>
      </c>
      <c r="N203" s="704">
        <v>149.38999999999999</v>
      </c>
      <c r="O203" s="704">
        <v>0</v>
      </c>
      <c r="P203" s="704">
        <v>0</v>
      </c>
      <c r="Q203" s="661"/>
      <c r="R203" s="661"/>
      <c r="S203" s="661"/>
    </row>
    <row r="204" spans="2:19" x14ac:dyDescent="0.2">
      <c r="B204" s="656">
        <v>5</v>
      </c>
      <c r="C204" s="657">
        <v>43293</v>
      </c>
      <c r="D204" s="657">
        <v>43283</v>
      </c>
      <c r="E204" s="658" t="s">
        <v>1020</v>
      </c>
      <c r="F204" s="608" t="s">
        <v>1021</v>
      </c>
      <c r="G204" s="659" t="s">
        <v>802</v>
      </c>
      <c r="H204" s="660" t="s">
        <v>803</v>
      </c>
      <c r="I204" s="661"/>
      <c r="J204" s="661"/>
      <c r="K204" s="662">
        <v>344.44</v>
      </c>
      <c r="L204" s="661"/>
      <c r="M204" s="661">
        <v>44.78</v>
      </c>
      <c r="N204" s="661">
        <v>389.22</v>
      </c>
      <c r="O204" s="661">
        <v>0</v>
      </c>
      <c r="P204" s="663">
        <v>3.44</v>
      </c>
      <c r="Q204" s="661"/>
      <c r="R204" s="661"/>
      <c r="S204" s="661"/>
    </row>
    <row r="205" spans="2:19" x14ac:dyDescent="0.2">
      <c r="B205" s="656">
        <v>6</v>
      </c>
      <c r="C205" s="657">
        <v>43298</v>
      </c>
      <c r="D205" s="657">
        <v>43241</v>
      </c>
      <c r="E205" s="658" t="s">
        <v>1022</v>
      </c>
      <c r="F205" s="608"/>
      <c r="G205" s="659" t="s">
        <v>781</v>
      </c>
      <c r="H205" s="660" t="s">
        <v>801</v>
      </c>
      <c r="I205" s="661"/>
      <c r="J205" s="661"/>
      <c r="K205" s="662">
        <v>195</v>
      </c>
      <c r="L205" s="661"/>
      <c r="M205" s="661">
        <v>25.35</v>
      </c>
      <c r="N205" s="661">
        <v>220.35</v>
      </c>
      <c r="O205" s="661">
        <v>0</v>
      </c>
      <c r="P205" s="663">
        <v>0</v>
      </c>
      <c r="Q205" s="661"/>
      <c r="R205" s="661"/>
      <c r="S205" s="661"/>
    </row>
    <row r="206" spans="2:19" x14ac:dyDescent="0.2">
      <c r="B206" s="656">
        <v>43298</v>
      </c>
      <c r="C206" s="657">
        <v>43298</v>
      </c>
      <c r="D206" s="657">
        <v>43251</v>
      </c>
      <c r="E206" s="658" t="s">
        <v>1023</v>
      </c>
      <c r="F206" s="608" t="s">
        <v>1024</v>
      </c>
      <c r="G206" s="659" t="s">
        <v>806</v>
      </c>
      <c r="H206" s="660" t="s">
        <v>807</v>
      </c>
      <c r="I206" s="661"/>
      <c r="J206" s="661"/>
      <c r="K206" s="662">
        <v>1423.99</v>
      </c>
      <c r="L206" s="661"/>
      <c r="M206" s="661">
        <v>185.12</v>
      </c>
      <c r="N206" s="661">
        <v>1609.1100000000001</v>
      </c>
      <c r="O206" s="661">
        <v>0</v>
      </c>
      <c r="P206" s="663">
        <v>14.24</v>
      </c>
      <c r="Q206" s="661"/>
      <c r="R206" s="661"/>
      <c r="S206" s="661"/>
    </row>
    <row r="207" spans="2:19" x14ac:dyDescent="0.2">
      <c r="B207" s="656">
        <v>43298</v>
      </c>
      <c r="C207" s="657">
        <v>43298</v>
      </c>
      <c r="D207" s="657">
        <v>43298</v>
      </c>
      <c r="E207" s="658">
        <v>32104062018</v>
      </c>
      <c r="F207" s="608"/>
      <c r="G207" s="659" t="s">
        <v>1004</v>
      </c>
      <c r="H207" s="660" t="s">
        <v>1025</v>
      </c>
      <c r="I207" s="661"/>
      <c r="J207" s="661"/>
      <c r="K207" s="662">
        <v>321</v>
      </c>
      <c r="L207" s="661"/>
      <c r="M207" s="661">
        <v>41.73</v>
      </c>
      <c r="N207" s="661">
        <v>362.73</v>
      </c>
      <c r="O207" s="661"/>
      <c r="P207" s="663">
        <v>0</v>
      </c>
      <c r="Q207" s="661"/>
      <c r="R207" s="661">
        <v>64.2</v>
      </c>
      <c r="S207" s="661">
        <v>41.73</v>
      </c>
    </row>
    <row r="208" spans="2:19" x14ac:dyDescent="0.2">
      <c r="B208" s="656">
        <v>9</v>
      </c>
      <c r="C208" s="657">
        <v>43299</v>
      </c>
      <c r="D208" s="664">
        <v>43265</v>
      </c>
      <c r="E208" s="658" t="s">
        <v>1026</v>
      </c>
      <c r="F208" s="608"/>
      <c r="G208" s="659" t="s">
        <v>781</v>
      </c>
      <c r="H208" s="660" t="s">
        <v>801</v>
      </c>
      <c r="I208" s="661"/>
      <c r="J208" s="661"/>
      <c r="K208" s="662">
        <v>195</v>
      </c>
      <c r="L208" s="661"/>
      <c r="M208" s="661">
        <v>25.35</v>
      </c>
      <c r="N208" s="661">
        <v>220.35</v>
      </c>
      <c r="O208" s="661">
        <v>0</v>
      </c>
      <c r="P208" s="663">
        <v>0</v>
      </c>
      <c r="Q208" s="661"/>
      <c r="R208" s="661"/>
      <c r="S208" s="661"/>
    </row>
    <row r="209" spans="2:19" x14ac:dyDescent="0.2">
      <c r="B209" s="656">
        <v>10</v>
      </c>
      <c r="C209" s="657">
        <v>43299</v>
      </c>
      <c r="D209" s="664">
        <v>43280</v>
      </c>
      <c r="E209" s="658" t="s">
        <v>1027</v>
      </c>
      <c r="F209" s="608"/>
      <c r="G209" s="659" t="s">
        <v>781</v>
      </c>
      <c r="H209" s="660" t="s">
        <v>801</v>
      </c>
      <c r="I209" s="661"/>
      <c r="J209" s="661"/>
      <c r="K209" s="662">
        <v>263.22000000000003</v>
      </c>
      <c r="L209" s="661"/>
      <c r="M209" s="661">
        <v>34.22</v>
      </c>
      <c r="N209" s="661">
        <v>297.44000000000005</v>
      </c>
      <c r="O209" s="661">
        <v>0</v>
      </c>
      <c r="P209" s="663">
        <v>0</v>
      </c>
      <c r="Q209" s="661"/>
      <c r="R209" s="661"/>
      <c r="S209" s="661"/>
    </row>
    <row r="210" spans="2:19" x14ac:dyDescent="0.2">
      <c r="B210" s="656">
        <v>11</v>
      </c>
      <c r="C210" s="657">
        <v>43299</v>
      </c>
      <c r="D210" s="664">
        <v>43280</v>
      </c>
      <c r="E210" s="658" t="s">
        <v>1028</v>
      </c>
      <c r="F210" s="608" t="s">
        <v>1029</v>
      </c>
      <c r="G210" s="659" t="s">
        <v>806</v>
      </c>
      <c r="H210" s="660" t="s">
        <v>807</v>
      </c>
      <c r="I210" s="661"/>
      <c r="J210" s="661"/>
      <c r="K210" s="662">
        <v>1003.12</v>
      </c>
      <c r="L210" s="661"/>
      <c r="M210" s="661">
        <v>130.41</v>
      </c>
      <c r="N210" s="661">
        <v>1133.53</v>
      </c>
      <c r="O210" s="661">
        <v>0</v>
      </c>
      <c r="P210" s="663">
        <v>10.029999999999999</v>
      </c>
      <c r="Q210" s="661"/>
      <c r="R210" s="661"/>
      <c r="S210" s="661"/>
    </row>
    <row r="211" spans="2:19" x14ac:dyDescent="0.2">
      <c r="B211" s="656">
        <v>12</v>
      </c>
      <c r="C211" s="657">
        <v>43305</v>
      </c>
      <c r="D211" s="664">
        <v>43300</v>
      </c>
      <c r="E211" s="658" t="s">
        <v>1030</v>
      </c>
      <c r="F211" s="608"/>
      <c r="G211" s="659" t="s">
        <v>804</v>
      </c>
      <c r="H211" s="660" t="s">
        <v>805</v>
      </c>
      <c r="I211" s="661"/>
      <c r="J211" s="661"/>
      <c r="K211" s="662">
        <v>60</v>
      </c>
      <c r="L211" s="661"/>
      <c r="M211" s="661">
        <v>7.8</v>
      </c>
      <c r="N211" s="661">
        <v>67.8</v>
      </c>
      <c r="O211" s="661">
        <v>0</v>
      </c>
      <c r="P211" s="663">
        <v>0</v>
      </c>
      <c r="Q211" s="661"/>
      <c r="R211" s="661"/>
      <c r="S211" s="661"/>
    </row>
    <row r="212" spans="2:19" x14ac:dyDescent="0.2">
      <c r="B212" s="656">
        <v>13</v>
      </c>
      <c r="C212" s="657">
        <v>43305</v>
      </c>
      <c r="D212" s="664">
        <v>43300</v>
      </c>
      <c r="E212" s="658" t="s">
        <v>1031</v>
      </c>
      <c r="F212" s="608"/>
      <c r="G212" s="659" t="s">
        <v>804</v>
      </c>
      <c r="H212" s="660" t="s">
        <v>805</v>
      </c>
      <c r="I212" s="661"/>
      <c r="J212" s="661"/>
      <c r="K212" s="662">
        <v>72</v>
      </c>
      <c r="L212" s="661"/>
      <c r="M212" s="661">
        <v>9.36</v>
      </c>
      <c r="N212" s="661">
        <v>81.36</v>
      </c>
      <c r="O212" s="661">
        <v>0</v>
      </c>
      <c r="P212" s="663">
        <v>0</v>
      </c>
      <c r="Q212" s="661"/>
      <c r="R212" s="661"/>
      <c r="S212" s="661"/>
    </row>
    <row r="213" spans="2:19" x14ac:dyDescent="0.2">
      <c r="B213" s="656">
        <v>14</v>
      </c>
      <c r="C213" s="657">
        <v>43305</v>
      </c>
      <c r="D213" s="664">
        <v>43250</v>
      </c>
      <c r="E213" s="658" t="s">
        <v>1032</v>
      </c>
      <c r="F213" s="665" t="s">
        <v>1033</v>
      </c>
      <c r="G213" s="659" t="s">
        <v>936</v>
      </c>
      <c r="H213" s="660" t="s">
        <v>942</v>
      </c>
      <c r="I213" s="661"/>
      <c r="J213" s="661"/>
      <c r="K213" s="662">
        <v>418.8</v>
      </c>
      <c r="L213" s="661"/>
      <c r="M213" s="661">
        <v>54.44</v>
      </c>
      <c r="N213" s="661">
        <v>473.24</v>
      </c>
      <c r="O213" s="661">
        <v>0</v>
      </c>
      <c r="P213" s="663">
        <v>4.1900000000000004</v>
      </c>
      <c r="Q213" s="661"/>
      <c r="R213" s="661"/>
      <c r="S213" s="661"/>
    </row>
    <row r="214" spans="2:19" x14ac:dyDescent="0.2">
      <c r="B214" s="656">
        <v>15</v>
      </c>
      <c r="C214" s="657">
        <v>43306</v>
      </c>
      <c r="D214" s="664">
        <v>43281</v>
      </c>
      <c r="E214" s="658" t="s">
        <v>1034</v>
      </c>
      <c r="F214" s="665" t="s">
        <v>1035</v>
      </c>
      <c r="G214" s="659" t="s">
        <v>936</v>
      </c>
      <c r="H214" s="660" t="s">
        <v>942</v>
      </c>
      <c r="I214" s="661"/>
      <c r="J214" s="661"/>
      <c r="K214" s="662">
        <v>418.8</v>
      </c>
      <c r="L214" s="661"/>
      <c r="M214" s="661">
        <v>54.44</v>
      </c>
      <c r="N214" s="661">
        <v>473.24</v>
      </c>
      <c r="O214" s="661">
        <v>0</v>
      </c>
      <c r="P214" s="663">
        <v>4.1900000000000004</v>
      </c>
      <c r="Q214" s="661"/>
      <c r="R214" s="661"/>
      <c r="S214" s="661"/>
    </row>
    <row r="215" spans="2:19" x14ac:dyDescent="0.2">
      <c r="B215" s="656"/>
      <c r="C215" s="657"/>
      <c r="D215" s="657"/>
      <c r="E215" s="658"/>
      <c r="F215" s="608"/>
      <c r="G215" s="659"/>
      <c r="H215" s="660" t="s">
        <v>868</v>
      </c>
      <c r="I215" s="661"/>
      <c r="J215" s="661"/>
      <c r="K215" s="666"/>
      <c r="L215" s="661"/>
      <c r="M215" s="666">
        <v>-663.1</v>
      </c>
      <c r="N215" s="661"/>
      <c r="O215" s="661"/>
      <c r="P215" s="663">
        <v>0</v>
      </c>
      <c r="Q215" s="661"/>
      <c r="R215" s="661"/>
      <c r="S215" s="661"/>
    </row>
    <row r="216" spans="2:19" x14ac:dyDescent="0.2">
      <c r="B216" s="656"/>
      <c r="C216" s="657"/>
      <c r="D216" s="657"/>
      <c r="E216" s="658"/>
      <c r="F216" s="608"/>
      <c r="G216" s="659"/>
      <c r="H216" s="660"/>
      <c r="I216" s="661"/>
      <c r="J216" s="661"/>
      <c r="K216" s="662"/>
      <c r="L216" s="661"/>
      <c r="M216" s="661"/>
      <c r="N216" s="661"/>
      <c r="O216" s="661"/>
      <c r="P216" s="663"/>
      <c r="Q216" s="661"/>
      <c r="R216" s="661"/>
      <c r="S216" s="661"/>
    </row>
    <row r="217" spans="2:19" x14ac:dyDescent="0.2">
      <c r="B217" s="656"/>
      <c r="C217" s="657"/>
      <c r="D217" s="657"/>
      <c r="E217" s="658"/>
      <c r="F217" s="667"/>
      <c r="G217" s="659"/>
      <c r="H217" s="660"/>
      <c r="I217" s="661"/>
      <c r="J217" s="661"/>
      <c r="K217" s="662"/>
      <c r="L217" s="661"/>
      <c r="M217" s="661"/>
      <c r="N217" s="661"/>
      <c r="O217" s="661"/>
      <c r="P217" s="661"/>
      <c r="Q217" s="661"/>
      <c r="R217" s="661"/>
      <c r="S217" s="661"/>
    </row>
    <row r="218" spans="2:19" ht="13.5" thickBot="1" x14ac:dyDescent="0.25">
      <c r="B218" s="668"/>
      <c r="C218" s="669"/>
      <c r="D218" s="670"/>
      <c r="E218" s="669"/>
      <c r="F218" s="671"/>
      <c r="G218" s="672"/>
      <c r="H218" s="673"/>
      <c r="I218" s="674"/>
      <c r="J218" s="675"/>
      <c r="K218" s="675"/>
      <c r="L218" s="676"/>
      <c r="M218" s="675"/>
      <c r="N218" s="675"/>
      <c r="O218" s="675"/>
      <c r="P218" s="675"/>
      <c r="Q218" s="677"/>
      <c r="R218" s="677"/>
      <c r="S218" s="677"/>
    </row>
    <row r="219" spans="2:19" x14ac:dyDescent="0.2">
      <c r="B219" s="623"/>
      <c r="C219" s="624"/>
      <c r="D219" s="678"/>
      <c r="E219" s="624"/>
      <c r="F219" s="679"/>
      <c r="G219" s="680"/>
      <c r="H219" s="626"/>
      <c r="I219" s="681"/>
      <c r="J219" s="618"/>
      <c r="K219" s="618"/>
      <c r="L219" s="682"/>
      <c r="M219" s="618"/>
      <c r="N219" s="618"/>
      <c r="O219" s="618"/>
      <c r="P219" s="618"/>
      <c r="Q219" s="683"/>
      <c r="R219" s="683"/>
      <c r="S219" s="683"/>
    </row>
    <row r="220" spans="2:19" x14ac:dyDescent="0.2">
      <c r="B220" s="623"/>
      <c r="C220" s="611"/>
      <c r="D220" s="612"/>
      <c r="E220" s="611"/>
      <c r="F220" s="684"/>
      <c r="G220" s="680"/>
      <c r="H220" s="685" t="s">
        <v>856</v>
      </c>
      <c r="I220" s="682">
        <v>0</v>
      </c>
      <c r="J220" s="682">
        <v>0</v>
      </c>
      <c r="K220" s="682">
        <v>5100.75</v>
      </c>
      <c r="L220" s="682">
        <v>0</v>
      </c>
      <c r="M220" s="682">
        <v>0</v>
      </c>
      <c r="N220" s="682">
        <v>5763.8499999999995</v>
      </c>
      <c r="O220" s="682">
        <v>0</v>
      </c>
      <c r="P220" s="682">
        <v>37.269999999999996</v>
      </c>
      <c r="Q220" s="682">
        <v>0</v>
      </c>
      <c r="R220" s="682">
        <v>64.2</v>
      </c>
      <c r="S220" s="682">
        <v>41.73</v>
      </c>
    </row>
    <row r="221" spans="2:19" ht="13.5" thickBot="1" x14ac:dyDescent="0.25">
      <c r="B221" s="668"/>
      <c r="C221" s="686"/>
      <c r="D221" s="687"/>
      <c r="E221" s="686"/>
      <c r="F221" s="688"/>
      <c r="G221" s="672"/>
      <c r="H221" s="689"/>
      <c r="I221" s="676"/>
      <c r="J221" s="690"/>
      <c r="K221" s="690"/>
      <c r="L221" s="690"/>
      <c r="M221" s="690"/>
      <c r="N221" s="690"/>
      <c r="O221" s="690"/>
      <c r="P221" s="690"/>
      <c r="Q221" s="676"/>
      <c r="R221" s="676"/>
      <c r="S221" s="691"/>
    </row>
    <row r="226" spans="2:19" ht="21" x14ac:dyDescent="0.35">
      <c r="B226" s="723" t="s">
        <v>811</v>
      </c>
      <c r="C226" s="724"/>
      <c r="D226" s="725"/>
      <c r="E226" s="725"/>
      <c r="F226" s="725"/>
      <c r="G226" s="726"/>
      <c r="H226" s="727"/>
      <c r="I226" s="727"/>
      <c r="J226" s="727"/>
      <c r="K226" s="727"/>
      <c r="L226" s="727"/>
      <c r="M226" s="727"/>
      <c r="N226" s="728"/>
      <c r="O226" s="722"/>
      <c r="P226" s="722"/>
      <c r="Q226" s="722"/>
      <c r="R226" s="722"/>
      <c r="S226" s="722"/>
    </row>
    <row r="227" spans="2:19" ht="15.75" x14ac:dyDescent="0.25">
      <c r="B227" s="725" t="s">
        <v>606</v>
      </c>
      <c r="C227" s="725"/>
      <c r="D227" s="725"/>
      <c r="E227" s="725"/>
      <c r="F227" s="725"/>
      <c r="G227" s="726"/>
      <c r="H227" s="727"/>
      <c r="I227" s="727"/>
      <c r="J227" s="727"/>
      <c r="K227" s="727"/>
      <c r="L227" s="974"/>
      <c r="M227" s="974"/>
      <c r="N227" s="728"/>
      <c r="O227" s="722"/>
      <c r="P227" s="722"/>
      <c r="Q227" s="722"/>
      <c r="R227" s="722"/>
      <c r="S227" s="722"/>
    </row>
    <row r="228" spans="2:19" ht="15.75" x14ac:dyDescent="0.25">
      <c r="B228" s="724" t="s">
        <v>607</v>
      </c>
      <c r="C228" s="725"/>
      <c r="D228" s="725"/>
      <c r="E228" s="725"/>
      <c r="F228" s="725"/>
      <c r="G228" s="726"/>
      <c r="H228" s="727"/>
      <c r="I228" s="727"/>
      <c r="J228" s="727"/>
      <c r="K228" s="727"/>
      <c r="L228" s="727"/>
      <c r="M228" s="727"/>
      <c r="N228" s="728"/>
      <c r="O228" s="722"/>
      <c r="P228" s="722"/>
      <c r="Q228" s="722"/>
      <c r="R228" s="722"/>
      <c r="S228" s="722"/>
    </row>
    <row r="229" spans="2:19" ht="15.75" x14ac:dyDescent="0.25">
      <c r="B229" s="725" t="s">
        <v>783</v>
      </c>
      <c r="C229" s="725"/>
      <c r="D229" s="725"/>
      <c r="E229" s="725"/>
      <c r="F229" s="725"/>
      <c r="G229" s="726"/>
      <c r="H229" s="727"/>
      <c r="I229" s="727"/>
      <c r="J229" s="727"/>
      <c r="K229" s="727"/>
      <c r="L229" s="727"/>
      <c r="M229" s="727"/>
      <c r="N229" s="728"/>
      <c r="O229" s="722"/>
      <c r="P229" s="722"/>
      <c r="Q229" s="722"/>
      <c r="R229" s="722"/>
      <c r="S229" s="722"/>
    </row>
    <row r="230" spans="2:19" ht="15.75" x14ac:dyDescent="0.25">
      <c r="B230" s="729" t="s">
        <v>812</v>
      </c>
      <c r="C230" s="730" t="s">
        <v>261</v>
      </c>
      <c r="D230" s="731"/>
      <c r="E230" s="732">
        <v>2018</v>
      </c>
      <c r="F230" s="725"/>
      <c r="G230" s="726"/>
      <c r="H230" s="733"/>
      <c r="I230" s="734"/>
      <c r="J230" s="734"/>
      <c r="K230" s="734"/>
      <c r="L230" s="734"/>
      <c r="M230" s="734"/>
      <c r="N230" s="728"/>
      <c r="O230" s="722"/>
      <c r="P230" s="722"/>
      <c r="Q230" s="722"/>
      <c r="R230" s="722"/>
      <c r="S230" s="722"/>
    </row>
    <row r="231" spans="2:19" x14ac:dyDescent="0.2">
      <c r="B231" s="735"/>
      <c r="C231" s="736"/>
      <c r="D231" s="737"/>
      <c r="E231" s="738"/>
      <c r="F231" s="739"/>
      <c r="G231" s="740"/>
      <c r="H231" s="740"/>
      <c r="I231" s="741"/>
      <c r="J231" s="742"/>
      <c r="K231" s="743"/>
      <c r="L231" s="742"/>
      <c r="M231" s="743"/>
      <c r="N231" s="743"/>
      <c r="O231" s="742"/>
      <c r="P231" s="742"/>
      <c r="Q231" s="740"/>
      <c r="R231" s="740"/>
      <c r="S231" s="744"/>
    </row>
    <row r="232" spans="2:19" x14ac:dyDescent="0.2">
      <c r="B232" s="735"/>
      <c r="C232" s="736"/>
      <c r="D232" s="737"/>
      <c r="E232" s="738"/>
      <c r="F232" s="745"/>
      <c r="G232" s="746"/>
      <c r="H232" s="747"/>
      <c r="I232" s="741"/>
      <c r="J232" s="742"/>
      <c r="K232" s="743"/>
      <c r="L232" s="742"/>
      <c r="M232" s="743"/>
      <c r="N232" s="743"/>
      <c r="O232" s="742"/>
      <c r="P232" s="742"/>
      <c r="Q232" s="740"/>
      <c r="R232" s="740"/>
      <c r="S232" s="744"/>
    </row>
    <row r="233" spans="2:19" x14ac:dyDescent="0.2">
      <c r="B233" s="748"/>
      <c r="C233" s="749"/>
      <c r="D233" s="750"/>
      <c r="E233" s="738"/>
      <c r="F233" s="739"/>
      <c r="G233" s="751"/>
      <c r="H233" s="740"/>
      <c r="I233" s="741"/>
      <c r="J233" s="742"/>
      <c r="K233" s="743"/>
      <c r="L233" s="742"/>
      <c r="M233" s="743"/>
      <c r="N233" s="743"/>
      <c r="O233" s="742"/>
      <c r="P233" s="752">
        <v>0.01</v>
      </c>
      <c r="Q233" s="740"/>
      <c r="R233" s="740" t="s">
        <v>813</v>
      </c>
      <c r="S233" s="753">
        <v>0.13</v>
      </c>
    </row>
    <row r="234" spans="2:19" x14ac:dyDescent="0.2">
      <c r="B234" s="754" t="s">
        <v>814</v>
      </c>
      <c r="C234" s="755" t="s">
        <v>608</v>
      </c>
      <c r="D234" s="756" t="s">
        <v>608</v>
      </c>
      <c r="E234" s="757" t="s">
        <v>609</v>
      </c>
      <c r="F234" s="757" t="s">
        <v>815</v>
      </c>
      <c r="G234" s="758" t="s">
        <v>816</v>
      </c>
      <c r="H234" s="978" t="s">
        <v>614</v>
      </c>
      <c r="I234" s="759" t="s">
        <v>817</v>
      </c>
      <c r="J234" s="760"/>
      <c r="K234" s="761" t="s">
        <v>818</v>
      </c>
      <c r="L234" s="762"/>
      <c r="M234" s="763"/>
      <c r="N234" s="764" t="s">
        <v>615</v>
      </c>
      <c r="O234" s="765" t="s">
        <v>819</v>
      </c>
      <c r="P234" s="766" t="s">
        <v>820</v>
      </c>
      <c r="Q234" s="767" t="s">
        <v>821</v>
      </c>
      <c r="R234" s="767" t="s">
        <v>822</v>
      </c>
      <c r="S234" s="767" t="s">
        <v>822</v>
      </c>
    </row>
    <row r="235" spans="2:19" x14ac:dyDescent="0.2">
      <c r="B235" s="768"/>
      <c r="C235" s="769" t="s">
        <v>823</v>
      </c>
      <c r="D235" s="770" t="s">
        <v>616</v>
      </c>
      <c r="E235" s="771" t="s">
        <v>616</v>
      </c>
      <c r="F235" s="772" t="s">
        <v>824</v>
      </c>
      <c r="G235" s="773" t="s">
        <v>617</v>
      </c>
      <c r="H235" s="979"/>
      <c r="I235" s="774" t="s">
        <v>825</v>
      </c>
      <c r="J235" s="775" t="s">
        <v>826</v>
      </c>
      <c r="K235" s="776" t="s">
        <v>825</v>
      </c>
      <c r="L235" s="777" t="s">
        <v>826</v>
      </c>
      <c r="M235" s="776" t="s">
        <v>157</v>
      </c>
      <c r="N235" s="778" t="s">
        <v>827</v>
      </c>
      <c r="O235" s="779" t="s">
        <v>828</v>
      </c>
      <c r="P235" s="779" t="s">
        <v>829</v>
      </c>
      <c r="Q235" s="780" t="s">
        <v>830</v>
      </c>
      <c r="R235" s="780" t="s">
        <v>831</v>
      </c>
      <c r="S235" s="780" t="s">
        <v>832</v>
      </c>
    </row>
    <row r="236" spans="2:19" x14ac:dyDescent="0.2">
      <c r="B236" s="781">
        <v>1</v>
      </c>
      <c r="C236" s="782">
        <v>43313</v>
      </c>
      <c r="D236" s="782">
        <v>43313</v>
      </c>
      <c r="E236" s="783" t="s">
        <v>1046</v>
      </c>
      <c r="F236" s="733"/>
      <c r="G236" s="784" t="s">
        <v>158</v>
      </c>
      <c r="H236" s="700" t="s">
        <v>835</v>
      </c>
      <c r="I236" s="701"/>
      <c r="J236" s="701"/>
      <c r="K236" s="705">
        <v>132.19999999999999</v>
      </c>
      <c r="L236" s="701"/>
      <c r="M236" s="701">
        <v>17.190000000000001</v>
      </c>
      <c r="N236" s="701">
        <v>149.38999999999999</v>
      </c>
      <c r="O236" s="701">
        <v>0</v>
      </c>
      <c r="P236" s="701">
        <v>0</v>
      </c>
      <c r="Q236" s="786"/>
      <c r="R236" s="786"/>
      <c r="S236" s="786"/>
    </row>
    <row r="237" spans="2:19" x14ac:dyDescent="0.2">
      <c r="B237" s="781">
        <v>2</v>
      </c>
      <c r="C237" s="782">
        <v>43333</v>
      </c>
      <c r="D237" s="782">
        <v>43320</v>
      </c>
      <c r="E237" s="783" t="s">
        <v>1047</v>
      </c>
      <c r="F237" s="733" t="s">
        <v>1048</v>
      </c>
      <c r="G237" s="784" t="s">
        <v>802</v>
      </c>
      <c r="H237" s="785" t="s">
        <v>803</v>
      </c>
      <c r="I237" s="786"/>
      <c r="J237" s="786"/>
      <c r="K237" s="787">
        <v>118.18</v>
      </c>
      <c r="L237" s="786"/>
      <c r="M237" s="786">
        <v>15.36</v>
      </c>
      <c r="N237" s="786">
        <v>133.54000000000002</v>
      </c>
      <c r="O237" s="786">
        <v>0</v>
      </c>
      <c r="P237" s="788">
        <v>1.18</v>
      </c>
      <c r="Q237" s="786"/>
      <c r="R237" s="786"/>
      <c r="S237" s="786"/>
    </row>
    <row r="238" spans="2:19" x14ac:dyDescent="0.2">
      <c r="B238" s="781">
        <v>3</v>
      </c>
      <c r="C238" s="782">
        <v>43334</v>
      </c>
      <c r="D238" s="782">
        <v>43311</v>
      </c>
      <c r="E238" s="783" t="s">
        <v>1049</v>
      </c>
      <c r="F238" s="733" t="s">
        <v>1050</v>
      </c>
      <c r="G238" s="784" t="s">
        <v>936</v>
      </c>
      <c r="H238" s="785" t="s">
        <v>942</v>
      </c>
      <c r="I238" s="786"/>
      <c r="J238" s="786"/>
      <c r="K238" s="787">
        <v>418.8</v>
      </c>
      <c r="L238" s="786"/>
      <c r="M238" s="786">
        <v>54.44</v>
      </c>
      <c r="N238" s="786">
        <v>473.24</v>
      </c>
      <c r="O238" s="786">
        <v>0</v>
      </c>
      <c r="P238" s="788">
        <v>4.1900000000000004</v>
      </c>
      <c r="Q238" s="786"/>
      <c r="R238" s="786"/>
      <c r="S238" s="786"/>
    </row>
    <row r="239" spans="2:19" x14ac:dyDescent="0.2">
      <c r="B239" s="781">
        <v>4</v>
      </c>
      <c r="C239" s="782">
        <v>43335</v>
      </c>
      <c r="D239" s="782">
        <v>43312</v>
      </c>
      <c r="E239" s="783" t="s">
        <v>1051</v>
      </c>
      <c r="F239" s="733"/>
      <c r="G239" s="784" t="s">
        <v>781</v>
      </c>
      <c r="H239" s="785" t="s">
        <v>801</v>
      </c>
      <c r="I239" s="786"/>
      <c r="J239" s="786"/>
      <c r="K239" s="787">
        <v>300</v>
      </c>
      <c r="L239" s="786"/>
      <c r="M239" s="786">
        <v>39</v>
      </c>
      <c r="N239" s="786">
        <v>339</v>
      </c>
      <c r="O239" s="786">
        <v>0</v>
      </c>
      <c r="P239" s="788">
        <v>0</v>
      </c>
      <c r="Q239" s="786"/>
      <c r="R239" s="786"/>
      <c r="S239" s="786"/>
    </row>
    <row r="240" spans="2:19" x14ac:dyDescent="0.2">
      <c r="B240" s="781">
        <v>5</v>
      </c>
      <c r="C240" s="782">
        <v>43335</v>
      </c>
      <c r="D240" s="782">
        <v>43326</v>
      </c>
      <c r="E240" s="783" t="s">
        <v>1052</v>
      </c>
      <c r="F240" s="733"/>
      <c r="G240" s="784" t="s">
        <v>781</v>
      </c>
      <c r="H240" s="785" t="s">
        <v>801</v>
      </c>
      <c r="I240" s="786"/>
      <c r="J240" s="786"/>
      <c r="K240" s="787">
        <v>195</v>
      </c>
      <c r="L240" s="786"/>
      <c r="M240" s="786">
        <v>25.35</v>
      </c>
      <c r="N240" s="786">
        <v>220.35</v>
      </c>
      <c r="O240" s="786">
        <v>0</v>
      </c>
      <c r="P240" s="788">
        <v>0</v>
      </c>
      <c r="Q240" s="786"/>
      <c r="R240" s="786"/>
      <c r="S240" s="786"/>
    </row>
    <row r="241" spans="2:19" x14ac:dyDescent="0.2">
      <c r="B241" s="781">
        <v>6</v>
      </c>
      <c r="C241" s="782">
        <v>43335</v>
      </c>
      <c r="D241" s="782">
        <v>43335</v>
      </c>
      <c r="E241" s="783" t="s">
        <v>1053</v>
      </c>
      <c r="F241" s="733"/>
      <c r="G241" s="784" t="s">
        <v>781</v>
      </c>
      <c r="H241" s="785" t="s">
        <v>801</v>
      </c>
      <c r="I241" s="786"/>
      <c r="J241" s="786"/>
      <c r="K241" s="787">
        <v>47.95</v>
      </c>
      <c r="L241" s="786"/>
      <c r="M241" s="786">
        <v>6.23</v>
      </c>
      <c r="N241" s="786">
        <v>54.180000000000007</v>
      </c>
      <c r="O241" s="786">
        <v>0</v>
      </c>
      <c r="P241" s="788">
        <v>0</v>
      </c>
      <c r="Q241" s="786"/>
      <c r="R241" s="786"/>
      <c r="S241" s="786"/>
    </row>
    <row r="242" spans="2:19" x14ac:dyDescent="0.2">
      <c r="B242" s="781">
        <v>7</v>
      </c>
      <c r="C242" s="782">
        <v>43336</v>
      </c>
      <c r="D242" s="782">
        <v>43333</v>
      </c>
      <c r="E242" s="783" t="s">
        <v>1054</v>
      </c>
      <c r="F242" s="733"/>
      <c r="G242" s="784" t="s">
        <v>804</v>
      </c>
      <c r="H242" s="785" t="s">
        <v>805</v>
      </c>
      <c r="I242" s="786"/>
      <c r="J242" s="786"/>
      <c r="K242" s="787">
        <v>72</v>
      </c>
      <c r="L242" s="786"/>
      <c r="M242" s="786">
        <v>9.36</v>
      </c>
      <c r="N242" s="786">
        <v>81.36</v>
      </c>
      <c r="O242" s="786">
        <v>0</v>
      </c>
      <c r="P242" s="788">
        <v>0</v>
      </c>
      <c r="Q242" s="786"/>
      <c r="R242" s="786"/>
      <c r="S242" s="786"/>
    </row>
    <row r="243" spans="2:19" x14ac:dyDescent="0.2">
      <c r="B243" s="781">
        <v>8</v>
      </c>
      <c r="C243" s="782">
        <v>43336</v>
      </c>
      <c r="D243" s="782">
        <v>43333</v>
      </c>
      <c r="E243" s="783" t="s">
        <v>1055</v>
      </c>
      <c r="F243" s="733"/>
      <c r="G243" s="784" t="s">
        <v>804</v>
      </c>
      <c r="H243" s="785" t="s">
        <v>805</v>
      </c>
      <c r="I243" s="786"/>
      <c r="J243" s="786"/>
      <c r="K243" s="787">
        <v>72</v>
      </c>
      <c r="L243" s="786"/>
      <c r="M243" s="786">
        <v>9.36</v>
      </c>
      <c r="N243" s="786">
        <v>81.36</v>
      </c>
      <c r="O243" s="786"/>
      <c r="P243" s="788">
        <v>0</v>
      </c>
      <c r="Q243" s="786"/>
      <c r="R243" s="786"/>
      <c r="S243" s="786"/>
    </row>
    <row r="244" spans="2:19" x14ac:dyDescent="0.2">
      <c r="B244" s="781">
        <v>9</v>
      </c>
      <c r="C244" s="782">
        <v>43336</v>
      </c>
      <c r="D244" s="789">
        <v>43327</v>
      </c>
      <c r="E244" s="783" t="s">
        <v>1056</v>
      </c>
      <c r="F244" s="733"/>
      <c r="G244" s="784" t="s">
        <v>1057</v>
      </c>
      <c r="H244" s="700" t="s">
        <v>780</v>
      </c>
      <c r="I244" s="701"/>
      <c r="J244" s="701"/>
      <c r="K244" s="705">
        <v>298.3</v>
      </c>
      <c r="L244" s="701"/>
      <c r="M244" s="701">
        <v>38.78</v>
      </c>
      <c r="N244" s="701">
        <v>337.08000000000004</v>
      </c>
      <c r="O244" s="701">
        <v>0</v>
      </c>
      <c r="P244" s="701">
        <v>0</v>
      </c>
      <c r="Q244" s="786"/>
      <c r="R244" s="786"/>
      <c r="S244" s="786"/>
    </row>
    <row r="245" spans="2:19" x14ac:dyDescent="0.2">
      <c r="B245" s="781">
        <v>10</v>
      </c>
      <c r="C245" s="782">
        <v>43336</v>
      </c>
      <c r="D245" s="789">
        <v>43327</v>
      </c>
      <c r="E245" s="783" t="s">
        <v>1058</v>
      </c>
      <c r="F245" s="733"/>
      <c r="G245" s="784" t="s">
        <v>1057</v>
      </c>
      <c r="H245" s="700" t="s">
        <v>780</v>
      </c>
      <c r="I245" s="701"/>
      <c r="J245" s="701"/>
      <c r="K245" s="705">
        <v>71.56</v>
      </c>
      <c r="L245" s="701"/>
      <c r="M245" s="701">
        <v>9.3000000000000007</v>
      </c>
      <c r="N245" s="701">
        <v>80.86</v>
      </c>
      <c r="O245" s="701">
        <v>0</v>
      </c>
      <c r="P245" s="701">
        <v>0</v>
      </c>
      <c r="Q245" s="786"/>
      <c r="R245" s="786"/>
      <c r="S245" s="786"/>
    </row>
    <row r="246" spans="2:19" x14ac:dyDescent="0.2">
      <c r="B246" s="781">
        <v>11</v>
      </c>
      <c r="C246" s="782">
        <v>43336</v>
      </c>
      <c r="D246" s="789">
        <v>43327</v>
      </c>
      <c r="E246" s="783" t="s">
        <v>1059</v>
      </c>
      <c r="F246" s="733"/>
      <c r="G246" s="784" t="s">
        <v>1057</v>
      </c>
      <c r="H246" s="700" t="s">
        <v>780</v>
      </c>
      <c r="I246" s="701"/>
      <c r="J246" s="701"/>
      <c r="K246" s="705">
        <v>47.77</v>
      </c>
      <c r="L246" s="701"/>
      <c r="M246" s="701">
        <v>6.21</v>
      </c>
      <c r="N246" s="701">
        <v>53.980000000000004</v>
      </c>
      <c r="O246" s="701">
        <v>0</v>
      </c>
      <c r="P246" s="701">
        <v>0</v>
      </c>
      <c r="Q246" s="786"/>
      <c r="R246" s="786"/>
      <c r="S246" s="786"/>
    </row>
    <row r="247" spans="2:19" x14ac:dyDescent="0.2">
      <c r="B247" s="781">
        <v>12</v>
      </c>
      <c r="C247" s="782">
        <v>43336</v>
      </c>
      <c r="D247" s="789">
        <v>43327</v>
      </c>
      <c r="E247" s="783" t="s">
        <v>1060</v>
      </c>
      <c r="F247" s="733"/>
      <c r="G247" s="784" t="s">
        <v>1057</v>
      </c>
      <c r="H247" s="700" t="s">
        <v>780</v>
      </c>
      <c r="I247" s="701"/>
      <c r="J247" s="701"/>
      <c r="K247" s="705">
        <v>166.01</v>
      </c>
      <c r="L247" s="701"/>
      <c r="M247" s="701">
        <v>21.58</v>
      </c>
      <c r="N247" s="701">
        <v>187.58999999999997</v>
      </c>
      <c r="O247" s="701">
        <v>0</v>
      </c>
      <c r="P247" s="701">
        <v>0</v>
      </c>
      <c r="Q247" s="786"/>
      <c r="R247" s="786"/>
      <c r="S247" s="786"/>
    </row>
    <row r="248" spans="2:19" x14ac:dyDescent="0.2">
      <c r="B248" s="781">
        <v>13</v>
      </c>
      <c r="C248" s="782">
        <v>43336</v>
      </c>
      <c r="D248" s="789">
        <v>43327</v>
      </c>
      <c r="E248" s="783" t="s">
        <v>1061</v>
      </c>
      <c r="F248" s="733"/>
      <c r="G248" s="784" t="s">
        <v>1057</v>
      </c>
      <c r="H248" s="700" t="s">
        <v>780</v>
      </c>
      <c r="I248" s="701"/>
      <c r="J248" s="701"/>
      <c r="K248" s="705">
        <v>14.65</v>
      </c>
      <c r="L248" s="701"/>
      <c r="M248" s="701">
        <v>1.9</v>
      </c>
      <c r="N248" s="701">
        <v>16.55</v>
      </c>
      <c r="O248" s="701">
        <v>0</v>
      </c>
      <c r="P248" s="701">
        <v>0</v>
      </c>
      <c r="Q248" s="786"/>
      <c r="R248" s="786"/>
      <c r="S248" s="786"/>
    </row>
    <row r="249" spans="2:19" x14ac:dyDescent="0.2">
      <c r="B249" s="781">
        <v>14</v>
      </c>
      <c r="C249" s="782">
        <v>43336</v>
      </c>
      <c r="D249" s="789">
        <v>43327</v>
      </c>
      <c r="E249" s="783" t="s">
        <v>1062</v>
      </c>
      <c r="F249" s="790"/>
      <c r="G249" s="784" t="s">
        <v>1057</v>
      </c>
      <c r="H249" s="700" t="s">
        <v>780</v>
      </c>
      <c r="I249" s="701"/>
      <c r="J249" s="701"/>
      <c r="K249" s="705">
        <v>27.42</v>
      </c>
      <c r="L249" s="701"/>
      <c r="M249" s="701">
        <v>3.56</v>
      </c>
      <c r="N249" s="701">
        <v>30.98</v>
      </c>
      <c r="O249" s="701">
        <v>0</v>
      </c>
      <c r="P249" s="701">
        <v>0</v>
      </c>
      <c r="Q249" s="786"/>
      <c r="R249" s="786"/>
      <c r="S249" s="786"/>
    </row>
    <row r="250" spans="2:19" x14ac:dyDescent="0.2">
      <c r="B250" s="781">
        <v>15</v>
      </c>
      <c r="C250" s="782">
        <v>43336</v>
      </c>
      <c r="D250" s="789">
        <v>43327</v>
      </c>
      <c r="E250" s="783" t="s">
        <v>1063</v>
      </c>
      <c r="F250" s="790"/>
      <c r="G250" s="784" t="s">
        <v>1057</v>
      </c>
      <c r="H250" s="700" t="s">
        <v>780</v>
      </c>
      <c r="I250" s="701"/>
      <c r="J250" s="701"/>
      <c r="K250" s="705">
        <v>4.1500000000000004</v>
      </c>
      <c r="L250" s="701"/>
      <c r="M250" s="701">
        <v>0.54</v>
      </c>
      <c r="N250" s="701">
        <v>4.6900000000000004</v>
      </c>
      <c r="O250" s="701">
        <v>0</v>
      </c>
      <c r="P250" s="701">
        <v>0</v>
      </c>
      <c r="Q250" s="786"/>
      <c r="R250" s="786"/>
      <c r="S250" s="786"/>
    </row>
    <row r="251" spans="2:19" x14ac:dyDescent="0.2">
      <c r="B251" s="781">
        <v>16</v>
      </c>
      <c r="C251" s="782">
        <v>43336</v>
      </c>
      <c r="D251" s="789">
        <v>43327</v>
      </c>
      <c r="E251" s="791">
        <v>174455</v>
      </c>
      <c r="F251" s="790"/>
      <c r="G251" s="784" t="s">
        <v>1057</v>
      </c>
      <c r="H251" s="700" t="s">
        <v>780</v>
      </c>
      <c r="I251" s="701"/>
      <c r="J251" s="701"/>
      <c r="K251" s="705">
        <v>43.35</v>
      </c>
      <c r="L251" s="701"/>
      <c r="M251" s="701">
        <v>5.64</v>
      </c>
      <c r="N251" s="701">
        <v>48.99</v>
      </c>
      <c r="O251" s="701">
        <v>0</v>
      </c>
      <c r="P251" s="701">
        <v>0</v>
      </c>
      <c r="Q251" s="786"/>
      <c r="R251" s="786"/>
      <c r="S251" s="786"/>
    </row>
    <row r="252" spans="2:19" x14ac:dyDescent="0.2">
      <c r="B252" s="781">
        <v>17</v>
      </c>
      <c r="C252" s="782">
        <v>43336</v>
      </c>
      <c r="D252" s="789">
        <v>43327</v>
      </c>
      <c r="E252" s="783" t="s">
        <v>1064</v>
      </c>
      <c r="F252" s="790"/>
      <c r="G252" s="784" t="s">
        <v>1057</v>
      </c>
      <c r="H252" s="700" t="s">
        <v>780</v>
      </c>
      <c r="I252" s="701"/>
      <c r="J252" s="701"/>
      <c r="K252" s="705">
        <v>69.09</v>
      </c>
      <c r="L252" s="701"/>
      <c r="M252" s="701">
        <v>8.98</v>
      </c>
      <c r="N252" s="701">
        <v>78.070000000000007</v>
      </c>
      <c r="O252" s="701">
        <v>0</v>
      </c>
      <c r="P252" s="701">
        <v>0</v>
      </c>
      <c r="Q252" s="786"/>
      <c r="R252" s="786"/>
      <c r="S252" s="786"/>
    </row>
    <row r="253" spans="2:19" x14ac:dyDescent="0.2">
      <c r="B253" s="781">
        <v>18</v>
      </c>
      <c r="C253" s="782">
        <v>43336</v>
      </c>
      <c r="D253" s="789">
        <v>43327</v>
      </c>
      <c r="E253" s="783" t="s">
        <v>1065</v>
      </c>
      <c r="F253" s="790"/>
      <c r="G253" s="784" t="s">
        <v>1057</v>
      </c>
      <c r="H253" s="700" t="s">
        <v>780</v>
      </c>
      <c r="I253" s="701"/>
      <c r="J253" s="701"/>
      <c r="K253" s="705">
        <v>23.87</v>
      </c>
      <c r="L253" s="701"/>
      <c r="M253" s="701">
        <v>3.1</v>
      </c>
      <c r="N253" s="701">
        <v>26.970000000000002</v>
      </c>
      <c r="O253" s="701">
        <v>0</v>
      </c>
      <c r="P253" s="701">
        <v>0</v>
      </c>
      <c r="Q253" s="786"/>
      <c r="R253" s="786"/>
      <c r="S253" s="786"/>
    </row>
    <row r="254" spans="2:19" x14ac:dyDescent="0.2">
      <c r="B254" s="781">
        <v>19</v>
      </c>
      <c r="C254" s="782">
        <v>43339</v>
      </c>
      <c r="D254" s="782">
        <v>43320</v>
      </c>
      <c r="E254" s="783" t="s">
        <v>1066</v>
      </c>
      <c r="F254" s="790" t="s">
        <v>1067</v>
      </c>
      <c r="G254" s="784" t="s">
        <v>802</v>
      </c>
      <c r="H254" s="785" t="s">
        <v>803</v>
      </c>
      <c r="I254" s="786"/>
      <c r="J254" s="786"/>
      <c r="K254" s="787">
        <v>344.44</v>
      </c>
      <c r="L254" s="786"/>
      <c r="M254" s="786">
        <v>44.78</v>
      </c>
      <c r="N254" s="786">
        <v>389.22</v>
      </c>
      <c r="O254" s="786">
        <v>0</v>
      </c>
      <c r="P254" s="788">
        <v>3.44</v>
      </c>
      <c r="Q254" s="786"/>
      <c r="R254" s="786"/>
      <c r="S254" s="786"/>
    </row>
    <row r="255" spans="2:19" x14ac:dyDescent="0.2">
      <c r="B255" s="781">
        <v>28</v>
      </c>
      <c r="C255" s="782"/>
      <c r="D255" s="782"/>
      <c r="E255" s="783"/>
      <c r="F255" s="733"/>
      <c r="G255" s="784"/>
      <c r="H255" s="785"/>
      <c r="I255" s="786"/>
      <c r="J255" s="786"/>
      <c r="K255" s="787"/>
      <c r="L255" s="786"/>
      <c r="M255" s="786"/>
      <c r="N255" s="786"/>
      <c r="O255" s="786"/>
      <c r="P255" s="788">
        <v>0</v>
      </c>
      <c r="Q255" s="786"/>
      <c r="R255" s="786"/>
      <c r="S255" s="786"/>
    </row>
    <row r="256" spans="2:19" x14ac:dyDescent="0.2">
      <c r="B256" s="781"/>
      <c r="C256" s="782"/>
      <c r="D256" s="782"/>
      <c r="E256" s="783"/>
      <c r="F256" s="733"/>
      <c r="G256" s="784"/>
      <c r="H256" s="785" t="s">
        <v>868</v>
      </c>
      <c r="I256" s="786"/>
      <c r="J256" s="786"/>
      <c r="K256" s="792"/>
      <c r="L256" s="786"/>
      <c r="M256" s="792">
        <v>-320.66000000000003</v>
      </c>
      <c r="N256" s="786"/>
      <c r="O256" s="786"/>
      <c r="P256" s="788">
        <v>0</v>
      </c>
      <c r="Q256" s="786"/>
      <c r="R256" s="786"/>
      <c r="S256" s="786"/>
    </row>
    <row r="257" spans="2:19" x14ac:dyDescent="0.2">
      <c r="B257" s="781"/>
      <c r="C257" s="782"/>
      <c r="D257" s="782"/>
      <c r="E257" s="783"/>
      <c r="F257" s="733"/>
      <c r="G257" s="784"/>
      <c r="H257" s="785"/>
      <c r="I257" s="786"/>
      <c r="J257" s="786"/>
      <c r="K257" s="787"/>
      <c r="L257" s="786"/>
      <c r="M257" s="786"/>
      <c r="N257" s="786"/>
      <c r="O257" s="786"/>
      <c r="P257" s="788"/>
      <c r="Q257" s="786"/>
      <c r="R257" s="786"/>
      <c r="S257" s="786"/>
    </row>
    <row r="258" spans="2:19" x14ac:dyDescent="0.2">
      <c r="B258" s="781"/>
      <c r="C258" s="782"/>
      <c r="D258" s="782"/>
      <c r="E258" s="783"/>
      <c r="F258" s="793"/>
      <c r="G258" s="784"/>
      <c r="H258" s="785"/>
      <c r="I258" s="786"/>
      <c r="J258" s="786"/>
      <c r="K258" s="787"/>
      <c r="L258" s="786"/>
      <c r="M258" s="786"/>
      <c r="N258" s="786"/>
      <c r="O258" s="786"/>
      <c r="P258" s="786"/>
      <c r="Q258" s="786"/>
      <c r="R258" s="786"/>
      <c r="S258" s="786"/>
    </row>
    <row r="259" spans="2:19" ht="13.5" thickBot="1" x14ac:dyDescent="0.25">
      <c r="B259" s="795"/>
      <c r="C259" s="796"/>
      <c r="D259" s="797"/>
      <c r="E259" s="796"/>
      <c r="F259" s="798"/>
      <c r="G259" s="799"/>
      <c r="H259" s="800"/>
      <c r="I259" s="801"/>
      <c r="J259" s="802"/>
      <c r="K259" s="802"/>
      <c r="L259" s="803"/>
      <c r="M259" s="802"/>
      <c r="N259" s="802"/>
      <c r="O259" s="802"/>
      <c r="P259" s="802"/>
      <c r="Q259" s="804"/>
      <c r="R259" s="804"/>
      <c r="S259" s="804"/>
    </row>
    <row r="260" spans="2:19" x14ac:dyDescent="0.2">
      <c r="B260" s="748"/>
      <c r="C260" s="749"/>
      <c r="D260" s="805"/>
      <c r="E260" s="749"/>
      <c r="F260" s="806"/>
      <c r="G260" s="807"/>
      <c r="H260" s="751"/>
      <c r="I260" s="808"/>
      <c r="J260" s="743"/>
      <c r="K260" s="743"/>
      <c r="L260" s="809"/>
      <c r="M260" s="743"/>
      <c r="N260" s="743"/>
      <c r="O260" s="743"/>
      <c r="P260" s="743"/>
      <c r="Q260" s="810"/>
      <c r="R260" s="810"/>
      <c r="S260" s="810"/>
    </row>
    <row r="261" spans="2:19" x14ac:dyDescent="0.2">
      <c r="B261" s="748"/>
      <c r="C261" s="736"/>
      <c r="D261" s="737"/>
      <c r="E261" s="736"/>
      <c r="F261" s="811"/>
      <c r="G261" s="807"/>
      <c r="H261" s="812" t="s">
        <v>856</v>
      </c>
      <c r="I261" s="809">
        <v>0</v>
      </c>
      <c r="J261" s="809">
        <v>0</v>
      </c>
      <c r="K261" s="809">
        <v>2466.7400000000002</v>
      </c>
      <c r="L261" s="809">
        <v>0</v>
      </c>
      <c r="M261" s="809">
        <v>0</v>
      </c>
      <c r="N261" s="809">
        <v>2787.3999999999996</v>
      </c>
      <c r="O261" s="809">
        <v>0</v>
      </c>
      <c r="P261" s="809">
        <v>8.81</v>
      </c>
      <c r="Q261" s="809">
        <v>0</v>
      </c>
      <c r="R261" s="809">
        <v>0</v>
      </c>
      <c r="S261" s="809">
        <v>0</v>
      </c>
    </row>
    <row r="262" spans="2:19" ht="13.5" thickBot="1" x14ac:dyDescent="0.25">
      <c r="B262" s="795"/>
      <c r="C262" s="813"/>
      <c r="D262" s="814"/>
      <c r="E262" s="813"/>
      <c r="F262" s="815"/>
      <c r="G262" s="799"/>
      <c r="H262" s="816"/>
      <c r="I262" s="803"/>
      <c r="J262" s="817"/>
      <c r="K262" s="817"/>
      <c r="L262" s="817"/>
      <c r="M262" s="817"/>
      <c r="N262" s="817"/>
      <c r="O262" s="817"/>
      <c r="P262" s="817"/>
      <c r="Q262" s="803"/>
      <c r="R262" s="803"/>
      <c r="S262" s="818"/>
    </row>
    <row r="266" spans="2:19" ht="21" x14ac:dyDescent="0.35">
      <c r="B266" s="723" t="s">
        <v>811</v>
      </c>
      <c r="C266" s="724"/>
      <c r="D266" s="725"/>
      <c r="E266" s="725"/>
      <c r="F266" s="725"/>
      <c r="G266" s="726"/>
      <c r="H266" s="727"/>
      <c r="I266" s="727"/>
      <c r="J266" s="727"/>
      <c r="K266" s="727"/>
      <c r="L266" s="727"/>
      <c r="M266" s="727"/>
      <c r="N266" s="728"/>
      <c r="O266" s="722"/>
      <c r="P266" s="722"/>
      <c r="Q266" s="722"/>
      <c r="R266" s="722"/>
      <c r="S266" s="722"/>
    </row>
    <row r="267" spans="2:19" ht="15.75" x14ac:dyDescent="0.25">
      <c r="B267" s="725" t="s">
        <v>606</v>
      </c>
      <c r="C267" s="725"/>
      <c r="D267" s="725"/>
      <c r="E267" s="725"/>
      <c r="F267" s="725"/>
      <c r="G267" s="726"/>
      <c r="H267" s="727"/>
      <c r="I267" s="727"/>
      <c r="J267" s="727"/>
      <c r="K267" s="727"/>
      <c r="L267" s="974"/>
      <c r="M267" s="974"/>
      <c r="N267" s="728"/>
      <c r="O267" s="722"/>
      <c r="P267" s="722"/>
      <c r="Q267" s="722"/>
      <c r="R267" s="722"/>
      <c r="S267" s="722"/>
    </row>
    <row r="268" spans="2:19" ht="15.75" x14ac:dyDescent="0.25">
      <c r="B268" s="724" t="s">
        <v>607</v>
      </c>
      <c r="C268" s="725"/>
      <c r="D268" s="725"/>
      <c r="E268" s="725"/>
      <c r="F268" s="725"/>
      <c r="G268" s="726"/>
      <c r="H268" s="727"/>
      <c r="I268" s="727"/>
      <c r="J268" s="727"/>
      <c r="K268" s="727"/>
      <c r="L268" s="727"/>
      <c r="M268" s="727"/>
      <c r="N268" s="728"/>
      <c r="O268" s="722"/>
      <c r="P268" s="722"/>
      <c r="Q268" s="722"/>
      <c r="R268" s="722"/>
      <c r="S268" s="722"/>
    </row>
    <row r="269" spans="2:19" ht="15.75" x14ac:dyDescent="0.25">
      <c r="B269" s="725" t="s">
        <v>783</v>
      </c>
      <c r="C269" s="725"/>
      <c r="D269" s="725"/>
      <c r="E269" s="725"/>
      <c r="F269" s="725"/>
      <c r="G269" s="726"/>
      <c r="H269" s="727"/>
      <c r="I269" s="727"/>
      <c r="J269" s="727"/>
      <c r="K269" s="727"/>
      <c r="L269" s="727"/>
      <c r="M269" s="727"/>
      <c r="N269" s="728"/>
      <c r="O269" s="722"/>
      <c r="P269" s="722"/>
      <c r="Q269" s="722"/>
      <c r="R269" s="722"/>
      <c r="S269" s="722"/>
    </row>
    <row r="270" spans="2:19" ht="15.75" x14ac:dyDescent="0.25">
      <c r="B270" s="729" t="s">
        <v>812</v>
      </c>
      <c r="C270" s="730" t="s">
        <v>1014</v>
      </c>
      <c r="D270" s="731"/>
      <c r="E270" s="732">
        <v>2018</v>
      </c>
      <c r="F270" s="725"/>
      <c r="G270" s="726"/>
      <c r="H270" s="376"/>
      <c r="I270" s="734"/>
      <c r="J270" s="734"/>
      <c r="K270" s="734"/>
      <c r="L270" s="734"/>
      <c r="M270" s="734"/>
      <c r="N270" s="728"/>
      <c r="O270" s="722"/>
      <c r="P270" s="722"/>
      <c r="Q270" s="722"/>
      <c r="R270" s="722"/>
      <c r="S270" s="722"/>
    </row>
    <row r="271" spans="2:19" x14ac:dyDescent="0.2">
      <c r="B271" s="377"/>
      <c r="C271" s="378"/>
      <c r="D271" s="379"/>
      <c r="E271" s="380"/>
      <c r="F271" s="381"/>
      <c r="G271" s="382"/>
      <c r="H271" s="382"/>
      <c r="I271" s="383"/>
      <c r="J271" s="384"/>
      <c r="K271" s="385"/>
      <c r="L271" s="384"/>
      <c r="M271" s="385"/>
      <c r="N271" s="385"/>
      <c r="O271" s="384"/>
      <c r="P271" s="384"/>
      <c r="Q271" s="382"/>
      <c r="R271" s="382"/>
      <c r="S271" s="386"/>
    </row>
    <row r="272" spans="2:19" x14ac:dyDescent="0.2">
      <c r="B272" s="377"/>
      <c r="C272" s="378"/>
      <c r="D272" s="379"/>
      <c r="E272" s="380"/>
      <c r="F272" s="458"/>
      <c r="G272" s="387"/>
      <c r="H272" s="388"/>
      <c r="I272" s="383"/>
      <c r="J272" s="384"/>
      <c r="K272" s="385"/>
      <c r="L272" s="384"/>
      <c r="M272" s="385"/>
      <c r="N272" s="385"/>
      <c r="O272" s="384"/>
      <c r="P272" s="384"/>
      <c r="Q272" s="382"/>
      <c r="R272" s="382"/>
      <c r="S272" s="386"/>
    </row>
    <row r="273" spans="2:19" x14ac:dyDescent="0.2">
      <c r="B273" s="389"/>
      <c r="C273" s="390"/>
      <c r="D273" s="391"/>
      <c r="E273" s="380"/>
      <c r="F273" s="381"/>
      <c r="G273" s="392"/>
      <c r="H273" s="382"/>
      <c r="I273" s="383"/>
      <c r="J273" s="384"/>
      <c r="K273" s="385"/>
      <c r="L273" s="384"/>
      <c r="M273" s="385"/>
      <c r="N273" s="385"/>
      <c r="O273" s="384"/>
      <c r="P273" s="752">
        <v>0.01</v>
      </c>
      <c r="Q273" s="382"/>
      <c r="R273" s="382" t="s">
        <v>813</v>
      </c>
      <c r="S273" s="753">
        <v>0.13</v>
      </c>
    </row>
    <row r="274" spans="2:19" x14ac:dyDescent="0.2">
      <c r="B274" s="393" t="s">
        <v>814</v>
      </c>
      <c r="C274" s="394" t="s">
        <v>608</v>
      </c>
      <c r="D274" s="395" t="s">
        <v>608</v>
      </c>
      <c r="E274" s="396" t="s">
        <v>609</v>
      </c>
      <c r="F274" s="396" t="s">
        <v>815</v>
      </c>
      <c r="G274" s="529" t="s">
        <v>816</v>
      </c>
      <c r="H274" s="975" t="s">
        <v>614</v>
      </c>
      <c r="I274" s="545" t="s">
        <v>817</v>
      </c>
      <c r="J274" s="546"/>
      <c r="K274" s="547" t="s">
        <v>818</v>
      </c>
      <c r="L274" s="548"/>
      <c r="M274" s="549"/>
      <c r="N274" s="530" t="s">
        <v>615</v>
      </c>
      <c r="O274" s="397" t="s">
        <v>819</v>
      </c>
      <c r="P274" s="398" t="s">
        <v>820</v>
      </c>
      <c r="Q274" s="399" t="s">
        <v>821</v>
      </c>
      <c r="R274" s="399" t="s">
        <v>822</v>
      </c>
      <c r="S274" s="399" t="s">
        <v>822</v>
      </c>
    </row>
    <row r="275" spans="2:19" x14ac:dyDescent="0.2">
      <c r="B275" s="400"/>
      <c r="C275" s="401" t="s">
        <v>823</v>
      </c>
      <c r="D275" s="402" t="s">
        <v>616</v>
      </c>
      <c r="E275" s="403" t="s">
        <v>616</v>
      </c>
      <c r="F275" s="404" t="s">
        <v>824</v>
      </c>
      <c r="G275" s="531" t="s">
        <v>617</v>
      </c>
      <c r="H275" s="976"/>
      <c r="I275" s="532" t="s">
        <v>825</v>
      </c>
      <c r="J275" s="533" t="s">
        <v>826</v>
      </c>
      <c r="K275" s="534" t="s">
        <v>825</v>
      </c>
      <c r="L275" s="535" t="s">
        <v>826</v>
      </c>
      <c r="M275" s="534" t="s">
        <v>157</v>
      </c>
      <c r="N275" s="536" t="s">
        <v>827</v>
      </c>
      <c r="O275" s="405" t="s">
        <v>828</v>
      </c>
      <c r="P275" s="405" t="s">
        <v>829</v>
      </c>
      <c r="Q275" s="406" t="s">
        <v>830</v>
      </c>
      <c r="R275" s="406" t="s">
        <v>831</v>
      </c>
      <c r="S275" s="406" t="s">
        <v>832</v>
      </c>
    </row>
    <row r="276" spans="2:19" x14ac:dyDescent="0.2">
      <c r="B276" s="407">
        <v>1</v>
      </c>
      <c r="C276" s="408">
        <v>43347</v>
      </c>
      <c r="D276" s="408">
        <v>43312</v>
      </c>
      <c r="E276" s="409" t="s">
        <v>1072</v>
      </c>
      <c r="F276" s="376" t="s">
        <v>1073</v>
      </c>
      <c r="G276" s="410" t="s">
        <v>806</v>
      </c>
      <c r="H276" s="411" t="str">
        <f>+VLOOKUP(G276,[2]bd!A:C,2,0)</f>
        <v>CENTRAL DE DEPOSITO DE VALORES, S.A. DE C.V.</v>
      </c>
      <c r="I276" s="786"/>
      <c r="J276" s="786"/>
      <c r="K276" s="787">
        <v>1776.89</v>
      </c>
      <c r="L276" s="786"/>
      <c r="M276" s="786">
        <v>231</v>
      </c>
      <c r="N276" s="786">
        <f>+K276+M276</f>
        <v>2007.89</v>
      </c>
      <c r="O276" s="786">
        <v>0</v>
      </c>
      <c r="P276" s="788">
        <v>17.77</v>
      </c>
      <c r="Q276" s="786"/>
      <c r="R276" s="786"/>
      <c r="S276" s="786"/>
    </row>
    <row r="277" spans="2:19" x14ac:dyDescent="0.2">
      <c r="B277" s="407">
        <v>2</v>
      </c>
      <c r="C277" s="408">
        <v>43350</v>
      </c>
      <c r="D277" s="408">
        <v>43350</v>
      </c>
      <c r="E277" s="409" t="s">
        <v>1074</v>
      </c>
      <c r="F277" s="376"/>
      <c r="G277" s="410" t="s">
        <v>781</v>
      </c>
      <c r="H277" s="411" t="str">
        <f>+VLOOKUP(G277,[2]bd!A:C,2,0)</f>
        <v>BOLSA DE VALORES DE EL SALVADOR, S.A. DE C.V.</v>
      </c>
      <c r="I277" s="786"/>
      <c r="J277" s="786"/>
      <c r="K277" s="787">
        <v>7610.82</v>
      </c>
      <c r="L277" s="786"/>
      <c r="M277" s="786">
        <v>989.4</v>
      </c>
      <c r="N277" s="786">
        <f t="shared" ref="N277:N284" si="9">+K277+M277</f>
        <v>8600.2199999999993</v>
      </c>
      <c r="O277" s="786">
        <v>0</v>
      </c>
      <c r="P277" s="788">
        <v>0</v>
      </c>
      <c r="Q277" s="786"/>
      <c r="R277" s="786"/>
      <c r="S277" s="786"/>
    </row>
    <row r="278" spans="2:19" x14ac:dyDescent="0.2">
      <c r="B278" s="407">
        <v>3</v>
      </c>
      <c r="C278" s="408">
        <v>43353</v>
      </c>
      <c r="D278" s="408">
        <v>43353</v>
      </c>
      <c r="E278" s="409" t="s">
        <v>1075</v>
      </c>
      <c r="F278" s="376"/>
      <c r="G278" s="410" t="s">
        <v>158</v>
      </c>
      <c r="H278" s="718" t="str">
        <f>+VLOOKUP(G278,[2]bd!A:C,2,0)</f>
        <v>BANCO CUSCATLAN DE EL SALVADOR S.A.</v>
      </c>
      <c r="I278" s="701"/>
      <c r="J278" s="701"/>
      <c r="K278" s="702">
        <v>133.80000000000001</v>
      </c>
      <c r="L278" s="701"/>
      <c r="M278" s="701">
        <v>17.39</v>
      </c>
      <c r="N278" s="701">
        <f t="shared" si="9"/>
        <v>151.19</v>
      </c>
      <c r="O278" s="701">
        <v>0</v>
      </c>
      <c r="P278" s="701">
        <v>0</v>
      </c>
      <c r="Q278" s="786"/>
      <c r="R278" s="786"/>
      <c r="S278" s="786"/>
    </row>
    <row r="279" spans="2:19" x14ac:dyDescent="0.2">
      <c r="B279" s="407">
        <v>4</v>
      </c>
      <c r="C279" s="408">
        <v>43354</v>
      </c>
      <c r="D279" s="408">
        <v>43346</v>
      </c>
      <c r="E279" s="409" t="s">
        <v>1076</v>
      </c>
      <c r="F279" s="376" t="s">
        <v>1077</v>
      </c>
      <c r="G279" s="410" t="s">
        <v>802</v>
      </c>
      <c r="H279" s="411" t="str">
        <f>+VLOOKUP(G279,[2]bd!A:C,2,0)</f>
        <v>KPMG, S.A.</v>
      </c>
      <c r="I279" s="786"/>
      <c r="J279" s="786"/>
      <c r="K279" s="787">
        <v>118.18</v>
      </c>
      <c r="L279" s="786"/>
      <c r="M279" s="786">
        <v>15.36</v>
      </c>
      <c r="N279" s="786">
        <f t="shared" si="9"/>
        <v>133.54000000000002</v>
      </c>
      <c r="O279" s="786">
        <v>0</v>
      </c>
      <c r="P279" s="788">
        <v>1.18</v>
      </c>
      <c r="Q279" s="786"/>
      <c r="R279" s="786"/>
      <c r="S279" s="786"/>
    </row>
    <row r="280" spans="2:19" x14ac:dyDescent="0.2">
      <c r="B280" s="407">
        <v>5</v>
      </c>
      <c r="C280" s="408">
        <v>43356</v>
      </c>
      <c r="D280" s="408">
        <v>43356</v>
      </c>
      <c r="E280" s="409" t="s">
        <v>1078</v>
      </c>
      <c r="F280" s="376"/>
      <c r="G280" s="410" t="s">
        <v>781</v>
      </c>
      <c r="H280" s="411" t="str">
        <f>+VLOOKUP(G280,[2]bd!A:C,2,0)</f>
        <v>BOLSA DE VALORES DE EL SALVADOR, S.A. DE C.V.</v>
      </c>
      <c r="I280" s="786"/>
      <c r="J280" s="786"/>
      <c r="K280" s="787">
        <v>81.069999999999993</v>
      </c>
      <c r="L280" s="786"/>
      <c r="M280" s="786">
        <v>10.54</v>
      </c>
      <c r="N280" s="786">
        <f t="shared" si="9"/>
        <v>91.609999999999985</v>
      </c>
      <c r="O280" s="786">
        <v>0</v>
      </c>
      <c r="P280" s="788">
        <v>0</v>
      </c>
      <c r="Q280" s="786"/>
      <c r="R280" s="786"/>
      <c r="S280" s="786"/>
    </row>
    <row r="281" spans="2:19" x14ac:dyDescent="0.2">
      <c r="B281" s="407">
        <v>6</v>
      </c>
      <c r="C281" s="408">
        <v>43361</v>
      </c>
      <c r="D281" s="408">
        <v>43361</v>
      </c>
      <c r="E281" s="409" t="s">
        <v>1079</v>
      </c>
      <c r="F281" s="376" t="s">
        <v>1080</v>
      </c>
      <c r="G281" s="410" t="s">
        <v>802</v>
      </c>
      <c r="H281" s="411" t="str">
        <f>+VLOOKUP(G281,[2]bd!A:C,2,0)</f>
        <v>KPMG, S.A.</v>
      </c>
      <c r="I281" s="786"/>
      <c r="J281" s="786"/>
      <c r="K281" s="787">
        <v>344.44</v>
      </c>
      <c r="L281" s="786"/>
      <c r="M281" s="786">
        <v>44.78</v>
      </c>
      <c r="N281" s="786">
        <f t="shared" si="9"/>
        <v>389.22</v>
      </c>
      <c r="O281" s="786">
        <v>0</v>
      </c>
      <c r="P281" s="788">
        <v>3.44</v>
      </c>
      <c r="Q281" s="786"/>
      <c r="R281" s="786"/>
      <c r="S281" s="786"/>
    </row>
    <row r="282" spans="2:19" x14ac:dyDescent="0.2">
      <c r="B282" s="407">
        <v>7</v>
      </c>
      <c r="C282" s="408">
        <v>43361</v>
      </c>
      <c r="D282" s="408">
        <v>43361</v>
      </c>
      <c r="E282" s="409" t="s">
        <v>1081</v>
      </c>
      <c r="F282" s="376"/>
      <c r="G282" s="410" t="s">
        <v>781</v>
      </c>
      <c r="H282" s="411" t="str">
        <f>+VLOOKUP(G282,[2]bd!A:C,2,0)</f>
        <v>BOLSA DE VALORES DE EL SALVADOR, S.A. DE C.V.</v>
      </c>
      <c r="I282" s="786"/>
      <c r="J282" s="786"/>
      <c r="K282" s="787">
        <v>95.89</v>
      </c>
      <c r="L282" s="786"/>
      <c r="M282" s="786">
        <v>12.47</v>
      </c>
      <c r="N282" s="786">
        <f t="shared" si="9"/>
        <v>108.36</v>
      </c>
      <c r="O282" s="786">
        <v>0</v>
      </c>
      <c r="P282" s="788">
        <v>0</v>
      </c>
      <c r="Q282" s="786"/>
      <c r="R282" s="786"/>
      <c r="S282" s="786"/>
    </row>
    <row r="283" spans="2:19" x14ac:dyDescent="0.2">
      <c r="B283" s="407">
        <v>8</v>
      </c>
      <c r="C283" s="408">
        <v>43367</v>
      </c>
      <c r="D283" s="408">
        <v>43367</v>
      </c>
      <c r="E283" s="409" t="s">
        <v>1082</v>
      </c>
      <c r="F283" s="376"/>
      <c r="G283" s="410" t="s">
        <v>781</v>
      </c>
      <c r="H283" s="411" t="str">
        <f>+VLOOKUP(G283,[2]bd!A:C,2,0)</f>
        <v>BOLSA DE VALORES DE EL SALVADOR, S.A. DE C.V.</v>
      </c>
      <c r="I283" s="786"/>
      <c r="J283" s="786"/>
      <c r="K283" s="787">
        <v>41.1</v>
      </c>
      <c r="L283" s="786"/>
      <c r="M283" s="786">
        <v>5.34</v>
      </c>
      <c r="N283" s="786">
        <f t="shared" si="9"/>
        <v>46.44</v>
      </c>
      <c r="O283" s="786"/>
      <c r="P283" s="788">
        <v>0</v>
      </c>
      <c r="Q283" s="786"/>
      <c r="R283" s="786"/>
      <c r="S283" s="786"/>
    </row>
    <row r="284" spans="2:19" x14ac:dyDescent="0.2">
      <c r="B284" s="407">
        <v>9</v>
      </c>
      <c r="C284" s="408">
        <v>43371</v>
      </c>
      <c r="D284" s="408">
        <v>43371</v>
      </c>
      <c r="E284" s="409" t="s">
        <v>1083</v>
      </c>
      <c r="F284" s="376"/>
      <c r="G284" s="410" t="s">
        <v>781</v>
      </c>
      <c r="H284" s="411" t="str">
        <f>+VLOOKUP(G284,[2]bd!A:C,2,0)</f>
        <v>BOLSA DE VALORES DE EL SALVADOR, S.A. DE C.V.</v>
      </c>
      <c r="I284" s="786"/>
      <c r="J284" s="786"/>
      <c r="K284" s="787">
        <v>54.8</v>
      </c>
      <c r="L284" s="786"/>
      <c r="M284" s="786">
        <v>7.12</v>
      </c>
      <c r="N284" s="786">
        <f t="shared" si="9"/>
        <v>61.919999999999995</v>
      </c>
      <c r="O284" s="786">
        <v>0</v>
      </c>
      <c r="P284" s="788">
        <v>0</v>
      </c>
      <c r="Q284" s="786"/>
      <c r="R284" s="786"/>
      <c r="S284" s="786"/>
    </row>
    <row r="286" spans="2:19" x14ac:dyDescent="0.2">
      <c r="B286" s="407">
        <v>28</v>
      </c>
      <c r="C286" s="408"/>
      <c r="D286" s="408"/>
      <c r="E286" s="409"/>
      <c r="F286" s="376"/>
      <c r="G286" s="410"/>
      <c r="H286" s="411"/>
      <c r="I286" s="786"/>
      <c r="J286" s="786"/>
      <c r="K286" s="787"/>
      <c r="L286" s="786"/>
      <c r="M286" s="786"/>
      <c r="N286" s="786"/>
      <c r="O286" s="786"/>
      <c r="P286" s="788">
        <v>0</v>
      </c>
      <c r="Q286" s="786"/>
      <c r="R286" s="786"/>
      <c r="S286" s="786"/>
    </row>
    <row r="287" spans="2:19" x14ac:dyDescent="0.2">
      <c r="B287" s="407"/>
      <c r="C287" s="408"/>
      <c r="D287" s="408"/>
      <c r="E287" s="409"/>
      <c r="F287" s="376"/>
      <c r="G287" s="410"/>
      <c r="H287" s="411" t="s">
        <v>868</v>
      </c>
      <c r="I287" s="786"/>
      <c r="J287" s="786"/>
      <c r="K287" s="792"/>
      <c r="L287" s="786"/>
      <c r="M287" s="792">
        <v>-1333.4</v>
      </c>
      <c r="N287" s="786"/>
      <c r="O287" s="786"/>
      <c r="P287" s="788">
        <v>0</v>
      </c>
      <c r="Q287" s="786"/>
      <c r="R287" s="786"/>
      <c r="S287" s="786"/>
    </row>
    <row r="288" spans="2:19" x14ac:dyDescent="0.2">
      <c r="B288" s="407"/>
      <c r="C288" s="408"/>
      <c r="D288" s="408"/>
      <c r="E288" s="409"/>
      <c r="F288" s="376"/>
      <c r="G288" s="410"/>
      <c r="H288" s="411"/>
      <c r="I288" s="786"/>
      <c r="J288" s="786"/>
      <c r="K288" s="787"/>
      <c r="L288" s="786"/>
      <c r="M288" s="786"/>
      <c r="N288" s="786"/>
      <c r="O288" s="786"/>
      <c r="P288" s="788"/>
      <c r="Q288" s="786"/>
      <c r="R288" s="786"/>
      <c r="S288" s="786"/>
    </row>
    <row r="289" spans="2:19" x14ac:dyDescent="0.2">
      <c r="B289" s="407"/>
      <c r="C289" s="408"/>
      <c r="D289" s="408"/>
      <c r="E289" s="409"/>
      <c r="F289" s="550"/>
      <c r="G289" s="410"/>
      <c r="H289" s="411"/>
      <c r="I289" s="786"/>
      <c r="J289" s="786"/>
      <c r="K289" s="787"/>
      <c r="L289" s="786"/>
      <c r="M289" s="786"/>
      <c r="N289" s="786"/>
      <c r="O289" s="786"/>
      <c r="P289" s="786"/>
      <c r="Q289" s="786"/>
      <c r="R289" s="786"/>
      <c r="S289" s="786"/>
    </row>
    <row r="290" spans="2:19" x14ac:dyDescent="0.2">
      <c r="B290" s="407"/>
      <c r="C290" s="408"/>
      <c r="D290" s="408"/>
      <c r="E290" s="409"/>
      <c r="F290" s="550"/>
      <c r="G290" s="410"/>
      <c r="H290" s="411"/>
      <c r="I290" s="786"/>
      <c r="J290" s="786"/>
      <c r="K290" s="787"/>
      <c r="L290" s="786"/>
      <c r="M290" s="786"/>
      <c r="N290" s="786"/>
      <c r="O290" s="786"/>
      <c r="P290" s="786"/>
      <c r="Q290" s="786"/>
      <c r="R290" s="786"/>
      <c r="S290" s="786"/>
    </row>
    <row r="291" spans="2:19" x14ac:dyDescent="0.2">
      <c r="B291" s="407"/>
      <c r="C291" s="408"/>
      <c r="D291" s="408"/>
      <c r="E291" s="409"/>
      <c r="F291" s="550"/>
      <c r="G291" s="410"/>
      <c r="H291" s="411"/>
      <c r="I291" s="786"/>
      <c r="J291" s="786"/>
      <c r="K291" s="787"/>
      <c r="L291" s="786"/>
      <c r="M291" s="786"/>
      <c r="N291" s="786"/>
      <c r="O291" s="786"/>
      <c r="P291" s="786"/>
      <c r="Q291" s="786"/>
      <c r="R291" s="786"/>
      <c r="S291" s="786"/>
    </row>
    <row r="292" spans="2:19" x14ac:dyDescent="0.2">
      <c r="B292" s="407"/>
      <c r="C292" s="408"/>
      <c r="D292" s="408"/>
      <c r="E292" s="409"/>
      <c r="F292" s="550"/>
      <c r="G292" s="410"/>
      <c r="H292" s="411"/>
      <c r="I292" s="786"/>
      <c r="J292" s="786"/>
      <c r="K292" s="787"/>
      <c r="L292" s="786"/>
      <c r="M292" s="786"/>
      <c r="N292" s="786"/>
      <c r="O292" s="786"/>
      <c r="P292" s="788"/>
      <c r="Q292" s="786"/>
      <c r="R292" s="786"/>
      <c r="S292" s="786"/>
    </row>
    <row r="293" spans="2:19" x14ac:dyDescent="0.2">
      <c r="B293" s="407"/>
      <c r="C293" s="408"/>
      <c r="D293" s="408"/>
      <c r="E293" s="409"/>
      <c r="F293" s="977"/>
      <c r="G293" s="410"/>
      <c r="H293" s="411"/>
      <c r="I293" s="794"/>
      <c r="J293" s="786"/>
      <c r="K293" s="787"/>
      <c r="L293" s="786"/>
      <c r="M293" s="786"/>
      <c r="N293" s="786"/>
      <c r="O293" s="786"/>
      <c r="P293" s="786"/>
      <c r="Q293" s="786"/>
      <c r="R293" s="786"/>
      <c r="S293" s="786"/>
    </row>
    <row r="294" spans="2:19" x14ac:dyDescent="0.2">
      <c r="B294" s="407"/>
      <c r="C294" s="408"/>
      <c r="D294" s="408"/>
      <c r="E294" s="409"/>
      <c r="F294" s="977"/>
      <c r="G294" s="410"/>
      <c r="H294" s="411"/>
      <c r="I294" s="786"/>
      <c r="J294" s="786"/>
      <c r="K294" s="787"/>
      <c r="L294" s="786"/>
      <c r="M294" s="786"/>
      <c r="N294" s="786"/>
      <c r="O294" s="786"/>
      <c r="P294" s="786"/>
      <c r="Q294" s="786"/>
      <c r="R294" s="786"/>
      <c r="S294" s="786"/>
    </row>
    <row r="295" spans="2:19" x14ac:dyDescent="0.2">
      <c r="B295" s="407"/>
      <c r="C295" s="408"/>
      <c r="D295" s="408"/>
      <c r="E295" s="409"/>
      <c r="F295" s="537"/>
      <c r="G295" s="410"/>
      <c r="H295" s="411"/>
      <c r="I295" s="786"/>
      <c r="J295" s="786"/>
      <c r="K295" s="787"/>
      <c r="L295" s="786"/>
      <c r="M295" s="786"/>
      <c r="N295" s="786"/>
      <c r="O295" s="786"/>
      <c r="P295" s="786"/>
      <c r="Q295" s="786"/>
      <c r="R295" s="786"/>
      <c r="S295" s="786"/>
    </row>
    <row r="296" spans="2:19" x14ac:dyDescent="0.2">
      <c r="B296" s="407"/>
      <c r="C296" s="408"/>
      <c r="D296" s="408"/>
      <c r="E296" s="409"/>
      <c r="F296" s="538"/>
      <c r="G296" s="410"/>
      <c r="H296" s="411"/>
      <c r="I296" s="786"/>
      <c r="J296" s="786"/>
      <c r="K296" s="786"/>
      <c r="L296" s="786"/>
      <c r="M296" s="786"/>
      <c r="N296" s="786">
        <f t="shared" ref="N296" si="10">+K296+M296</f>
        <v>0</v>
      </c>
      <c r="O296" s="786"/>
      <c r="P296" s="786"/>
      <c r="Q296" s="786"/>
      <c r="R296" s="786"/>
      <c r="S296" s="786"/>
    </row>
    <row r="297" spans="2:19" ht="13.5" thickBot="1" x14ac:dyDescent="0.25">
      <c r="B297" s="482"/>
      <c r="C297" s="483"/>
      <c r="D297" s="484"/>
      <c r="E297" s="483"/>
      <c r="F297" s="485"/>
      <c r="G297" s="486"/>
      <c r="H297" s="487"/>
      <c r="I297" s="488"/>
      <c r="J297" s="489"/>
      <c r="K297" s="489"/>
      <c r="L297" s="490"/>
      <c r="M297" s="489"/>
      <c r="N297" s="489"/>
      <c r="O297" s="489"/>
      <c r="P297" s="489"/>
      <c r="Q297" s="491"/>
      <c r="R297" s="491"/>
      <c r="S297" s="491"/>
    </row>
    <row r="298" spans="2:19" x14ac:dyDescent="0.2">
      <c r="B298" s="389"/>
      <c r="C298" s="390"/>
      <c r="D298" s="492"/>
      <c r="E298" s="390"/>
      <c r="F298" s="493"/>
      <c r="G298" s="494"/>
      <c r="H298" s="392"/>
      <c r="I298" s="495"/>
      <c r="J298" s="385"/>
      <c r="K298" s="385"/>
      <c r="L298" s="496"/>
      <c r="M298" s="385"/>
      <c r="N298" s="385"/>
      <c r="O298" s="385"/>
      <c r="P298" s="385"/>
      <c r="Q298" s="497"/>
      <c r="R298" s="497"/>
      <c r="S298" s="497"/>
    </row>
    <row r="299" spans="2:19" x14ac:dyDescent="0.2">
      <c r="B299" s="389"/>
      <c r="C299" s="378"/>
      <c r="D299" s="379"/>
      <c r="E299" s="378"/>
      <c r="F299" s="498"/>
      <c r="G299" s="494"/>
      <c r="H299" s="499" t="s">
        <v>856</v>
      </c>
      <c r="I299" s="496">
        <f t="shared" ref="I299:S299" si="11">SUM(I259:I297)</f>
        <v>0</v>
      </c>
      <c r="J299" s="496">
        <f t="shared" si="11"/>
        <v>0</v>
      </c>
      <c r="K299" s="496">
        <f t="shared" si="11"/>
        <v>12723.73</v>
      </c>
      <c r="L299" s="496">
        <f t="shared" si="11"/>
        <v>0</v>
      </c>
      <c r="M299" s="496">
        <f>SUM(M259:M297)</f>
        <v>0</v>
      </c>
      <c r="N299" s="496">
        <f t="shared" si="11"/>
        <v>14377.79</v>
      </c>
      <c r="O299" s="496">
        <f t="shared" si="11"/>
        <v>0</v>
      </c>
      <c r="P299" s="496">
        <f t="shared" si="11"/>
        <v>31.21</v>
      </c>
      <c r="Q299" s="496">
        <f t="shared" si="11"/>
        <v>0</v>
      </c>
      <c r="R299" s="496">
        <f t="shared" si="11"/>
        <v>0</v>
      </c>
      <c r="S299" s="496">
        <f t="shared" si="11"/>
        <v>0.13</v>
      </c>
    </row>
    <row r="300" spans="2:19" ht="13.5" thickBot="1" x14ac:dyDescent="0.25">
      <c r="B300" s="482"/>
      <c r="C300" s="500"/>
      <c r="D300" s="501"/>
      <c r="E300" s="500"/>
      <c r="F300" s="502"/>
      <c r="G300" s="486"/>
      <c r="H300" s="503"/>
      <c r="I300" s="490"/>
      <c r="J300" s="504"/>
      <c r="K300" s="504"/>
      <c r="L300" s="504"/>
      <c r="M300" s="504"/>
      <c r="N300" s="504"/>
      <c r="O300" s="504"/>
      <c r="P300" s="504"/>
      <c r="Q300" s="490"/>
      <c r="R300" s="490"/>
      <c r="S300" s="818"/>
    </row>
    <row r="306" spans="2:19" ht="21" x14ac:dyDescent="0.35">
      <c r="B306" s="723" t="s">
        <v>811</v>
      </c>
      <c r="C306" s="724"/>
      <c r="D306" s="725"/>
      <c r="E306" s="725"/>
      <c r="F306" s="725"/>
      <c r="G306" s="726"/>
      <c r="H306" s="727"/>
      <c r="I306" s="727"/>
      <c r="J306" s="727"/>
      <c r="K306" s="727"/>
      <c r="L306" s="727"/>
      <c r="M306" s="727"/>
      <c r="N306" s="728"/>
      <c r="O306" s="722"/>
      <c r="P306" s="722"/>
      <c r="Q306" s="722"/>
      <c r="R306" s="722"/>
      <c r="S306" s="722"/>
    </row>
    <row r="307" spans="2:19" ht="15.75" x14ac:dyDescent="0.25">
      <c r="B307" s="725" t="s">
        <v>606</v>
      </c>
      <c r="C307" s="725"/>
      <c r="D307" s="725"/>
      <c r="E307" s="725"/>
      <c r="F307" s="725"/>
      <c r="G307" s="726"/>
      <c r="H307" s="727"/>
      <c r="I307" s="727"/>
      <c r="J307" s="727"/>
      <c r="K307" s="727"/>
      <c r="L307" s="974"/>
      <c r="M307" s="974"/>
      <c r="N307" s="728"/>
      <c r="O307" s="722"/>
      <c r="P307" s="722"/>
      <c r="Q307" s="722"/>
      <c r="R307" s="722"/>
      <c r="S307" s="722"/>
    </row>
    <row r="308" spans="2:19" ht="15.75" x14ac:dyDescent="0.25">
      <c r="B308" s="724" t="s">
        <v>607</v>
      </c>
      <c r="C308" s="725"/>
      <c r="D308" s="725"/>
      <c r="E308" s="725"/>
      <c r="F308" s="725"/>
      <c r="G308" s="726"/>
      <c r="H308" s="727"/>
      <c r="I308" s="727"/>
      <c r="J308" s="727"/>
      <c r="K308" s="727"/>
      <c r="L308" s="727"/>
      <c r="M308" s="727"/>
      <c r="N308" s="728"/>
      <c r="O308" s="722"/>
      <c r="P308" s="722"/>
      <c r="Q308" s="722"/>
      <c r="R308" s="722"/>
      <c r="S308" s="722"/>
    </row>
    <row r="309" spans="2:19" ht="15.75" x14ac:dyDescent="0.25">
      <c r="B309" s="725" t="s">
        <v>783</v>
      </c>
      <c r="C309" s="725"/>
      <c r="D309" s="725"/>
      <c r="E309" s="725"/>
      <c r="F309" s="725"/>
      <c r="G309" s="726"/>
      <c r="H309" s="727"/>
      <c r="I309" s="727"/>
      <c r="J309" s="727"/>
      <c r="K309" s="727"/>
      <c r="L309" s="727"/>
      <c r="M309" s="727"/>
      <c r="N309" s="728"/>
      <c r="O309" s="722"/>
      <c r="P309" s="722"/>
      <c r="Q309" s="722"/>
      <c r="R309" s="722"/>
      <c r="S309" s="722"/>
    </row>
    <row r="310" spans="2:19" ht="15.75" x14ac:dyDescent="0.25">
      <c r="B310" s="729" t="s">
        <v>812</v>
      </c>
      <c r="C310" s="730" t="s">
        <v>1123</v>
      </c>
      <c r="D310" s="731"/>
      <c r="E310" s="732">
        <v>2018</v>
      </c>
      <c r="F310" s="725"/>
      <c r="G310" s="726"/>
      <c r="H310" s="376"/>
      <c r="I310" s="734"/>
      <c r="J310" s="734"/>
      <c r="K310" s="734"/>
      <c r="L310" s="734"/>
      <c r="M310" s="734"/>
      <c r="N310" s="728"/>
      <c r="O310" s="722"/>
      <c r="P310" s="722"/>
      <c r="Q310" s="722"/>
      <c r="R310" s="722"/>
      <c r="S310" s="722"/>
    </row>
    <row r="311" spans="2:19" x14ac:dyDescent="0.2">
      <c r="B311" s="377"/>
      <c r="C311" s="378"/>
      <c r="D311" s="379"/>
      <c r="E311" s="380"/>
      <c r="F311" s="381"/>
      <c r="G311" s="382"/>
      <c r="H311" s="382"/>
      <c r="I311" s="383"/>
      <c r="J311" s="384"/>
      <c r="K311" s="385"/>
      <c r="L311" s="384"/>
      <c r="M311" s="385"/>
      <c r="N311" s="385"/>
      <c r="O311" s="384"/>
      <c r="P311" s="384"/>
      <c r="Q311" s="382"/>
      <c r="R311" s="382"/>
      <c r="S311" s="386"/>
    </row>
    <row r="312" spans="2:19" x14ac:dyDescent="0.2">
      <c r="B312" s="377"/>
      <c r="C312" s="378"/>
      <c r="D312" s="379"/>
      <c r="E312" s="380"/>
      <c r="F312" s="458"/>
      <c r="G312" s="387"/>
      <c r="H312" s="388"/>
      <c r="I312" s="383"/>
      <c r="J312" s="384"/>
      <c r="K312" s="385"/>
      <c r="L312" s="384"/>
      <c r="M312" s="385"/>
      <c r="N312" s="385"/>
      <c r="O312" s="384"/>
      <c r="P312" s="384"/>
      <c r="Q312" s="382"/>
      <c r="R312" s="382"/>
      <c r="S312" s="386"/>
    </row>
    <row r="313" spans="2:19" x14ac:dyDescent="0.2">
      <c r="B313" s="389"/>
      <c r="C313" s="390"/>
      <c r="D313" s="391"/>
      <c r="E313" s="380"/>
      <c r="F313" s="381"/>
      <c r="G313" s="392"/>
      <c r="H313" s="382"/>
      <c r="I313" s="383"/>
      <c r="J313" s="384"/>
      <c r="K313" s="385"/>
      <c r="L313" s="384"/>
      <c r="M313" s="385"/>
      <c r="N313" s="385"/>
      <c r="O313" s="384"/>
      <c r="P313" s="752">
        <v>0.01</v>
      </c>
      <c r="Q313" s="382"/>
      <c r="R313" s="382" t="s">
        <v>813</v>
      </c>
      <c r="S313" s="753">
        <v>0.13</v>
      </c>
    </row>
    <row r="314" spans="2:19" x14ac:dyDescent="0.2">
      <c r="B314" s="393" t="s">
        <v>814</v>
      </c>
      <c r="C314" s="394" t="s">
        <v>608</v>
      </c>
      <c r="D314" s="395" t="s">
        <v>608</v>
      </c>
      <c r="E314" s="396" t="s">
        <v>609</v>
      </c>
      <c r="F314" s="396" t="s">
        <v>815</v>
      </c>
      <c r="G314" s="529" t="s">
        <v>816</v>
      </c>
      <c r="H314" s="975" t="s">
        <v>614</v>
      </c>
      <c r="I314" s="545" t="s">
        <v>817</v>
      </c>
      <c r="J314" s="546"/>
      <c r="K314" s="547" t="s">
        <v>818</v>
      </c>
      <c r="L314" s="548"/>
      <c r="M314" s="549"/>
      <c r="N314" s="530" t="s">
        <v>615</v>
      </c>
      <c r="O314" s="397" t="s">
        <v>819</v>
      </c>
      <c r="P314" s="398" t="s">
        <v>820</v>
      </c>
      <c r="Q314" s="399" t="s">
        <v>821</v>
      </c>
      <c r="R314" s="399" t="s">
        <v>822</v>
      </c>
      <c r="S314" s="399" t="s">
        <v>822</v>
      </c>
    </row>
    <row r="315" spans="2:19" x14ac:dyDescent="0.2">
      <c r="B315" s="400"/>
      <c r="C315" s="401" t="s">
        <v>823</v>
      </c>
      <c r="D315" s="402" t="s">
        <v>616</v>
      </c>
      <c r="E315" s="403" t="s">
        <v>616</v>
      </c>
      <c r="F315" s="404" t="s">
        <v>824</v>
      </c>
      <c r="G315" s="531" t="s">
        <v>617</v>
      </c>
      <c r="H315" s="976"/>
      <c r="I315" s="532" t="s">
        <v>825</v>
      </c>
      <c r="J315" s="533" t="s">
        <v>826</v>
      </c>
      <c r="K315" s="534" t="s">
        <v>825</v>
      </c>
      <c r="L315" s="535" t="s">
        <v>826</v>
      </c>
      <c r="M315" s="534" t="s">
        <v>157</v>
      </c>
      <c r="N315" s="536" t="s">
        <v>827</v>
      </c>
      <c r="O315" s="405" t="s">
        <v>828</v>
      </c>
      <c r="P315" s="405" t="s">
        <v>829</v>
      </c>
      <c r="Q315" s="406" t="s">
        <v>830</v>
      </c>
      <c r="R315" s="406" t="s">
        <v>831</v>
      </c>
      <c r="S315" s="406" t="s">
        <v>832</v>
      </c>
    </row>
    <row r="316" spans="2:19" x14ac:dyDescent="0.2">
      <c r="B316" s="407">
        <v>1</v>
      </c>
      <c r="C316" s="408">
        <v>43374</v>
      </c>
      <c r="D316" s="408">
        <v>43374</v>
      </c>
      <c r="E316" s="409" t="s">
        <v>1124</v>
      </c>
      <c r="F316" s="376"/>
      <c r="G316" s="410" t="s">
        <v>781</v>
      </c>
      <c r="H316" s="411" t="str">
        <f>+VLOOKUP(G316,[3]bd!A:C,2,0)</f>
        <v>BOLSA DE VALORES DE EL SALVADOR, S.A. DE C.V.</v>
      </c>
      <c r="I316" s="786"/>
      <c r="J316" s="786"/>
      <c r="K316" s="787">
        <v>14.02</v>
      </c>
      <c r="L316" s="786"/>
      <c r="M316" s="786">
        <v>1.82</v>
      </c>
      <c r="N316" s="786">
        <f>+K316+M316</f>
        <v>15.84</v>
      </c>
      <c r="O316" s="786">
        <v>0</v>
      </c>
      <c r="P316" s="788">
        <v>0</v>
      </c>
      <c r="Q316" s="786"/>
      <c r="R316" s="786"/>
      <c r="S316" s="786"/>
    </row>
    <row r="317" spans="2:19" x14ac:dyDescent="0.2">
      <c r="B317" s="407">
        <v>2</v>
      </c>
      <c r="C317" s="408">
        <v>43375</v>
      </c>
      <c r="D317" s="408">
        <v>43375</v>
      </c>
      <c r="E317" s="409" t="s">
        <v>1125</v>
      </c>
      <c r="F317" s="376"/>
      <c r="G317" s="410" t="s">
        <v>781</v>
      </c>
      <c r="H317" s="411" t="str">
        <f>+VLOOKUP(G317,[3]bd!A:C,2,0)</f>
        <v>BOLSA DE VALORES DE EL SALVADOR, S.A. DE C.V.</v>
      </c>
      <c r="I317" s="786"/>
      <c r="J317" s="786"/>
      <c r="K317" s="787">
        <v>95.89</v>
      </c>
      <c r="L317" s="786"/>
      <c r="M317" s="786">
        <v>12.47</v>
      </c>
      <c r="N317" s="786">
        <f t="shared" ref="N317:N339" si="12">+K317+M317</f>
        <v>108.36</v>
      </c>
      <c r="O317" s="786">
        <v>0</v>
      </c>
      <c r="P317" s="788">
        <v>0</v>
      </c>
      <c r="Q317" s="786"/>
      <c r="R317" s="786"/>
      <c r="S317" s="786"/>
    </row>
    <row r="318" spans="2:19" x14ac:dyDescent="0.2">
      <c r="B318" s="407">
        <v>3</v>
      </c>
      <c r="C318" s="408">
        <v>43375</v>
      </c>
      <c r="D318" s="408">
        <v>43343</v>
      </c>
      <c r="E318" s="409" t="s">
        <v>1126</v>
      </c>
      <c r="F318" s="376" t="s">
        <v>1127</v>
      </c>
      <c r="G318" s="410" t="s">
        <v>806</v>
      </c>
      <c r="H318" s="411" t="str">
        <f>+VLOOKUP(G318,[3]bd!A:C,2,0)</f>
        <v>CENTRAL DE DEPOSITO DE VALORES, S.A. DE C.V.</v>
      </c>
      <c r="I318" s="786"/>
      <c r="J318" s="786"/>
      <c r="K318" s="787">
        <v>1847.17</v>
      </c>
      <c r="L318" s="786"/>
      <c r="M318" s="786">
        <v>240.13</v>
      </c>
      <c r="N318" s="786">
        <f t="shared" si="12"/>
        <v>2087.3000000000002</v>
      </c>
      <c r="O318" s="786">
        <v>0</v>
      </c>
      <c r="P318" s="788">
        <f>K318*0.01</f>
        <v>18.471700000000002</v>
      </c>
      <c r="Q318" s="786"/>
      <c r="R318" s="786"/>
      <c r="S318" s="786"/>
    </row>
    <row r="319" spans="2:19" x14ac:dyDescent="0.2">
      <c r="B319" s="407">
        <v>4</v>
      </c>
      <c r="C319" s="408">
        <v>43375</v>
      </c>
      <c r="D319" s="408">
        <v>43343</v>
      </c>
      <c r="E319" s="409" t="s">
        <v>1128</v>
      </c>
      <c r="F319" s="376"/>
      <c r="G319" s="410" t="s">
        <v>781</v>
      </c>
      <c r="H319" s="411" t="str">
        <f>+VLOOKUP(G319,[3]bd!A:C,2,0)</f>
        <v>BOLSA DE VALORES DE EL SALVADOR, S.A. DE C.V.</v>
      </c>
      <c r="I319" s="786"/>
      <c r="J319" s="786"/>
      <c r="K319" s="787">
        <v>252.05</v>
      </c>
      <c r="L319" s="786"/>
      <c r="M319" s="786">
        <v>32.770000000000003</v>
      </c>
      <c r="N319" s="786">
        <f t="shared" si="12"/>
        <v>284.82</v>
      </c>
      <c r="O319" s="786">
        <v>0</v>
      </c>
      <c r="P319" s="788"/>
      <c r="Q319" s="786"/>
      <c r="R319" s="786"/>
      <c r="S319" s="786"/>
    </row>
    <row r="320" spans="2:19" x14ac:dyDescent="0.2">
      <c r="B320" s="407">
        <v>5</v>
      </c>
      <c r="C320" s="408">
        <v>43375</v>
      </c>
      <c r="D320" s="408">
        <v>43343</v>
      </c>
      <c r="E320" s="409" t="s">
        <v>1129</v>
      </c>
      <c r="F320" s="376"/>
      <c r="G320" s="410" t="s">
        <v>781</v>
      </c>
      <c r="H320" s="411" t="str">
        <f>+VLOOKUP(G320,[3]bd!A:C,2,0)</f>
        <v>BOLSA DE VALORES DE EL SALVADOR, S.A. DE C.V.</v>
      </c>
      <c r="I320" s="786"/>
      <c r="J320" s="786"/>
      <c r="K320" s="787">
        <v>195</v>
      </c>
      <c r="L320" s="786"/>
      <c r="M320" s="786">
        <v>25.35</v>
      </c>
      <c r="N320" s="786">
        <f t="shared" si="12"/>
        <v>220.35</v>
      </c>
      <c r="O320" s="786">
        <v>0</v>
      </c>
      <c r="P320" s="788">
        <v>0</v>
      </c>
      <c r="Q320" s="786"/>
      <c r="R320" s="786"/>
      <c r="S320" s="786"/>
    </row>
    <row r="321" spans="2:19" x14ac:dyDescent="0.2">
      <c r="B321" s="407">
        <v>6</v>
      </c>
      <c r="C321" s="408">
        <v>43378</v>
      </c>
      <c r="D321" s="408">
        <v>43374</v>
      </c>
      <c r="E321" s="409" t="s">
        <v>1130</v>
      </c>
      <c r="F321" s="376" t="s">
        <v>1131</v>
      </c>
      <c r="G321" s="410" t="s">
        <v>802</v>
      </c>
      <c r="H321" s="411" t="str">
        <f>+VLOOKUP(G321,[3]bd!A:C,2,0)</f>
        <v>KPMG, S.A.</v>
      </c>
      <c r="I321" s="786"/>
      <c r="J321" s="786"/>
      <c r="K321" s="787">
        <v>118.18</v>
      </c>
      <c r="L321" s="786"/>
      <c r="M321" s="786">
        <v>15.36</v>
      </c>
      <c r="N321" s="786">
        <f t="shared" si="12"/>
        <v>133.54000000000002</v>
      </c>
      <c r="O321" s="786">
        <v>0</v>
      </c>
      <c r="P321" s="788">
        <f>K321*0.01</f>
        <v>1.1818000000000002</v>
      </c>
      <c r="Q321" s="786"/>
      <c r="R321" s="786"/>
      <c r="S321" s="786"/>
    </row>
    <row r="322" spans="2:19" x14ac:dyDescent="0.2">
      <c r="B322" s="407">
        <v>7</v>
      </c>
      <c r="C322" s="408">
        <v>43381</v>
      </c>
      <c r="D322" s="408">
        <v>43381</v>
      </c>
      <c r="E322" s="409" t="s">
        <v>1132</v>
      </c>
      <c r="F322" s="376"/>
      <c r="G322" s="410" t="s">
        <v>781</v>
      </c>
      <c r="H322" s="411" t="str">
        <f>+VLOOKUP(G322,[3]bd!A:C,2,0)</f>
        <v>BOLSA DE VALORES DE EL SALVADOR, S.A. DE C.V.</v>
      </c>
      <c r="I322" s="786"/>
      <c r="J322" s="786"/>
      <c r="K322" s="787">
        <v>119.87</v>
      </c>
      <c r="L322" s="786"/>
      <c r="M322" s="786">
        <v>15.58</v>
      </c>
      <c r="N322" s="786">
        <f t="shared" si="12"/>
        <v>135.45000000000002</v>
      </c>
      <c r="O322" s="786">
        <v>0</v>
      </c>
      <c r="P322" s="788">
        <v>0</v>
      </c>
      <c r="Q322" s="786"/>
      <c r="R322" s="786"/>
      <c r="S322" s="786"/>
    </row>
    <row r="323" spans="2:19" x14ac:dyDescent="0.2">
      <c r="B323" s="407">
        <v>8</v>
      </c>
      <c r="C323" s="408">
        <v>43384</v>
      </c>
      <c r="D323" s="408">
        <v>43384</v>
      </c>
      <c r="E323" s="409" t="s">
        <v>1133</v>
      </c>
      <c r="F323" s="376"/>
      <c r="G323" s="410" t="s">
        <v>781</v>
      </c>
      <c r="H323" s="411" t="str">
        <f>+VLOOKUP(G323,[3]bd!A:C,2,0)</f>
        <v>BOLSA DE VALORES DE EL SALVADOR, S.A. DE C.V.</v>
      </c>
      <c r="I323" s="786"/>
      <c r="J323" s="786"/>
      <c r="K323" s="787">
        <v>45.55</v>
      </c>
      <c r="L323" s="786"/>
      <c r="M323" s="786">
        <v>5.92</v>
      </c>
      <c r="N323" s="786">
        <f t="shared" si="12"/>
        <v>51.47</v>
      </c>
      <c r="O323" s="786"/>
      <c r="P323" s="788">
        <v>0</v>
      </c>
      <c r="Q323" s="786"/>
      <c r="R323" s="786"/>
      <c r="S323" s="786"/>
    </row>
    <row r="324" spans="2:19" x14ac:dyDescent="0.2">
      <c r="B324" s="407">
        <v>9</v>
      </c>
      <c r="C324" s="408">
        <v>43388</v>
      </c>
      <c r="D324" s="408">
        <v>43388</v>
      </c>
      <c r="E324" s="409" t="s">
        <v>1134</v>
      </c>
      <c r="F324" s="376"/>
      <c r="G324" s="410" t="s">
        <v>781</v>
      </c>
      <c r="H324" s="411" t="str">
        <f>+VLOOKUP(G324,[3]bd!A:C,2,0)</f>
        <v>BOLSA DE VALORES DE EL SALVADOR, S.A. DE C.V.</v>
      </c>
      <c r="I324" s="786"/>
      <c r="J324" s="786"/>
      <c r="K324" s="787">
        <v>47.95</v>
      </c>
      <c r="L324" s="786"/>
      <c r="M324" s="786">
        <v>6.23</v>
      </c>
      <c r="N324" s="786">
        <f t="shared" si="12"/>
        <v>54.180000000000007</v>
      </c>
      <c r="O324" s="786">
        <v>0</v>
      </c>
      <c r="P324" s="788">
        <v>0</v>
      </c>
      <c r="Q324" s="786"/>
      <c r="R324" s="786"/>
      <c r="S324" s="786"/>
    </row>
    <row r="325" spans="2:19" x14ac:dyDescent="0.2">
      <c r="B325" s="407">
        <v>10</v>
      </c>
      <c r="C325" s="408">
        <v>43389</v>
      </c>
      <c r="D325" s="408">
        <v>43389</v>
      </c>
      <c r="E325" s="409" t="s">
        <v>1135</v>
      </c>
      <c r="F325" s="376"/>
      <c r="G325" s="410" t="s">
        <v>781</v>
      </c>
      <c r="H325" s="411" t="str">
        <f>+VLOOKUP(G325,[3]bd!A:C,2,0)</f>
        <v>BOLSA DE VALORES DE EL SALVADOR, S.A. DE C.V.</v>
      </c>
      <c r="I325" s="786"/>
      <c r="J325" s="786"/>
      <c r="K325" s="787">
        <v>83.87</v>
      </c>
      <c r="L325" s="786"/>
      <c r="M325" s="786">
        <v>10.9</v>
      </c>
      <c r="N325" s="786">
        <f t="shared" si="12"/>
        <v>94.77000000000001</v>
      </c>
      <c r="O325" s="786">
        <v>0</v>
      </c>
      <c r="P325" s="788">
        <v>0</v>
      </c>
      <c r="Q325" s="786"/>
      <c r="R325" s="786"/>
      <c r="S325" s="786"/>
    </row>
    <row r="326" spans="2:19" x14ac:dyDescent="0.2">
      <c r="B326" s="407">
        <v>11</v>
      </c>
      <c r="C326" s="408">
        <v>43390</v>
      </c>
      <c r="D326" s="471">
        <v>43390</v>
      </c>
      <c r="E326" s="409" t="s">
        <v>1136</v>
      </c>
      <c r="F326" s="376"/>
      <c r="G326" s="410" t="s">
        <v>781</v>
      </c>
      <c r="H326" s="411" t="str">
        <f>+VLOOKUP(G326,[3]bd!A:C,2,0)</f>
        <v>BOLSA DE VALORES DE EL SALVADOR, S.A. DE C.V.</v>
      </c>
      <c r="I326" s="786"/>
      <c r="J326" s="786"/>
      <c r="K326" s="787">
        <v>82.19</v>
      </c>
      <c r="L326" s="786"/>
      <c r="M326" s="786">
        <v>10.69</v>
      </c>
      <c r="N326" s="786">
        <f t="shared" si="12"/>
        <v>92.88</v>
      </c>
      <c r="O326" s="786">
        <v>0</v>
      </c>
      <c r="P326" s="788">
        <v>0</v>
      </c>
      <c r="Q326" s="786"/>
      <c r="R326" s="786"/>
      <c r="S326" s="786"/>
    </row>
    <row r="327" spans="2:19" x14ac:dyDescent="0.2">
      <c r="B327" s="407">
        <v>12</v>
      </c>
      <c r="C327" s="408">
        <v>43390</v>
      </c>
      <c r="D327" s="408">
        <v>43357</v>
      </c>
      <c r="E327" s="409" t="s">
        <v>1137</v>
      </c>
      <c r="F327" s="376"/>
      <c r="G327" s="410" t="s">
        <v>781</v>
      </c>
      <c r="H327" s="411" t="str">
        <f>+VLOOKUP(G327,[3]bd!A:C,2,0)</f>
        <v>BOLSA DE VALORES DE EL SALVADOR, S.A. DE C.V.</v>
      </c>
      <c r="I327" s="786"/>
      <c r="J327" s="786"/>
      <c r="K327" s="787">
        <v>195</v>
      </c>
      <c r="L327" s="786"/>
      <c r="M327" s="786">
        <v>25.35</v>
      </c>
      <c r="N327" s="786">
        <f t="shared" si="12"/>
        <v>220.35</v>
      </c>
      <c r="O327" s="786">
        <v>0</v>
      </c>
      <c r="P327" s="788">
        <v>0</v>
      </c>
      <c r="Q327" s="786"/>
      <c r="R327" s="786"/>
      <c r="S327" s="786"/>
    </row>
    <row r="328" spans="2:19" x14ac:dyDescent="0.2">
      <c r="B328" s="407">
        <v>13</v>
      </c>
      <c r="C328" s="408">
        <v>43390</v>
      </c>
      <c r="D328" s="471">
        <v>43371</v>
      </c>
      <c r="E328" s="409" t="s">
        <v>1138</v>
      </c>
      <c r="F328" s="376" t="s">
        <v>1139</v>
      </c>
      <c r="G328" s="410" t="s">
        <v>806</v>
      </c>
      <c r="H328" s="411" t="str">
        <f>+VLOOKUP(G328,[3]bd!A:C,2,0)</f>
        <v>CENTRAL DE DEPOSITO DE VALORES, S.A. DE C.V.</v>
      </c>
      <c r="I328" s="786"/>
      <c r="J328" s="786"/>
      <c r="K328" s="787">
        <v>1915.73</v>
      </c>
      <c r="L328" s="786"/>
      <c r="M328" s="786">
        <v>249.04</v>
      </c>
      <c r="N328" s="786">
        <f t="shared" si="12"/>
        <v>2164.77</v>
      </c>
      <c r="O328" s="786">
        <v>0</v>
      </c>
      <c r="P328" s="788">
        <f>K328*0.01</f>
        <v>19.157299999999999</v>
      </c>
      <c r="Q328" s="786"/>
      <c r="R328" s="786"/>
      <c r="S328" s="786"/>
    </row>
    <row r="329" spans="2:19" x14ac:dyDescent="0.2">
      <c r="B329" s="407">
        <v>14</v>
      </c>
      <c r="C329" s="408">
        <v>43391</v>
      </c>
      <c r="D329" s="471">
        <v>43391</v>
      </c>
      <c r="E329" s="409" t="s">
        <v>1140</v>
      </c>
      <c r="F329" s="831"/>
      <c r="G329" s="410" t="s">
        <v>781</v>
      </c>
      <c r="H329" s="411" t="str">
        <f>+VLOOKUP(G329,[3]bd!A:C,2,0)</f>
        <v>BOLSA DE VALORES DE EL SALVADOR, S.A. DE C.V.</v>
      </c>
      <c r="I329" s="786"/>
      <c r="J329" s="786"/>
      <c r="K329" s="787">
        <v>47.95</v>
      </c>
      <c r="L329" s="786"/>
      <c r="M329" s="786">
        <v>6.23</v>
      </c>
      <c r="N329" s="786">
        <f t="shared" si="12"/>
        <v>54.180000000000007</v>
      </c>
      <c r="O329" s="786">
        <v>0</v>
      </c>
      <c r="P329" s="788">
        <v>0</v>
      </c>
      <c r="Q329" s="786"/>
      <c r="R329" s="786"/>
      <c r="S329" s="786"/>
    </row>
    <row r="330" spans="2:19" x14ac:dyDescent="0.2">
      <c r="B330" s="407">
        <v>15</v>
      </c>
      <c r="C330" s="408">
        <v>43392</v>
      </c>
      <c r="D330" s="471">
        <v>43342</v>
      </c>
      <c r="E330" s="409" t="s">
        <v>1141</v>
      </c>
      <c r="F330" s="831" t="s">
        <v>1142</v>
      </c>
      <c r="G330" s="410" t="s">
        <v>936</v>
      </c>
      <c r="H330" s="411" t="str">
        <f>+VLOOKUP(G330,[3]bd!A:C,2,0)</f>
        <v>OPERADORES LOGISTICOS RANSA, S.A. DE C.V.</v>
      </c>
      <c r="I330" s="786"/>
      <c r="J330" s="786"/>
      <c r="K330" s="787">
        <v>418.8</v>
      </c>
      <c r="L330" s="786"/>
      <c r="M330" s="786">
        <v>54.44</v>
      </c>
      <c r="N330" s="786">
        <f t="shared" si="12"/>
        <v>473.24</v>
      </c>
      <c r="O330" s="786">
        <v>0</v>
      </c>
      <c r="P330" s="788">
        <f t="shared" ref="P330:P332" si="13">K330*0.01</f>
        <v>4.1880000000000006</v>
      </c>
      <c r="Q330" s="786"/>
      <c r="R330" s="786"/>
      <c r="S330" s="786"/>
    </row>
    <row r="331" spans="2:19" x14ac:dyDescent="0.2">
      <c r="B331" s="407">
        <v>16</v>
      </c>
      <c r="C331" s="408">
        <v>43392</v>
      </c>
      <c r="D331" s="471">
        <v>43371</v>
      </c>
      <c r="E331" s="409" t="s">
        <v>1143</v>
      </c>
      <c r="F331" s="831" t="s">
        <v>1142</v>
      </c>
      <c r="G331" s="410" t="s">
        <v>936</v>
      </c>
      <c r="H331" s="411" t="str">
        <f>+VLOOKUP(G331,[3]bd!A:C,2,0)</f>
        <v>OPERADORES LOGISTICOS RANSA, S.A. DE C.V.</v>
      </c>
      <c r="I331" s="786"/>
      <c r="J331" s="786"/>
      <c r="K331" s="787">
        <v>418.8</v>
      </c>
      <c r="L331" s="786"/>
      <c r="M331" s="786">
        <v>54.44</v>
      </c>
      <c r="N331" s="786">
        <f t="shared" si="12"/>
        <v>473.24</v>
      </c>
      <c r="O331" s="786">
        <v>0</v>
      </c>
      <c r="P331" s="788">
        <f t="shared" si="13"/>
        <v>4.1880000000000006</v>
      </c>
      <c r="Q331" s="786"/>
      <c r="R331" s="786"/>
      <c r="S331" s="786"/>
    </row>
    <row r="332" spans="2:19" x14ac:dyDescent="0.2">
      <c r="B332" s="407">
        <v>17</v>
      </c>
      <c r="C332" s="408">
        <v>43392</v>
      </c>
      <c r="D332" s="471">
        <v>43385</v>
      </c>
      <c r="E332" s="409" t="s">
        <v>1144</v>
      </c>
      <c r="F332" s="831" t="s">
        <v>1142</v>
      </c>
      <c r="G332" s="410" t="s">
        <v>936</v>
      </c>
      <c r="H332" s="411" t="str">
        <f>+VLOOKUP(G332,[3]bd!A:C,2,0)</f>
        <v>OPERADORES LOGISTICOS RANSA, S.A. DE C.V.</v>
      </c>
      <c r="I332" s="786"/>
      <c r="J332" s="786"/>
      <c r="K332" s="787">
        <v>418.8</v>
      </c>
      <c r="L332" s="786"/>
      <c r="M332" s="786">
        <v>54.44</v>
      </c>
      <c r="N332" s="786">
        <f t="shared" si="12"/>
        <v>473.24</v>
      </c>
      <c r="O332" s="786">
        <v>0</v>
      </c>
      <c r="P332" s="788">
        <f t="shared" si="13"/>
        <v>4.1880000000000006</v>
      </c>
      <c r="Q332" s="786"/>
      <c r="R332" s="786"/>
      <c r="S332" s="786"/>
    </row>
    <row r="333" spans="2:19" x14ac:dyDescent="0.2">
      <c r="B333" s="407">
        <v>18</v>
      </c>
      <c r="C333" s="408">
        <v>43395</v>
      </c>
      <c r="D333" s="471">
        <v>43374</v>
      </c>
      <c r="E333" s="409" t="s">
        <v>1145</v>
      </c>
      <c r="F333" s="831" t="s">
        <v>1146</v>
      </c>
      <c r="G333" s="410" t="s">
        <v>802</v>
      </c>
      <c r="H333" s="411" t="str">
        <f>+VLOOKUP(G333,[3]bd!A:C,2,0)</f>
        <v>KPMG, S.A.</v>
      </c>
      <c r="I333" s="786"/>
      <c r="J333" s="786"/>
      <c r="K333" s="787">
        <v>344.44</v>
      </c>
      <c r="L333" s="786"/>
      <c r="M333" s="786">
        <v>44.78</v>
      </c>
      <c r="N333" s="786">
        <f t="shared" si="12"/>
        <v>389.22</v>
      </c>
      <c r="O333" s="786">
        <v>0</v>
      </c>
      <c r="P333" s="788">
        <f>K333*0.01</f>
        <v>3.4443999999999999</v>
      </c>
      <c r="Q333" s="786"/>
      <c r="R333" s="786"/>
      <c r="S333" s="786"/>
    </row>
    <row r="334" spans="2:19" x14ac:dyDescent="0.2">
      <c r="B334" s="833">
        <v>19</v>
      </c>
      <c r="C334" s="834">
        <v>43397</v>
      </c>
      <c r="D334" s="834">
        <v>43397</v>
      </c>
      <c r="E334" s="835" t="s">
        <v>1147</v>
      </c>
      <c r="F334" s="836"/>
      <c r="G334" s="837" t="s">
        <v>158</v>
      </c>
      <c r="H334" s="718" t="str">
        <f>+VLOOKUP(G334,[3]bd!A:C,2,0)</f>
        <v>BANCO CUSCATLAN DE EL SALVADOR S.A.</v>
      </c>
      <c r="I334" s="701"/>
      <c r="J334" s="701"/>
      <c r="K334" s="702">
        <v>133.80000000000001</v>
      </c>
      <c r="L334" s="701"/>
      <c r="M334" s="701">
        <v>17.39</v>
      </c>
      <c r="N334" s="701">
        <f t="shared" si="12"/>
        <v>151.19</v>
      </c>
      <c r="O334" s="701">
        <v>0</v>
      </c>
      <c r="P334" s="701">
        <v>0</v>
      </c>
      <c r="Q334" s="786"/>
      <c r="R334" s="786"/>
      <c r="S334" s="786"/>
    </row>
    <row r="335" spans="2:19" x14ac:dyDescent="0.2">
      <c r="B335" s="407">
        <v>20</v>
      </c>
      <c r="C335" s="408">
        <v>43397</v>
      </c>
      <c r="D335" s="408">
        <v>43395</v>
      </c>
      <c r="E335" s="409" t="s">
        <v>1148</v>
      </c>
      <c r="F335" s="831"/>
      <c r="G335" s="410" t="s">
        <v>1149</v>
      </c>
      <c r="H335" s="411" t="str">
        <f>+VLOOKUP(G335,[3]bd!A:C,2,0)</f>
        <v>O &amp; R MARKETING COMMUNICATIONS, S.A DE C.V.</v>
      </c>
      <c r="I335" s="786"/>
      <c r="J335" s="786"/>
      <c r="K335" s="787">
        <v>60</v>
      </c>
      <c r="L335" s="786"/>
      <c r="M335" s="786">
        <v>7.8</v>
      </c>
      <c r="N335" s="786">
        <f t="shared" si="12"/>
        <v>67.8</v>
      </c>
      <c r="O335" s="786">
        <v>0</v>
      </c>
      <c r="P335" s="788">
        <v>0</v>
      </c>
      <c r="Q335" s="786"/>
      <c r="R335" s="786"/>
      <c r="S335" s="786"/>
    </row>
    <row r="336" spans="2:19" x14ac:dyDescent="0.2">
      <c r="B336" s="407">
        <v>21</v>
      </c>
      <c r="C336" s="408">
        <v>43397</v>
      </c>
      <c r="D336" s="408">
        <v>43395</v>
      </c>
      <c r="E336" s="409" t="s">
        <v>1150</v>
      </c>
      <c r="F336" s="376" t="s">
        <v>1151</v>
      </c>
      <c r="G336" s="410" t="s">
        <v>1149</v>
      </c>
      <c r="H336" s="411" t="str">
        <f>+VLOOKUP(G336,[3]bd!A:C,2,0)</f>
        <v>O &amp; R MARKETING COMMUNICATIONS, S.A DE C.V.</v>
      </c>
      <c r="I336" s="786"/>
      <c r="J336" s="786"/>
      <c r="K336" s="787">
        <v>2288</v>
      </c>
      <c r="L336" s="786"/>
      <c r="M336" s="786">
        <v>297.44</v>
      </c>
      <c r="N336" s="786">
        <f t="shared" si="12"/>
        <v>2585.44</v>
      </c>
      <c r="O336" s="786">
        <v>0</v>
      </c>
      <c r="P336" s="788">
        <f>K336*0.01</f>
        <v>22.88</v>
      </c>
      <c r="Q336" s="786"/>
      <c r="R336" s="786"/>
      <c r="S336" s="786"/>
    </row>
    <row r="337" spans="2:19" x14ac:dyDescent="0.2">
      <c r="B337" s="407">
        <v>22</v>
      </c>
      <c r="C337" s="408">
        <v>43402</v>
      </c>
      <c r="D337" s="408">
        <v>43402</v>
      </c>
      <c r="E337" s="409" t="s">
        <v>1152</v>
      </c>
      <c r="F337" s="376"/>
      <c r="G337" s="410" t="s">
        <v>781</v>
      </c>
      <c r="H337" s="411" t="str">
        <f>+VLOOKUP(G337,[3]bd!A:C,2,0)</f>
        <v>BOLSA DE VALORES DE EL SALVADOR, S.A. DE C.V.</v>
      </c>
      <c r="I337" s="786"/>
      <c r="J337" s="786"/>
      <c r="K337" s="787">
        <v>95.89</v>
      </c>
      <c r="L337" s="786"/>
      <c r="M337" s="786">
        <v>12.47</v>
      </c>
      <c r="N337" s="786">
        <f t="shared" si="12"/>
        <v>108.36</v>
      </c>
      <c r="O337" s="786">
        <v>0</v>
      </c>
      <c r="P337" s="788">
        <v>0</v>
      </c>
      <c r="Q337" s="786"/>
      <c r="R337" s="786"/>
      <c r="S337" s="786"/>
    </row>
    <row r="338" spans="2:19" x14ac:dyDescent="0.2">
      <c r="B338" s="407">
        <v>23</v>
      </c>
      <c r="C338" s="408">
        <v>43403</v>
      </c>
      <c r="D338" s="408">
        <v>43403</v>
      </c>
      <c r="E338" s="409" t="s">
        <v>1153</v>
      </c>
      <c r="F338" s="376"/>
      <c r="G338" s="410" t="s">
        <v>781</v>
      </c>
      <c r="H338" s="411" t="str">
        <f>+VLOOKUP(G338,[3]bd!A:C,2,0)</f>
        <v>BOLSA DE VALORES DE EL SALVADOR, S.A. DE C.V.</v>
      </c>
      <c r="I338" s="786"/>
      <c r="J338" s="786"/>
      <c r="K338" s="787">
        <v>67.12</v>
      </c>
      <c r="L338" s="786"/>
      <c r="M338" s="786">
        <v>8.73</v>
      </c>
      <c r="N338" s="786">
        <f t="shared" si="12"/>
        <v>75.850000000000009</v>
      </c>
      <c r="O338" s="786">
        <v>0</v>
      </c>
      <c r="P338" s="788">
        <v>0</v>
      </c>
      <c r="Q338" s="786"/>
      <c r="R338" s="786"/>
      <c r="S338" s="786"/>
    </row>
    <row r="339" spans="2:19" x14ac:dyDescent="0.2">
      <c r="B339" s="407">
        <v>24</v>
      </c>
      <c r="C339" s="408">
        <v>43403</v>
      </c>
      <c r="D339" s="408">
        <v>43403</v>
      </c>
      <c r="E339" s="409" t="s">
        <v>1154</v>
      </c>
      <c r="F339" s="831"/>
      <c r="G339" s="410" t="s">
        <v>804</v>
      </c>
      <c r="H339" s="411" t="str">
        <f>+VLOOKUP(G339,[3]bd!A:C,2,0)</f>
        <v>COMUNICACIÓN CREATIVA SA DE CV</v>
      </c>
      <c r="I339" s="786"/>
      <c r="J339" s="786"/>
      <c r="K339" s="787">
        <v>60</v>
      </c>
      <c r="L339" s="786"/>
      <c r="M339" s="786">
        <v>7.8</v>
      </c>
      <c r="N339" s="786">
        <f t="shared" si="12"/>
        <v>67.8</v>
      </c>
      <c r="O339" s="786">
        <v>0</v>
      </c>
      <c r="P339" s="788">
        <v>0</v>
      </c>
      <c r="Q339" s="786"/>
      <c r="R339" s="786"/>
      <c r="S339" s="786"/>
    </row>
    <row r="340" spans="2:19" x14ac:dyDescent="0.2">
      <c r="B340" s="407">
        <v>25</v>
      </c>
      <c r="C340" s="408"/>
      <c r="D340" s="408"/>
      <c r="E340" s="409"/>
      <c r="F340" s="376"/>
      <c r="G340" s="410" t="s">
        <v>1004</v>
      </c>
      <c r="H340" s="411"/>
      <c r="I340" s="786"/>
      <c r="J340" s="786"/>
      <c r="K340" s="787">
        <v>0</v>
      </c>
      <c r="L340" s="786"/>
      <c r="M340" s="786">
        <v>0</v>
      </c>
      <c r="N340" s="786">
        <v>0</v>
      </c>
      <c r="O340" s="786">
        <v>0</v>
      </c>
      <c r="P340" s="788">
        <v>0</v>
      </c>
      <c r="Q340" s="786"/>
      <c r="R340" s="786"/>
      <c r="S340" s="786"/>
    </row>
    <row r="341" spans="2:19" x14ac:dyDescent="0.2">
      <c r="B341" s="407">
        <v>26</v>
      </c>
      <c r="C341" s="408"/>
      <c r="D341" s="408"/>
      <c r="E341" s="409"/>
      <c r="F341" s="376"/>
      <c r="G341" s="410" t="s">
        <v>1004</v>
      </c>
      <c r="H341" s="411"/>
      <c r="I341" s="786"/>
      <c r="J341" s="786"/>
      <c r="K341" s="787">
        <v>0</v>
      </c>
      <c r="L341" s="786"/>
      <c r="M341" s="786">
        <v>0</v>
      </c>
      <c r="N341" s="786">
        <v>0</v>
      </c>
      <c r="O341" s="786"/>
      <c r="P341" s="788">
        <v>0</v>
      </c>
      <c r="Q341" s="786"/>
      <c r="R341" s="786"/>
      <c r="S341" s="786"/>
    </row>
    <row r="342" spans="2:19" x14ac:dyDescent="0.2">
      <c r="B342" s="407">
        <v>27</v>
      </c>
      <c r="C342" s="408"/>
      <c r="D342" s="408"/>
      <c r="E342" s="409"/>
      <c r="F342" s="376"/>
      <c r="G342" s="410" t="s">
        <v>1004</v>
      </c>
      <c r="H342" s="411"/>
      <c r="I342" s="786"/>
      <c r="J342" s="786"/>
      <c r="K342" s="787"/>
      <c r="L342" s="786"/>
      <c r="M342" s="786"/>
      <c r="N342" s="786"/>
      <c r="O342" s="786"/>
      <c r="P342" s="788">
        <v>0</v>
      </c>
      <c r="Q342" s="786"/>
      <c r="R342" s="786"/>
      <c r="S342" s="786"/>
    </row>
    <row r="343" spans="2:19" x14ac:dyDescent="0.2">
      <c r="B343" s="407">
        <v>28</v>
      </c>
      <c r="C343" s="408"/>
      <c r="D343" s="408"/>
      <c r="E343" s="409"/>
      <c r="F343" s="376"/>
      <c r="G343" s="410"/>
      <c r="H343" s="411"/>
      <c r="I343" s="786"/>
      <c r="J343" s="786"/>
      <c r="K343" s="787"/>
      <c r="L343" s="786"/>
      <c r="M343" s="786"/>
      <c r="N343" s="786"/>
      <c r="O343" s="786"/>
      <c r="P343" s="788">
        <v>0</v>
      </c>
      <c r="Q343" s="786"/>
      <c r="R343" s="786"/>
      <c r="S343" s="786"/>
    </row>
    <row r="344" spans="2:19" x14ac:dyDescent="0.2">
      <c r="B344" s="407"/>
      <c r="C344" s="408"/>
      <c r="D344" s="408"/>
      <c r="E344" s="409"/>
      <c r="F344" s="376"/>
      <c r="G344" s="410"/>
      <c r="H344" s="411" t="s">
        <v>868</v>
      </c>
      <c r="I344" s="786"/>
      <c r="J344" s="786"/>
      <c r="K344" s="792"/>
      <c r="L344" s="786"/>
      <c r="M344" s="786">
        <v>-1217.57</v>
      </c>
      <c r="N344" s="786"/>
      <c r="O344" s="786"/>
      <c r="P344" s="788">
        <v>0</v>
      </c>
      <c r="Q344" s="786"/>
      <c r="R344" s="786"/>
      <c r="S344" s="786"/>
    </row>
    <row r="345" spans="2:19" x14ac:dyDescent="0.2">
      <c r="B345" s="407"/>
      <c r="C345" s="408"/>
      <c r="D345" s="408"/>
      <c r="E345" s="409"/>
      <c r="F345" s="376"/>
      <c r="G345" s="410"/>
      <c r="H345" s="411"/>
      <c r="I345" s="786"/>
      <c r="J345" s="786"/>
      <c r="K345" s="787"/>
      <c r="L345" s="786"/>
      <c r="M345" s="786"/>
      <c r="N345" s="786"/>
      <c r="O345" s="786"/>
      <c r="P345" s="788"/>
      <c r="Q345" s="786"/>
      <c r="R345" s="786"/>
      <c r="S345" s="786"/>
    </row>
    <row r="346" spans="2:19" x14ac:dyDescent="0.2">
      <c r="B346" s="407"/>
      <c r="C346" s="408"/>
      <c r="D346" s="408"/>
      <c r="E346" s="409"/>
      <c r="F346" s="538"/>
      <c r="G346" s="410"/>
      <c r="H346" s="411"/>
      <c r="I346" s="786"/>
      <c r="J346" s="786"/>
      <c r="K346" s="786"/>
      <c r="L346" s="786"/>
      <c r="M346" s="786"/>
      <c r="N346" s="786">
        <f t="shared" ref="N346" si="14">+K346+M346</f>
        <v>0</v>
      </c>
      <c r="O346" s="786"/>
      <c r="P346" s="786"/>
      <c r="Q346" s="786"/>
      <c r="R346" s="786"/>
      <c r="S346" s="786"/>
    </row>
    <row r="347" spans="2:19" ht="13.5" thickBot="1" x14ac:dyDescent="0.25">
      <c r="B347" s="482"/>
      <c r="C347" s="483"/>
      <c r="D347" s="484"/>
      <c r="E347" s="483"/>
      <c r="F347" s="485"/>
      <c r="G347" s="486"/>
      <c r="H347" s="487"/>
      <c r="I347" s="488"/>
      <c r="J347" s="489"/>
      <c r="K347" s="489"/>
      <c r="L347" s="490"/>
      <c r="M347" s="489"/>
      <c r="N347" s="489"/>
      <c r="O347" s="489"/>
      <c r="P347" s="489"/>
      <c r="Q347" s="491"/>
      <c r="R347" s="491"/>
      <c r="S347" s="491"/>
    </row>
    <row r="348" spans="2:19" x14ac:dyDescent="0.2">
      <c r="B348" s="389"/>
      <c r="C348" s="390"/>
      <c r="D348" s="492"/>
      <c r="E348" s="390"/>
      <c r="F348" s="493"/>
      <c r="G348" s="494"/>
      <c r="H348" s="392"/>
      <c r="I348" s="495"/>
      <c r="J348" s="385"/>
      <c r="K348" s="385"/>
      <c r="L348" s="496"/>
      <c r="M348" s="385"/>
      <c r="N348" s="385"/>
      <c r="O348" s="385"/>
      <c r="P348" s="385"/>
      <c r="Q348" s="497"/>
      <c r="R348" s="497"/>
      <c r="S348" s="497"/>
    </row>
    <row r="349" spans="2:19" x14ac:dyDescent="0.2">
      <c r="B349" s="389"/>
      <c r="C349" s="378"/>
      <c r="D349" s="379"/>
      <c r="E349" s="378"/>
      <c r="F349" s="498"/>
      <c r="G349" s="494"/>
      <c r="H349" s="499" t="s">
        <v>856</v>
      </c>
      <c r="I349" s="496">
        <f t="shared" ref="I349:S349" si="15">SUM(I316:I347)</f>
        <v>0</v>
      </c>
      <c r="J349" s="496">
        <f t="shared" si="15"/>
        <v>0</v>
      </c>
      <c r="K349" s="496">
        <f t="shared" si="15"/>
        <v>9366.07</v>
      </c>
      <c r="L349" s="496">
        <f t="shared" si="15"/>
        <v>0</v>
      </c>
      <c r="M349" s="496">
        <f>SUM(M316:M347)</f>
        <v>0</v>
      </c>
      <c r="N349" s="496">
        <f t="shared" si="15"/>
        <v>10583.64</v>
      </c>
      <c r="O349" s="496">
        <f t="shared" si="15"/>
        <v>0</v>
      </c>
      <c r="P349" s="496">
        <f t="shared" si="15"/>
        <v>77.699200000000005</v>
      </c>
      <c r="Q349" s="496">
        <f t="shared" si="15"/>
        <v>0</v>
      </c>
      <c r="R349" s="496">
        <f t="shared" si="15"/>
        <v>0</v>
      </c>
      <c r="S349" s="496">
        <f t="shared" si="15"/>
        <v>0</v>
      </c>
    </row>
    <row r="350" spans="2:19" ht="13.5" thickBot="1" x14ac:dyDescent="0.25">
      <c r="B350" s="482"/>
      <c r="C350" s="500"/>
      <c r="D350" s="501"/>
      <c r="E350" s="500"/>
      <c r="F350" s="502"/>
      <c r="G350" s="486"/>
      <c r="H350" s="503"/>
      <c r="I350" s="490"/>
      <c r="J350" s="504"/>
      <c r="K350" s="504"/>
      <c r="L350" s="504"/>
      <c r="M350" s="504"/>
      <c r="N350" s="504"/>
      <c r="O350" s="504"/>
      <c r="P350" s="504"/>
      <c r="Q350" s="490"/>
      <c r="R350" s="490"/>
      <c r="S350" s="818"/>
    </row>
    <row r="355" spans="2:21" ht="21" x14ac:dyDescent="0.35">
      <c r="B355" s="723" t="s">
        <v>811</v>
      </c>
      <c r="C355" s="724"/>
      <c r="D355" s="725"/>
      <c r="E355" s="725"/>
      <c r="F355" s="725"/>
      <c r="G355" s="726"/>
      <c r="H355" s="727"/>
      <c r="I355" s="727"/>
      <c r="J355" s="727"/>
      <c r="K355" s="727"/>
      <c r="L355" s="727"/>
      <c r="M355" s="727"/>
      <c r="N355" s="728"/>
      <c r="O355" s="722"/>
      <c r="P355" s="722"/>
      <c r="Q355" s="722"/>
      <c r="R355" s="722"/>
      <c r="S355" s="722"/>
      <c r="T355" s="722"/>
      <c r="U355" s="722"/>
    </row>
    <row r="356" spans="2:21" ht="15.75" x14ac:dyDescent="0.25">
      <c r="B356" s="725" t="s">
        <v>606</v>
      </c>
      <c r="C356" s="725"/>
      <c r="D356" s="725"/>
      <c r="E356" s="725"/>
      <c r="F356" s="725"/>
      <c r="G356" s="726"/>
      <c r="H356" s="727"/>
      <c r="I356" s="727"/>
      <c r="J356" s="727"/>
      <c r="K356" s="727"/>
      <c r="L356" s="974"/>
      <c r="M356" s="974"/>
      <c r="N356" s="728">
        <v>1.18</v>
      </c>
      <c r="O356" s="722"/>
      <c r="P356" s="722"/>
      <c r="Q356" s="722"/>
      <c r="R356" s="722"/>
      <c r="S356" s="722"/>
      <c r="T356" s="722"/>
      <c r="U356" s="722"/>
    </row>
    <row r="357" spans="2:21" ht="15.75" x14ac:dyDescent="0.25">
      <c r="B357" s="724" t="s">
        <v>607</v>
      </c>
      <c r="C357" s="725"/>
      <c r="D357" s="725"/>
      <c r="E357" s="725"/>
      <c r="F357" s="725"/>
      <c r="G357" s="726"/>
      <c r="H357" s="727"/>
      <c r="I357" s="727"/>
      <c r="J357" s="727"/>
      <c r="K357" s="727"/>
      <c r="L357" s="727"/>
      <c r="M357" s="727"/>
      <c r="N357" s="728">
        <v>3.44</v>
      </c>
      <c r="O357" s="722"/>
      <c r="P357" s="722"/>
      <c r="Q357" s="722"/>
      <c r="R357" s="722"/>
      <c r="S357" s="722"/>
      <c r="T357" s="722"/>
      <c r="U357" s="722"/>
    </row>
    <row r="358" spans="2:21" ht="15.75" x14ac:dyDescent="0.25">
      <c r="B358" s="725" t="s">
        <v>783</v>
      </c>
      <c r="C358" s="725"/>
      <c r="D358" s="725"/>
      <c r="E358" s="725"/>
      <c r="F358" s="725"/>
      <c r="G358" s="726"/>
      <c r="H358" s="727"/>
      <c r="I358" s="727"/>
      <c r="J358" s="727"/>
      <c r="K358" s="727"/>
      <c r="L358" s="727"/>
      <c r="M358" s="727"/>
      <c r="N358" s="728"/>
      <c r="O358" s="722"/>
      <c r="P358" s="722"/>
      <c r="Q358" s="722"/>
      <c r="R358" s="722"/>
      <c r="S358" s="722"/>
      <c r="T358" s="722"/>
      <c r="U358" s="722"/>
    </row>
    <row r="359" spans="2:21" ht="15.75" x14ac:dyDescent="0.25">
      <c r="B359" s="729" t="s">
        <v>812</v>
      </c>
      <c r="C359" s="730" t="s">
        <v>262</v>
      </c>
      <c r="D359" s="731"/>
      <c r="E359" s="732">
        <v>2018</v>
      </c>
      <c r="F359" s="725"/>
      <c r="G359" s="726"/>
      <c r="H359" s="376"/>
      <c r="I359" s="734"/>
      <c r="J359" s="734"/>
      <c r="K359" s="734"/>
      <c r="L359" s="734"/>
      <c r="M359" s="734"/>
      <c r="N359" s="728"/>
      <c r="O359" s="722"/>
      <c r="P359" s="722"/>
      <c r="Q359" s="722"/>
      <c r="R359" s="722"/>
      <c r="S359" s="722"/>
      <c r="T359" s="722"/>
      <c r="U359" s="722"/>
    </row>
    <row r="360" spans="2:21" x14ac:dyDescent="0.2">
      <c r="B360" s="377"/>
      <c r="C360" s="378"/>
      <c r="D360" s="379"/>
      <c r="E360" s="380"/>
      <c r="F360" s="381"/>
      <c r="G360" s="382"/>
      <c r="H360" s="382"/>
      <c r="I360" s="383"/>
      <c r="J360" s="384"/>
      <c r="K360" s="385"/>
      <c r="L360" s="384"/>
      <c r="M360" s="385"/>
      <c r="N360" s="385"/>
      <c r="O360" s="384"/>
      <c r="P360" s="384"/>
      <c r="Q360" s="382"/>
      <c r="R360" s="382"/>
      <c r="S360" s="386"/>
      <c r="T360" s="382"/>
      <c r="U360" s="382"/>
    </row>
    <row r="361" spans="2:21" x14ac:dyDescent="0.2">
      <c r="B361" s="377"/>
      <c r="C361" s="378"/>
      <c r="D361" s="379"/>
      <c r="E361" s="380"/>
      <c r="F361" s="458"/>
      <c r="G361" s="387"/>
      <c r="H361" s="388"/>
      <c r="I361" s="383"/>
      <c r="J361" s="384"/>
      <c r="K361" s="385"/>
      <c r="L361" s="384"/>
      <c r="M361" s="385"/>
      <c r="N361" s="385"/>
      <c r="O361" s="384"/>
      <c r="P361" s="384"/>
      <c r="Q361" s="382"/>
      <c r="R361" s="382"/>
      <c r="S361" s="386"/>
      <c r="T361" s="382"/>
      <c r="U361" s="382"/>
    </row>
    <row r="362" spans="2:21" x14ac:dyDescent="0.2">
      <c r="B362" s="389"/>
      <c r="C362" s="390"/>
      <c r="D362" s="391"/>
      <c r="E362" s="380"/>
      <c r="F362" s="381"/>
      <c r="G362" s="392"/>
      <c r="H362" s="382"/>
      <c r="I362" s="383"/>
      <c r="J362" s="384"/>
      <c r="K362" s="385"/>
      <c r="L362" s="384"/>
      <c r="M362" s="385"/>
      <c r="N362" s="385"/>
      <c r="O362" s="384"/>
      <c r="P362" s="752">
        <v>0.01</v>
      </c>
      <c r="Q362" s="382"/>
      <c r="R362" s="382" t="s">
        <v>813</v>
      </c>
      <c r="S362" s="753">
        <v>0.13</v>
      </c>
      <c r="T362" s="382"/>
      <c r="U362" s="382"/>
    </row>
    <row r="363" spans="2:21" x14ac:dyDescent="0.2">
      <c r="B363" s="393" t="s">
        <v>814</v>
      </c>
      <c r="C363" s="394" t="s">
        <v>608</v>
      </c>
      <c r="D363" s="395" t="s">
        <v>608</v>
      </c>
      <c r="E363" s="396" t="s">
        <v>609</v>
      </c>
      <c r="F363" s="396" t="s">
        <v>815</v>
      </c>
      <c r="G363" s="529" t="s">
        <v>816</v>
      </c>
      <c r="H363" s="975" t="s">
        <v>614</v>
      </c>
      <c r="I363" s="545" t="s">
        <v>817</v>
      </c>
      <c r="J363" s="546"/>
      <c r="K363" s="547" t="s">
        <v>818</v>
      </c>
      <c r="L363" s="548"/>
      <c r="M363" s="549"/>
      <c r="N363" s="530" t="s">
        <v>615</v>
      </c>
      <c r="O363" s="397" t="s">
        <v>819</v>
      </c>
      <c r="P363" s="398" t="s">
        <v>820</v>
      </c>
      <c r="Q363" s="399" t="s">
        <v>821</v>
      </c>
      <c r="R363" s="399" t="s">
        <v>822</v>
      </c>
      <c r="S363" s="399" t="s">
        <v>822</v>
      </c>
      <c r="T363" s="920"/>
      <c r="U363" s="920"/>
    </row>
    <row r="364" spans="2:21" x14ac:dyDescent="0.2">
      <c r="B364" s="400"/>
      <c r="C364" s="401" t="s">
        <v>823</v>
      </c>
      <c r="D364" s="402" t="s">
        <v>616</v>
      </c>
      <c r="E364" s="403" t="s">
        <v>616</v>
      </c>
      <c r="F364" s="404" t="s">
        <v>824</v>
      </c>
      <c r="G364" s="531" t="s">
        <v>617</v>
      </c>
      <c r="H364" s="976"/>
      <c r="I364" s="532" t="s">
        <v>825</v>
      </c>
      <c r="J364" s="533" t="s">
        <v>826</v>
      </c>
      <c r="K364" s="534" t="s">
        <v>825</v>
      </c>
      <c r="L364" s="535" t="s">
        <v>826</v>
      </c>
      <c r="M364" s="534" t="s">
        <v>157</v>
      </c>
      <c r="N364" s="536" t="s">
        <v>827</v>
      </c>
      <c r="O364" s="405" t="s">
        <v>828</v>
      </c>
      <c r="P364" s="405" t="s">
        <v>829</v>
      </c>
      <c r="Q364" s="406" t="s">
        <v>830</v>
      </c>
      <c r="R364" s="406" t="s">
        <v>831</v>
      </c>
      <c r="S364" s="406" t="s">
        <v>832</v>
      </c>
      <c r="T364" s="920"/>
      <c r="U364" s="920"/>
    </row>
    <row r="365" spans="2:21" x14ac:dyDescent="0.2">
      <c r="B365" s="407">
        <v>1</v>
      </c>
      <c r="C365" s="408">
        <v>43405</v>
      </c>
      <c r="D365" s="408">
        <v>43405</v>
      </c>
      <c r="E365" s="409" t="s">
        <v>1193</v>
      </c>
      <c r="F365" s="376"/>
      <c r="G365" s="410" t="s">
        <v>781</v>
      </c>
      <c r="H365" s="411" t="str">
        <f>+VLOOKUP(G365,[4]bd!A:C,2,0)</f>
        <v>BOLSA DE VALORES DE EL SALVADOR, S.A. DE C.V.</v>
      </c>
      <c r="I365" s="786"/>
      <c r="J365" s="786"/>
      <c r="K365" s="787">
        <v>235.19</v>
      </c>
      <c r="L365" s="786"/>
      <c r="M365" s="786">
        <f>K365*0.13</f>
        <v>30.5747</v>
      </c>
      <c r="N365" s="786">
        <f>+K365+M365</f>
        <v>265.7647</v>
      </c>
      <c r="O365" s="786">
        <v>0</v>
      </c>
      <c r="P365" s="788">
        <v>0</v>
      </c>
      <c r="Q365" s="786"/>
      <c r="R365" s="786"/>
      <c r="S365" s="786"/>
      <c r="T365" s="921"/>
      <c r="U365" s="921"/>
    </row>
    <row r="366" spans="2:21" x14ac:dyDescent="0.2">
      <c r="B366" s="407">
        <v>2</v>
      </c>
      <c r="C366" s="408">
        <v>43409</v>
      </c>
      <c r="D366" s="408">
        <v>43409</v>
      </c>
      <c r="E366" s="409" t="s">
        <v>1194</v>
      </c>
      <c r="F366" s="376"/>
      <c r="G366" s="410" t="s">
        <v>781</v>
      </c>
      <c r="H366" s="411" t="str">
        <f>+VLOOKUP(G366,[4]bd!A:C,2,0)</f>
        <v>BOLSA DE VALORES DE EL SALVADOR, S.A. DE C.V.</v>
      </c>
      <c r="I366" s="786"/>
      <c r="J366" s="786"/>
      <c r="K366" s="787">
        <v>95.89</v>
      </c>
      <c r="L366" s="786"/>
      <c r="M366" s="786">
        <f>K366*0.13</f>
        <v>12.4657</v>
      </c>
      <c r="N366" s="786">
        <f t="shared" ref="N366:N377" si="16">+K366+M366</f>
        <v>108.3557</v>
      </c>
      <c r="O366" s="786">
        <v>0</v>
      </c>
      <c r="P366" s="788">
        <v>0</v>
      </c>
      <c r="Q366" s="786"/>
      <c r="R366" s="786"/>
      <c r="S366" s="786"/>
      <c r="T366" s="921"/>
      <c r="U366" s="921"/>
    </row>
    <row r="367" spans="2:21" x14ac:dyDescent="0.2">
      <c r="B367" s="407">
        <v>3</v>
      </c>
      <c r="C367" s="408">
        <v>43410</v>
      </c>
      <c r="D367" s="408">
        <v>43410</v>
      </c>
      <c r="E367" s="409" t="s">
        <v>1195</v>
      </c>
      <c r="F367" s="376"/>
      <c r="G367" s="410"/>
      <c r="H367" s="411" t="s">
        <v>1025</v>
      </c>
      <c r="I367" s="786"/>
      <c r="J367" s="786"/>
      <c r="K367" s="787">
        <v>321</v>
      </c>
      <c r="L367" s="786"/>
      <c r="M367" s="786">
        <f>K367*0.13</f>
        <v>41.730000000000004</v>
      </c>
      <c r="N367" s="786">
        <f t="shared" si="16"/>
        <v>362.73</v>
      </c>
      <c r="O367" s="786">
        <v>0</v>
      </c>
      <c r="P367" s="788">
        <v>0</v>
      </c>
      <c r="Q367" s="786"/>
      <c r="R367" s="786">
        <v>64.2</v>
      </c>
      <c r="S367" s="786">
        <v>41.73</v>
      </c>
      <c r="T367" s="921"/>
      <c r="U367" s="921"/>
    </row>
    <row r="368" spans="2:21" x14ac:dyDescent="0.2">
      <c r="B368" s="407">
        <v>4</v>
      </c>
      <c r="C368" s="408">
        <v>43412</v>
      </c>
      <c r="D368" s="408">
        <v>43412</v>
      </c>
      <c r="E368" s="409" t="s">
        <v>1196</v>
      </c>
      <c r="F368" s="376"/>
      <c r="G368" s="410" t="s">
        <v>781</v>
      </c>
      <c r="H368" s="411" t="str">
        <f>+VLOOKUP(G368,[4]bd!A:C,2,0)</f>
        <v>BOLSA DE VALORES DE EL SALVADOR, S.A. DE C.V.</v>
      </c>
      <c r="I368" s="786"/>
      <c r="J368" s="786"/>
      <c r="K368" s="787">
        <v>95.89</v>
      </c>
      <c r="L368" s="786"/>
      <c r="M368" s="786">
        <v>12.47</v>
      </c>
      <c r="N368" s="786">
        <f t="shared" si="16"/>
        <v>108.36</v>
      </c>
      <c r="O368" s="786">
        <v>0</v>
      </c>
      <c r="P368" s="788"/>
      <c r="Q368" s="786"/>
      <c r="R368" s="786"/>
      <c r="S368" s="786"/>
      <c r="T368" s="921"/>
      <c r="U368" s="921"/>
    </row>
    <row r="369" spans="2:21" x14ac:dyDescent="0.2">
      <c r="B369" s="407">
        <v>5</v>
      </c>
      <c r="C369" s="408">
        <v>43416</v>
      </c>
      <c r="D369" s="408">
        <v>43405</v>
      </c>
      <c r="E369" s="409" t="s">
        <v>1011</v>
      </c>
      <c r="F369" s="376"/>
      <c r="G369" s="410" t="s">
        <v>802</v>
      </c>
      <c r="H369" s="411" t="str">
        <f>+VLOOKUP(G369,[4]bd!A:C,2,0)</f>
        <v>KPMG, S.A.</v>
      </c>
      <c r="I369" s="786"/>
      <c r="J369" s="786"/>
      <c r="K369" s="787">
        <v>118.18</v>
      </c>
      <c r="L369" s="786"/>
      <c r="M369" s="786">
        <v>15.36</v>
      </c>
      <c r="N369" s="786">
        <f t="shared" si="16"/>
        <v>133.54000000000002</v>
      </c>
      <c r="O369" s="786">
        <v>0</v>
      </c>
      <c r="P369" s="788">
        <v>1.18</v>
      </c>
      <c r="Q369" s="786"/>
      <c r="R369" s="786"/>
      <c r="S369" s="786"/>
      <c r="T369" s="921"/>
      <c r="U369" s="921"/>
    </row>
    <row r="370" spans="2:21" x14ac:dyDescent="0.2">
      <c r="B370" s="407">
        <v>6</v>
      </c>
      <c r="C370" s="408">
        <v>43417</v>
      </c>
      <c r="D370" s="408">
        <v>43405</v>
      </c>
      <c r="E370" s="409" t="s">
        <v>1009</v>
      </c>
      <c r="F370" s="376"/>
      <c r="G370" s="410" t="s">
        <v>802</v>
      </c>
      <c r="H370" s="411" t="str">
        <f>+VLOOKUP(G370,[4]bd!A:C,2,0)</f>
        <v>KPMG, S.A.</v>
      </c>
      <c r="I370" s="786"/>
      <c r="J370" s="786"/>
      <c r="K370" s="787">
        <v>344.44</v>
      </c>
      <c r="L370" s="786"/>
      <c r="M370" s="786">
        <v>44.78</v>
      </c>
      <c r="N370" s="786">
        <f t="shared" si="16"/>
        <v>389.22</v>
      </c>
      <c r="O370" s="786">
        <v>0</v>
      </c>
      <c r="P370" s="788">
        <v>3.44</v>
      </c>
      <c r="Q370" s="786"/>
      <c r="R370" s="786"/>
      <c r="S370" s="786"/>
      <c r="T370" s="921"/>
      <c r="U370" s="921"/>
    </row>
    <row r="371" spans="2:21" x14ac:dyDescent="0.2">
      <c r="B371" s="407">
        <v>7</v>
      </c>
      <c r="C371" s="408">
        <v>43419</v>
      </c>
      <c r="D371" s="408">
        <v>43419</v>
      </c>
      <c r="E371" s="409" t="s">
        <v>1197</v>
      </c>
      <c r="F371" s="376"/>
      <c r="G371" s="410" t="s">
        <v>781</v>
      </c>
      <c r="H371" s="411" t="str">
        <f>+VLOOKUP(G371,[4]bd!A:C,2,0)</f>
        <v>BOLSA DE VALORES DE EL SALVADOR, S.A. DE C.V.</v>
      </c>
      <c r="I371" s="786"/>
      <c r="J371" s="786"/>
      <c r="K371" s="787">
        <v>95.89</v>
      </c>
      <c r="L371" s="786"/>
      <c r="M371" s="786">
        <v>12.47</v>
      </c>
      <c r="N371" s="786">
        <f t="shared" si="16"/>
        <v>108.36</v>
      </c>
      <c r="O371" s="786">
        <v>0</v>
      </c>
      <c r="P371" s="788">
        <v>0</v>
      </c>
      <c r="Q371" s="786"/>
      <c r="R371" s="786"/>
      <c r="S371" s="786"/>
      <c r="T371" s="921"/>
      <c r="U371" s="921"/>
    </row>
    <row r="372" spans="2:21" x14ac:dyDescent="0.2">
      <c r="B372" s="407">
        <v>8</v>
      </c>
      <c r="C372" s="408">
        <v>43420</v>
      </c>
      <c r="D372" s="408">
        <v>43420</v>
      </c>
      <c r="E372" s="409" t="s">
        <v>1198</v>
      </c>
      <c r="F372" s="376"/>
      <c r="G372" s="410" t="s">
        <v>158</v>
      </c>
      <c r="H372" s="411" t="str">
        <f>+VLOOKUP(G372,[4]bd!A:C,2,0)</f>
        <v>BANCO CUSCATLAN DE EL SALVADOR S.A.</v>
      </c>
      <c r="I372" s="786"/>
      <c r="J372" s="786"/>
      <c r="K372" s="787">
        <v>133.80000000000001</v>
      </c>
      <c r="L372" s="786"/>
      <c r="M372" s="786">
        <v>17.39</v>
      </c>
      <c r="N372" s="786">
        <f t="shared" si="16"/>
        <v>151.19</v>
      </c>
      <c r="O372" s="786"/>
      <c r="P372" s="788">
        <v>0</v>
      </c>
      <c r="Q372" s="786"/>
      <c r="R372" s="786"/>
      <c r="S372" s="786"/>
      <c r="T372" s="921"/>
      <c r="U372" s="921"/>
    </row>
    <row r="373" spans="2:21" x14ac:dyDescent="0.2">
      <c r="B373" s="407">
        <v>9</v>
      </c>
      <c r="C373" s="408">
        <v>43424</v>
      </c>
      <c r="D373" s="408">
        <v>43404</v>
      </c>
      <c r="E373" s="409" t="s">
        <v>1199</v>
      </c>
      <c r="F373" s="376"/>
      <c r="G373" s="410" t="s">
        <v>806</v>
      </c>
      <c r="H373" s="411" t="str">
        <f>+VLOOKUP(G373,[4]bd!A:C,2,0)</f>
        <v>CENTRAL DE DEPOSITO DE VALORES, S.A. DE C.V.</v>
      </c>
      <c r="I373" s="786"/>
      <c r="J373" s="786"/>
      <c r="K373" s="787">
        <v>1437.31</v>
      </c>
      <c r="L373" s="786"/>
      <c r="M373" s="786">
        <v>186.85</v>
      </c>
      <c r="N373" s="786">
        <f t="shared" si="16"/>
        <v>1624.1599999999999</v>
      </c>
      <c r="O373" s="786">
        <v>0</v>
      </c>
      <c r="P373" s="788">
        <v>14.37</v>
      </c>
      <c r="Q373" s="786"/>
      <c r="R373" s="786"/>
      <c r="S373" s="786"/>
      <c r="T373" s="921"/>
      <c r="U373" s="921"/>
    </row>
    <row r="374" spans="2:21" x14ac:dyDescent="0.2">
      <c r="B374" s="407">
        <v>10</v>
      </c>
      <c r="C374" s="408">
        <v>43424</v>
      </c>
      <c r="D374" s="408">
        <v>43385</v>
      </c>
      <c r="E374" s="409" t="s">
        <v>1200</v>
      </c>
      <c r="F374" s="376"/>
      <c r="G374" s="410" t="s">
        <v>781</v>
      </c>
      <c r="H374" s="411" t="str">
        <f>+VLOOKUP(G374,[4]bd!A:C,2,0)</f>
        <v>BOLSA DE VALORES DE EL SALVADOR, S.A. DE C.V.</v>
      </c>
      <c r="I374" s="786"/>
      <c r="J374" s="786"/>
      <c r="K374" s="787">
        <v>195</v>
      </c>
      <c r="L374" s="786"/>
      <c r="M374" s="786">
        <v>25.35</v>
      </c>
      <c r="N374" s="786">
        <f t="shared" si="16"/>
        <v>220.35</v>
      </c>
      <c r="O374" s="786">
        <v>0</v>
      </c>
      <c r="P374" s="788">
        <v>0</v>
      </c>
      <c r="Q374" s="786"/>
      <c r="R374" s="786"/>
      <c r="S374" s="786"/>
      <c r="T374" s="921"/>
      <c r="U374" s="921"/>
    </row>
    <row r="375" spans="2:21" x14ac:dyDescent="0.2">
      <c r="B375" s="407">
        <v>11</v>
      </c>
      <c r="C375" s="408">
        <v>43426</v>
      </c>
      <c r="D375" s="471">
        <v>43426</v>
      </c>
      <c r="E375" s="409" t="s">
        <v>1201</v>
      </c>
      <c r="F375" s="376"/>
      <c r="G375" s="410" t="s">
        <v>781</v>
      </c>
      <c r="H375" s="411" t="str">
        <f>+VLOOKUP(G375,[4]bd!A:C,2,0)</f>
        <v>BOLSA DE VALORES DE EL SALVADOR, S.A. DE C.V.</v>
      </c>
      <c r="I375" s="786"/>
      <c r="J375" s="786"/>
      <c r="K375" s="787">
        <v>52.22</v>
      </c>
      <c r="L375" s="786"/>
      <c r="M375" s="786">
        <v>6.79</v>
      </c>
      <c r="N375" s="786">
        <f t="shared" si="16"/>
        <v>59.01</v>
      </c>
      <c r="O375" s="786">
        <v>0</v>
      </c>
      <c r="P375" s="788">
        <v>0</v>
      </c>
      <c r="Q375" s="786"/>
      <c r="R375" s="786"/>
      <c r="S375" s="786"/>
      <c r="T375" s="921"/>
      <c r="U375" s="921"/>
    </row>
    <row r="376" spans="2:21" x14ac:dyDescent="0.2">
      <c r="B376" s="407">
        <v>12</v>
      </c>
      <c r="C376" s="408">
        <v>43433</v>
      </c>
      <c r="D376" s="408">
        <v>43433</v>
      </c>
      <c r="E376" s="409" t="s">
        <v>1202</v>
      </c>
      <c r="F376" s="376"/>
      <c r="G376" s="410" t="s">
        <v>781</v>
      </c>
      <c r="H376" s="411" t="str">
        <f>+VLOOKUP(G376,[4]bd!A:C,2,0)</f>
        <v>BOLSA DE VALORES DE EL SALVADOR, S.A. DE C.V.</v>
      </c>
      <c r="I376" s="786"/>
      <c r="J376" s="786"/>
      <c r="K376" s="787">
        <v>66.58</v>
      </c>
      <c r="L376" s="786"/>
      <c r="M376" s="786">
        <v>8.65</v>
      </c>
      <c r="N376" s="786">
        <f t="shared" si="16"/>
        <v>75.23</v>
      </c>
      <c r="O376" s="786">
        <v>0</v>
      </c>
      <c r="P376" s="788">
        <v>0</v>
      </c>
      <c r="Q376" s="786"/>
      <c r="R376" s="786"/>
      <c r="S376" s="786"/>
      <c r="T376" s="921"/>
      <c r="U376" s="921"/>
    </row>
    <row r="377" spans="2:21" x14ac:dyDescent="0.2">
      <c r="B377" s="407">
        <v>13</v>
      </c>
      <c r="C377" s="408"/>
      <c r="D377" s="471"/>
      <c r="E377" s="409"/>
      <c r="F377" s="376"/>
      <c r="G377" s="410"/>
      <c r="H377" s="411" t="e">
        <f>+VLOOKUP(G377,[4]bd!A:C,2,0)</f>
        <v>#N/A</v>
      </c>
      <c r="I377" s="786"/>
      <c r="J377" s="786"/>
      <c r="K377" s="787"/>
      <c r="L377" s="786"/>
      <c r="M377" s="786"/>
      <c r="N377" s="786">
        <f t="shared" si="16"/>
        <v>0</v>
      </c>
      <c r="O377" s="786">
        <v>0</v>
      </c>
      <c r="P377" s="788">
        <f>K377*0.01</f>
        <v>0</v>
      </c>
      <c r="Q377" s="786"/>
      <c r="R377" s="786"/>
      <c r="S377" s="786"/>
      <c r="T377" s="921"/>
      <c r="U377" s="921"/>
    </row>
    <row r="378" spans="2:21" x14ac:dyDescent="0.2">
      <c r="B378" s="407">
        <v>26</v>
      </c>
      <c r="C378" s="408"/>
      <c r="D378" s="408"/>
      <c r="E378" s="409"/>
      <c r="F378" s="376"/>
      <c r="G378" s="410" t="s">
        <v>1004</v>
      </c>
      <c r="H378" s="411" t="e">
        <f>+VLOOKUP(G378,[4]bd!A:C,2,0)</f>
        <v>#N/A</v>
      </c>
      <c r="I378" s="786"/>
      <c r="J378" s="786"/>
      <c r="K378" s="787">
        <v>0</v>
      </c>
      <c r="L378" s="786"/>
      <c r="M378" s="786">
        <v>0</v>
      </c>
      <c r="N378" s="786">
        <v>0</v>
      </c>
      <c r="O378" s="786"/>
      <c r="P378" s="788">
        <v>0</v>
      </c>
      <c r="Q378" s="786"/>
      <c r="R378" s="786"/>
      <c r="S378" s="786"/>
      <c r="T378" s="921"/>
      <c r="U378" s="921"/>
    </row>
    <row r="379" spans="2:21" x14ac:dyDescent="0.2">
      <c r="B379" s="407">
        <v>27</v>
      </c>
      <c r="C379" s="408"/>
      <c r="D379" s="408"/>
      <c r="E379" s="409"/>
      <c r="F379" s="376"/>
      <c r="G379" s="410" t="s">
        <v>1004</v>
      </c>
      <c r="H379" s="411" t="e">
        <f>+VLOOKUP(G379,[4]bd!A:C,2,0)</f>
        <v>#N/A</v>
      </c>
      <c r="I379" s="786"/>
      <c r="J379" s="786"/>
      <c r="K379" s="787"/>
      <c r="L379" s="786"/>
      <c r="M379" s="786"/>
      <c r="N379" s="786"/>
      <c r="O379" s="786"/>
      <c r="P379" s="788">
        <v>0</v>
      </c>
      <c r="Q379" s="786"/>
      <c r="R379" s="786"/>
      <c r="S379" s="786"/>
      <c r="T379" s="921"/>
      <c r="U379" s="921"/>
    </row>
    <row r="380" spans="2:21" x14ac:dyDescent="0.2">
      <c r="B380" s="407">
        <v>28</v>
      </c>
      <c r="C380" s="408"/>
      <c r="D380" s="408"/>
      <c r="E380" s="409"/>
      <c r="F380" s="376"/>
      <c r="G380" s="410"/>
      <c r="H380" s="411"/>
      <c r="I380" s="786"/>
      <c r="J380" s="786"/>
      <c r="K380" s="787"/>
      <c r="L380" s="786"/>
      <c r="M380" s="786"/>
      <c r="N380" s="786"/>
      <c r="O380" s="786"/>
      <c r="P380" s="788">
        <v>0</v>
      </c>
      <c r="Q380" s="786"/>
      <c r="R380" s="786"/>
      <c r="S380" s="786"/>
      <c r="T380" s="921"/>
      <c r="U380" s="921"/>
    </row>
    <row r="381" spans="2:21" x14ac:dyDescent="0.2">
      <c r="B381" s="407"/>
      <c r="C381" s="408"/>
      <c r="D381" s="408"/>
      <c r="E381" s="409"/>
      <c r="F381" s="376"/>
      <c r="G381" s="410"/>
      <c r="H381" s="411" t="s">
        <v>868</v>
      </c>
      <c r="I381" s="786"/>
      <c r="J381" s="786"/>
      <c r="K381" s="792"/>
      <c r="L381" s="786"/>
      <c r="M381" s="786">
        <v>-414.88</v>
      </c>
      <c r="N381" s="921"/>
      <c r="O381" s="786"/>
      <c r="P381" s="788">
        <v>0</v>
      </c>
      <c r="Q381" s="786"/>
      <c r="R381" s="786"/>
      <c r="S381" s="786"/>
      <c r="T381" s="921"/>
      <c r="U381" s="921"/>
    </row>
    <row r="382" spans="2:21" x14ac:dyDescent="0.2">
      <c r="B382" s="407"/>
      <c r="C382" s="408"/>
      <c r="D382" s="408"/>
      <c r="E382" s="409"/>
      <c r="F382" s="376"/>
      <c r="G382" s="410"/>
      <c r="H382" s="411"/>
      <c r="I382" s="786"/>
      <c r="J382" s="786"/>
      <c r="K382" s="787"/>
      <c r="L382" s="786"/>
      <c r="M382" s="786"/>
      <c r="N382" s="786"/>
      <c r="O382" s="786"/>
      <c r="P382" s="788"/>
      <c r="Q382" s="786"/>
      <c r="R382" s="786"/>
      <c r="S382" s="786"/>
      <c r="T382" s="921"/>
      <c r="U382" s="921"/>
    </row>
    <row r="383" spans="2:21" x14ac:dyDescent="0.2">
      <c r="B383" s="407"/>
      <c r="C383" s="408"/>
      <c r="D383" s="408"/>
      <c r="E383" s="409"/>
      <c r="F383" s="550"/>
      <c r="G383" s="410"/>
      <c r="H383" s="411"/>
      <c r="I383" s="786"/>
      <c r="J383" s="786"/>
      <c r="K383" s="787"/>
      <c r="L383" s="786"/>
      <c r="M383" s="786"/>
      <c r="N383" s="786"/>
      <c r="O383" s="786"/>
      <c r="P383" s="786"/>
      <c r="Q383" s="786"/>
      <c r="R383" s="786"/>
      <c r="S383" s="786"/>
      <c r="T383" s="921"/>
      <c r="U383" s="921"/>
    </row>
    <row r="384" spans="2:21" x14ac:dyDescent="0.2">
      <c r="B384" s="407"/>
      <c r="C384" s="408"/>
      <c r="D384" s="408"/>
      <c r="E384" s="409"/>
      <c r="F384" s="550"/>
      <c r="G384" s="410"/>
      <c r="H384" s="411"/>
      <c r="I384" s="786"/>
      <c r="J384" s="786"/>
      <c r="K384" s="787"/>
      <c r="L384" s="786"/>
      <c r="M384" s="786"/>
      <c r="N384" s="786"/>
      <c r="O384" s="786"/>
      <c r="P384" s="786"/>
      <c r="Q384" s="786"/>
      <c r="R384" s="786"/>
      <c r="S384" s="786"/>
      <c r="T384" s="921"/>
      <c r="U384" s="921"/>
    </row>
    <row r="385" spans="2:21" x14ac:dyDescent="0.2">
      <c r="B385" s="407"/>
      <c r="C385" s="408"/>
      <c r="D385" s="408"/>
      <c r="E385" s="409"/>
      <c r="F385" s="550"/>
      <c r="G385" s="410"/>
      <c r="H385" s="411"/>
      <c r="I385" s="786"/>
      <c r="J385" s="786"/>
      <c r="K385" s="787"/>
      <c r="L385" s="786"/>
      <c r="M385" s="786"/>
      <c r="N385" s="786"/>
      <c r="O385" s="786"/>
      <c r="P385" s="786"/>
      <c r="Q385" s="786"/>
      <c r="R385" s="786"/>
      <c r="S385" s="786"/>
      <c r="T385" s="921"/>
      <c r="U385" s="921"/>
    </row>
    <row r="386" spans="2:21" x14ac:dyDescent="0.2">
      <c r="B386" s="407"/>
      <c r="C386" s="408"/>
      <c r="D386" s="408"/>
      <c r="E386" s="409"/>
      <c r="F386" s="550"/>
      <c r="G386" s="410"/>
      <c r="H386" s="411"/>
      <c r="I386" s="786"/>
      <c r="J386" s="786"/>
      <c r="K386" s="787"/>
      <c r="L386" s="786"/>
      <c r="M386" s="786"/>
      <c r="N386" s="786"/>
      <c r="O386" s="786"/>
      <c r="P386" s="788"/>
      <c r="Q386" s="786"/>
      <c r="R386" s="786"/>
      <c r="S386" s="786"/>
      <c r="T386" s="921"/>
      <c r="U386" s="921"/>
    </row>
    <row r="387" spans="2:21" x14ac:dyDescent="0.2">
      <c r="B387" s="407"/>
      <c r="C387" s="408"/>
      <c r="D387" s="408"/>
      <c r="E387" s="409"/>
      <c r="F387" s="977"/>
      <c r="G387" s="410"/>
      <c r="H387" s="411"/>
      <c r="I387" s="794"/>
      <c r="J387" s="786"/>
      <c r="K387" s="787"/>
      <c r="L387" s="786"/>
      <c r="M387" s="786"/>
      <c r="N387" s="786"/>
      <c r="O387" s="786"/>
      <c r="P387" s="786"/>
      <c r="Q387" s="786"/>
      <c r="R387" s="786"/>
      <c r="S387" s="786"/>
      <c r="T387" s="921"/>
      <c r="U387" s="921"/>
    </row>
    <row r="388" spans="2:21" x14ac:dyDescent="0.2">
      <c r="B388" s="407"/>
      <c r="C388" s="408"/>
      <c r="D388" s="408"/>
      <c r="E388" s="409"/>
      <c r="F388" s="977"/>
      <c r="G388" s="410"/>
      <c r="H388" s="411"/>
      <c r="I388" s="786"/>
      <c r="J388" s="786"/>
      <c r="K388" s="787"/>
      <c r="L388" s="786"/>
      <c r="M388" s="786"/>
      <c r="N388" s="786"/>
      <c r="O388" s="786"/>
      <c r="P388" s="786"/>
      <c r="Q388" s="786"/>
      <c r="R388" s="786"/>
      <c r="S388" s="786"/>
      <c r="T388" s="921"/>
      <c r="U388" s="921"/>
    </row>
    <row r="389" spans="2:21" x14ac:dyDescent="0.2">
      <c r="B389" s="407"/>
      <c r="C389" s="408"/>
      <c r="D389" s="408"/>
      <c r="E389" s="409"/>
      <c r="F389" s="537"/>
      <c r="G389" s="410"/>
      <c r="H389" s="411"/>
      <c r="I389" s="786"/>
      <c r="J389" s="786"/>
      <c r="K389" s="787"/>
      <c r="L389" s="786"/>
      <c r="M389" s="786"/>
      <c r="N389" s="786"/>
      <c r="O389" s="786"/>
      <c r="P389" s="786"/>
      <c r="Q389" s="786"/>
      <c r="R389" s="786"/>
      <c r="S389" s="786"/>
      <c r="T389" s="921"/>
      <c r="U389" s="921"/>
    </row>
    <row r="390" spans="2:21" x14ac:dyDescent="0.2">
      <c r="B390" s="407"/>
      <c r="C390" s="408"/>
      <c r="D390" s="408"/>
      <c r="E390" s="409"/>
      <c r="F390" s="538"/>
      <c r="G390" s="410"/>
      <c r="H390" s="411"/>
      <c r="I390" s="786"/>
      <c r="J390" s="786"/>
      <c r="K390" s="786"/>
      <c r="L390" s="786"/>
      <c r="M390" s="786"/>
      <c r="N390" s="786">
        <f t="shared" ref="N390" si="17">+K390+M390</f>
        <v>0</v>
      </c>
      <c r="O390" s="786"/>
      <c r="P390" s="786"/>
      <c r="Q390" s="786"/>
      <c r="R390" s="786"/>
      <c r="S390" s="786"/>
      <c r="T390" s="921"/>
      <c r="U390" s="921"/>
    </row>
    <row r="391" spans="2:21" ht="13.5" thickBot="1" x14ac:dyDescent="0.25">
      <c r="B391" s="482"/>
      <c r="C391" s="483"/>
      <c r="D391" s="484"/>
      <c r="E391" s="483"/>
      <c r="F391" s="485"/>
      <c r="G391" s="486"/>
      <c r="H391" s="487"/>
      <c r="I391" s="488"/>
      <c r="J391" s="489"/>
      <c r="K391" s="489"/>
      <c r="L391" s="490"/>
      <c r="M391" s="489"/>
      <c r="N391" s="489"/>
      <c r="O391" s="489"/>
      <c r="P391" s="489"/>
      <c r="Q391" s="491"/>
      <c r="R391" s="491"/>
      <c r="S391" s="491"/>
      <c r="T391" s="382"/>
      <c r="U391" s="382"/>
    </row>
    <row r="392" spans="2:21" x14ac:dyDescent="0.2">
      <c r="B392" s="389"/>
      <c r="C392" s="390"/>
      <c r="D392" s="492"/>
      <c r="E392" s="390"/>
      <c r="F392" s="493"/>
      <c r="G392" s="494"/>
      <c r="H392" s="392"/>
      <c r="I392" s="495"/>
      <c r="J392" s="385"/>
      <c r="K392" s="385"/>
      <c r="L392" s="496"/>
      <c r="M392" s="385"/>
      <c r="N392" s="385"/>
      <c r="O392" s="385"/>
      <c r="P392" s="385"/>
      <c r="Q392" s="497"/>
      <c r="R392" s="497"/>
      <c r="S392" s="497"/>
      <c r="T392" s="382"/>
      <c r="U392" s="382"/>
    </row>
    <row r="393" spans="2:21" x14ac:dyDescent="0.2">
      <c r="B393" s="389"/>
      <c r="C393" s="378"/>
      <c r="D393" s="379"/>
      <c r="E393" s="378"/>
      <c r="F393" s="498"/>
      <c r="G393" s="494"/>
      <c r="H393" s="499" t="s">
        <v>856</v>
      </c>
      <c r="I393" s="496">
        <f t="shared" ref="I393:S393" si="18">SUM(I365:I391)</f>
        <v>0</v>
      </c>
      <c r="J393" s="496">
        <f t="shared" si="18"/>
        <v>0</v>
      </c>
      <c r="K393" s="496">
        <f t="shared" si="18"/>
        <v>3191.39</v>
      </c>
      <c r="L393" s="496">
        <f t="shared" si="18"/>
        <v>0</v>
      </c>
      <c r="M393" s="496">
        <f>SUM(M365:M391)</f>
        <v>4.0000000007012204E-4</v>
      </c>
      <c r="N393" s="496">
        <f t="shared" si="18"/>
        <v>3606.2704000000003</v>
      </c>
      <c r="O393" s="496">
        <f t="shared" si="18"/>
        <v>0</v>
      </c>
      <c r="P393" s="496">
        <f t="shared" si="18"/>
        <v>18.989999999999998</v>
      </c>
      <c r="Q393" s="496">
        <f t="shared" si="18"/>
        <v>0</v>
      </c>
      <c r="R393" s="496">
        <f t="shared" si="18"/>
        <v>64.2</v>
      </c>
      <c r="S393" s="496">
        <f t="shared" si="18"/>
        <v>41.73</v>
      </c>
      <c r="T393" s="382"/>
      <c r="U393" s="382"/>
    </row>
    <row r="394" spans="2:21" ht="13.5" thickBot="1" x14ac:dyDescent="0.25">
      <c r="B394" s="482"/>
      <c r="C394" s="500"/>
      <c r="D394" s="501"/>
      <c r="E394" s="500"/>
      <c r="F394" s="502"/>
      <c r="G394" s="486"/>
      <c r="H394" s="503"/>
      <c r="I394" s="490"/>
      <c r="J394" s="504"/>
      <c r="K394" s="504"/>
      <c r="L394" s="504"/>
      <c r="M394" s="504"/>
      <c r="N394" s="504"/>
      <c r="O394" s="504"/>
      <c r="P394" s="504"/>
      <c r="Q394" s="490"/>
      <c r="R394" s="490"/>
      <c r="S394" s="818"/>
      <c r="T394" s="382"/>
      <c r="U394" s="382"/>
    </row>
    <row r="395" spans="2:21" x14ac:dyDescent="0.2">
      <c r="B395" s="389"/>
      <c r="C395" s="378"/>
      <c r="D395" s="379"/>
      <c r="E395" s="378"/>
      <c r="F395" s="498"/>
      <c r="G395" s="494"/>
      <c r="H395" s="499"/>
      <c r="I395" s="382"/>
      <c r="J395" s="496"/>
      <c r="K395" s="496"/>
      <c r="L395" s="382"/>
      <c r="M395" s="496"/>
      <c r="N395" s="496"/>
      <c r="O395" s="496"/>
      <c r="P395" s="496"/>
      <c r="Q395" s="382"/>
      <c r="R395" s="382"/>
      <c r="S395" s="499"/>
      <c r="T395" s="382"/>
      <c r="U395" s="382"/>
    </row>
    <row r="396" spans="2:21" x14ac:dyDescent="0.2">
      <c r="B396" s="922"/>
      <c r="C396" s="923"/>
      <c r="D396" s="924"/>
      <c r="E396" s="922"/>
      <c r="F396" s="925"/>
      <c r="G396" s="926"/>
      <c r="H396" s="922"/>
      <c r="I396" s="922"/>
      <c r="J396" s="922"/>
      <c r="K396" s="927"/>
      <c r="L396" s="496"/>
      <c r="M396" s="927"/>
      <c r="N396" s="927"/>
      <c r="O396" s="927"/>
      <c r="P396" s="927"/>
      <c r="Q396" s="922"/>
      <c r="R396" s="922"/>
      <c r="S396" s="928"/>
      <c r="T396" s="922"/>
      <c r="U396" s="922"/>
    </row>
    <row r="397" spans="2:21" x14ac:dyDescent="0.2">
      <c r="B397" s="922"/>
      <c r="C397" s="923"/>
      <c r="D397" s="924"/>
      <c r="E397" s="922"/>
      <c r="F397" s="925"/>
      <c r="G397" s="495"/>
      <c r="H397" s="922"/>
      <c r="I397" s="922"/>
      <c r="J397" s="922"/>
      <c r="K397" s="927"/>
      <c r="L397" s="927"/>
      <c r="M397" s="927"/>
      <c r="N397" s="927"/>
      <c r="O397" s="922"/>
      <c r="P397" s="927"/>
      <c r="Q397" s="922"/>
      <c r="R397" s="922"/>
      <c r="S397" s="922"/>
      <c r="T397" s="922"/>
      <c r="U397" s="922"/>
    </row>
    <row r="398" spans="2:21" x14ac:dyDescent="0.2">
      <c r="B398" s="922"/>
      <c r="C398" s="923"/>
      <c r="D398" s="924"/>
      <c r="E398" s="922"/>
      <c r="F398" s="929"/>
      <c r="G398" s="495"/>
      <c r="H398" s="922"/>
      <c r="I398" s="922"/>
      <c r="J398" s="922"/>
      <c r="K398" s="927"/>
      <c r="L398" s="927"/>
      <c r="M398" s="930"/>
      <c r="N398" s="927"/>
      <c r="O398" s="922"/>
      <c r="P398" s="927"/>
      <c r="Q398" s="922"/>
      <c r="R398" s="922"/>
      <c r="S398" s="922"/>
      <c r="T398" s="922"/>
      <c r="U398" s="922"/>
    </row>
    <row r="399" spans="2:21" x14ac:dyDescent="0.2">
      <c r="B399" s="922"/>
      <c r="C399" s="923"/>
      <c r="D399" s="924"/>
      <c r="E399" s="922"/>
      <c r="F399" s="925"/>
      <c r="G399" s="495"/>
      <c r="H399" s="922"/>
      <c r="I399" s="922"/>
      <c r="J399" s="922"/>
      <c r="K399" s="927"/>
      <c r="L399" s="922"/>
      <c r="M399" s="930"/>
      <c r="N399" s="927"/>
      <c r="O399" s="927"/>
      <c r="P399" s="927"/>
      <c r="Q399" s="922"/>
      <c r="R399" s="922"/>
      <c r="S399" s="927"/>
      <c r="T399" s="922"/>
      <c r="U399" s="922"/>
    </row>
    <row r="400" spans="2:21" x14ac:dyDescent="0.2">
      <c r="B400" s="922"/>
      <c r="C400" s="923"/>
      <c r="D400" s="924"/>
      <c r="E400" s="931"/>
      <c r="F400" s="925"/>
      <c r="G400" s="495"/>
      <c r="H400" s="922" t="s">
        <v>361</v>
      </c>
      <c r="I400" s="922"/>
      <c r="J400" s="922"/>
      <c r="K400" s="927"/>
      <c r="L400" s="922"/>
      <c r="M400" s="932"/>
      <c r="N400" s="927"/>
      <c r="O400" s="927"/>
      <c r="P400" s="927"/>
      <c r="Q400" s="922"/>
      <c r="R400" s="922"/>
      <c r="S400" s="922"/>
      <c r="T400" s="922"/>
      <c r="U400" s="922"/>
    </row>
    <row r="401" spans="2:21" ht="13.5" thickBot="1" x14ac:dyDescent="0.25">
      <c r="B401" s="922"/>
      <c r="C401" s="923"/>
      <c r="D401" s="924"/>
      <c r="E401" s="922"/>
      <c r="F401" s="925"/>
      <c r="G401" s="495"/>
      <c r="H401" s="922"/>
      <c r="I401" s="922"/>
      <c r="J401" s="490"/>
      <c r="K401" s="504"/>
      <c r="L401" s="922"/>
      <c r="M401" s="927"/>
      <c r="N401" s="927"/>
      <c r="O401" s="922"/>
      <c r="P401" s="922"/>
      <c r="Q401" s="922"/>
      <c r="R401" s="922"/>
      <c r="S401" s="922"/>
      <c r="T401" s="922"/>
      <c r="U401" s="922"/>
    </row>
    <row r="402" spans="2:21" ht="18.75" x14ac:dyDescent="0.3">
      <c r="B402" s="922"/>
      <c r="C402" s="923"/>
      <c r="D402" s="924"/>
      <c r="E402" s="922"/>
      <c r="F402" s="933"/>
      <c r="G402" s="495"/>
      <c r="H402" s="922"/>
      <c r="I402" s="922"/>
      <c r="J402" s="934"/>
      <c r="K402" s="935"/>
      <c r="L402" s="922"/>
      <c r="M402" s="927"/>
      <c r="N402" s="927"/>
      <c r="O402" s="922"/>
      <c r="P402" s="922"/>
      <c r="Q402" s="922"/>
      <c r="R402" s="922"/>
      <c r="S402" s="922"/>
      <c r="T402" s="922"/>
      <c r="U402" s="922"/>
    </row>
    <row r="403" spans="2:21" ht="18.75" x14ac:dyDescent="0.3">
      <c r="B403" s="922"/>
      <c r="C403" s="923"/>
      <c r="D403" s="924"/>
      <c r="E403" s="922"/>
      <c r="F403" s="933"/>
      <c r="G403" s="495"/>
      <c r="H403" s="922"/>
      <c r="I403" s="922"/>
      <c r="J403" s="934" t="s">
        <v>1173</v>
      </c>
      <c r="K403" s="935"/>
      <c r="L403" s="922"/>
      <c r="M403" s="922"/>
      <c r="N403" s="927"/>
      <c r="O403" s="922"/>
      <c r="P403" s="922"/>
      <c r="Q403" s="922"/>
      <c r="R403" s="922"/>
      <c r="S403" s="922"/>
      <c r="T403" s="922"/>
      <c r="U403" s="922"/>
    </row>
    <row r="407" spans="2:21" ht="21" x14ac:dyDescent="0.35">
      <c r="B407" s="723" t="s">
        <v>811</v>
      </c>
      <c r="C407" s="724"/>
      <c r="D407" s="725"/>
      <c r="E407" s="725"/>
      <c r="F407" s="725"/>
      <c r="G407" s="726"/>
      <c r="H407" s="727"/>
      <c r="I407" s="727"/>
      <c r="J407" s="727"/>
      <c r="K407" s="727"/>
      <c r="L407" s="727"/>
      <c r="M407" s="727"/>
      <c r="N407" s="728"/>
      <c r="O407" s="722"/>
      <c r="P407" s="722"/>
      <c r="Q407" s="722"/>
      <c r="R407" s="722"/>
      <c r="S407" s="722"/>
      <c r="T407" s="722"/>
    </row>
    <row r="408" spans="2:21" ht="15.75" x14ac:dyDescent="0.25">
      <c r="B408" s="725" t="s">
        <v>606</v>
      </c>
      <c r="C408" s="725"/>
      <c r="D408" s="725"/>
      <c r="E408" s="725"/>
      <c r="F408" s="725"/>
      <c r="G408" s="726"/>
      <c r="H408" s="727"/>
      <c r="I408" s="727"/>
      <c r="J408" s="727"/>
      <c r="K408" s="727"/>
      <c r="L408" s="974"/>
      <c r="M408" s="974"/>
      <c r="N408" s="728">
        <v>1.18</v>
      </c>
      <c r="O408" s="722"/>
      <c r="P408" s="722"/>
      <c r="Q408" s="722"/>
      <c r="R408" s="722"/>
      <c r="S408" s="722"/>
      <c r="T408" s="722"/>
    </row>
    <row r="409" spans="2:21" ht="15.75" x14ac:dyDescent="0.25">
      <c r="B409" s="724" t="s">
        <v>607</v>
      </c>
      <c r="C409" s="725"/>
      <c r="D409" s="725"/>
      <c r="E409" s="725"/>
      <c r="F409" s="725"/>
      <c r="G409" s="726"/>
      <c r="H409" s="727"/>
      <c r="I409" s="727"/>
      <c r="J409" s="727"/>
      <c r="K409" s="727"/>
      <c r="L409" s="727"/>
      <c r="M409" s="727"/>
      <c r="N409" s="728">
        <v>3.44</v>
      </c>
      <c r="O409" s="722"/>
      <c r="P409" s="722"/>
      <c r="Q409" s="722"/>
      <c r="R409" s="722"/>
      <c r="S409" s="722"/>
      <c r="T409" s="722"/>
    </row>
    <row r="410" spans="2:21" ht="15.75" x14ac:dyDescent="0.25">
      <c r="B410" s="725" t="s">
        <v>783</v>
      </c>
      <c r="C410" s="725"/>
      <c r="D410" s="725"/>
      <c r="E410" s="725"/>
      <c r="F410" s="725"/>
      <c r="G410" s="726"/>
      <c r="H410" s="727"/>
      <c r="I410" s="727"/>
      <c r="J410" s="727"/>
      <c r="K410" s="727"/>
      <c r="L410" s="727"/>
      <c r="M410" s="727"/>
      <c r="N410" s="728"/>
      <c r="O410" s="722"/>
      <c r="P410" s="722"/>
      <c r="Q410" s="722"/>
      <c r="R410" s="722"/>
      <c r="S410" s="722"/>
      <c r="T410" s="722"/>
    </row>
    <row r="411" spans="2:21" ht="15.75" x14ac:dyDescent="0.25">
      <c r="B411" s="729" t="s">
        <v>812</v>
      </c>
      <c r="C411" s="730" t="s">
        <v>263</v>
      </c>
      <c r="D411" s="731"/>
      <c r="E411" s="732">
        <v>2018</v>
      </c>
      <c r="F411" s="725"/>
      <c r="G411" s="726"/>
      <c r="H411" s="376"/>
      <c r="I411" s="734"/>
      <c r="J411" s="734"/>
      <c r="K411" s="734"/>
      <c r="L411" s="734"/>
      <c r="M411" s="734"/>
      <c r="N411" s="728"/>
      <c r="O411" s="722"/>
      <c r="P411" s="722"/>
      <c r="Q411" s="722"/>
      <c r="R411" s="722"/>
      <c r="S411" s="722"/>
      <c r="T411" s="722"/>
    </row>
    <row r="412" spans="2:21" x14ac:dyDescent="0.2">
      <c r="B412" s="377"/>
      <c r="C412" s="378"/>
      <c r="D412" s="379"/>
      <c r="E412" s="380"/>
      <c r="F412" s="381"/>
      <c r="G412" s="382"/>
      <c r="H412" s="382"/>
      <c r="I412" s="383"/>
      <c r="J412" s="384"/>
      <c r="K412" s="385"/>
      <c r="L412" s="384"/>
      <c r="M412" s="385"/>
      <c r="N412" s="385"/>
      <c r="O412" s="384"/>
      <c r="P412" s="384"/>
      <c r="Q412" s="382"/>
      <c r="R412" s="382"/>
      <c r="S412" s="386"/>
      <c r="T412" s="382"/>
    </row>
    <row r="413" spans="2:21" x14ac:dyDescent="0.2">
      <c r="B413" s="377"/>
      <c r="C413" s="378"/>
      <c r="D413" s="379"/>
      <c r="E413" s="380"/>
      <c r="F413" s="458"/>
      <c r="G413" s="387"/>
      <c r="H413" s="388"/>
      <c r="I413" s="383"/>
      <c r="J413" s="384"/>
      <c r="K413" s="385"/>
      <c r="L413" s="384"/>
      <c r="M413" s="385"/>
      <c r="N413" s="385"/>
      <c r="O413" s="384"/>
      <c r="P413" s="384"/>
      <c r="Q413" s="382"/>
      <c r="R413" s="382"/>
      <c r="S413" s="386"/>
      <c r="T413" s="382"/>
    </row>
    <row r="414" spans="2:21" x14ac:dyDescent="0.2">
      <c r="B414" s="389"/>
      <c r="C414" s="390"/>
      <c r="D414" s="391"/>
      <c r="E414" s="380"/>
      <c r="F414" s="381"/>
      <c r="G414" s="392"/>
      <c r="H414" s="382"/>
      <c r="I414" s="383"/>
      <c r="J414" s="384"/>
      <c r="K414" s="385"/>
      <c r="L414" s="384"/>
      <c r="M414" s="385"/>
      <c r="N414" s="385"/>
      <c r="O414" s="384"/>
      <c r="P414" s="752">
        <v>0.01</v>
      </c>
      <c r="Q414" s="382"/>
      <c r="R414" s="382" t="s">
        <v>813</v>
      </c>
      <c r="S414" s="753">
        <v>0.13</v>
      </c>
      <c r="T414" s="382"/>
    </row>
    <row r="415" spans="2:21" x14ac:dyDescent="0.2">
      <c r="B415" s="393" t="s">
        <v>814</v>
      </c>
      <c r="C415" s="394" t="s">
        <v>608</v>
      </c>
      <c r="D415" s="395" t="s">
        <v>608</v>
      </c>
      <c r="E415" s="396" t="s">
        <v>609</v>
      </c>
      <c r="F415" s="396" t="s">
        <v>815</v>
      </c>
      <c r="G415" s="529" t="s">
        <v>816</v>
      </c>
      <c r="H415" s="975" t="s">
        <v>614</v>
      </c>
      <c r="I415" s="545" t="s">
        <v>817</v>
      </c>
      <c r="J415" s="546"/>
      <c r="K415" s="547" t="s">
        <v>818</v>
      </c>
      <c r="L415" s="548"/>
      <c r="M415" s="549"/>
      <c r="N415" s="530" t="s">
        <v>615</v>
      </c>
      <c r="O415" s="397" t="s">
        <v>819</v>
      </c>
      <c r="P415" s="398" t="s">
        <v>820</v>
      </c>
      <c r="Q415" s="399" t="s">
        <v>821</v>
      </c>
      <c r="R415" s="399" t="s">
        <v>822</v>
      </c>
      <c r="S415" s="399" t="s">
        <v>822</v>
      </c>
      <c r="T415" s="920"/>
    </row>
    <row r="416" spans="2:21" x14ac:dyDescent="0.2">
      <c r="B416" s="400"/>
      <c r="C416" s="401" t="s">
        <v>823</v>
      </c>
      <c r="D416" s="402" t="s">
        <v>616</v>
      </c>
      <c r="E416" s="403" t="s">
        <v>616</v>
      </c>
      <c r="F416" s="404" t="s">
        <v>824</v>
      </c>
      <c r="G416" s="531" t="s">
        <v>617</v>
      </c>
      <c r="H416" s="976"/>
      <c r="I416" s="532" t="s">
        <v>825</v>
      </c>
      <c r="J416" s="533" t="s">
        <v>826</v>
      </c>
      <c r="K416" s="534" t="s">
        <v>825</v>
      </c>
      <c r="L416" s="535" t="s">
        <v>826</v>
      </c>
      <c r="M416" s="534" t="s">
        <v>157</v>
      </c>
      <c r="N416" s="536" t="s">
        <v>827</v>
      </c>
      <c r="O416" s="405" t="s">
        <v>828</v>
      </c>
      <c r="P416" s="405" t="s">
        <v>829</v>
      </c>
      <c r="Q416" s="406" t="s">
        <v>830</v>
      </c>
      <c r="R416" s="406" t="s">
        <v>831</v>
      </c>
      <c r="S416" s="406" t="s">
        <v>832</v>
      </c>
      <c r="T416" s="920"/>
    </row>
    <row r="417" spans="2:20" x14ac:dyDescent="0.2">
      <c r="B417" s="407">
        <v>1</v>
      </c>
      <c r="C417" s="408">
        <v>43441</v>
      </c>
      <c r="D417" s="408">
        <v>43441</v>
      </c>
      <c r="E417" s="409" t="s">
        <v>1208</v>
      </c>
      <c r="F417" s="376"/>
      <c r="G417" s="410" t="s">
        <v>781</v>
      </c>
      <c r="H417" s="411" t="str">
        <f>+VLOOKUP(G417,[5]bd!A:C,2,0)</f>
        <v>BOLSA DE VALORES DE EL SALVADOR, S.A. DE C.V.</v>
      </c>
      <c r="I417" s="786"/>
      <c r="J417" s="786"/>
      <c r="K417" s="787">
        <v>1129.97</v>
      </c>
      <c r="L417" s="786"/>
      <c r="M417" s="786">
        <f>K417*0.13</f>
        <v>146.89610000000002</v>
      </c>
      <c r="N417" s="786">
        <f t="shared" ref="N417:N432" si="19">+K417+M417</f>
        <v>1276.8661</v>
      </c>
      <c r="O417" s="786">
        <v>0</v>
      </c>
      <c r="P417" s="788">
        <v>0</v>
      </c>
      <c r="Q417" s="786"/>
      <c r="R417" s="786"/>
      <c r="S417" s="786"/>
      <c r="T417" s="921"/>
    </row>
    <row r="418" spans="2:20" x14ac:dyDescent="0.2">
      <c r="B418" s="407">
        <v>2</v>
      </c>
      <c r="C418" s="408">
        <v>43444</v>
      </c>
      <c r="D418" s="408">
        <v>43437</v>
      </c>
      <c r="E418" s="409" t="s">
        <v>1209</v>
      </c>
      <c r="F418" s="376"/>
      <c r="G418" s="410" t="s">
        <v>802</v>
      </c>
      <c r="H418" s="411" t="str">
        <f>+VLOOKUP(G418,[5]bd!A:C,2,0)</f>
        <v>KPMG, S.A.</v>
      </c>
      <c r="I418" s="786"/>
      <c r="J418" s="786"/>
      <c r="K418" s="787">
        <v>118.18</v>
      </c>
      <c r="L418" s="786"/>
      <c r="M418" s="786">
        <f t="shared" ref="M418:M431" si="20">K418*0.13</f>
        <v>15.363400000000002</v>
      </c>
      <c r="N418" s="786">
        <f t="shared" si="19"/>
        <v>133.54340000000002</v>
      </c>
      <c r="O418" s="786">
        <v>0</v>
      </c>
      <c r="P418" s="788">
        <f>K418*0.01</f>
        <v>1.1818000000000002</v>
      </c>
      <c r="Q418" s="786"/>
      <c r="R418" s="786"/>
      <c r="S418" s="786"/>
      <c r="T418" s="921"/>
    </row>
    <row r="419" spans="2:20" x14ac:dyDescent="0.2">
      <c r="B419" s="407">
        <v>3</v>
      </c>
      <c r="C419" s="408">
        <v>43444</v>
      </c>
      <c r="D419" s="408">
        <v>43444</v>
      </c>
      <c r="E419" s="409" t="s">
        <v>1210</v>
      </c>
      <c r="F419" s="376"/>
      <c r="G419" s="410" t="s">
        <v>781</v>
      </c>
      <c r="H419" s="411" t="str">
        <f>+VLOOKUP(G419,[5]bd!A:C,2,0)</f>
        <v>BOLSA DE VALORES DE EL SALVADOR, S.A. DE C.V.</v>
      </c>
      <c r="I419" s="786"/>
      <c r="J419" s="786"/>
      <c r="K419" s="787">
        <v>109.59</v>
      </c>
      <c r="L419" s="786"/>
      <c r="M419" s="786">
        <f t="shared" si="20"/>
        <v>14.246700000000001</v>
      </c>
      <c r="N419" s="786">
        <f t="shared" si="19"/>
        <v>123.83670000000001</v>
      </c>
      <c r="O419" s="786">
        <v>0</v>
      </c>
      <c r="P419" s="788">
        <v>0</v>
      </c>
      <c r="Q419" s="786"/>
      <c r="R419" s="786">
        <v>0</v>
      </c>
      <c r="S419" s="786">
        <v>0</v>
      </c>
      <c r="T419" s="921"/>
    </row>
    <row r="420" spans="2:20" x14ac:dyDescent="0.2">
      <c r="B420" s="407">
        <v>4</v>
      </c>
      <c r="C420" s="408">
        <v>43445</v>
      </c>
      <c r="D420" s="408">
        <v>43445</v>
      </c>
      <c r="E420" s="409" t="s">
        <v>1211</v>
      </c>
      <c r="F420" s="376"/>
      <c r="G420" s="410" t="s">
        <v>781</v>
      </c>
      <c r="H420" s="411" t="str">
        <f>+VLOOKUP(G420,[5]bd!A:C,2,0)</f>
        <v>BOLSA DE VALORES DE EL SALVADOR, S.A. DE C.V.</v>
      </c>
      <c r="I420" s="786"/>
      <c r="J420" s="786"/>
      <c r="K420" s="787">
        <v>95.89</v>
      </c>
      <c r="L420" s="786"/>
      <c r="M420" s="786">
        <f t="shared" si="20"/>
        <v>12.4657</v>
      </c>
      <c r="N420" s="786">
        <f t="shared" si="19"/>
        <v>108.3557</v>
      </c>
      <c r="O420" s="786">
        <v>0</v>
      </c>
      <c r="P420" s="788"/>
      <c r="Q420" s="786"/>
      <c r="R420" s="786"/>
      <c r="S420" s="786"/>
      <c r="T420" s="921"/>
    </row>
    <row r="421" spans="2:20" x14ac:dyDescent="0.2">
      <c r="B421" s="407">
        <v>5</v>
      </c>
      <c r="C421" s="408">
        <v>43447</v>
      </c>
      <c r="D421" s="408">
        <v>43447</v>
      </c>
      <c r="E421" s="409" t="s">
        <v>1212</v>
      </c>
      <c r="F421" s="376"/>
      <c r="G421" s="410" t="s">
        <v>781</v>
      </c>
      <c r="H421" s="411" t="str">
        <f>+VLOOKUP(G421,[5]bd!A:C,2,0)</f>
        <v>BOLSA DE VALORES DE EL SALVADOR, S.A. DE C.V.</v>
      </c>
      <c r="I421" s="786"/>
      <c r="J421" s="786"/>
      <c r="K421" s="787">
        <v>95.89</v>
      </c>
      <c r="L421" s="786"/>
      <c r="M421" s="786">
        <f t="shared" si="20"/>
        <v>12.4657</v>
      </c>
      <c r="N421" s="786">
        <f t="shared" si="19"/>
        <v>108.3557</v>
      </c>
      <c r="O421" s="786">
        <v>0</v>
      </c>
      <c r="P421" s="788">
        <v>0</v>
      </c>
      <c r="Q421" s="786"/>
      <c r="R421" s="786"/>
      <c r="S421" s="786"/>
      <c r="T421" s="921"/>
    </row>
    <row r="422" spans="2:20" x14ac:dyDescent="0.2">
      <c r="B422" s="407">
        <v>6</v>
      </c>
      <c r="C422" s="408">
        <v>43447</v>
      </c>
      <c r="D422" s="408">
        <v>43447</v>
      </c>
      <c r="E422" s="409" t="s">
        <v>1213</v>
      </c>
      <c r="F422" s="376"/>
      <c r="G422" s="410" t="s">
        <v>158</v>
      </c>
      <c r="H422" s="411" t="str">
        <f>+VLOOKUP(G422,[5]bd!A:C,2,0)</f>
        <v>BANCO CUSCATLAN DE EL SALVADOR S.A.</v>
      </c>
      <c r="I422" s="786"/>
      <c r="J422" s="786"/>
      <c r="K422" s="787">
        <v>133.80000000000001</v>
      </c>
      <c r="L422" s="786"/>
      <c r="M422" s="786">
        <f t="shared" si="20"/>
        <v>17.394000000000002</v>
      </c>
      <c r="N422" s="786">
        <f t="shared" si="19"/>
        <v>151.19400000000002</v>
      </c>
      <c r="O422" s="786">
        <v>0</v>
      </c>
      <c r="P422" s="788">
        <v>0</v>
      </c>
      <c r="Q422" s="786"/>
      <c r="R422" s="786"/>
      <c r="S422" s="786"/>
      <c r="T422" s="921"/>
    </row>
    <row r="423" spans="2:20" x14ac:dyDescent="0.2">
      <c r="B423" s="407">
        <v>7</v>
      </c>
      <c r="C423" s="408">
        <v>43448</v>
      </c>
      <c r="D423" s="408">
        <v>43448</v>
      </c>
      <c r="E423" s="409" t="s">
        <v>1214</v>
      </c>
      <c r="F423" s="376"/>
      <c r="G423" s="410" t="s">
        <v>781</v>
      </c>
      <c r="H423" s="411" t="str">
        <f>+VLOOKUP(G423,[5]bd!A:C,2,0)</f>
        <v>BOLSA DE VALORES DE EL SALVADOR, S.A. DE C.V.</v>
      </c>
      <c r="I423" s="786"/>
      <c r="J423" s="786"/>
      <c r="K423" s="787">
        <v>95.89</v>
      </c>
      <c r="L423" s="786"/>
      <c r="M423" s="786">
        <f t="shared" si="20"/>
        <v>12.4657</v>
      </c>
      <c r="N423" s="786">
        <f t="shared" si="19"/>
        <v>108.3557</v>
      </c>
      <c r="O423" s="786">
        <v>0</v>
      </c>
      <c r="P423" s="788">
        <v>0</v>
      </c>
      <c r="Q423" s="786"/>
      <c r="R423" s="786"/>
      <c r="S423" s="786"/>
      <c r="T423" s="921"/>
    </row>
    <row r="424" spans="2:20" x14ac:dyDescent="0.2">
      <c r="B424" s="407">
        <v>8</v>
      </c>
      <c r="C424" s="408">
        <v>43448</v>
      </c>
      <c r="D424" s="408">
        <v>43433</v>
      </c>
      <c r="E424" s="409" t="s">
        <v>1215</v>
      </c>
      <c r="F424" s="376"/>
      <c r="G424" s="410" t="s">
        <v>936</v>
      </c>
      <c r="H424" s="411" t="str">
        <f>+VLOOKUP(G424,[5]bd!A:C,2,0)</f>
        <v>OPERADORES LOGISTICOS RANSA, S.A. DE C.V.</v>
      </c>
      <c r="I424" s="786"/>
      <c r="J424" s="786"/>
      <c r="K424" s="787">
        <v>418.8</v>
      </c>
      <c r="L424" s="786"/>
      <c r="M424" s="786">
        <f t="shared" si="20"/>
        <v>54.444000000000003</v>
      </c>
      <c r="N424" s="786">
        <f t="shared" si="19"/>
        <v>473.24400000000003</v>
      </c>
      <c r="O424" s="786"/>
      <c r="P424" s="788">
        <f>K424*0.01</f>
        <v>4.1880000000000006</v>
      </c>
      <c r="Q424" s="786"/>
      <c r="R424" s="786"/>
      <c r="S424" s="786"/>
      <c r="T424" s="921"/>
    </row>
    <row r="425" spans="2:20" x14ac:dyDescent="0.2">
      <c r="B425" s="407">
        <v>9</v>
      </c>
      <c r="C425" s="408">
        <v>43452</v>
      </c>
      <c r="D425" s="408">
        <v>43437</v>
      </c>
      <c r="E425" s="409" t="s">
        <v>1216</v>
      </c>
      <c r="F425" s="376"/>
      <c r="G425" s="410" t="s">
        <v>802</v>
      </c>
      <c r="H425" s="411" t="str">
        <f>+VLOOKUP(G425,[5]bd!A:C,2,0)</f>
        <v>KPMG, S.A.</v>
      </c>
      <c r="I425" s="786"/>
      <c r="J425" s="786"/>
      <c r="K425" s="787">
        <v>344.48</v>
      </c>
      <c r="L425" s="786"/>
      <c r="M425" s="786">
        <f t="shared" si="20"/>
        <v>44.782400000000003</v>
      </c>
      <c r="N425" s="786">
        <f t="shared" si="19"/>
        <v>389.26240000000001</v>
      </c>
      <c r="O425" s="786">
        <v>0</v>
      </c>
      <c r="P425" s="788">
        <f>K425*0.01</f>
        <v>3.4448000000000003</v>
      </c>
      <c r="Q425" s="786"/>
      <c r="R425" s="786"/>
      <c r="S425" s="786"/>
      <c r="T425" s="921"/>
    </row>
    <row r="426" spans="2:20" x14ac:dyDescent="0.2">
      <c r="B426" s="407">
        <v>10</v>
      </c>
      <c r="C426" s="408">
        <v>43452</v>
      </c>
      <c r="D426" s="408">
        <v>43427</v>
      </c>
      <c r="E426" s="409" t="s">
        <v>1217</v>
      </c>
      <c r="F426" s="376"/>
      <c r="G426" s="410" t="s">
        <v>802</v>
      </c>
      <c r="H426" s="411" t="str">
        <f>+VLOOKUP(G426,[5]bd!A:C,2,0)</f>
        <v>KPMG, S.A.</v>
      </c>
      <c r="I426" s="786"/>
      <c r="J426" s="786"/>
      <c r="K426" s="787">
        <v>60</v>
      </c>
      <c r="L426" s="786"/>
      <c r="M426" s="786">
        <f t="shared" si="20"/>
        <v>7.8000000000000007</v>
      </c>
      <c r="N426" s="786">
        <f t="shared" si="19"/>
        <v>67.8</v>
      </c>
      <c r="O426" s="786">
        <v>0</v>
      </c>
      <c r="P426" s="788">
        <v>0</v>
      </c>
      <c r="Q426" s="786"/>
      <c r="R426" s="786"/>
      <c r="S426" s="786"/>
      <c r="T426" s="921"/>
    </row>
    <row r="427" spans="2:20" x14ac:dyDescent="0.2">
      <c r="B427" s="407">
        <v>11</v>
      </c>
      <c r="C427" s="408" t="s">
        <v>1218</v>
      </c>
      <c r="D427" s="471">
        <v>43452</v>
      </c>
      <c r="E427" s="409" t="s">
        <v>1219</v>
      </c>
      <c r="F427" s="376"/>
      <c r="G427" s="410" t="s">
        <v>1149</v>
      </c>
      <c r="H427" s="411" t="str">
        <f>+VLOOKUP(G427,[5]bd!A:C,2,0)</f>
        <v>O &amp; R MARKETING COMMUNICATIONS, S.A DE C.V.</v>
      </c>
      <c r="I427" s="786"/>
      <c r="J427" s="786"/>
      <c r="K427" s="787">
        <v>63</v>
      </c>
      <c r="L427" s="786"/>
      <c r="M427" s="786">
        <f t="shared" si="20"/>
        <v>8.19</v>
      </c>
      <c r="N427" s="786">
        <f t="shared" si="19"/>
        <v>71.19</v>
      </c>
      <c r="O427" s="786">
        <v>0</v>
      </c>
      <c r="P427" s="788">
        <v>0</v>
      </c>
      <c r="Q427" s="786"/>
      <c r="R427" s="786"/>
      <c r="S427" s="786"/>
      <c r="T427" s="921"/>
    </row>
    <row r="428" spans="2:20" x14ac:dyDescent="0.2">
      <c r="B428" s="407">
        <v>12</v>
      </c>
      <c r="C428" s="408" t="s">
        <v>1218</v>
      </c>
      <c r="D428" s="408">
        <v>43446</v>
      </c>
      <c r="E428" s="409" t="s">
        <v>1220</v>
      </c>
      <c r="F428" s="376"/>
      <c r="G428" s="410" t="s">
        <v>781</v>
      </c>
      <c r="H428" s="411" t="str">
        <f>+VLOOKUP(G428,[5]bd!A:C,2,0)</f>
        <v>BOLSA DE VALORES DE EL SALVADOR, S.A. DE C.V.</v>
      </c>
      <c r="I428" s="786"/>
      <c r="J428" s="786"/>
      <c r="K428" s="787">
        <v>195</v>
      </c>
      <c r="L428" s="786"/>
      <c r="M428" s="786">
        <f t="shared" si="20"/>
        <v>25.35</v>
      </c>
      <c r="N428" s="786">
        <f t="shared" si="19"/>
        <v>220.35</v>
      </c>
      <c r="O428" s="786">
        <v>0</v>
      </c>
      <c r="P428" s="788">
        <v>0</v>
      </c>
      <c r="Q428" s="786"/>
      <c r="R428" s="786"/>
      <c r="S428" s="786"/>
      <c r="T428" s="921"/>
    </row>
    <row r="429" spans="2:20" x14ac:dyDescent="0.2">
      <c r="B429" s="407">
        <v>13</v>
      </c>
      <c r="C429" s="408" t="s">
        <v>1218</v>
      </c>
      <c r="D429" s="471">
        <v>43417</v>
      </c>
      <c r="E429" s="409" t="s">
        <v>1221</v>
      </c>
      <c r="F429" s="376"/>
      <c r="G429" s="410" t="s">
        <v>781</v>
      </c>
      <c r="H429" s="411" t="str">
        <f>+VLOOKUP(G429,[5]bd!A:C,2,0)</f>
        <v>BOLSA DE VALORES DE EL SALVADOR, S.A. DE C.V.</v>
      </c>
      <c r="I429" s="786"/>
      <c r="J429" s="786"/>
      <c r="K429" s="787">
        <v>195</v>
      </c>
      <c r="L429" s="786"/>
      <c r="M429" s="786">
        <f t="shared" si="20"/>
        <v>25.35</v>
      </c>
      <c r="N429" s="786">
        <f t="shared" si="19"/>
        <v>220.35</v>
      </c>
      <c r="O429" s="786">
        <v>0</v>
      </c>
      <c r="P429" s="788">
        <v>0</v>
      </c>
      <c r="Q429" s="786"/>
      <c r="R429" s="786"/>
      <c r="S429" s="786"/>
      <c r="T429" s="921"/>
    </row>
    <row r="430" spans="2:20" x14ac:dyDescent="0.2">
      <c r="B430" s="407">
        <v>14</v>
      </c>
      <c r="C430" s="408" t="s">
        <v>1218</v>
      </c>
      <c r="D430" s="471">
        <v>43434</v>
      </c>
      <c r="E430" s="409" t="s">
        <v>1222</v>
      </c>
      <c r="F430" s="918"/>
      <c r="G430" s="410" t="s">
        <v>806</v>
      </c>
      <c r="H430" s="411" t="str">
        <f>+VLOOKUP(G430,[5]bd!A:C,2,0)</f>
        <v>CENTRAL DE DEPOSITO DE VALORES, S.A. DE C.V.</v>
      </c>
      <c r="I430" s="786"/>
      <c r="J430" s="786"/>
      <c r="K430" s="787">
        <v>1553.78</v>
      </c>
      <c r="L430" s="786"/>
      <c r="M430" s="786">
        <f t="shared" si="20"/>
        <v>201.9914</v>
      </c>
      <c r="N430" s="786">
        <f t="shared" si="19"/>
        <v>1755.7714000000001</v>
      </c>
      <c r="O430" s="786">
        <v>0</v>
      </c>
      <c r="P430" s="788">
        <f t="shared" ref="P430" si="21">K430*0.01</f>
        <v>15.537800000000001</v>
      </c>
      <c r="Q430" s="786"/>
      <c r="R430" s="786"/>
      <c r="S430" s="786"/>
      <c r="T430" s="921"/>
    </row>
    <row r="431" spans="2:20" x14ac:dyDescent="0.2">
      <c r="B431" s="407">
        <v>15</v>
      </c>
      <c r="C431" s="408" t="s">
        <v>1218</v>
      </c>
      <c r="D431" s="471">
        <v>43452</v>
      </c>
      <c r="E431" s="409" t="s">
        <v>1223</v>
      </c>
      <c r="F431" s="918"/>
      <c r="G431" s="410" t="s">
        <v>1149</v>
      </c>
      <c r="H431" s="411" t="str">
        <f>+VLOOKUP(G431,[5]bd!A:C,2,0)</f>
        <v>O &amp; R MARKETING COMMUNICATIONS, S.A DE C.V.</v>
      </c>
      <c r="I431" s="786"/>
      <c r="J431" s="786"/>
      <c r="K431" s="787">
        <v>63</v>
      </c>
      <c r="L431" s="786"/>
      <c r="M431" s="786">
        <f t="shared" si="20"/>
        <v>8.19</v>
      </c>
      <c r="N431" s="786">
        <f t="shared" si="19"/>
        <v>71.19</v>
      </c>
      <c r="O431" s="786">
        <v>0</v>
      </c>
      <c r="P431" s="788">
        <v>0</v>
      </c>
      <c r="Q431" s="786"/>
      <c r="R431" s="786"/>
      <c r="S431" s="786"/>
      <c r="T431" s="921"/>
    </row>
    <row r="432" spans="2:20" x14ac:dyDescent="0.2">
      <c r="B432" s="407">
        <v>16</v>
      </c>
      <c r="C432" s="408"/>
      <c r="D432" s="471"/>
      <c r="E432" s="921"/>
      <c r="F432" s="918"/>
      <c r="G432" s="921"/>
      <c r="H432" s="411"/>
      <c r="I432" s="786"/>
      <c r="J432" s="786"/>
      <c r="K432" s="787"/>
      <c r="L432" s="786"/>
      <c r="M432" s="786"/>
      <c r="N432" s="786">
        <f t="shared" si="19"/>
        <v>0</v>
      </c>
      <c r="O432" s="786">
        <v>0</v>
      </c>
      <c r="P432" s="788">
        <f>K432*0.01</f>
        <v>0</v>
      </c>
      <c r="Q432" s="786"/>
      <c r="R432" s="786"/>
      <c r="S432" s="786"/>
      <c r="T432" s="921"/>
    </row>
    <row r="433" spans="2:20" x14ac:dyDescent="0.2">
      <c r="B433" s="407"/>
      <c r="C433" s="408"/>
      <c r="D433" s="408"/>
      <c r="E433" s="409"/>
      <c r="F433" s="376"/>
      <c r="G433" s="410"/>
      <c r="H433" s="411" t="s">
        <v>868</v>
      </c>
      <c r="I433" s="786"/>
      <c r="J433" s="786"/>
      <c r="K433" s="792"/>
      <c r="L433" s="786"/>
      <c r="M433" s="786">
        <v>-607.4</v>
      </c>
      <c r="N433" s="921"/>
      <c r="O433" s="786"/>
      <c r="P433" s="788">
        <v>0</v>
      </c>
      <c r="Q433" s="786"/>
      <c r="R433" s="786"/>
      <c r="S433" s="786"/>
      <c r="T433" s="921"/>
    </row>
    <row r="434" spans="2:20" x14ac:dyDescent="0.2">
      <c r="B434" s="407"/>
      <c r="C434" s="408"/>
      <c r="D434" s="408"/>
      <c r="E434" s="409"/>
      <c r="F434" s="376"/>
      <c r="G434" s="410"/>
      <c r="H434" s="411"/>
      <c r="I434" s="786"/>
      <c r="J434" s="786"/>
      <c r="K434" s="787"/>
      <c r="L434" s="786"/>
      <c r="M434" s="786"/>
      <c r="N434" s="786"/>
      <c r="O434" s="786"/>
      <c r="P434" s="788"/>
      <c r="Q434" s="786"/>
      <c r="R434" s="786"/>
      <c r="S434" s="786"/>
      <c r="T434" s="921"/>
    </row>
    <row r="435" spans="2:20" x14ac:dyDescent="0.2">
      <c r="B435" s="407"/>
      <c r="C435" s="408"/>
      <c r="D435" s="408"/>
      <c r="E435" s="409"/>
      <c r="F435" s="550"/>
      <c r="G435" s="410"/>
      <c r="H435" s="411"/>
      <c r="I435" s="786"/>
      <c r="J435" s="786"/>
      <c r="K435" s="787"/>
      <c r="L435" s="786"/>
      <c r="M435" s="786"/>
      <c r="N435" s="786"/>
      <c r="O435" s="786"/>
      <c r="P435" s="786"/>
      <c r="Q435" s="786"/>
      <c r="R435" s="786"/>
      <c r="S435" s="786"/>
      <c r="T435" s="921"/>
    </row>
    <row r="436" spans="2:20" x14ac:dyDescent="0.2">
      <c r="B436" s="407"/>
      <c r="C436" s="408"/>
      <c r="D436" s="408"/>
      <c r="E436" s="409"/>
      <c r="F436" s="550"/>
      <c r="G436" s="410"/>
      <c r="H436" s="411"/>
      <c r="I436" s="786"/>
      <c r="J436" s="786"/>
      <c r="K436" s="787"/>
      <c r="L436" s="786"/>
      <c r="M436" s="786"/>
      <c r="N436" s="786"/>
      <c r="O436" s="786"/>
      <c r="P436" s="786"/>
      <c r="Q436" s="786"/>
      <c r="R436" s="786"/>
      <c r="S436" s="786"/>
      <c r="T436" s="921"/>
    </row>
    <row r="437" spans="2:20" x14ac:dyDescent="0.2">
      <c r="B437" s="407"/>
      <c r="C437" s="408"/>
      <c r="D437" s="408"/>
      <c r="E437" s="409"/>
      <c r="F437" s="550"/>
      <c r="G437" s="410"/>
      <c r="H437" s="411"/>
      <c r="I437" s="786"/>
      <c r="J437" s="786"/>
      <c r="K437" s="787"/>
      <c r="L437" s="786"/>
      <c r="M437" s="786"/>
      <c r="N437" s="786"/>
      <c r="O437" s="786"/>
      <c r="P437" s="786"/>
      <c r="Q437" s="786"/>
      <c r="R437" s="786"/>
      <c r="S437" s="786"/>
      <c r="T437" s="921"/>
    </row>
    <row r="438" spans="2:20" x14ac:dyDescent="0.2">
      <c r="B438" s="407"/>
      <c r="C438" s="408"/>
      <c r="D438" s="408"/>
      <c r="E438" s="409"/>
      <c r="F438" s="550"/>
      <c r="G438" s="410"/>
      <c r="H438" s="411"/>
      <c r="I438" s="786"/>
      <c r="J438" s="786"/>
      <c r="K438" s="787"/>
      <c r="L438" s="786"/>
      <c r="M438" s="786"/>
      <c r="N438" s="786"/>
      <c r="O438" s="786"/>
      <c r="P438" s="788"/>
      <c r="Q438" s="786"/>
      <c r="R438" s="786"/>
      <c r="S438" s="786"/>
      <c r="T438" s="921"/>
    </row>
    <row r="439" spans="2:20" x14ac:dyDescent="0.2">
      <c r="B439" s="407"/>
      <c r="C439" s="408"/>
      <c r="D439" s="408"/>
      <c r="E439" s="409"/>
      <c r="F439" s="977"/>
      <c r="G439" s="410"/>
      <c r="H439" s="411"/>
      <c r="I439" s="794"/>
      <c r="J439" s="786"/>
      <c r="K439" s="787"/>
      <c r="L439" s="786"/>
      <c r="M439" s="786"/>
      <c r="N439" s="786"/>
      <c r="O439" s="786"/>
      <c r="P439" s="786"/>
      <c r="Q439" s="786"/>
      <c r="R439" s="786"/>
      <c r="S439" s="786"/>
      <c r="T439" s="921"/>
    </row>
    <row r="440" spans="2:20" x14ac:dyDescent="0.2">
      <c r="B440" s="407"/>
      <c r="C440" s="408"/>
      <c r="D440" s="408"/>
      <c r="E440" s="409"/>
      <c r="F440" s="977"/>
      <c r="G440" s="410"/>
      <c r="H440" s="411"/>
      <c r="I440" s="786"/>
      <c r="J440" s="786"/>
      <c r="K440" s="787"/>
      <c r="L440" s="786"/>
      <c r="M440" s="786"/>
      <c r="N440" s="786"/>
      <c r="O440" s="786"/>
      <c r="P440" s="786"/>
      <c r="Q440" s="786"/>
      <c r="R440" s="786"/>
      <c r="S440" s="786"/>
      <c r="T440" s="921"/>
    </row>
    <row r="441" spans="2:20" x14ac:dyDescent="0.2">
      <c r="B441" s="407"/>
      <c r="C441" s="408"/>
      <c r="D441" s="408"/>
      <c r="E441" s="409"/>
      <c r="F441" s="537"/>
      <c r="G441" s="410"/>
      <c r="H441" s="411"/>
      <c r="I441" s="786"/>
      <c r="J441" s="786"/>
      <c r="K441" s="787"/>
      <c r="L441" s="786"/>
      <c r="M441" s="786"/>
      <c r="N441" s="786"/>
      <c r="O441" s="786"/>
      <c r="P441" s="786"/>
      <c r="Q441" s="786"/>
      <c r="R441" s="786"/>
      <c r="S441" s="786"/>
      <c r="T441" s="921"/>
    </row>
    <row r="442" spans="2:20" x14ac:dyDescent="0.2">
      <c r="B442" s="407"/>
      <c r="C442" s="408"/>
      <c r="D442" s="408"/>
      <c r="E442" s="409"/>
      <c r="F442" s="538"/>
      <c r="G442" s="410"/>
      <c r="H442" s="411"/>
      <c r="I442" s="786"/>
      <c r="J442" s="786"/>
      <c r="K442" s="786"/>
      <c r="L442" s="786"/>
      <c r="M442" s="786"/>
      <c r="N442" s="786">
        <f t="shared" ref="N442" si="22">+K442+M442</f>
        <v>0</v>
      </c>
      <c r="O442" s="786"/>
      <c r="P442" s="786"/>
      <c r="Q442" s="786"/>
      <c r="R442" s="786"/>
      <c r="S442" s="786"/>
      <c r="T442" s="921"/>
    </row>
    <row r="443" spans="2:20" ht="13.5" thickBot="1" x14ac:dyDescent="0.25">
      <c r="B443" s="482"/>
      <c r="C443" s="483"/>
      <c r="D443" s="484"/>
      <c r="E443" s="483"/>
      <c r="F443" s="485"/>
      <c r="G443" s="486"/>
      <c r="H443" s="487"/>
      <c r="I443" s="488"/>
      <c r="J443" s="489"/>
      <c r="K443" s="489"/>
      <c r="L443" s="490"/>
      <c r="M443" s="489"/>
      <c r="N443" s="489"/>
      <c r="O443" s="489"/>
      <c r="P443" s="489"/>
      <c r="Q443" s="491"/>
      <c r="R443" s="491"/>
      <c r="S443" s="491"/>
      <c r="T443" s="382"/>
    </row>
    <row r="444" spans="2:20" x14ac:dyDescent="0.2">
      <c r="B444" s="389"/>
      <c r="C444" s="390"/>
      <c r="D444" s="492"/>
      <c r="E444" s="390"/>
      <c r="F444" s="493"/>
      <c r="G444" s="494"/>
      <c r="H444" s="392"/>
      <c r="I444" s="495"/>
      <c r="J444" s="385"/>
      <c r="K444" s="385"/>
      <c r="L444" s="496"/>
      <c r="M444" s="385"/>
      <c r="N444" s="385"/>
      <c r="O444" s="385"/>
      <c r="P444" s="385"/>
      <c r="Q444" s="497"/>
      <c r="R444" s="497"/>
      <c r="S444" s="497"/>
      <c r="T444" s="382"/>
    </row>
    <row r="445" spans="2:20" x14ac:dyDescent="0.2">
      <c r="B445" s="389"/>
      <c r="C445" s="378"/>
      <c r="D445" s="379"/>
      <c r="E445" s="378"/>
      <c r="F445" s="498"/>
      <c r="G445" s="494"/>
      <c r="H445" s="499" t="s">
        <v>856</v>
      </c>
      <c r="I445" s="496">
        <f t="shared" ref="I445:S445" si="23">SUM(I417:I443)</f>
        <v>0</v>
      </c>
      <c r="J445" s="496">
        <f t="shared" si="23"/>
        <v>0</v>
      </c>
      <c r="K445" s="496">
        <f t="shared" si="23"/>
        <v>4672.2700000000004</v>
      </c>
      <c r="L445" s="496">
        <f t="shared" si="23"/>
        <v>0</v>
      </c>
      <c r="M445" s="496">
        <f t="shared" si="23"/>
        <v>-4.8999999997931809E-3</v>
      </c>
      <c r="N445" s="496">
        <f t="shared" si="23"/>
        <v>5279.6651000000002</v>
      </c>
      <c r="O445" s="496">
        <f t="shared" si="23"/>
        <v>0</v>
      </c>
      <c r="P445" s="496">
        <f t="shared" si="23"/>
        <v>24.352400000000003</v>
      </c>
      <c r="Q445" s="496">
        <f t="shared" si="23"/>
        <v>0</v>
      </c>
      <c r="R445" s="496">
        <f t="shared" si="23"/>
        <v>0</v>
      </c>
      <c r="S445" s="496">
        <f t="shared" si="23"/>
        <v>0</v>
      </c>
      <c r="T445" s="382"/>
    </row>
    <row r="446" spans="2:20" ht="13.5" thickBot="1" x14ac:dyDescent="0.25">
      <c r="B446" s="482"/>
      <c r="C446" s="500"/>
      <c r="D446" s="501"/>
      <c r="E446" s="500"/>
      <c r="F446" s="502"/>
      <c r="G446" s="486"/>
      <c r="H446" s="503"/>
      <c r="I446" s="490"/>
      <c r="J446" s="504"/>
      <c r="K446" s="504"/>
      <c r="L446" s="504"/>
      <c r="M446" s="504"/>
      <c r="N446" s="504"/>
      <c r="O446" s="504"/>
      <c r="P446" s="504"/>
      <c r="Q446" s="490"/>
      <c r="R446" s="490"/>
      <c r="S446" s="818"/>
      <c r="T446" s="382"/>
    </row>
    <row r="453" spans="2:19" ht="21" x14ac:dyDescent="0.35">
      <c r="B453" s="723" t="s">
        <v>811</v>
      </c>
      <c r="C453" s="724"/>
      <c r="D453" s="725"/>
      <c r="E453" s="725"/>
      <c r="F453" s="725"/>
      <c r="G453" s="726"/>
      <c r="H453" s="727"/>
      <c r="I453" s="727"/>
      <c r="J453" s="727"/>
      <c r="K453" s="727"/>
      <c r="L453" s="727"/>
      <c r="M453" s="727"/>
      <c r="N453" s="728"/>
      <c r="O453" s="722"/>
      <c r="P453" s="722"/>
      <c r="Q453" s="722"/>
      <c r="R453" s="722"/>
      <c r="S453" s="722"/>
    </row>
    <row r="454" spans="2:19" ht="15.75" x14ac:dyDescent="0.25">
      <c r="B454" s="725" t="s">
        <v>606</v>
      </c>
      <c r="C454" s="725"/>
      <c r="D454" s="725"/>
      <c r="E454" s="725"/>
      <c r="F454" s="725"/>
      <c r="G454" s="726"/>
      <c r="H454" s="727"/>
      <c r="I454" s="727"/>
      <c r="J454" s="727"/>
      <c r="K454" s="727"/>
      <c r="L454" s="974"/>
      <c r="M454" s="974"/>
      <c r="N454" s="728">
        <v>1.18</v>
      </c>
      <c r="O454" s="722"/>
      <c r="P454" s="722"/>
      <c r="Q454" s="722"/>
      <c r="R454" s="722"/>
      <c r="S454" s="722"/>
    </row>
    <row r="455" spans="2:19" ht="15.75" x14ac:dyDescent="0.25">
      <c r="B455" s="724" t="s">
        <v>607</v>
      </c>
      <c r="C455" s="725"/>
      <c r="D455" s="725"/>
      <c r="E455" s="725"/>
      <c r="F455" s="725"/>
      <c r="G455" s="726"/>
      <c r="H455" s="727"/>
      <c r="I455" s="727"/>
      <c r="J455" s="727"/>
      <c r="K455" s="727"/>
      <c r="L455" s="727"/>
      <c r="M455" s="727"/>
      <c r="N455" s="728">
        <v>3.44</v>
      </c>
      <c r="O455" s="722"/>
      <c r="P455" s="722"/>
      <c r="Q455" s="722"/>
      <c r="R455" s="722"/>
      <c r="S455" s="722"/>
    </row>
    <row r="456" spans="2:19" ht="15.75" x14ac:dyDescent="0.25">
      <c r="B456" s="725" t="s">
        <v>783</v>
      </c>
      <c r="C456" s="725"/>
      <c r="D456" s="725"/>
      <c r="E456" s="725"/>
      <c r="F456" s="725"/>
      <c r="G456" s="726"/>
      <c r="H456" s="727"/>
      <c r="I456" s="727"/>
      <c r="J456" s="727"/>
      <c r="K456" s="727"/>
      <c r="L456" s="727"/>
      <c r="M456" s="727"/>
      <c r="N456" s="728"/>
      <c r="O456" s="722"/>
      <c r="P456" s="722"/>
      <c r="Q456" s="722"/>
      <c r="R456" s="722"/>
      <c r="S456" s="722"/>
    </row>
    <row r="457" spans="2:19" ht="15.75" x14ac:dyDescent="0.25">
      <c r="B457" s="729" t="s">
        <v>812</v>
      </c>
      <c r="C457" s="730" t="s">
        <v>254</v>
      </c>
      <c r="D457" s="731"/>
      <c r="E457" s="732">
        <v>2019</v>
      </c>
      <c r="F457" s="725"/>
      <c r="G457" s="726"/>
      <c r="H457" s="376"/>
      <c r="I457" s="734"/>
      <c r="J457" s="734"/>
      <c r="K457" s="734"/>
      <c r="L457" s="734"/>
      <c r="M457" s="734"/>
      <c r="N457" s="728"/>
      <c r="O457" s="722"/>
      <c r="P457" s="722"/>
      <c r="Q457" s="722"/>
      <c r="R457" s="722"/>
      <c r="S457" s="722"/>
    </row>
    <row r="458" spans="2:19" x14ac:dyDescent="0.2">
      <c r="B458" s="377"/>
      <c r="C458" s="378"/>
      <c r="D458" s="379"/>
      <c r="E458" s="380"/>
      <c r="F458" s="381"/>
      <c r="G458" s="382"/>
      <c r="H458" s="382"/>
      <c r="I458" s="383"/>
      <c r="J458" s="384"/>
      <c r="K458" s="385"/>
      <c r="L458" s="384"/>
      <c r="M458" s="385"/>
      <c r="N458" s="385"/>
      <c r="O458" s="384"/>
      <c r="P458" s="384"/>
      <c r="Q458" s="382"/>
      <c r="R458" s="382"/>
      <c r="S458" s="386"/>
    </row>
    <row r="459" spans="2:19" x14ac:dyDescent="0.2">
      <c r="B459" s="377"/>
      <c r="C459" s="378"/>
      <c r="D459" s="379"/>
      <c r="E459" s="380"/>
      <c r="F459" s="458"/>
      <c r="G459" s="387"/>
      <c r="H459" s="388"/>
      <c r="I459" s="383"/>
      <c r="J459" s="384"/>
      <c r="K459" s="385"/>
      <c r="L459" s="384"/>
      <c r="M459" s="385"/>
      <c r="N459" s="385"/>
      <c r="O459" s="384"/>
      <c r="P459" s="384"/>
      <c r="Q459" s="382"/>
      <c r="R459" s="382"/>
      <c r="S459" s="386"/>
    </row>
    <row r="460" spans="2:19" x14ac:dyDescent="0.2">
      <c r="B460" s="389"/>
      <c r="C460" s="390"/>
      <c r="D460" s="391"/>
      <c r="E460" s="380"/>
      <c r="F460" s="381"/>
      <c r="G460" s="392"/>
      <c r="H460" s="382"/>
      <c r="I460" s="383"/>
      <c r="J460" s="384"/>
      <c r="K460" s="385"/>
      <c r="L460" s="384"/>
      <c r="M460" s="385"/>
      <c r="N460" s="385"/>
      <c r="O460" s="384"/>
      <c r="P460" s="752">
        <v>0.01</v>
      </c>
      <c r="Q460" s="382"/>
      <c r="R460" s="382" t="s">
        <v>813</v>
      </c>
      <c r="S460" s="753">
        <v>0.13</v>
      </c>
    </row>
    <row r="461" spans="2:19" x14ac:dyDescent="0.2">
      <c r="B461" s="393" t="s">
        <v>814</v>
      </c>
      <c r="C461" s="394" t="s">
        <v>608</v>
      </c>
      <c r="D461" s="395" t="s">
        <v>608</v>
      </c>
      <c r="E461" s="396" t="s">
        <v>609</v>
      </c>
      <c r="F461" s="396" t="s">
        <v>815</v>
      </c>
      <c r="G461" s="529" t="s">
        <v>816</v>
      </c>
      <c r="H461" s="975" t="s">
        <v>614</v>
      </c>
      <c r="I461" s="545" t="s">
        <v>817</v>
      </c>
      <c r="J461" s="546"/>
      <c r="K461" s="547" t="s">
        <v>818</v>
      </c>
      <c r="L461" s="548"/>
      <c r="M461" s="549"/>
      <c r="N461" s="530" t="s">
        <v>615</v>
      </c>
      <c r="O461" s="397" t="s">
        <v>819</v>
      </c>
      <c r="P461" s="398" t="s">
        <v>820</v>
      </c>
      <c r="Q461" s="399" t="s">
        <v>821</v>
      </c>
      <c r="R461" s="399" t="s">
        <v>822</v>
      </c>
      <c r="S461" s="399" t="s">
        <v>822</v>
      </c>
    </row>
    <row r="462" spans="2:19" x14ac:dyDescent="0.2">
      <c r="B462" s="400"/>
      <c r="C462" s="401" t="s">
        <v>823</v>
      </c>
      <c r="D462" s="402" t="s">
        <v>616</v>
      </c>
      <c r="E462" s="403" t="s">
        <v>616</v>
      </c>
      <c r="F462" s="404" t="s">
        <v>824</v>
      </c>
      <c r="G462" s="531" t="s">
        <v>617</v>
      </c>
      <c r="H462" s="976"/>
      <c r="I462" s="532" t="s">
        <v>825</v>
      </c>
      <c r="J462" s="533" t="s">
        <v>826</v>
      </c>
      <c r="K462" s="534" t="s">
        <v>825</v>
      </c>
      <c r="L462" s="535" t="s">
        <v>826</v>
      </c>
      <c r="M462" s="534" t="s">
        <v>157</v>
      </c>
      <c r="N462" s="536" t="s">
        <v>827</v>
      </c>
      <c r="O462" s="405" t="s">
        <v>828</v>
      </c>
      <c r="P462" s="405" t="s">
        <v>829</v>
      </c>
      <c r="Q462" s="406" t="s">
        <v>830</v>
      </c>
      <c r="R462" s="406" t="s">
        <v>831</v>
      </c>
      <c r="S462" s="406" t="s">
        <v>832</v>
      </c>
    </row>
    <row r="463" spans="2:19" x14ac:dyDescent="0.2">
      <c r="B463" s="407">
        <v>1</v>
      </c>
      <c r="C463" s="408">
        <v>43473</v>
      </c>
      <c r="D463" s="408">
        <v>43467</v>
      </c>
      <c r="E463" s="409" t="s">
        <v>1241</v>
      </c>
      <c r="F463" s="376"/>
      <c r="G463" s="410" t="s">
        <v>802</v>
      </c>
      <c r="H463" s="411" t="str">
        <f>+VLOOKUP(G463,[6]bd!A:C,2,0)</f>
        <v>KPMG, S.A.</v>
      </c>
      <c r="I463" s="786"/>
      <c r="J463" s="786"/>
      <c r="K463" s="787">
        <v>118.18</v>
      </c>
      <c r="L463" s="786"/>
      <c r="M463" s="786">
        <f>K463*0.13</f>
        <v>15.363400000000002</v>
      </c>
      <c r="N463" s="786">
        <f t="shared" ref="N463:N479" si="24">+K463+M463</f>
        <v>133.54340000000002</v>
      </c>
      <c r="O463" s="786">
        <v>0</v>
      </c>
      <c r="P463" s="788">
        <f>K463*0.01</f>
        <v>1.1818000000000002</v>
      </c>
      <c r="Q463" s="786"/>
      <c r="R463" s="786"/>
      <c r="S463" s="786"/>
    </row>
    <row r="464" spans="2:19" x14ac:dyDescent="0.2">
      <c r="B464" s="407">
        <v>2</v>
      </c>
      <c r="C464" s="408">
        <v>43474</v>
      </c>
      <c r="D464" s="408">
        <v>43474</v>
      </c>
      <c r="E464" s="409" t="s">
        <v>1242</v>
      </c>
      <c r="F464" s="376"/>
      <c r="G464" s="410" t="s">
        <v>781</v>
      </c>
      <c r="H464" s="411" t="str">
        <f>+VLOOKUP(G464,[6]bd!A:C,2,0)</f>
        <v>BOLSA DE VALORES DE EL SALVADOR, S.A. DE C.V.</v>
      </c>
      <c r="I464" s="786"/>
      <c r="J464" s="786"/>
      <c r="K464" s="787">
        <v>239.73</v>
      </c>
      <c r="L464" s="786"/>
      <c r="M464" s="786">
        <f t="shared" ref="M464:M479" si="25">K464*0.13</f>
        <v>31.164899999999999</v>
      </c>
      <c r="N464" s="786">
        <f t="shared" si="24"/>
        <v>270.89490000000001</v>
      </c>
      <c r="O464" s="786">
        <v>0</v>
      </c>
      <c r="P464" s="788">
        <v>0</v>
      </c>
      <c r="Q464" s="786"/>
      <c r="R464" s="786"/>
      <c r="S464" s="786"/>
    </row>
    <row r="465" spans="2:19" x14ac:dyDescent="0.2">
      <c r="B465" s="407">
        <v>3</v>
      </c>
      <c r="C465" s="408">
        <v>43476</v>
      </c>
      <c r="D465" s="408">
        <v>43481</v>
      </c>
      <c r="E465" s="409" t="s">
        <v>1204</v>
      </c>
      <c r="F465" s="376"/>
      <c r="G465" s="410" t="s">
        <v>781</v>
      </c>
      <c r="H465" s="411" t="str">
        <f>+VLOOKUP(G465,[6]bd!A:C,2,0)</f>
        <v>BOLSA DE VALORES DE EL SALVADOR, S.A. DE C.V.</v>
      </c>
      <c r="I465" s="786"/>
      <c r="J465" s="786"/>
      <c r="K465" s="787">
        <v>95.89</v>
      </c>
      <c r="L465" s="786"/>
      <c r="M465" s="786">
        <f t="shared" si="25"/>
        <v>12.4657</v>
      </c>
      <c r="N465" s="786">
        <f t="shared" si="24"/>
        <v>108.3557</v>
      </c>
      <c r="O465" s="786">
        <v>0</v>
      </c>
      <c r="P465" s="788">
        <v>0</v>
      </c>
      <c r="Q465" s="786"/>
      <c r="R465" s="786">
        <v>0</v>
      </c>
      <c r="S465" s="786">
        <v>0</v>
      </c>
    </row>
    <row r="466" spans="2:19" x14ac:dyDescent="0.2">
      <c r="B466" s="407">
        <v>4</v>
      </c>
      <c r="C466" s="408">
        <v>43480</v>
      </c>
      <c r="D466" s="408">
        <v>43480</v>
      </c>
      <c r="E466" s="409" t="s">
        <v>1243</v>
      </c>
      <c r="F466" s="376"/>
      <c r="G466" s="410" t="s">
        <v>781</v>
      </c>
      <c r="H466" s="411" t="str">
        <f>+VLOOKUP(G466,[6]bd!A:C,2,0)</f>
        <v>BOLSA DE VALORES DE EL SALVADOR, S.A. DE C.V.</v>
      </c>
      <c r="I466" s="786"/>
      <c r="J466" s="786"/>
      <c r="K466" s="787">
        <v>91.35</v>
      </c>
      <c r="L466" s="786"/>
      <c r="M466" s="786">
        <f t="shared" si="25"/>
        <v>11.875499999999999</v>
      </c>
      <c r="N466" s="786">
        <f t="shared" si="24"/>
        <v>103.2255</v>
      </c>
      <c r="O466" s="786">
        <v>0</v>
      </c>
      <c r="P466" s="788">
        <v>0</v>
      </c>
      <c r="Q466" s="786"/>
      <c r="R466" s="786"/>
      <c r="S466" s="786"/>
    </row>
    <row r="467" spans="2:19" x14ac:dyDescent="0.2">
      <c r="B467" s="407">
        <v>5</v>
      </c>
      <c r="C467" s="408">
        <v>43480</v>
      </c>
      <c r="D467" s="408">
        <v>43480</v>
      </c>
      <c r="E467" s="409" t="s">
        <v>1244</v>
      </c>
      <c r="F467" s="376"/>
      <c r="G467" s="410" t="s">
        <v>158</v>
      </c>
      <c r="H467" s="411" t="str">
        <f>+VLOOKUP(G467,[6]bd!A:C,2,0)</f>
        <v>BANCO CUSCATLAN DE EL SALVADOR S.A.</v>
      </c>
      <c r="I467" s="786"/>
      <c r="J467" s="786"/>
      <c r="K467" s="787">
        <v>133.80000000000001</v>
      </c>
      <c r="L467" s="786"/>
      <c r="M467" s="786">
        <f t="shared" si="25"/>
        <v>17.394000000000002</v>
      </c>
      <c r="N467" s="786">
        <f t="shared" si="24"/>
        <v>151.19400000000002</v>
      </c>
      <c r="O467" s="786">
        <v>0</v>
      </c>
      <c r="P467" s="788">
        <v>0</v>
      </c>
      <c r="Q467" s="786"/>
      <c r="R467" s="786"/>
      <c r="S467" s="786"/>
    </row>
    <row r="468" spans="2:19" x14ac:dyDescent="0.2">
      <c r="B468" s="407">
        <v>6</v>
      </c>
      <c r="C468" s="408">
        <v>43481</v>
      </c>
      <c r="D468" s="408">
        <v>43476</v>
      </c>
      <c r="E468" s="409" t="s">
        <v>1245</v>
      </c>
      <c r="F468" s="409"/>
      <c r="G468" s="409" t="s">
        <v>781</v>
      </c>
      <c r="H468" s="411" t="str">
        <f>+VLOOKUP(G468,[6]bd!A:C,2,0)</f>
        <v>BOLSA DE VALORES DE EL SALVADOR, S.A. DE C.V.</v>
      </c>
      <c r="I468" s="786"/>
      <c r="J468" s="786"/>
      <c r="K468" s="787">
        <v>95.89</v>
      </c>
      <c r="L468" s="786"/>
      <c r="M468" s="786">
        <f t="shared" si="25"/>
        <v>12.4657</v>
      </c>
      <c r="N468" s="786">
        <f t="shared" si="24"/>
        <v>108.3557</v>
      </c>
      <c r="O468" s="786">
        <v>0</v>
      </c>
      <c r="P468" s="788">
        <v>0</v>
      </c>
      <c r="Q468" s="786"/>
      <c r="R468" s="786"/>
      <c r="S468" s="786"/>
    </row>
    <row r="469" spans="2:19" x14ac:dyDescent="0.2">
      <c r="B469" s="407">
        <v>7</v>
      </c>
      <c r="C469" s="408">
        <v>43481</v>
      </c>
      <c r="D469" s="408">
        <v>43472</v>
      </c>
      <c r="E469" s="409" t="s">
        <v>1246</v>
      </c>
      <c r="F469" s="376"/>
      <c r="G469" s="410" t="s">
        <v>921</v>
      </c>
      <c r="H469" s="411" t="str">
        <f>+VLOOKUP(G469,[6]bd!A:C,2,0)</f>
        <v>ASOCIACION SALVADOREÑA DE INTERMEDIARIOS BURSATILES</v>
      </c>
      <c r="I469" s="786"/>
      <c r="J469" s="786"/>
      <c r="K469" s="787">
        <v>2400</v>
      </c>
      <c r="L469" s="786"/>
      <c r="M469" s="786">
        <f t="shared" si="25"/>
        <v>312</v>
      </c>
      <c r="N469" s="786">
        <f t="shared" si="24"/>
        <v>2712</v>
      </c>
      <c r="O469" s="786">
        <v>0</v>
      </c>
      <c r="P469" s="788">
        <f>K469*0.01</f>
        <v>24</v>
      </c>
      <c r="Q469" s="786"/>
      <c r="R469" s="786"/>
      <c r="S469" s="786"/>
    </row>
    <row r="470" spans="2:19" x14ac:dyDescent="0.2">
      <c r="B470" s="407">
        <v>8</v>
      </c>
      <c r="C470" s="408">
        <v>43482</v>
      </c>
      <c r="D470" s="408">
        <v>43482</v>
      </c>
      <c r="E470" s="409" t="s">
        <v>1247</v>
      </c>
      <c r="F470" s="376"/>
      <c r="G470" s="410" t="s">
        <v>781</v>
      </c>
      <c r="H470" s="411" t="str">
        <f>+VLOOKUP(G470,[6]bd!A:C,2,0)</f>
        <v>BOLSA DE VALORES DE EL SALVADOR, S.A. DE C.V.</v>
      </c>
      <c r="I470" s="786"/>
      <c r="J470" s="786"/>
      <c r="K470" s="787">
        <v>95.89</v>
      </c>
      <c r="L470" s="786"/>
      <c r="M470" s="786">
        <v>12.47</v>
      </c>
      <c r="N470" s="786">
        <f t="shared" si="24"/>
        <v>108.36</v>
      </c>
      <c r="O470" s="786"/>
      <c r="P470" s="788">
        <v>0</v>
      </c>
      <c r="Q470" s="786"/>
      <c r="R470" s="786"/>
      <c r="S470" s="786"/>
    </row>
    <row r="471" spans="2:19" x14ac:dyDescent="0.2">
      <c r="B471" s="407">
        <v>9</v>
      </c>
      <c r="C471" s="408">
        <v>43483</v>
      </c>
      <c r="D471" s="408">
        <v>43483</v>
      </c>
      <c r="E471" s="409" t="s">
        <v>1248</v>
      </c>
      <c r="F471" s="376"/>
      <c r="G471" s="410" t="s">
        <v>781</v>
      </c>
      <c r="H471" s="411" t="str">
        <f>+VLOOKUP(G471,[6]bd!A:C,2,0)</f>
        <v>BOLSA DE VALORES DE EL SALVADOR, S.A. DE C.V.</v>
      </c>
      <c r="I471" s="786"/>
      <c r="J471" s="786"/>
      <c r="K471" s="787">
        <v>96.37</v>
      </c>
      <c r="L471" s="786"/>
      <c r="M471" s="786">
        <f t="shared" si="25"/>
        <v>12.5281</v>
      </c>
      <c r="N471" s="786">
        <f t="shared" si="24"/>
        <v>108.8981</v>
      </c>
      <c r="O471" s="786">
        <v>0</v>
      </c>
      <c r="P471" s="788">
        <v>0</v>
      </c>
      <c r="Q471" s="786"/>
      <c r="R471" s="786"/>
      <c r="S471" s="786"/>
    </row>
    <row r="472" spans="2:19" x14ac:dyDescent="0.2">
      <c r="B472" s="407">
        <v>10</v>
      </c>
      <c r="C472" s="408">
        <v>43487</v>
      </c>
      <c r="D472" s="408">
        <v>43487</v>
      </c>
      <c r="E472" s="409" t="s">
        <v>1249</v>
      </c>
      <c r="F472" s="376"/>
      <c r="G472" s="410" t="s">
        <v>781</v>
      </c>
      <c r="H472" s="411" t="str">
        <f>+VLOOKUP(G472,[6]bd!A:C,2,0)</f>
        <v>BOLSA DE VALORES DE EL SALVADOR, S.A. DE C.V.</v>
      </c>
      <c r="I472" s="786"/>
      <c r="J472" s="786"/>
      <c r="K472" s="787">
        <v>143.84</v>
      </c>
      <c r="L472" s="786"/>
      <c r="M472" s="786">
        <f t="shared" si="25"/>
        <v>18.699200000000001</v>
      </c>
      <c r="N472" s="786">
        <f t="shared" si="24"/>
        <v>162.53919999999999</v>
      </c>
      <c r="O472" s="786">
        <v>0</v>
      </c>
      <c r="P472" s="788"/>
      <c r="Q472" s="786"/>
      <c r="R472" s="786"/>
      <c r="S472" s="786"/>
    </row>
    <row r="473" spans="2:19" x14ac:dyDescent="0.2">
      <c r="B473" s="407">
        <v>11</v>
      </c>
      <c r="C473" s="408">
        <v>43487</v>
      </c>
      <c r="D473" s="471">
        <v>43462</v>
      </c>
      <c r="E473" s="409" t="s">
        <v>1250</v>
      </c>
      <c r="F473" s="376"/>
      <c r="G473" s="410" t="s">
        <v>806</v>
      </c>
      <c r="H473" s="411" t="str">
        <f>+VLOOKUP(G473,[6]bd!A:C,2,0)</f>
        <v>CENTRAL DE DEPOSITO DE VALORES, S.A. DE C.V.</v>
      </c>
      <c r="I473" s="786"/>
      <c r="J473" s="786"/>
      <c r="K473" s="787">
        <v>1585.94</v>
      </c>
      <c r="L473" s="786"/>
      <c r="M473" s="786">
        <f t="shared" si="25"/>
        <v>206.1722</v>
      </c>
      <c r="N473" s="786">
        <f t="shared" si="24"/>
        <v>1792.1122</v>
      </c>
      <c r="O473" s="786">
        <v>0</v>
      </c>
      <c r="P473" s="788">
        <f>K473*0.01</f>
        <v>15.859400000000001</v>
      </c>
      <c r="Q473" s="786"/>
      <c r="R473" s="786"/>
      <c r="S473" s="786"/>
    </row>
    <row r="474" spans="2:19" x14ac:dyDescent="0.2">
      <c r="B474" s="407">
        <v>12</v>
      </c>
      <c r="C474" s="408">
        <v>43488</v>
      </c>
      <c r="D474" s="408">
        <v>43488</v>
      </c>
      <c r="E474" s="409" t="s">
        <v>1251</v>
      </c>
      <c r="F474" s="376"/>
      <c r="G474" s="410" t="s">
        <v>781</v>
      </c>
      <c r="H474" s="411" t="str">
        <f>+VLOOKUP(G474,[6]bd!A:C,2,0)</f>
        <v>BOLSA DE VALORES DE EL SALVADOR, S.A. DE C.V.</v>
      </c>
      <c r="I474" s="786"/>
      <c r="J474" s="786"/>
      <c r="K474" s="787">
        <v>231.1</v>
      </c>
      <c r="L474" s="786"/>
      <c r="M474" s="786">
        <f t="shared" si="25"/>
        <v>30.042999999999999</v>
      </c>
      <c r="N474" s="786">
        <f t="shared" si="24"/>
        <v>261.14299999999997</v>
      </c>
      <c r="O474" s="786">
        <v>0</v>
      </c>
      <c r="P474" s="788">
        <v>0</v>
      </c>
      <c r="Q474" s="786"/>
      <c r="R474" s="786"/>
      <c r="S474" s="786"/>
    </row>
    <row r="475" spans="2:19" x14ac:dyDescent="0.2">
      <c r="B475" s="407">
        <v>13</v>
      </c>
      <c r="C475" s="408">
        <v>43489</v>
      </c>
      <c r="D475" s="471">
        <v>43489</v>
      </c>
      <c r="E475" s="409" t="s">
        <v>1252</v>
      </c>
      <c r="F475" s="376"/>
      <c r="G475" s="410" t="s">
        <v>781</v>
      </c>
      <c r="H475" s="411" t="str">
        <f>+VLOOKUP(G475,[6]bd!A:C,2,0)</f>
        <v>BOLSA DE VALORES DE EL SALVADOR, S.A. DE C.V.</v>
      </c>
      <c r="I475" s="786"/>
      <c r="J475" s="786"/>
      <c r="K475" s="787">
        <v>191.78</v>
      </c>
      <c r="L475" s="786"/>
      <c r="M475" s="786">
        <f t="shared" si="25"/>
        <v>24.9314</v>
      </c>
      <c r="N475" s="786">
        <f t="shared" si="24"/>
        <v>216.7114</v>
      </c>
      <c r="O475" s="786">
        <v>0</v>
      </c>
      <c r="P475" s="788">
        <v>0</v>
      </c>
      <c r="Q475" s="786"/>
      <c r="R475" s="786"/>
      <c r="S475" s="786"/>
    </row>
    <row r="476" spans="2:19" x14ac:dyDescent="0.2">
      <c r="B476" s="407">
        <v>14</v>
      </c>
      <c r="C476" s="408">
        <v>43489</v>
      </c>
      <c r="D476" s="471">
        <v>43465</v>
      </c>
      <c r="E476" s="409" t="s">
        <v>1253</v>
      </c>
      <c r="F476" s="376"/>
      <c r="G476" s="410" t="s">
        <v>936</v>
      </c>
      <c r="H476" s="411" t="str">
        <f>+VLOOKUP(G476,[6]bd!A:C,2,0)</f>
        <v>OPERADORES LOGISTICOS RANSA, S.A. DE C.V.</v>
      </c>
      <c r="I476" s="786"/>
      <c r="J476" s="786"/>
      <c r="K476" s="787">
        <v>376.92</v>
      </c>
      <c r="L476" s="786"/>
      <c r="M476" s="786">
        <f t="shared" si="25"/>
        <v>48.999600000000001</v>
      </c>
      <c r="N476" s="786">
        <f t="shared" si="24"/>
        <v>425.9196</v>
      </c>
      <c r="O476" s="786">
        <v>0</v>
      </c>
      <c r="P476" s="788">
        <f>K476*0.01</f>
        <v>3.7692000000000001</v>
      </c>
      <c r="Q476" s="786"/>
      <c r="R476" s="786"/>
      <c r="S476" s="786"/>
    </row>
    <row r="477" spans="2:19" x14ac:dyDescent="0.2">
      <c r="B477" s="407">
        <v>15</v>
      </c>
      <c r="C477" s="408">
        <v>43494</v>
      </c>
      <c r="D477" s="408">
        <v>43494</v>
      </c>
      <c r="E477" s="409" t="s">
        <v>1254</v>
      </c>
      <c r="F477" s="952"/>
      <c r="G477" s="410" t="s">
        <v>781</v>
      </c>
      <c r="H477" s="411" t="str">
        <f>+VLOOKUP(G477,[6]bd!A:C,2,0)</f>
        <v>BOLSA DE VALORES DE EL SALVADOR, S.A. DE C.V.</v>
      </c>
      <c r="I477" s="786"/>
      <c r="J477" s="786"/>
      <c r="K477" s="787">
        <v>143.84</v>
      </c>
      <c r="L477" s="786"/>
      <c r="M477" s="786">
        <f t="shared" si="25"/>
        <v>18.699200000000001</v>
      </c>
      <c r="N477" s="786">
        <f t="shared" si="24"/>
        <v>162.53919999999999</v>
      </c>
      <c r="O477" s="786">
        <v>0</v>
      </c>
      <c r="P477" s="788">
        <v>0</v>
      </c>
      <c r="Q477" s="786"/>
      <c r="R477" s="786"/>
      <c r="S477" s="786"/>
    </row>
    <row r="478" spans="2:19" x14ac:dyDescent="0.2">
      <c r="B478" s="407">
        <v>16</v>
      </c>
      <c r="C478" s="408">
        <v>43495</v>
      </c>
      <c r="D478" s="471">
        <v>43495</v>
      </c>
      <c r="E478" s="921">
        <v>2091</v>
      </c>
      <c r="F478" s="952"/>
      <c r="G478" s="921" t="s">
        <v>781</v>
      </c>
      <c r="H478" s="411" t="str">
        <f>+VLOOKUP(G478,[6]bd!A:C,2,0)</f>
        <v>BOLSA DE VALORES DE EL SALVADOR, S.A. DE C.V.</v>
      </c>
      <c r="I478" s="786"/>
      <c r="J478" s="786"/>
      <c r="K478" s="787">
        <v>143.84</v>
      </c>
      <c r="L478" s="786"/>
      <c r="M478" s="786">
        <f t="shared" si="25"/>
        <v>18.699200000000001</v>
      </c>
      <c r="N478" s="786">
        <f t="shared" si="24"/>
        <v>162.53919999999999</v>
      </c>
      <c r="O478" s="786">
        <v>0</v>
      </c>
      <c r="P478" s="788">
        <v>0</v>
      </c>
      <c r="Q478" s="786"/>
      <c r="R478" s="786"/>
      <c r="S478" s="786"/>
    </row>
    <row r="479" spans="2:19" x14ac:dyDescent="0.2">
      <c r="B479" s="407">
        <v>17</v>
      </c>
      <c r="C479" s="408">
        <v>43496</v>
      </c>
      <c r="D479" s="471">
        <v>43495</v>
      </c>
      <c r="E479" s="921">
        <v>2070</v>
      </c>
      <c r="F479" s="952"/>
      <c r="G479" s="921" t="s">
        <v>781</v>
      </c>
      <c r="H479" s="411" t="str">
        <f>+VLOOKUP(G479,[6]bd!A:C,2,0)</f>
        <v>BOLSA DE VALORES DE EL SALVADOR, S.A. DE C.V.</v>
      </c>
      <c r="I479" s="786"/>
      <c r="J479" s="786"/>
      <c r="K479" s="787">
        <v>23.97</v>
      </c>
      <c r="L479" s="786"/>
      <c r="M479" s="786">
        <f t="shared" si="25"/>
        <v>3.1160999999999999</v>
      </c>
      <c r="N479" s="786">
        <f t="shared" si="24"/>
        <v>27.086099999999998</v>
      </c>
      <c r="O479" s="786">
        <v>0</v>
      </c>
      <c r="P479" s="788">
        <v>0</v>
      </c>
      <c r="Q479" s="786"/>
      <c r="R479" s="786"/>
      <c r="S479" s="786"/>
    </row>
    <row r="480" spans="2:19" x14ac:dyDescent="0.2">
      <c r="B480" s="407">
        <v>28</v>
      </c>
      <c r="C480" s="408"/>
      <c r="D480" s="408"/>
      <c r="E480" s="409"/>
      <c r="F480" s="376"/>
      <c r="G480" s="410"/>
      <c r="H480" s="411"/>
      <c r="I480" s="786"/>
      <c r="J480" s="786"/>
      <c r="K480" s="787"/>
      <c r="L480" s="786"/>
      <c r="M480" s="786"/>
      <c r="N480" s="786"/>
      <c r="O480" s="786"/>
      <c r="P480" s="788">
        <v>0</v>
      </c>
      <c r="Q480" s="786"/>
      <c r="R480" s="786"/>
      <c r="S480" s="786"/>
    </row>
    <row r="481" spans="2:19" x14ac:dyDescent="0.2">
      <c r="B481" s="407"/>
      <c r="C481" s="408"/>
      <c r="D481" s="408"/>
      <c r="E481" s="409"/>
      <c r="F481" s="376"/>
      <c r="G481" s="410"/>
      <c r="H481" s="411" t="s">
        <v>868</v>
      </c>
      <c r="I481" s="786"/>
      <c r="J481" s="786"/>
      <c r="K481" s="792"/>
      <c r="L481" s="786"/>
      <c r="M481" s="786"/>
      <c r="N481" s="921"/>
      <c r="O481" s="786"/>
      <c r="P481" s="788">
        <v>0</v>
      </c>
      <c r="Q481" s="786"/>
      <c r="R481" s="786"/>
      <c r="S481" s="786"/>
    </row>
    <row r="482" spans="2:19" x14ac:dyDescent="0.2">
      <c r="B482" s="407"/>
      <c r="C482" s="408"/>
      <c r="D482" s="408"/>
      <c r="E482" s="409"/>
      <c r="F482" s="376"/>
      <c r="G482" s="410"/>
      <c r="H482" s="411"/>
      <c r="I482" s="786"/>
      <c r="J482" s="786"/>
      <c r="K482" s="787"/>
      <c r="L482" s="786"/>
      <c r="M482" s="786"/>
      <c r="N482" s="786"/>
      <c r="O482" s="786"/>
      <c r="P482" s="788"/>
      <c r="Q482" s="786"/>
      <c r="R482" s="786"/>
      <c r="S482" s="786"/>
    </row>
    <row r="483" spans="2:19" x14ac:dyDescent="0.2">
      <c r="B483" s="407"/>
      <c r="C483" s="408"/>
      <c r="D483" s="408"/>
      <c r="E483" s="409"/>
      <c r="F483" s="550"/>
      <c r="G483" s="410"/>
      <c r="H483" s="411"/>
      <c r="I483" s="786"/>
      <c r="J483" s="786"/>
      <c r="K483" s="787"/>
      <c r="L483" s="786"/>
      <c r="M483" s="786"/>
      <c r="N483" s="786"/>
      <c r="O483" s="786"/>
      <c r="P483" s="786"/>
      <c r="Q483" s="786"/>
      <c r="R483" s="786"/>
      <c r="S483" s="786"/>
    </row>
    <row r="484" spans="2:19" x14ac:dyDescent="0.2">
      <c r="B484" s="407"/>
      <c r="C484" s="408"/>
      <c r="D484" s="408"/>
      <c r="E484" s="409"/>
      <c r="F484" s="550"/>
      <c r="G484" s="410"/>
      <c r="H484" s="411"/>
      <c r="I484" s="786"/>
      <c r="J484" s="786"/>
      <c r="K484" s="787"/>
      <c r="L484" s="786"/>
      <c r="M484" s="786"/>
      <c r="N484" s="786"/>
      <c r="O484" s="786"/>
      <c r="P484" s="786"/>
      <c r="Q484" s="786"/>
      <c r="R484" s="786"/>
      <c r="S484" s="786"/>
    </row>
    <row r="485" spans="2:19" x14ac:dyDescent="0.2">
      <c r="B485" s="407"/>
      <c r="C485" s="408"/>
      <c r="D485" s="408"/>
      <c r="E485" s="409"/>
      <c r="F485" s="550"/>
      <c r="G485" s="410"/>
      <c r="H485" s="411"/>
      <c r="I485" s="786"/>
      <c r="J485" s="786"/>
      <c r="K485" s="787"/>
      <c r="L485" s="786"/>
      <c r="M485" s="786"/>
      <c r="N485" s="786"/>
      <c r="O485" s="786"/>
      <c r="P485" s="786"/>
      <c r="Q485" s="786"/>
      <c r="R485" s="786"/>
      <c r="S485" s="786"/>
    </row>
    <row r="486" spans="2:19" x14ac:dyDescent="0.2">
      <c r="B486" s="407"/>
      <c r="C486" s="408"/>
      <c r="D486" s="408"/>
      <c r="E486" s="409"/>
      <c r="F486" s="550"/>
      <c r="G486" s="410"/>
      <c r="H486" s="411"/>
      <c r="I486" s="786"/>
      <c r="J486" s="786"/>
      <c r="K486" s="787"/>
      <c r="L486" s="786"/>
      <c r="M486" s="786"/>
      <c r="N486" s="786"/>
      <c r="O486" s="786"/>
      <c r="P486" s="788"/>
      <c r="Q486" s="786"/>
      <c r="R486" s="786"/>
      <c r="S486" s="786"/>
    </row>
    <row r="487" spans="2:19" x14ac:dyDescent="0.2">
      <c r="B487" s="407"/>
      <c r="C487" s="408"/>
      <c r="D487" s="408"/>
      <c r="E487" s="409"/>
      <c r="F487" s="977"/>
      <c r="G487" s="410"/>
      <c r="H487" s="411"/>
      <c r="I487" s="794"/>
      <c r="J487" s="786"/>
      <c r="K487" s="787"/>
      <c r="L487" s="786"/>
      <c r="M487" s="786"/>
      <c r="N487" s="786"/>
      <c r="O487" s="786"/>
      <c r="P487" s="786"/>
      <c r="Q487" s="786"/>
      <c r="R487" s="786"/>
      <c r="S487" s="786"/>
    </row>
    <row r="488" spans="2:19" x14ac:dyDescent="0.2">
      <c r="B488" s="407"/>
      <c r="C488" s="408"/>
      <c r="D488" s="408"/>
      <c r="E488" s="409"/>
      <c r="F488" s="977"/>
      <c r="G488" s="410"/>
      <c r="H488" s="411"/>
      <c r="I488" s="786"/>
      <c r="J488" s="786"/>
      <c r="K488" s="787"/>
      <c r="L488" s="786"/>
      <c r="M488" s="786"/>
      <c r="N488" s="786"/>
      <c r="O488" s="786"/>
      <c r="P488" s="786"/>
      <c r="Q488" s="786"/>
      <c r="R488" s="786"/>
      <c r="S488" s="786"/>
    </row>
    <row r="489" spans="2:19" x14ac:dyDescent="0.2">
      <c r="B489" s="407"/>
      <c r="C489" s="408"/>
      <c r="D489" s="408"/>
      <c r="E489" s="409"/>
      <c r="F489" s="537"/>
      <c r="G489" s="410"/>
      <c r="H489" s="411"/>
      <c r="I489" s="786"/>
      <c r="J489" s="786"/>
      <c r="K489" s="787"/>
      <c r="L489" s="786"/>
      <c r="M489" s="786"/>
      <c r="N489" s="786"/>
      <c r="O489" s="786"/>
      <c r="P489" s="786"/>
      <c r="Q489" s="786"/>
      <c r="R489" s="786"/>
      <c r="S489" s="786"/>
    </row>
    <row r="490" spans="2:19" x14ac:dyDescent="0.2">
      <c r="B490" s="407"/>
      <c r="C490" s="408"/>
      <c r="D490" s="408"/>
      <c r="E490" s="409"/>
      <c r="F490" s="538"/>
      <c r="G490" s="410"/>
      <c r="H490" s="411"/>
      <c r="I490" s="786"/>
      <c r="J490" s="786"/>
      <c r="K490" s="786"/>
      <c r="L490" s="786"/>
      <c r="M490" s="786"/>
      <c r="N490" s="786">
        <f t="shared" ref="N490" si="26">+K490+M490</f>
        <v>0</v>
      </c>
      <c r="O490" s="786"/>
      <c r="P490" s="786"/>
      <c r="Q490" s="786"/>
      <c r="R490" s="786"/>
      <c r="S490" s="786"/>
    </row>
    <row r="491" spans="2:19" ht="13.5" thickBot="1" x14ac:dyDescent="0.25">
      <c r="B491" s="482"/>
      <c r="C491" s="483"/>
      <c r="D491" s="484"/>
      <c r="E491" s="483"/>
      <c r="F491" s="485"/>
      <c r="G491" s="486"/>
      <c r="H491" s="487"/>
      <c r="I491" s="488"/>
      <c r="J491" s="489"/>
      <c r="K491" s="489"/>
      <c r="L491" s="490"/>
      <c r="M491" s="489"/>
      <c r="N491" s="489"/>
      <c r="O491" s="489"/>
      <c r="P491" s="489"/>
      <c r="Q491" s="491"/>
      <c r="R491" s="491"/>
      <c r="S491" s="491"/>
    </row>
    <row r="492" spans="2:19" x14ac:dyDescent="0.2">
      <c r="B492" s="389"/>
      <c r="C492" s="390"/>
      <c r="D492" s="492"/>
      <c r="E492" s="390"/>
      <c r="F492" s="493"/>
      <c r="G492" s="494"/>
      <c r="H492" s="392"/>
      <c r="I492" s="495"/>
      <c r="J492" s="385"/>
      <c r="K492" s="385"/>
      <c r="L492" s="496"/>
      <c r="M492" s="385"/>
      <c r="N492" s="385"/>
      <c r="O492" s="385"/>
      <c r="P492" s="385"/>
      <c r="Q492" s="497"/>
      <c r="R492" s="497"/>
      <c r="S492" s="497"/>
    </row>
    <row r="493" spans="2:19" x14ac:dyDescent="0.2">
      <c r="B493" s="389"/>
      <c r="C493" s="378"/>
      <c r="D493" s="379"/>
      <c r="E493" s="378"/>
      <c r="F493" s="498"/>
      <c r="G493" s="494"/>
      <c r="H493" s="499" t="s">
        <v>856</v>
      </c>
      <c r="I493" s="496">
        <f t="shared" ref="I493:S493" si="27">SUM(I463:I491)</f>
        <v>0</v>
      </c>
      <c r="J493" s="496">
        <f t="shared" si="27"/>
        <v>0</v>
      </c>
      <c r="K493" s="496">
        <f t="shared" si="27"/>
        <v>6208.3300000000008</v>
      </c>
      <c r="L493" s="496">
        <f t="shared" si="27"/>
        <v>0</v>
      </c>
      <c r="M493" s="496">
        <f t="shared" si="27"/>
        <v>807.08720000000005</v>
      </c>
      <c r="N493" s="496">
        <f t="shared" si="27"/>
        <v>7015.4172000000008</v>
      </c>
      <c r="O493" s="496">
        <f t="shared" si="27"/>
        <v>0</v>
      </c>
      <c r="P493" s="496">
        <f t="shared" si="27"/>
        <v>44.810400000000001</v>
      </c>
      <c r="Q493" s="496">
        <f t="shared" si="27"/>
        <v>0</v>
      </c>
      <c r="R493" s="496">
        <f t="shared" si="27"/>
        <v>0</v>
      </c>
      <c r="S493" s="496">
        <f t="shared" si="27"/>
        <v>0</v>
      </c>
    </row>
    <row r="494" spans="2:19" ht="13.5" thickBot="1" x14ac:dyDescent="0.25">
      <c r="B494" s="482"/>
      <c r="C494" s="500"/>
      <c r="D494" s="501"/>
      <c r="E494" s="500"/>
      <c r="F494" s="502"/>
      <c r="G494" s="486"/>
      <c r="H494" s="503"/>
      <c r="I494" s="490"/>
      <c r="J494" s="504"/>
      <c r="K494" s="504"/>
      <c r="L494" s="504"/>
      <c r="M494" s="504"/>
      <c r="N494" s="504"/>
      <c r="O494" s="504"/>
      <c r="P494" s="504"/>
      <c r="Q494" s="490"/>
      <c r="R494" s="490"/>
      <c r="S494" s="818"/>
    </row>
  </sheetData>
  <mergeCells count="27">
    <mergeCell ref="L454:M454"/>
    <mergeCell ref="H461:H462"/>
    <mergeCell ref="F487:F488"/>
    <mergeCell ref="F439:F440"/>
    <mergeCell ref="L356:M356"/>
    <mergeCell ref="H363:H364"/>
    <mergeCell ref="F387:F388"/>
    <mergeCell ref="L408:M408"/>
    <mergeCell ref="H415:H416"/>
    <mergeCell ref="H9:H10"/>
    <mergeCell ref="L2:M2"/>
    <mergeCell ref="H39:H40"/>
    <mergeCell ref="H69:H70"/>
    <mergeCell ref="F83:F84"/>
    <mergeCell ref="L307:M307"/>
    <mergeCell ref="H314:H315"/>
    <mergeCell ref="F178:F179"/>
    <mergeCell ref="H100:H101"/>
    <mergeCell ref="H134:H135"/>
    <mergeCell ref="H162:H163"/>
    <mergeCell ref="L267:M267"/>
    <mergeCell ref="H274:H275"/>
    <mergeCell ref="F293:F294"/>
    <mergeCell ref="L191:M191"/>
    <mergeCell ref="H198:H199"/>
    <mergeCell ref="L227:M227"/>
    <mergeCell ref="H234:H235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41" activePane="bottomLeft" state="frozen"/>
      <selection pane="bottomLeft" activeCell="D45" sqref="D45"/>
    </sheetView>
  </sheetViews>
  <sheetFormatPr baseColWidth="10" defaultColWidth="11.42578125" defaultRowHeight="12.75" x14ac:dyDescent="0.2"/>
  <cols>
    <col min="1" max="1" width="11.42578125" style="205"/>
    <col min="2" max="2" width="4" style="259" customWidth="1"/>
    <col min="3" max="3" width="2" style="205" customWidth="1"/>
    <col min="4" max="4" width="72" style="205" customWidth="1"/>
    <col min="5" max="5" width="15.42578125" style="206" customWidth="1"/>
    <col min="6" max="6" width="15.42578125" style="205" customWidth="1"/>
    <col min="7" max="7" width="15.42578125" style="210" customWidth="1"/>
    <col min="8" max="10" width="15.42578125" style="205" customWidth="1"/>
    <col min="11" max="11" width="15.42578125" style="827" customWidth="1"/>
    <col min="12" max="12" width="15.42578125" style="205" customWidth="1"/>
    <col min="13" max="16384" width="11.42578125" style="205"/>
  </cols>
  <sheetData>
    <row r="2" spans="1:13" ht="18" x14ac:dyDescent="0.25">
      <c r="D2" s="208" t="s">
        <v>355</v>
      </c>
      <c r="E2" s="209"/>
      <c r="J2" s="207"/>
      <c r="L2" s="207"/>
    </row>
    <row r="3" spans="1:13" ht="18" x14ac:dyDescent="0.25">
      <c r="D3" s="208" t="s">
        <v>840</v>
      </c>
      <c r="E3" s="209"/>
      <c r="J3" s="207"/>
      <c r="L3" s="207"/>
    </row>
    <row r="4" spans="1:13" ht="18" x14ac:dyDescent="0.25">
      <c r="D4" s="208" t="s">
        <v>836</v>
      </c>
      <c r="E4" s="209"/>
      <c r="J4" s="207"/>
      <c r="L4" s="207"/>
    </row>
    <row r="5" spans="1:13" ht="18" x14ac:dyDescent="0.25">
      <c r="D5" s="211" t="s">
        <v>194</v>
      </c>
      <c r="E5" s="209"/>
      <c r="J5" s="207"/>
      <c r="L5" s="207"/>
    </row>
    <row r="6" spans="1:13" ht="18" x14ac:dyDescent="0.25">
      <c r="D6" s="211" t="s">
        <v>1290</v>
      </c>
      <c r="E6" s="209"/>
      <c r="J6" s="207"/>
      <c r="L6" s="207"/>
    </row>
    <row r="7" spans="1:13" ht="18" x14ac:dyDescent="0.25">
      <c r="D7" s="211" t="s">
        <v>99</v>
      </c>
      <c r="E7" s="209"/>
      <c r="J7" s="207"/>
      <c r="L7" s="207"/>
    </row>
    <row r="8" spans="1:13" x14ac:dyDescent="0.2">
      <c r="J8" s="207"/>
      <c r="L8" s="207"/>
    </row>
    <row r="9" spans="1:13" s="238" customFormat="1" x14ac:dyDescent="0.2">
      <c r="A9" s="237"/>
      <c r="B9" s="260">
        <v>5</v>
      </c>
      <c r="C9" s="237"/>
      <c r="D9" s="237" t="s">
        <v>195</v>
      </c>
      <c r="I9" s="205"/>
      <c r="J9" s="207"/>
      <c r="K9" s="827"/>
      <c r="L9" s="207"/>
      <c r="M9" s="205"/>
    </row>
    <row r="10" spans="1:13" x14ac:dyDescent="0.2">
      <c r="J10" s="207"/>
      <c r="L10" s="207"/>
    </row>
    <row r="11" spans="1:13" x14ac:dyDescent="0.2">
      <c r="B11" s="259">
        <v>51</v>
      </c>
      <c r="D11" s="210" t="s">
        <v>196</v>
      </c>
      <c r="G11" s="212">
        <v>55955.05</v>
      </c>
      <c r="I11" s="828"/>
      <c r="J11" s="828"/>
      <c r="K11" s="829"/>
      <c r="L11" s="207"/>
    </row>
    <row r="12" spans="1:13" x14ac:dyDescent="0.2">
      <c r="B12" s="368"/>
      <c r="I12" s="828"/>
      <c r="J12" s="828"/>
      <c r="K12" s="829"/>
      <c r="L12" s="207"/>
    </row>
    <row r="13" spans="1:13" x14ac:dyDescent="0.2">
      <c r="B13" s="369">
        <v>510</v>
      </c>
      <c r="D13" s="205" t="s">
        <v>197</v>
      </c>
      <c r="F13" s="213">
        <v>49486.75</v>
      </c>
      <c r="I13" s="828"/>
      <c r="J13" s="828"/>
      <c r="K13" s="829"/>
      <c r="L13" s="207"/>
    </row>
    <row r="14" spans="1:13" x14ac:dyDescent="0.2">
      <c r="B14" s="369">
        <v>512</v>
      </c>
      <c r="D14" s="205" t="s">
        <v>95</v>
      </c>
      <c r="F14" s="213">
        <v>6468.3</v>
      </c>
      <c r="I14" s="828"/>
      <c r="J14" s="828"/>
      <c r="K14" s="829"/>
      <c r="L14" s="207"/>
    </row>
    <row r="15" spans="1:13" x14ac:dyDescent="0.2">
      <c r="B15" s="368"/>
      <c r="I15" s="828"/>
      <c r="J15" s="828"/>
      <c r="K15" s="829"/>
      <c r="L15" s="207"/>
    </row>
    <row r="16" spans="1:13" x14ac:dyDescent="0.2">
      <c r="B16" s="368">
        <v>41</v>
      </c>
      <c r="D16" s="210" t="s">
        <v>198</v>
      </c>
      <c r="G16" s="223">
        <v>35750.51</v>
      </c>
      <c r="I16" s="828"/>
      <c r="J16" s="828"/>
      <c r="K16" s="829"/>
      <c r="L16" s="207"/>
    </row>
    <row r="17" spans="2:12" x14ac:dyDescent="0.2">
      <c r="B17" s="368"/>
      <c r="I17" s="828"/>
      <c r="J17" s="828"/>
      <c r="K17" s="829"/>
      <c r="L17" s="207"/>
    </row>
    <row r="18" spans="2:12" x14ac:dyDescent="0.2">
      <c r="B18" s="369">
        <v>410</v>
      </c>
      <c r="D18" s="205" t="s">
        <v>199</v>
      </c>
      <c r="E18" s="205"/>
      <c r="F18" s="213">
        <v>24496.73</v>
      </c>
      <c r="G18" s="223"/>
      <c r="I18" s="828"/>
      <c r="J18" s="828"/>
      <c r="K18" s="829"/>
      <c r="L18" s="207"/>
    </row>
    <row r="19" spans="2:12" x14ac:dyDescent="0.2">
      <c r="B19" s="369">
        <v>411</v>
      </c>
      <c r="D19" s="205" t="s">
        <v>523</v>
      </c>
      <c r="E19" s="219"/>
      <c r="F19" s="213">
        <v>0</v>
      </c>
      <c r="G19" s="239"/>
      <c r="I19" s="828"/>
      <c r="J19" s="828"/>
      <c r="K19" s="829"/>
      <c r="L19" s="207"/>
    </row>
    <row r="20" spans="2:12" x14ac:dyDescent="0.2">
      <c r="B20" s="369">
        <v>412</v>
      </c>
      <c r="D20" s="205" t="s">
        <v>193</v>
      </c>
      <c r="E20" s="219"/>
      <c r="F20" s="213">
        <v>11253.78</v>
      </c>
      <c r="G20" s="239"/>
      <c r="I20" s="828"/>
      <c r="J20" s="828"/>
      <c r="K20" s="829"/>
      <c r="L20" s="207"/>
    </row>
    <row r="21" spans="2:12" ht="13.5" thickBot="1" x14ac:dyDescent="0.25">
      <c r="B21" s="369">
        <v>413</v>
      </c>
      <c r="D21" s="205" t="s">
        <v>200</v>
      </c>
      <c r="E21" s="221"/>
      <c r="F21" s="251">
        <v>0</v>
      </c>
      <c r="G21" s="240"/>
      <c r="I21" s="828"/>
      <c r="J21" s="828"/>
      <c r="K21" s="829"/>
      <c r="L21" s="207"/>
    </row>
    <row r="22" spans="2:12" ht="3.75" customHeight="1" x14ac:dyDescent="0.2">
      <c r="I22" s="828"/>
      <c r="J22" s="828"/>
      <c r="K22" s="829"/>
      <c r="L22" s="207"/>
    </row>
    <row r="23" spans="2:12" x14ac:dyDescent="0.2">
      <c r="G23" s="212">
        <v>20204.54</v>
      </c>
      <c r="I23" s="828"/>
      <c r="J23" s="828"/>
      <c r="K23" s="829"/>
      <c r="L23" s="207"/>
    </row>
    <row r="24" spans="2:12" x14ac:dyDescent="0.2">
      <c r="D24" s="210" t="s">
        <v>201</v>
      </c>
      <c r="G24" s="212"/>
      <c r="I24" s="828"/>
      <c r="J24" s="828"/>
      <c r="K24" s="829"/>
      <c r="L24" s="207"/>
    </row>
    <row r="25" spans="2:12" x14ac:dyDescent="0.2">
      <c r="D25" s="210"/>
      <c r="G25" s="212"/>
      <c r="I25" s="828"/>
      <c r="J25" s="828"/>
      <c r="K25" s="829"/>
      <c r="L25" s="207"/>
    </row>
    <row r="26" spans="2:12" x14ac:dyDescent="0.2">
      <c r="D26" s="210" t="s">
        <v>202</v>
      </c>
      <c r="I26" s="828"/>
      <c r="J26" s="828"/>
      <c r="K26" s="829"/>
      <c r="L26" s="207"/>
    </row>
    <row r="27" spans="2:12" x14ac:dyDescent="0.2">
      <c r="I27" s="828"/>
      <c r="J27" s="828"/>
      <c r="K27" s="829"/>
      <c r="L27" s="207"/>
    </row>
    <row r="28" spans="2:12" x14ac:dyDescent="0.2">
      <c r="B28" s="261">
        <v>52</v>
      </c>
      <c r="D28" s="210" t="s">
        <v>203</v>
      </c>
      <c r="G28" s="212">
        <v>2462.33</v>
      </c>
      <c r="I28" s="828"/>
      <c r="J28" s="828"/>
      <c r="K28" s="829"/>
      <c r="L28" s="207"/>
    </row>
    <row r="29" spans="2:12" x14ac:dyDescent="0.2">
      <c r="I29" s="828"/>
      <c r="J29" s="828"/>
      <c r="K29" s="829"/>
      <c r="L29" s="207"/>
    </row>
    <row r="30" spans="2:12" x14ac:dyDescent="0.2">
      <c r="B30" s="300">
        <v>521</v>
      </c>
      <c r="D30" s="205" t="s">
        <v>204</v>
      </c>
      <c r="E30" s="239"/>
      <c r="F30" s="213">
        <v>1688</v>
      </c>
      <c r="G30" s="241"/>
      <c r="I30" s="828"/>
      <c r="J30" s="828"/>
      <c r="K30" s="829"/>
      <c r="L30" s="207"/>
    </row>
    <row r="31" spans="2:12" ht="13.5" thickBot="1" x14ac:dyDescent="0.25">
      <c r="B31" s="300">
        <v>522</v>
      </c>
      <c r="D31" s="205" t="s">
        <v>205</v>
      </c>
      <c r="E31" s="240"/>
      <c r="F31" s="251">
        <v>774.33</v>
      </c>
      <c r="G31" s="242"/>
      <c r="I31" s="828"/>
      <c r="J31" s="828"/>
      <c r="K31" s="829"/>
      <c r="L31" s="207"/>
    </row>
    <row r="32" spans="2:12" ht="6" customHeight="1" x14ac:dyDescent="0.2">
      <c r="I32" s="828"/>
      <c r="J32" s="828"/>
      <c r="K32" s="829"/>
      <c r="L32" s="207"/>
    </row>
    <row r="33" spans="2:12" x14ac:dyDescent="0.2">
      <c r="D33" s="210" t="s">
        <v>206</v>
      </c>
      <c r="G33" s="212">
        <v>22666.870000000003</v>
      </c>
      <c r="I33" s="828"/>
      <c r="J33" s="828"/>
      <c r="K33" s="829"/>
      <c r="L33" s="207"/>
    </row>
    <row r="34" spans="2:12" x14ac:dyDescent="0.2">
      <c r="I34" s="828"/>
      <c r="J34" s="828"/>
      <c r="K34" s="829"/>
      <c r="L34" s="207"/>
    </row>
    <row r="35" spans="2:12" ht="0.75" customHeight="1" x14ac:dyDescent="0.2">
      <c r="I35" s="828"/>
      <c r="J35" s="828"/>
      <c r="K35" s="829"/>
      <c r="L35" s="207"/>
    </row>
    <row r="36" spans="2:12" x14ac:dyDescent="0.2">
      <c r="B36" s="261">
        <v>42</v>
      </c>
      <c r="C36" s="210"/>
      <c r="D36" s="210" t="s">
        <v>22</v>
      </c>
      <c r="G36" s="212">
        <v>0</v>
      </c>
      <c r="I36" s="828"/>
      <c r="J36" s="828"/>
      <c r="K36" s="829"/>
      <c r="L36" s="207"/>
    </row>
    <row r="37" spans="2:12" x14ac:dyDescent="0.2">
      <c r="I37" s="828"/>
      <c r="J37" s="828"/>
      <c r="K37" s="829"/>
      <c r="L37" s="207"/>
    </row>
    <row r="38" spans="2:12" x14ac:dyDescent="0.2">
      <c r="B38" s="300">
        <v>421</v>
      </c>
      <c r="D38" s="205" t="s">
        <v>317</v>
      </c>
      <c r="F38" s="213">
        <v>0</v>
      </c>
      <c r="G38" s="205"/>
      <c r="I38" s="828"/>
      <c r="J38" s="828"/>
      <c r="K38" s="829"/>
      <c r="L38" s="207"/>
    </row>
    <row r="39" spans="2:12" ht="6" customHeight="1" x14ac:dyDescent="0.2">
      <c r="F39" s="213"/>
      <c r="I39" s="828"/>
      <c r="J39" s="828"/>
      <c r="K39" s="829"/>
      <c r="L39" s="207"/>
    </row>
    <row r="40" spans="2:12" x14ac:dyDescent="0.2">
      <c r="B40" s="300">
        <v>422</v>
      </c>
      <c r="D40" s="205" t="s">
        <v>469</v>
      </c>
      <c r="F40" s="213">
        <v>0</v>
      </c>
      <c r="G40" s="205"/>
      <c r="I40" s="828"/>
      <c r="J40" s="828"/>
      <c r="K40" s="829"/>
      <c r="L40" s="207"/>
    </row>
    <row r="41" spans="2:12" ht="6" customHeight="1" x14ac:dyDescent="0.2">
      <c r="I41" s="828"/>
      <c r="J41" s="828"/>
      <c r="K41" s="829"/>
      <c r="L41" s="207"/>
    </row>
    <row r="42" spans="2:12" ht="13.5" thickBot="1" x14ac:dyDescent="0.25">
      <c r="B42" s="300">
        <v>425</v>
      </c>
      <c r="D42" s="205" t="s">
        <v>505</v>
      </c>
      <c r="E42" s="220"/>
      <c r="F42" s="251">
        <v>0</v>
      </c>
      <c r="G42" s="240"/>
      <c r="I42" s="828"/>
      <c r="J42" s="828"/>
      <c r="K42" s="829"/>
      <c r="L42" s="207"/>
    </row>
    <row r="43" spans="2:12" ht="6.75" customHeight="1" x14ac:dyDescent="0.2">
      <c r="I43" s="828"/>
      <c r="J43" s="828"/>
      <c r="K43" s="829"/>
      <c r="L43" s="207"/>
    </row>
    <row r="44" spans="2:12" x14ac:dyDescent="0.2">
      <c r="D44" s="205" t="s">
        <v>207</v>
      </c>
      <c r="G44" s="212">
        <v>22666.870000000003</v>
      </c>
      <c r="I44" s="828"/>
      <c r="J44" s="828"/>
      <c r="K44" s="829"/>
      <c r="L44" s="207"/>
    </row>
    <row r="45" spans="2:12" x14ac:dyDescent="0.2">
      <c r="I45" s="828"/>
      <c r="J45" s="828"/>
      <c r="K45" s="829"/>
      <c r="L45" s="207"/>
    </row>
    <row r="46" spans="2:12" x14ac:dyDescent="0.2">
      <c r="B46" s="261">
        <v>44</v>
      </c>
      <c r="C46" s="210"/>
      <c r="D46" s="210" t="s">
        <v>673</v>
      </c>
      <c r="G46" s="212">
        <v>5513.48</v>
      </c>
      <c r="I46" s="828"/>
      <c r="J46" s="828"/>
      <c r="K46" s="829"/>
      <c r="L46" s="207"/>
    </row>
    <row r="47" spans="2:12" x14ac:dyDescent="0.2">
      <c r="I47" s="828"/>
      <c r="J47" s="828"/>
      <c r="K47" s="829"/>
      <c r="L47" s="207"/>
    </row>
    <row r="48" spans="2:12" ht="13.5" thickBot="1" x14ac:dyDescent="0.25">
      <c r="B48" s="300">
        <v>440</v>
      </c>
      <c r="D48" s="205" t="s">
        <v>673</v>
      </c>
      <c r="E48" s="220"/>
      <c r="F48" s="251">
        <v>5513.48</v>
      </c>
      <c r="G48" s="240"/>
      <c r="I48" s="828"/>
      <c r="J48" s="828"/>
      <c r="K48" s="829"/>
      <c r="L48" s="207"/>
    </row>
    <row r="49" spans="2:12" x14ac:dyDescent="0.2">
      <c r="E49" s="218"/>
      <c r="F49" s="218"/>
      <c r="G49" s="239"/>
      <c r="I49" s="828"/>
      <c r="J49" s="828"/>
      <c r="K49" s="829"/>
      <c r="L49" s="207"/>
    </row>
    <row r="50" spans="2:12" x14ac:dyDescent="0.2">
      <c r="D50" s="205" t="s">
        <v>121</v>
      </c>
      <c r="G50" s="212">
        <v>17153.390000000003</v>
      </c>
      <c r="I50" s="828"/>
      <c r="J50" s="828"/>
      <c r="K50" s="829"/>
      <c r="L50" s="207"/>
    </row>
    <row r="51" spans="2:12" x14ac:dyDescent="0.2">
      <c r="E51" s="205"/>
      <c r="G51" s="205"/>
      <c r="I51" s="828"/>
      <c r="J51" s="828"/>
      <c r="K51" s="829"/>
      <c r="L51" s="207"/>
    </row>
    <row r="52" spans="2:12" x14ac:dyDescent="0.2">
      <c r="B52" s="261">
        <v>53</v>
      </c>
      <c r="D52" s="210" t="s">
        <v>139</v>
      </c>
      <c r="G52" s="212">
        <v>41.88</v>
      </c>
      <c r="I52" s="828"/>
      <c r="J52" s="828"/>
      <c r="K52" s="829"/>
      <c r="L52" s="207"/>
    </row>
    <row r="53" spans="2:12" x14ac:dyDescent="0.2">
      <c r="I53" s="828"/>
      <c r="J53" s="828"/>
      <c r="K53" s="829"/>
      <c r="L53" s="207"/>
    </row>
    <row r="54" spans="2:12" x14ac:dyDescent="0.2">
      <c r="B54" s="300">
        <v>530</v>
      </c>
      <c r="D54" s="205" t="s">
        <v>139</v>
      </c>
      <c r="F54" s="213">
        <v>41.88</v>
      </c>
      <c r="I54" s="828"/>
      <c r="J54" s="828"/>
      <c r="K54" s="829"/>
      <c r="L54" s="207"/>
    </row>
    <row r="55" spans="2:12" x14ac:dyDescent="0.2">
      <c r="I55" s="828"/>
      <c r="J55" s="828"/>
      <c r="K55" s="829"/>
      <c r="L55" s="207"/>
    </row>
    <row r="56" spans="2:12" x14ac:dyDescent="0.2">
      <c r="B56" s="261">
        <v>43</v>
      </c>
      <c r="D56" s="210" t="s">
        <v>122</v>
      </c>
      <c r="G56" s="212">
        <v>155.94</v>
      </c>
      <c r="I56" s="828"/>
      <c r="J56" s="828"/>
      <c r="K56" s="829"/>
      <c r="L56" s="207"/>
    </row>
    <row r="57" spans="2:12" x14ac:dyDescent="0.2">
      <c r="I57" s="828"/>
      <c r="J57" s="828"/>
      <c r="K57" s="829"/>
      <c r="L57" s="207"/>
    </row>
    <row r="58" spans="2:12" x14ac:dyDescent="0.2">
      <c r="B58" s="300">
        <v>430</v>
      </c>
      <c r="D58" s="205" t="s">
        <v>122</v>
      </c>
      <c r="F58" s="213">
        <v>155.94</v>
      </c>
      <c r="I58" s="828"/>
      <c r="J58" s="828"/>
      <c r="K58" s="829"/>
      <c r="L58" s="207"/>
    </row>
    <row r="59" spans="2:12" x14ac:dyDescent="0.2">
      <c r="I59" s="828"/>
      <c r="J59" s="828"/>
      <c r="K59" s="829"/>
      <c r="L59" s="207"/>
    </row>
    <row r="60" spans="2:12" ht="13.5" thickBot="1" x14ac:dyDescent="0.25">
      <c r="E60" s="220"/>
      <c r="F60" s="221"/>
      <c r="G60" s="242"/>
      <c r="I60" s="828"/>
      <c r="J60" s="828"/>
      <c r="K60" s="829"/>
      <c r="L60" s="207"/>
    </row>
    <row r="61" spans="2:12" ht="13.5" thickBot="1" x14ac:dyDescent="0.25">
      <c r="D61" s="210" t="s">
        <v>123</v>
      </c>
      <c r="G61" s="297">
        <v>17039.330000000005</v>
      </c>
      <c r="I61" s="828"/>
      <c r="J61" s="828"/>
      <c r="K61" s="829"/>
      <c r="L61" s="207"/>
    </row>
    <row r="62" spans="2:12" ht="13.5" thickTop="1" x14ac:dyDescent="0.2">
      <c r="I62" s="828"/>
      <c r="J62" s="828"/>
      <c r="K62" s="829"/>
      <c r="L62" s="207"/>
    </row>
    <row r="63" spans="2:12" x14ac:dyDescent="0.2">
      <c r="H63" s="207"/>
      <c r="I63" s="828"/>
      <c r="J63" s="828"/>
      <c r="K63" s="829"/>
      <c r="L63" s="207"/>
    </row>
    <row r="64" spans="2:12" x14ac:dyDescent="0.2">
      <c r="H64" s="207"/>
      <c r="I64" s="828"/>
      <c r="J64" s="828"/>
      <c r="K64" s="829"/>
      <c r="L64" s="207"/>
    </row>
    <row r="65" spans="4:12" s="205" customFormat="1" x14ac:dyDescent="0.2">
      <c r="D65" s="237" t="s">
        <v>124</v>
      </c>
      <c r="E65" s="243"/>
      <c r="G65" s="252">
        <v>166543.03</v>
      </c>
      <c r="H65" s="519"/>
      <c r="I65" s="828"/>
      <c r="J65" s="828"/>
      <c r="K65" s="829"/>
      <c r="L65" s="207"/>
    </row>
    <row r="66" spans="4:12" s="205" customFormat="1" x14ac:dyDescent="0.2">
      <c r="D66" s="237" t="s">
        <v>513</v>
      </c>
      <c r="E66" s="243"/>
      <c r="G66" s="236"/>
      <c r="H66" s="207"/>
      <c r="I66" s="828"/>
      <c r="J66" s="828"/>
      <c r="K66" s="829"/>
      <c r="L66" s="207"/>
    </row>
    <row r="67" spans="4:12" s="205" customFormat="1" x14ac:dyDescent="0.2">
      <c r="D67" s="238" t="s">
        <v>514</v>
      </c>
      <c r="E67" s="243"/>
      <c r="G67" s="236">
        <v>0</v>
      </c>
      <c r="H67" s="207"/>
      <c r="I67" s="828"/>
      <c r="J67" s="828"/>
      <c r="K67" s="829"/>
      <c r="L67" s="207"/>
    </row>
    <row r="68" spans="4:12" s="205" customFormat="1" x14ac:dyDescent="0.2">
      <c r="D68" s="238" t="s">
        <v>706</v>
      </c>
      <c r="E68" s="243"/>
      <c r="G68" s="236">
        <v>0</v>
      </c>
      <c r="H68" s="207"/>
      <c r="I68" s="828"/>
      <c r="J68" s="828"/>
      <c r="K68" s="829"/>
      <c r="L68" s="207"/>
    </row>
    <row r="69" spans="4:12" s="205" customFormat="1" x14ac:dyDescent="0.2">
      <c r="D69" s="238"/>
      <c r="E69" s="243"/>
      <c r="G69" s="236"/>
      <c r="H69" s="207"/>
      <c r="I69" s="828"/>
      <c r="J69" s="828"/>
      <c r="K69" s="829"/>
      <c r="L69" s="207"/>
    </row>
    <row r="70" spans="4:12" s="205" customFormat="1" ht="13.5" thickBot="1" x14ac:dyDescent="0.25">
      <c r="D70" s="237" t="s">
        <v>515</v>
      </c>
      <c r="E70" s="244"/>
      <c r="G70" s="245">
        <v>183582.36000000002</v>
      </c>
      <c r="H70" s="207">
        <v>400610.51</v>
      </c>
      <c r="I70" s="828"/>
      <c r="J70" s="828"/>
      <c r="K70" s="829"/>
      <c r="L70" s="207"/>
    </row>
    <row r="71" spans="4:12" s="205" customFormat="1" ht="13.5" thickTop="1" x14ac:dyDescent="0.2">
      <c r="D71" s="238"/>
      <c r="E71" s="243"/>
      <c r="G71" s="236"/>
      <c r="H71" s="246">
        <f>+H70-G70</f>
        <v>217028.15</v>
      </c>
      <c r="J71" s="207"/>
      <c r="K71" s="829"/>
      <c r="L71" s="207"/>
    </row>
    <row r="72" spans="4:12" s="205" customFormat="1" x14ac:dyDescent="0.2">
      <c r="D72" s="238"/>
      <c r="E72" s="247"/>
      <c r="G72" s="238"/>
      <c r="H72" s="207"/>
      <c r="K72" s="829"/>
      <c r="L72" s="207"/>
    </row>
    <row r="73" spans="4:12" s="205" customFormat="1" x14ac:dyDescent="0.2">
      <c r="D73" s="237" t="s">
        <v>516</v>
      </c>
      <c r="E73" s="247"/>
      <c r="G73" s="238"/>
      <c r="H73" s="207"/>
      <c r="J73" s="207"/>
      <c r="K73" s="829"/>
      <c r="L73" s="207"/>
    </row>
    <row r="74" spans="4:12" s="205" customFormat="1" x14ac:dyDescent="0.2">
      <c r="D74" s="238" t="s">
        <v>517</v>
      </c>
      <c r="E74" s="247"/>
      <c r="G74" s="296">
        <v>1.8072771487800992E-2</v>
      </c>
      <c r="H74" s="207"/>
      <c r="J74" s="207"/>
      <c r="K74" s="829"/>
      <c r="L74" s="207"/>
    </row>
    <row r="75" spans="4:12" s="205" customFormat="1" x14ac:dyDescent="0.2">
      <c r="D75" s="238" t="s">
        <v>637</v>
      </c>
      <c r="E75" s="247"/>
      <c r="G75" s="296">
        <v>1.8072771487800992E-2</v>
      </c>
      <c r="J75" s="207"/>
      <c r="K75" s="829"/>
      <c r="L75" s="207"/>
    </row>
    <row r="76" spans="4:12" s="205" customFormat="1" x14ac:dyDescent="0.2">
      <c r="D76" s="238" t="s">
        <v>638</v>
      </c>
      <c r="E76" s="247"/>
      <c r="G76" s="296">
        <v>1.3585815659384472E-2</v>
      </c>
      <c r="J76" s="207"/>
      <c r="K76" s="829"/>
      <c r="L76" s="207"/>
    </row>
    <row r="77" spans="4:12" s="205" customFormat="1" x14ac:dyDescent="0.2">
      <c r="D77" s="238" t="s">
        <v>639</v>
      </c>
      <c r="E77" s="247"/>
      <c r="G77" s="248">
        <v>1254200</v>
      </c>
      <c r="J77" s="207"/>
      <c r="K77" s="829"/>
      <c r="L77" s="207"/>
    </row>
    <row r="78" spans="4:12" s="205" customFormat="1" x14ac:dyDescent="0.2">
      <c r="D78" s="237" t="s">
        <v>640</v>
      </c>
      <c r="E78" s="249"/>
      <c r="G78" s="250">
        <v>1</v>
      </c>
      <c r="J78" s="207"/>
      <c r="K78" s="829"/>
      <c r="L78" s="207"/>
    </row>
    <row r="79" spans="4:12" s="205" customFormat="1" x14ac:dyDescent="0.2">
      <c r="E79" s="206"/>
      <c r="J79" s="207"/>
      <c r="K79" s="829"/>
      <c r="L79" s="207"/>
    </row>
    <row r="80" spans="4:12" s="205" customFormat="1" x14ac:dyDescent="0.2">
      <c r="E80" s="206"/>
      <c r="J80" s="207"/>
      <c r="K80" s="829"/>
      <c r="L80" s="207"/>
    </row>
    <row r="81" spans="2:12" x14ac:dyDescent="0.2">
      <c r="J81" s="207"/>
      <c r="K81" s="829"/>
      <c r="L81" s="207"/>
    </row>
    <row r="82" spans="2:12" x14ac:dyDescent="0.2">
      <c r="J82" s="207"/>
      <c r="K82" s="829"/>
      <c r="L82" s="207"/>
    </row>
    <row r="83" spans="2:12" ht="17.25" x14ac:dyDescent="0.35">
      <c r="B83" s="262"/>
      <c r="C83" s="231"/>
      <c r="D83" s="230" t="s">
        <v>738</v>
      </c>
      <c r="E83" s="961" t="s">
        <v>112</v>
      </c>
      <c r="F83" s="961"/>
      <c r="G83" s="231"/>
      <c r="J83" s="207"/>
      <c r="K83" s="829"/>
      <c r="L83" s="207"/>
    </row>
    <row r="84" spans="2:12" ht="15" x14ac:dyDescent="0.2">
      <c r="B84" s="262"/>
      <c r="C84" s="231"/>
      <c r="D84" s="231" t="str">
        <f>'Balance General SSF'!D124</f>
        <v>Shearlene Márquez</v>
      </c>
      <c r="E84" s="232" t="str">
        <f>'Balance General SSF'!E124</f>
        <v>Jesy Yanira Quijada</v>
      </c>
      <c r="F84" s="231"/>
      <c r="G84" s="231"/>
      <c r="J84" s="207"/>
      <c r="K84" s="829"/>
      <c r="L84" s="207"/>
    </row>
    <row r="85" spans="2:12" ht="15" x14ac:dyDescent="0.2">
      <c r="B85" s="262"/>
      <c r="C85" s="231"/>
      <c r="D85" s="231" t="s">
        <v>740</v>
      </c>
      <c r="E85" s="232" t="s">
        <v>113</v>
      </c>
      <c r="F85" s="231"/>
      <c r="G85" s="231"/>
      <c r="J85" s="207"/>
      <c r="K85" s="829"/>
      <c r="L85" s="207"/>
    </row>
    <row r="86" spans="2:12" ht="15" x14ac:dyDescent="0.2">
      <c r="B86" s="262"/>
      <c r="C86" s="231"/>
      <c r="D86" s="231"/>
      <c r="E86" s="232"/>
      <c r="F86" s="231"/>
      <c r="G86" s="231"/>
      <c r="J86" s="207"/>
      <c r="K86" s="829"/>
      <c r="L86" s="207"/>
    </row>
    <row r="87" spans="2:12" ht="15" x14ac:dyDescent="0.2">
      <c r="B87" s="262"/>
      <c r="C87" s="231"/>
      <c r="D87" s="231"/>
      <c r="E87" s="232"/>
      <c r="F87" s="231"/>
      <c r="G87" s="231"/>
      <c r="J87" s="207"/>
      <c r="K87" s="829"/>
      <c r="L87" s="207"/>
    </row>
    <row r="88" spans="2:12" x14ac:dyDescent="0.2">
      <c r="J88" s="207"/>
      <c r="K88" s="829"/>
      <c r="L88" s="207"/>
    </row>
    <row r="89" spans="2:12" ht="15" x14ac:dyDescent="0.2">
      <c r="B89" s="262"/>
      <c r="C89" s="231"/>
      <c r="D89" s="231"/>
      <c r="E89" s="232"/>
      <c r="F89" s="231"/>
      <c r="G89" s="231"/>
      <c r="J89" s="207"/>
      <c r="K89" s="829"/>
      <c r="L89" s="207"/>
    </row>
    <row r="90" spans="2:12" ht="15" x14ac:dyDescent="0.2">
      <c r="B90" s="262"/>
      <c r="C90" s="231"/>
      <c r="D90" s="231"/>
      <c r="E90" s="232"/>
      <c r="F90" s="231"/>
      <c r="G90" s="231"/>
      <c r="J90" s="207"/>
      <c r="K90" s="829"/>
      <c r="L90" s="207"/>
    </row>
    <row r="91" spans="2:12" ht="15" x14ac:dyDescent="0.2">
      <c r="B91" s="262"/>
      <c r="C91" s="231"/>
      <c r="D91" s="231"/>
      <c r="E91" s="232"/>
      <c r="F91" s="231"/>
      <c r="G91" s="231"/>
      <c r="J91" s="207"/>
      <c r="K91" s="829"/>
      <c r="L91" s="207"/>
    </row>
    <row r="92" spans="2:12" ht="15" x14ac:dyDescent="0.2">
      <c r="B92" s="262"/>
      <c r="C92" s="231"/>
      <c r="D92" s="231"/>
      <c r="E92" s="232"/>
      <c r="F92" s="231"/>
      <c r="G92" s="231"/>
      <c r="J92" s="207"/>
      <c r="K92" s="829"/>
      <c r="L92" s="207"/>
    </row>
    <row r="93" spans="2:12" x14ac:dyDescent="0.2">
      <c r="J93" s="207"/>
      <c r="K93" s="829"/>
      <c r="L93" s="207"/>
    </row>
    <row r="94" spans="2:12" x14ac:dyDescent="0.2">
      <c r="J94" s="207"/>
      <c r="K94" s="829"/>
      <c r="L94" s="207"/>
    </row>
    <row r="95" spans="2:12" x14ac:dyDescent="0.2">
      <c r="J95" s="207"/>
      <c r="K95" s="829"/>
      <c r="L95" s="207"/>
    </row>
    <row r="96" spans="2:12" x14ac:dyDescent="0.2">
      <c r="J96" s="207"/>
      <c r="K96" s="829"/>
      <c r="L96" s="207"/>
    </row>
    <row r="97" spans="10:12" x14ac:dyDescent="0.2">
      <c r="J97" s="207"/>
      <c r="K97" s="829"/>
      <c r="L97" s="207"/>
    </row>
    <row r="98" spans="10:12" x14ac:dyDescent="0.2">
      <c r="J98" s="207"/>
      <c r="K98" s="829"/>
      <c r="L98" s="207"/>
    </row>
    <row r="99" spans="10:12" x14ac:dyDescent="0.2">
      <c r="J99" s="207"/>
      <c r="K99" s="829"/>
      <c r="L99" s="207"/>
    </row>
    <row r="100" spans="10:12" x14ac:dyDescent="0.2">
      <c r="J100" s="207"/>
      <c r="K100" s="829"/>
      <c r="L100" s="207"/>
    </row>
    <row r="101" spans="10:12" x14ac:dyDescent="0.2">
      <c r="J101" s="207"/>
      <c r="K101" s="829"/>
      <c r="L101" s="207"/>
    </row>
    <row r="102" spans="10:12" x14ac:dyDescent="0.2">
      <c r="J102" s="207"/>
      <c r="K102" s="829"/>
      <c r="L102" s="207"/>
    </row>
    <row r="103" spans="10:12" x14ac:dyDescent="0.2">
      <c r="J103" s="207"/>
      <c r="K103" s="829"/>
      <c r="L103" s="207"/>
    </row>
    <row r="104" spans="10:12" x14ac:dyDescent="0.2">
      <c r="J104" s="207"/>
      <c r="K104" s="829"/>
      <c r="L104" s="207"/>
    </row>
    <row r="105" spans="10:12" x14ac:dyDescent="0.2">
      <c r="J105" s="207"/>
      <c r="K105" s="829"/>
      <c r="L105" s="207"/>
    </row>
    <row r="106" spans="10:12" x14ac:dyDescent="0.2">
      <c r="J106" s="207"/>
      <c r="K106" s="829"/>
      <c r="L106" s="207"/>
    </row>
    <row r="107" spans="10:12" x14ac:dyDescent="0.2">
      <c r="J107" s="207"/>
      <c r="K107" s="829"/>
      <c r="L107" s="207"/>
    </row>
    <row r="108" spans="10:12" x14ac:dyDescent="0.2">
      <c r="J108" s="207"/>
      <c r="K108" s="829"/>
      <c r="L108" s="207"/>
    </row>
    <row r="109" spans="10:12" x14ac:dyDescent="0.2">
      <c r="J109" s="207"/>
      <c r="K109" s="829"/>
      <c r="L109" s="207"/>
    </row>
    <row r="110" spans="10:12" x14ac:dyDescent="0.2">
      <c r="J110" s="207"/>
      <c r="K110" s="829"/>
      <c r="L110" s="207"/>
    </row>
    <row r="111" spans="10:12" x14ac:dyDescent="0.2">
      <c r="J111" s="207"/>
      <c r="K111" s="829"/>
      <c r="L111" s="207"/>
    </row>
    <row r="112" spans="10:12" x14ac:dyDescent="0.2">
      <c r="J112" s="207"/>
      <c r="K112" s="829"/>
      <c r="L112" s="207"/>
    </row>
    <row r="113" spans="10:12" x14ac:dyDescent="0.2">
      <c r="J113" s="207"/>
      <c r="K113" s="829"/>
      <c r="L113" s="207"/>
    </row>
    <row r="114" spans="10:12" x14ac:dyDescent="0.2">
      <c r="J114" s="207"/>
      <c r="K114" s="829"/>
      <c r="L114" s="207"/>
    </row>
    <row r="115" spans="10:12" x14ac:dyDescent="0.2">
      <c r="J115" s="207"/>
      <c r="K115" s="829"/>
      <c r="L115" s="207"/>
    </row>
    <row r="116" spans="10:12" x14ac:dyDescent="0.2">
      <c r="J116" s="207"/>
      <c r="K116" s="829"/>
      <c r="L116" s="207"/>
    </row>
    <row r="117" spans="10:12" x14ac:dyDescent="0.2">
      <c r="J117" s="207"/>
      <c r="K117" s="829"/>
      <c r="L117" s="207"/>
    </row>
    <row r="118" spans="10:12" x14ac:dyDescent="0.2">
      <c r="J118" s="207"/>
      <c r="K118" s="829"/>
      <c r="L118" s="207"/>
    </row>
    <row r="119" spans="10:12" x14ac:dyDescent="0.2">
      <c r="J119" s="207"/>
      <c r="K119" s="829"/>
      <c r="L119" s="207"/>
    </row>
    <row r="120" spans="10:12" x14ac:dyDescent="0.2">
      <c r="J120" s="207"/>
      <c r="K120" s="829"/>
      <c r="L120" s="207"/>
    </row>
    <row r="121" spans="10:12" x14ac:dyDescent="0.2">
      <c r="J121" s="207"/>
      <c r="K121" s="829"/>
      <c r="L121" s="207"/>
    </row>
    <row r="122" spans="10:12" x14ac:dyDescent="0.2">
      <c r="J122" s="207"/>
      <c r="K122" s="829"/>
      <c r="L122" s="207"/>
    </row>
    <row r="123" spans="10:12" x14ac:dyDescent="0.2">
      <c r="J123" s="207"/>
      <c r="K123" s="829"/>
      <c r="L123" s="207"/>
    </row>
    <row r="124" spans="10:12" x14ac:dyDescent="0.2">
      <c r="J124" s="207"/>
      <c r="K124" s="829"/>
      <c r="L124" s="207"/>
    </row>
    <row r="125" spans="10:12" x14ac:dyDescent="0.2">
      <c r="J125" s="207"/>
      <c r="K125" s="829"/>
      <c r="L125" s="207"/>
    </row>
    <row r="126" spans="10:12" x14ac:dyDescent="0.2">
      <c r="J126" s="207"/>
      <c r="K126" s="829"/>
      <c r="L126" s="207"/>
    </row>
    <row r="127" spans="10:12" x14ac:dyDescent="0.2">
      <c r="J127" s="207"/>
      <c r="K127" s="829"/>
      <c r="L127" s="207"/>
    </row>
    <row r="128" spans="10:12" x14ac:dyDescent="0.2">
      <c r="J128" s="207"/>
      <c r="K128" s="829"/>
      <c r="L128" s="207"/>
    </row>
    <row r="129" spans="10:12" x14ac:dyDescent="0.2">
      <c r="J129" s="207"/>
      <c r="K129" s="829"/>
      <c r="L129" s="207"/>
    </row>
    <row r="130" spans="10:12" x14ac:dyDescent="0.2">
      <c r="J130" s="207"/>
      <c r="K130" s="829"/>
      <c r="L130" s="207"/>
    </row>
    <row r="131" spans="10:12" x14ac:dyDescent="0.2">
      <c r="J131" s="207"/>
      <c r="K131" s="829"/>
      <c r="L131" s="207"/>
    </row>
    <row r="132" spans="10:12" x14ac:dyDescent="0.2">
      <c r="J132" s="207"/>
      <c r="K132" s="829"/>
      <c r="L132" s="207"/>
    </row>
    <row r="133" spans="10:12" x14ac:dyDescent="0.2">
      <c r="J133" s="207"/>
      <c r="K133" s="829"/>
      <c r="L133" s="207"/>
    </row>
    <row r="134" spans="10:12" x14ac:dyDescent="0.2">
      <c r="J134" s="207"/>
      <c r="K134" s="829"/>
      <c r="L134" s="207"/>
    </row>
    <row r="135" spans="10:12" x14ac:dyDescent="0.2">
      <c r="J135" s="207"/>
      <c r="K135" s="829"/>
      <c r="L135" s="207"/>
    </row>
    <row r="136" spans="10:12" x14ac:dyDescent="0.2">
      <c r="J136" s="207"/>
      <c r="K136" s="829"/>
      <c r="L136" s="207"/>
    </row>
    <row r="137" spans="10:12" x14ac:dyDescent="0.2">
      <c r="J137" s="207"/>
      <c r="K137" s="829"/>
      <c r="L137" s="207"/>
    </row>
    <row r="138" spans="10:12" x14ac:dyDescent="0.2">
      <c r="J138" s="207"/>
      <c r="K138" s="829"/>
      <c r="L138" s="207"/>
    </row>
    <row r="139" spans="10:12" x14ac:dyDescent="0.2">
      <c r="J139" s="207"/>
      <c r="K139" s="829"/>
      <c r="L139" s="207"/>
    </row>
    <row r="140" spans="10:12" x14ac:dyDescent="0.2">
      <c r="J140" s="207"/>
      <c r="K140" s="829"/>
      <c r="L140" s="207"/>
    </row>
    <row r="141" spans="10:12" x14ac:dyDescent="0.2">
      <c r="J141" s="207"/>
      <c r="K141" s="829"/>
      <c r="L141" s="207"/>
    </row>
    <row r="142" spans="10:12" x14ac:dyDescent="0.2">
      <c r="J142" s="207"/>
      <c r="K142" s="829"/>
      <c r="L142" s="207"/>
    </row>
    <row r="143" spans="10:12" x14ac:dyDescent="0.2">
      <c r="J143" s="207"/>
      <c r="K143" s="829"/>
      <c r="L143" s="207"/>
    </row>
    <row r="144" spans="10:12" x14ac:dyDescent="0.2">
      <c r="J144" s="207"/>
      <c r="K144" s="829"/>
      <c r="L144" s="207"/>
    </row>
    <row r="145" spans="10:12" x14ac:dyDescent="0.2">
      <c r="J145" s="207"/>
      <c r="K145" s="829"/>
      <c r="L145" s="207"/>
    </row>
    <row r="146" spans="10:12" x14ac:dyDescent="0.2">
      <c r="J146" s="207"/>
      <c r="K146" s="829"/>
      <c r="L146" s="207"/>
    </row>
    <row r="147" spans="10:12" x14ac:dyDescent="0.2">
      <c r="J147" s="207"/>
      <c r="K147" s="829"/>
      <c r="L147" s="207"/>
    </row>
    <row r="148" spans="10:12" x14ac:dyDescent="0.2">
      <c r="J148" s="207"/>
      <c r="K148" s="829"/>
      <c r="L148" s="207"/>
    </row>
    <row r="149" spans="10:12" x14ac:dyDescent="0.2">
      <c r="J149" s="207"/>
      <c r="K149" s="829"/>
      <c r="L149" s="207"/>
    </row>
    <row r="150" spans="10:12" x14ac:dyDescent="0.2">
      <c r="J150" s="207"/>
      <c r="K150" s="829"/>
      <c r="L150" s="207"/>
    </row>
    <row r="151" spans="10:12" x14ac:dyDescent="0.2">
      <c r="J151" s="207"/>
      <c r="K151" s="829"/>
      <c r="L151" s="207"/>
    </row>
    <row r="152" spans="10:12" x14ac:dyDescent="0.2">
      <c r="J152" s="207"/>
      <c r="K152" s="829"/>
      <c r="L152" s="207"/>
    </row>
    <row r="153" spans="10:12" x14ac:dyDescent="0.2">
      <c r="J153" s="207"/>
      <c r="K153" s="829"/>
      <c r="L153" s="207"/>
    </row>
    <row r="154" spans="10:12" x14ac:dyDescent="0.2">
      <c r="J154" s="207"/>
      <c r="K154" s="829"/>
      <c r="L154" s="207"/>
    </row>
    <row r="155" spans="10:12" x14ac:dyDescent="0.2">
      <c r="J155" s="207"/>
      <c r="K155" s="829"/>
      <c r="L155" s="207"/>
    </row>
    <row r="156" spans="10:12" x14ac:dyDescent="0.2">
      <c r="J156" s="207"/>
      <c r="K156" s="829"/>
      <c r="L156" s="207"/>
    </row>
    <row r="157" spans="10:12" x14ac:dyDescent="0.2">
      <c r="J157" s="207"/>
      <c r="K157" s="829"/>
      <c r="L157" s="207"/>
    </row>
    <row r="158" spans="10:12" x14ac:dyDescent="0.2">
      <c r="J158" s="207"/>
      <c r="K158" s="829"/>
      <c r="L158" s="207"/>
    </row>
    <row r="159" spans="10:12" x14ac:dyDescent="0.2">
      <c r="J159" s="207"/>
      <c r="K159" s="829"/>
      <c r="L159" s="207"/>
    </row>
    <row r="160" spans="10:12" x14ac:dyDescent="0.2">
      <c r="J160" s="207"/>
      <c r="K160" s="829"/>
      <c r="L160" s="207"/>
    </row>
    <row r="161" spans="5:12" x14ac:dyDescent="0.2">
      <c r="J161" s="207"/>
      <c r="K161" s="829"/>
      <c r="L161" s="207"/>
    </row>
    <row r="162" spans="5:12" x14ac:dyDescent="0.2">
      <c r="J162" s="207"/>
      <c r="K162" s="829"/>
      <c r="L162" s="207"/>
    </row>
    <row r="163" spans="5:12" s="205" customFormat="1" x14ac:dyDescent="0.2">
      <c r="E163" s="206"/>
      <c r="J163" s="207"/>
      <c r="K163" s="829"/>
      <c r="L163" s="207"/>
    </row>
    <row r="164" spans="5:12" s="205" customFormat="1" x14ac:dyDescent="0.2">
      <c r="E164" s="206"/>
      <c r="J164" s="207"/>
      <c r="K164" s="829"/>
      <c r="L164" s="207"/>
    </row>
    <row r="165" spans="5:12" s="205" customFormat="1" x14ac:dyDescent="0.2">
      <c r="E165" s="206"/>
      <c r="J165" s="207"/>
      <c r="K165" s="829"/>
      <c r="L165" s="207"/>
    </row>
    <row r="166" spans="5:12" s="205" customFormat="1" x14ac:dyDescent="0.2">
      <c r="E166" s="206"/>
      <c r="J166" s="207"/>
      <c r="K166" s="829"/>
      <c r="L166" s="207"/>
    </row>
    <row r="167" spans="5:12" s="205" customFormat="1" x14ac:dyDescent="0.2">
      <c r="E167" s="206"/>
      <c r="J167" s="207"/>
      <c r="K167" s="829"/>
      <c r="L167" s="207"/>
    </row>
    <row r="168" spans="5:12" s="205" customFormat="1" x14ac:dyDescent="0.2">
      <c r="E168" s="206"/>
      <c r="J168" s="207"/>
      <c r="K168" s="829"/>
      <c r="L168" s="207"/>
    </row>
    <row r="169" spans="5:12" s="205" customFormat="1" x14ac:dyDescent="0.2">
      <c r="E169" s="206"/>
      <c r="J169" s="207"/>
      <c r="K169" s="829"/>
      <c r="L169" s="207"/>
    </row>
    <row r="170" spans="5:12" s="205" customFormat="1" x14ac:dyDescent="0.2">
      <c r="E170" s="206"/>
      <c r="J170" s="207"/>
      <c r="K170" s="829"/>
      <c r="L170" s="207"/>
    </row>
    <row r="171" spans="5:12" s="205" customFormat="1" x14ac:dyDescent="0.2">
      <c r="E171" s="206"/>
      <c r="J171" s="207"/>
      <c r="K171" s="829"/>
      <c r="L171" s="207"/>
    </row>
    <row r="172" spans="5:12" s="205" customFormat="1" x14ac:dyDescent="0.2">
      <c r="E172" s="206"/>
      <c r="J172" s="207"/>
      <c r="K172" s="829"/>
      <c r="L172" s="207"/>
    </row>
    <row r="173" spans="5:12" s="205" customFormat="1" x14ac:dyDescent="0.2">
      <c r="E173" s="206"/>
      <c r="J173" s="207"/>
      <c r="K173" s="829"/>
      <c r="L173" s="207"/>
    </row>
    <row r="174" spans="5:12" s="205" customFormat="1" x14ac:dyDescent="0.2">
      <c r="E174" s="206"/>
      <c r="J174" s="207"/>
      <c r="K174" s="829"/>
      <c r="L174" s="207"/>
    </row>
    <row r="175" spans="5:12" s="205" customFormat="1" x14ac:dyDescent="0.2">
      <c r="E175" s="206"/>
      <c r="J175" s="207"/>
      <c r="K175" s="829"/>
      <c r="L175" s="207"/>
    </row>
    <row r="176" spans="5:12" s="205" customFormat="1" x14ac:dyDescent="0.2">
      <c r="E176" s="206"/>
      <c r="J176" s="207"/>
      <c r="K176" s="829"/>
      <c r="L176" s="207"/>
    </row>
    <row r="177" spans="5:12" s="205" customFormat="1" x14ac:dyDescent="0.2">
      <c r="E177" s="206"/>
      <c r="J177" s="207"/>
      <c r="K177" s="829"/>
      <c r="L177" s="207"/>
    </row>
    <row r="178" spans="5:12" s="205" customFormat="1" x14ac:dyDescent="0.2">
      <c r="E178" s="206"/>
      <c r="J178" s="207"/>
      <c r="K178" s="829"/>
      <c r="L178" s="207"/>
    </row>
    <row r="179" spans="5:12" s="205" customFormat="1" x14ac:dyDescent="0.2">
      <c r="E179" s="206"/>
      <c r="J179" s="207"/>
      <c r="K179" s="829"/>
      <c r="L179" s="207"/>
    </row>
    <row r="180" spans="5:12" s="205" customFormat="1" x14ac:dyDescent="0.2">
      <c r="E180" s="206"/>
      <c r="J180" s="207"/>
      <c r="K180" s="829"/>
      <c r="L180" s="207"/>
    </row>
    <row r="181" spans="5:12" s="205" customFormat="1" x14ac:dyDescent="0.2">
      <c r="E181" s="206"/>
      <c r="J181" s="207"/>
      <c r="K181" s="829"/>
      <c r="L181" s="207"/>
    </row>
    <row r="182" spans="5:12" s="205" customFormat="1" x14ac:dyDescent="0.2">
      <c r="E182" s="206"/>
      <c r="J182" s="207"/>
      <c r="K182" s="829"/>
      <c r="L182" s="207"/>
    </row>
    <row r="183" spans="5:12" s="205" customFormat="1" x14ac:dyDescent="0.2">
      <c r="E183" s="206"/>
      <c r="J183" s="207"/>
      <c r="K183" s="829"/>
      <c r="L183" s="207"/>
    </row>
    <row r="184" spans="5:12" s="205" customFormat="1" x14ac:dyDescent="0.2">
      <c r="E184" s="206"/>
      <c r="J184" s="207"/>
      <c r="K184" s="829"/>
      <c r="L184" s="207"/>
    </row>
    <row r="185" spans="5:12" s="205" customFormat="1" x14ac:dyDescent="0.2">
      <c r="E185" s="206"/>
      <c r="J185" s="207"/>
      <c r="K185" s="829"/>
      <c r="L185" s="207"/>
    </row>
    <row r="186" spans="5:12" s="205" customFormat="1" x14ac:dyDescent="0.2">
      <c r="E186" s="206"/>
      <c r="J186" s="207"/>
      <c r="K186" s="829"/>
      <c r="L186" s="207"/>
    </row>
    <row r="187" spans="5:12" s="205" customFormat="1" x14ac:dyDescent="0.2">
      <c r="E187" s="206"/>
      <c r="J187" s="207"/>
      <c r="K187" s="829"/>
      <c r="L187" s="207"/>
    </row>
    <row r="188" spans="5:12" s="205" customFormat="1" x14ac:dyDescent="0.2">
      <c r="E188" s="206"/>
      <c r="J188" s="207"/>
      <c r="K188" s="829"/>
      <c r="L188" s="207"/>
    </row>
    <row r="189" spans="5:12" s="205" customFormat="1" x14ac:dyDescent="0.2">
      <c r="E189" s="206"/>
      <c r="J189" s="207"/>
      <c r="K189" s="829"/>
      <c r="L189" s="207"/>
    </row>
    <row r="190" spans="5:12" s="205" customFormat="1" x14ac:dyDescent="0.2">
      <c r="E190" s="206"/>
      <c r="J190" s="207"/>
      <c r="K190" s="829"/>
      <c r="L190" s="207"/>
    </row>
    <row r="191" spans="5:12" s="205" customFormat="1" x14ac:dyDescent="0.2">
      <c r="E191" s="206"/>
      <c r="J191" s="207"/>
      <c r="K191" s="829"/>
      <c r="L191" s="207"/>
    </row>
    <row r="192" spans="5:12" s="205" customFormat="1" x14ac:dyDescent="0.2">
      <c r="E192" s="206"/>
      <c r="J192" s="207"/>
      <c r="K192" s="829"/>
      <c r="L192" s="207"/>
    </row>
    <row r="193" spans="5:12" s="205" customFormat="1" x14ac:dyDescent="0.2">
      <c r="E193" s="206"/>
      <c r="J193" s="207"/>
      <c r="K193" s="829"/>
      <c r="L193" s="207"/>
    </row>
    <row r="194" spans="5:12" s="205" customFormat="1" x14ac:dyDescent="0.2">
      <c r="E194" s="206"/>
      <c r="J194" s="207"/>
      <c r="K194" s="829"/>
      <c r="L194" s="207"/>
    </row>
    <row r="195" spans="5:12" s="205" customFormat="1" x14ac:dyDescent="0.2">
      <c r="E195" s="206"/>
      <c r="J195" s="207"/>
      <c r="K195" s="829"/>
      <c r="L195" s="207"/>
    </row>
    <row r="196" spans="5:12" s="205" customFormat="1" x14ac:dyDescent="0.2">
      <c r="E196" s="206"/>
      <c r="J196" s="207"/>
      <c r="K196" s="829"/>
      <c r="L196" s="207"/>
    </row>
    <row r="197" spans="5:12" s="205" customFormat="1" x14ac:dyDescent="0.2">
      <c r="E197" s="206"/>
      <c r="J197" s="207"/>
      <c r="K197" s="829"/>
      <c r="L197" s="207"/>
    </row>
    <row r="198" spans="5:12" s="205" customFormat="1" x14ac:dyDescent="0.2">
      <c r="E198" s="206"/>
      <c r="J198" s="207"/>
      <c r="K198" s="829"/>
      <c r="L198" s="207"/>
    </row>
    <row r="199" spans="5:12" s="205" customFormat="1" x14ac:dyDescent="0.2">
      <c r="E199" s="206"/>
      <c r="J199" s="207"/>
      <c r="K199" s="829"/>
      <c r="L199" s="207"/>
    </row>
    <row r="200" spans="5:12" s="205" customFormat="1" x14ac:dyDescent="0.2">
      <c r="E200" s="206"/>
      <c r="J200" s="207"/>
      <c r="K200" s="829"/>
      <c r="L200" s="207"/>
    </row>
    <row r="201" spans="5:12" s="205" customFormat="1" x14ac:dyDescent="0.2">
      <c r="E201" s="206"/>
      <c r="J201" s="207"/>
      <c r="K201" s="829"/>
      <c r="L201" s="207"/>
    </row>
    <row r="202" spans="5:12" s="205" customFormat="1" x14ac:dyDescent="0.2">
      <c r="E202" s="206"/>
      <c r="J202" s="207"/>
      <c r="K202" s="827"/>
      <c r="L202" s="207"/>
    </row>
    <row r="203" spans="5:12" s="205" customFormat="1" x14ac:dyDescent="0.2">
      <c r="E203" s="206"/>
      <c r="J203" s="207"/>
      <c r="K203" s="827"/>
      <c r="L203" s="207"/>
    </row>
    <row r="204" spans="5:12" s="205" customFormat="1" x14ac:dyDescent="0.2">
      <c r="E204" s="206"/>
      <c r="K204" s="827"/>
    </row>
    <row r="205" spans="5:12" s="205" customFormat="1" x14ac:dyDescent="0.2">
      <c r="E205" s="206"/>
      <c r="K205" s="827"/>
    </row>
    <row r="206" spans="5:12" s="205" customFormat="1" x14ac:dyDescent="0.2">
      <c r="E206" s="206"/>
      <c r="K206" s="827"/>
    </row>
    <row r="207" spans="5:12" s="205" customFormat="1" x14ac:dyDescent="0.2">
      <c r="E207" s="206"/>
      <c r="K207" s="827"/>
    </row>
    <row r="208" spans="5:12" s="205" customFormat="1" x14ac:dyDescent="0.2">
      <c r="E208" s="206"/>
      <c r="K208" s="827"/>
    </row>
    <row r="209" spans="5:11" s="205" customFormat="1" x14ac:dyDescent="0.2">
      <c r="E209" s="206"/>
      <c r="K209" s="827"/>
    </row>
  </sheetData>
  <mergeCells count="1">
    <mergeCell ref="E83:F83"/>
  </mergeCells>
  <phoneticPr fontId="13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E43" sqref="E43"/>
    </sheetView>
  </sheetViews>
  <sheetFormatPr baseColWidth="10" defaultColWidth="11.42578125" defaultRowHeight="12.75" x14ac:dyDescent="0.2"/>
  <cols>
    <col min="1" max="1" width="11.42578125" style="205"/>
    <col min="2" max="2" width="4" style="205" customWidth="1"/>
    <col min="3" max="3" width="3.7109375" style="205" customWidth="1"/>
    <col min="4" max="4" width="63.85546875" style="205" customWidth="1"/>
    <col min="5" max="5" width="15.42578125" style="206" customWidth="1"/>
    <col min="6" max="6" width="15.42578125" style="205" customWidth="1"/>
    <col min="7" max="7" width="22.85546875" style="205" customWidth="1"/>
    <col min="8" max="11" width="15.42578125" style="205" customWidth="1"/>
    <col min="12" max="16384" width="11.42578125" style="205"/>
  </cols>
  <sheetData>
    <row r="1" spans="4:12" x14ac:dyDescent="0.2">
      <c r="J1" s="207"/>
      <c r="K1" s="207"/>
      <c r="L1" s="207"/>
    </row>
    <row r="2" spans="4:12" ht="18" x14ac:dyDescent="0.25">
      <c r="D2" s="208" t="s">
        <v>355</v>
      </c>
      <c r="E2" s="209"/>
      <c r="G2" s="210"/>
      <c r="J2" s="207"/>
      <c r="K2" s="207"/>
      <c r="L2" s="207"/>
    </row>
    <row r="3" spans="4:12" ht="18" x14ac:dyDescent="0.25">
      <c r="D3" s="208" t="s">
        <v>840</v>
      </c>
      <c r="E3" s="209"/>
      <c r="G3" s="210"/>
      <c r="J3" s="207"/>
      <c r="K3" s="207"/>
      <c r="L3" s="207"/>
    </row>
    <row r="4" spans="4:12" ht="18" x14ac:dyDescent="0.25">
      <c r="D4" s="208" t="s">
        <v>836</v>
      </c>
      <c r="E4" s="209"/>
      <c r="G4" s="210"/>
      <c r="J4" s="207"/>
      <c r="K4" s="207"/>
      <c r="L4" s="207"/>
    </row>
    <row r="5" spans="4:12" ht="18" x14ac:dyDescent="0.25">
      <c r="D5" s="211" t="s">
        <v>1291</v>
      </c>
      <c r="E5" s="209"/>
      <c r="G5" s="210"/>
      <c r="J5" s="207"/>
      <c r="K5" s="207"/>
      <c r="L5" s="207"/>
    </row>
    <row r="6" spans="4:12" ht="18" x14ac:dyDescent="0.25">
      <c r="D6" s="211" t="s">
        <v>99</v>
      </c>
      <c r="E6" s="209"/>
      <c r="G6" s="210"/>
      <c r="J6" s="207"/>
      <c r="K6" s="207"/>
      <c r="L6" s="207"/>
    </row>
    <row r="7" spans="4:12" x14ac:dyDescent="0.2">
      <c r="G7" s="210"/>
      <c r="J7" s="207"/>
      <c r="K7" s="207"/>
      <c r="L7" s="207"/>
    </row>
    <row r="8" spans="4:12" x14ac:dyDescent="0.2">
      <c r="G8" s="210"/>
      <c r="J8" s="207"/>
      <c r="K8" s="207"/>
      <c r="L8" s="207"/>
    </row>
    <row r="9" spans="4:12" x14ac:dyDescent="0.2">
      <c r="J9" s="207"/>
      <c r="K9" s="207"/>
      <c r="L9" s="207"/>
    </row>
    <row r="10" spans="4:12" x14ac:dyDescent="0.2">
      <c r="G10" s="213"/>
      <c r="J10" s="207"/>
      <c r="K10" s="207"/>
      <c r="L10" s="207"/>
    </row>
    <row r="11" spans="4:12" x14ac:dyDescent="0.2">
      <c r="J11" s="207"/>
      <c r="K11" s="207"/>
      <c r="L11" s="207"/>
    </row>
    <row r="12" spans="4:12" x14ac:dyDescent="0.2">
      <c r="J12" s="207"/>
      <c r="K12" s="207"/>
      <c r="L12" s="207"/>
    </row>
    <row r="13" spans="4:12" x14ac:dyDescent="0.2">
      <c r="J13" s="207"/>
      <c r="K13" s="207"/>
      <c r="L13" s="207"/>
    </row>
    <row r="14" spans="4:12" x14ac:dyDescent="0.2">
      <c r="J14" s="207"/>
      <c r="K14" s="207"/>
      <c r="L14" s="207"/>
    </row>
    <row r="15" spans="4:12" x14ac:dyDescent="0.2">
      <c r="J15" s="207"/>
      <c r="K15" s="207"/>
      <c r="L15" s="207"/>
    </row>
    <row r="16" spans="4:12" x14ac:dyDescent="0.2">
      <c r="J16" s="207"/>
      <c r="K16" s="207"/>
      <c r="L16" s="207"/>
    </row>
    <row r="17" spans="1:12" s="210" customFormat="1" x14ac:dyDescent="0.2">
      <c r="B17" s="205">
        <v>81</v>
      </c>
      <c r="D17" s="210" t="s">
        <v>630</v>
      </c>
      <c r="E17" s="223"/>
      <c r="G17" s="212">
        <v>240710249.26999998</v>
      </c>
      <c r="J17" s="225"/>
      <c r="K17" s="225"/>
      <c r="L17" s="225"/>
    </row>
    <row r="18" spans="1:12" x14ac:dyDescent="0.2">
      <c r="B18" s="205">
        <v>811</v>
      </c>
      <c r="D18" s="205" t="s">
        <v>560</v>
      </c>
      <c r="E18" s="233"/>
      <c r="F18" s="213">
        <v>1821.66</v>
      </c>
      <c r="G18" s="210"/>
      <c r="J18" s="207" t="s">
        <v>506</v>
      </c>
      <c r="K18" s="234">
        <f>E18+E19+E21+E22+E23</f>
        <v>0</v>
      </c>
      <c r="L18" s="207"/>
    </row>
    <row r="19" spans="1:12" x14ac:dyDescent="0.2">
      <c r="B19" s="205">
        <v>812</v>
      </c>
      <c r="D19" s="205" t="s">
        <v>730</v>
      </c>
      <c r="E19" s="233"/>
      <c r="F19" s="213">
        <v>12256631.470000001</v>
      </c>
      <c r="G19" s="210"/>
      <c r="J19" s="207"/>
      <c r="K19" s="207"/>
      <c r="L19" s="207"/>
    </row>
    <row r="20" spans="1:12" x14ac:dyDescent="0.2">
      <c r="B20" s="205">
        <v>813</v>
      </c>
      <c r="D20" s="205" t="s">
        <v>507</v>
      </c>
      <c r="E20" s="233"/>
      <c r="F20" s="213">
        <v>0</v>
      </c>
      <c r="G20" s="210"/>
      <c r="J20" s="207"/>
      <c r="K20" s="207"/>
      <c r="L20" s="207"/>
    </row>
    <row r="21" spans="1:12" x14ac:dyDescent="0.2">
      <c r="B21" s="205">
        <v>816</v>
      </c>
      <c r="D21" s="205" t="s">
        <v>384</v>
      </c>
      <c r="E21" s="233"/>
      <c r="F21" s="213">
        <v>228451796.13999999</v>
      </c>
      <c r="G21" s="210"/>
      <c r="J21" s="207"/>
      <c r="K21" s="207"/>
      <c r="L21" s="207"/>
    </row>
    <row r="22" spans="1:12" x14ac:dyDescent="0.2">
      <c r="B22" s="205">
        <v>817</v>
      </c>
      <c r="D22" s="205" t="s">
        <v>508</v>
      </c>
      <c r="E22" s="233"/>
      <c r="F22" s="213">
        <v>0</v>
      </c>
      <c r="G22" s="210"/>
      <c r="J22" s="207"/>
      <c r="K22" s="207"/>
      <c r="L22" s="207"/>
    </row>
    <row r="23" spans="1:12" x14ac:dyDescent="0.2">
      <c r="E23" s="233"/>
      <c r="F23" s="213"/>
      <c r="G23" s="210"/>
      <c r="J23" s="207"/>
      <c r="K23" s="207"/>
      <c r="L23" s="207"/>
    </row>
    <row r="24" spans="1:12" ht="13.5" thickBot="1" x14ac:dyDescent="0.25">
      <c r="A24" s="235"/>
      <c r="C24" s="235"/>
      <c r="D24" s="235"/>
      <c r="E24" s="220"/>
      <c r="F24" s="221"/>
      <c r="G24" s="210"/>
      <c r="J24" s="207"/>
      <c r="K24" s="207"/>
      <c r="L24" s="207"/>
    </row>
    <row r="25" spans="1:12" x14ac:dyDescent="0.2">
      <c r="G25" s="210"/>
      <c r="H25" s="207" t="s">
        <v>509</v>
      </c>
      <c r="J25" s="207"/>
      <c r="K25" s="207"/>
      <c r="L25" s="207"/>
    </row>
    <row r="26" spans="1:12" s="226" customFormat="1" ht="16.5" thickBot="1" x14ac:dyDescent="0.3">
      <c r="B26" s="205"/>
      <c r="D26" s="210" t="s">
        <v>510</v>
      </c>
      <c r="E26" s="227"/>
      <c r="G26" s="228">
        <v>240710249.26999998</v>
      </c>
      <c r="J26" s="229"/>
      <c r="K26" s="229"/>
      <c r="L26" s="229"/>
    </row>
    <row r="27" spans="1:12" ht="13.5" thickTop="1" x14ac:dyDescent="0.2">
      <c r="G27" s="210"/>
      <c r="J27" s="207"/>
      <c r="K27" s="207"/>
      <c r="L27" s="207"/>
    </row>
    <row r="28" spans="1:12" x14ac:dyDescent="0.2">
      <c r="G28" s="210"/>
      <c r="J28" s="207"/>
      <c r="K28" s="207"/>
      <c r="L28" s="207"/>
    </row>
    <row r="29" spans="1:12" x14ac:dyDescent="0.2">
      <c r="G29" s="210"/>
      <c r="J29" s="207"/>
      <c r="K29" s="207"/>
      <c r="L29" s="207"/>
    </row>
    <row r="30" spans="1:12" x14ac:dyDescent="0.2">
      <c r="G30" s="210"/>
      <c r="J30" s="207"/>
      <c r="K30" s="207"/>
      <c r="L30" s="207"/>
    </row>
    <row r="31" spans="1:12" x14ac:dyDescent="0.2">
      <c r="G31" s="210"/>
      <c r="J31" s="207"/>
      <c r="K31" s="207"/>
      <c r="L31" s="207"/>
    </row>
    <row r="32" spans="1:12" x14ac:dyDescent="0.2">
      <c r="G32" s="210"/>
      <c r="J32" s="207"/>
      <c r="K32" s="207"/>
      <c r="L32" s="207"/>
    </row>
    <row r="33" spans="2:12" x14ac:dyDescent="0.2">
      <c r="G33" s="210"/>
      <c r="J33" s="207"/>
      <c r="K33" s="207"/>
      <c r="L33" s="207"/>
    </row>
    <row r="34" spans="2:12" x14ac:dyDescent="0.2">
      <c r="G34" s="210"/>
      <c r="J34" s="207"/>
      <c r="K34" s="207"/>
      <c r="L34" s="207"/>
    </row>
    <row r="35" spans="2:12" x14ac:dyDescent="0.2">
      <c r="G35" s="210"/>
      <c r="J35" s="207"/>
      <c r="K35" s="207"/>
      <c r="L35" s="207"/>
    </row>
    <row r="36" spans="2:12" x14ac:dyDescent="0.2">
      <c r="G36" s="210"/>
      <c r="J36" s="207"/>
      <c r="K36" s="207"/>
      <c r="L36" s="207"/>
    </row>
    <row r="37" spans="2:12" x14ac:dyDescent="0.2">
      <c r="G37" s="210"/>
      <c r="J37" s="207"/>
      <c r="K37" s="207"/>
      <c r="L37" s="207"/>
    </row>
    <row r="38" spans="2:12" x14ac:dyDescent="0.2">
      <c r="F38" s="213"/>
      <c r="G38" s="210"/>
      <c r="J38" s="207"/>
      <c r="K38" s="207"/>
      <c r="L38" s="207"/>
    </row>
    <row r="39" spans="2:12" x14ac:dyDescent="0.2">
      <c r="F39" s="213"/>
      <c r="G39" s="210"/>
      <c r="J39" s="207"/>
      <c r="K39" s="207"/>
      <c r="L39" s="207"/>
    </row>
    <row r="40" spans="2:12" s="210" customFormat="1" x14ac:dyDescent="0.2">
      <c r="B40" s="205">
        <v>91</v>
      </c>
      <c r="D40" s="210" t="s">
        <v>67</v>
      </c>
      <c r="E40" s="223"/>
      <c r="F40" s="212"/>
      <c r="G40" s="212">
        <v>240710249.26999998</v>
      </c>
      <c r="J40" s="225"/>
      <c r="K40" s="225"/>
      <c r="L40" s="225"/>
    </row>
    <row r="41" spans="2:12" x14ac:dyDescent="0.2">
      <c r="B41" s="205">
        <v>910</v>
      </c>
      <c r="D41" s="205" t="s">
        <v>67</v>
      </c>
      <c r="F41" s="213">
        <v>1814.21</v>
      </c>
      <c r="G41" s="210"/>
      <c r="J41" s="207" t="s">
        <v>511</v>
      </c>
      <c r="K41" s="214"/>
      <c r="L41" s="207"/>
    </row>
    <row r="42" spans="2:12" x14ac:dyDescent="0.2">
      <c r="B42" s="205">
        <v>911</v>
      </c>
      <c r="D42" s="205" t="s">
        <v>165</v>
      </c>
      <c r="F42" s="213">
        <v>12256638.92</v>
      </c>
      <c r="G42" s="210"/>
    </row>
    <row r="43" spans="2:12" x14ac:dyDescent="0.2">
      <c r="B43" s="205">
        <v>913</v>
      </c>
      <c r="D43" s="205" t="s">
        <v>512</v>
      </c>
      <c r="F43" s="213">
        <v>0</v>
      </c>
      <c r="G43" s="210"/>
    </row>
    <row r="44" spans="2:12" x14ac:dyDescent="0.2">
      <c r="B44" s="205">
        <v>914</v>
      </c>
      <c r="D44" s="205" t="s">
        <v>190</v>
      </c>
      <c r="F44" s="213">
        <v>228451796.13999999</v>
      </c>
      <c r="G44" s="210"/>
    </row>
    <row r="45" spans="2:12" x14ac:dyDescent="0.2">
      <c r="B45" s="205">
        <v>915</v>
      </c>
      <c r="D45" s="205" t="s">
        <v>265</v>
      </c>
      <c r="F45" s="213">
        <v>0</v>
      </c>
      <c r="G45" s="210"/>
    </row>
    <row r="46" spans="2:12" x14ac:dyDescent="0.2">
      <c r="G46" s="210"/>
    </row>
    <row r="47" spans="2:12" ht="13.5" thickBot="1" x14ac:dyDescent="0.25">
      <c r="E47" s="220"/>
      <c r="F47" s="221"/>
      <c r="G47" s="210"/>
    </row>
    <row r="48" spans="2:12" s="226" customFormat="1" ht="16.5" thickBot="1" x14ac:dyDescent="0.3">
      <c r="B48" s="205"/>
      <c r="D48" s="210" t="s">
        <v>710</v>
      </c>
      <c r="E48" s="227"/>
      <c r="G48" s="228">
        <v>240710249.26999998</v>
      </c>
    </row>
    <row r="49" spans="4:7" ht="13.5" thickTop="1" x14ac:dyDescent="0.2">
      <c r="G49" s="212">
        <v>0</v>
      </c>
    </row>
    <row r="50" spans="4:7" x14ac:dyDescent="0.2">
      <c r="G50" s="212"/>
    </row>
    <row r="51" spans="4:7" x14ac:dyDescent="0.2">
      <c r="G51" s="212"/>
    </row>
    <row r="52" spans="4:7" x14ac:dyDescent="0.2">
      <c r="G52" s="212"/>
    </row>
    <row r="53" spans="4:7" x14ac:dyDescent="0.2">
      <c r="G53" s="212"/>
    </row>
    <row r="54" spans="4:7" x14ac:dyDescent="0.2">
      <c r="G54" s="212"/>
    </row>
    <row r="55" spans="4:7" x14ac:dyDescent="0.2">
      <c r="G55" s="212"/>
    </row>
    <row r="56" spans="4:7" x14ac:dyDescent="0.2">
      <c r="G56" s="210"/>
    </row>
    <row r="57" spans="4:7" x14ac:dyDescent="0.2">
      <c r="G57" s="210"/>
    </row>
    <row r="59" spans="4:7" x14ac:dyDescent="0.2">
      <c r="G59" s="210"/>
    </row>
    <row r="61" spans="4:7" ht="17.25" x14ac:dyDescent="0.35">
      <c r="D61" s="230" t="s">
        <v>738</v>
      </c>
      <c r="E61" s="961" t="s">
        <v>112</v>
      </c>
      <c r="F61" s="961"/>
    </row>
    <row r="62" spans="4:7" ht="15" x14ac:dyDescent="0.2">
      <c r="D62" s="231" t="str">
        <f>'Balance General SSF'!D124</f>
        <v>Shearlene Márquez</v>
      </c>
      <c r="E62" s="232" t="str">
        <f>'Balance General SSF'!E124</f>
        <v>Jesy Yanira Quijada</v>
      </c>
      <c r="F62" s="231"/>
    </row>
    <row r="63" spans="4:7" ht="15" x14ac:dyDescent="0.2">
      <c r="D63" s="231" t="s">
        <v>740</v>
      </c>
      <c r="E63" s="231" t="s">
        <v>798</v>
      </c>
      <c r="F63" s="231"/>
    </row>
    <row r="64" spans="4:7" ht="15" x14ac:dyDescent="0.2">
      <c r="D64" s="231"/>
      <c r="E64" s="232"/>
      <c r="F64" s="231"/>
    </row>
    <row r="66" spans="4:7" x14ac:dyDescent="0.2">
      <c r="G66" s="210"/>
    </row>
    <row r="67" spans="4:7" x14ac:dyDescent="0.2">
      <c r="G67" s="210"/>
    </row>
    <row r="69" spans="4:7" x14ac:dyDescent="0.2">
      <c r="G69" s="210"/>
    </row>
    <row r="70" spans="4:7" x14ac:dyDescent="0.2">
      <c r="G70" s="210"/>
    </row>
    <row r="72" spans="4:7" ht="17.25" x14ac:dyDescent="0.35">
      <c r="D72" s="230"/>
      <c r="E72" s="961"/>
      <c r="F72" s="961"/>
    </row>
    <row r="73" spans="4:7" ht="15" x14ac:dyDescent="0.2">
      <c r="D73" s="231"/>
      <c r="E73" s="232"/>
      <c r="F73" s="231"/>
    </row>
    <row r="74" spans="4:7" ht="15" x14ac:dyDescent="0.2">
      <c r="D74" s="231"/>
      <c r="E74" s="231"/>
      <c r="F74" s="231"/>
    </row>
    <row r="75" spans="4:7" ht="15" x14ac:dyDescent="0.2">
      <c r="D75" s="231"/>
      <c r="E75" s="232"/>
      <c r="F75" s="231"/>
    </row>
  </sheetData>
  <mergeCells count="2">
    <mergeCell ref="E61:F61"/>
    <mergeCell ref="E72:F72"/>
  </mergeCells>
  <phoneticPr fontId="136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E47" sqref="E47"/>
    </sheetView>
  </sheetViews>
  <sheetFormatPr baseColWidth="10" defaultColWidth="11.42578125" defaultRowHeight="12.75" x14ac:dyDescent="0.2"/>
  <cols>
    <col min="1" max="1" width="3.5703125" style="317" customWidth="1"/>
    <col min="2" max="2" width="5.42578125" style="317" customWidth="1"/>
    <col min="3" max="3" width="2.28515625" style="317" customWidth="1"/>
    <col min="4" max="4" width="70.42578125" style="317" bestFit="1" customWidth="1"/>
    <col min="5" max="5" width="23.7109375" style="317" bestFit="1" customWidth="1"/>
    <col min="6" max="6" width="13.7109375" style="317" customWidth="1"/>
    <col min="7" max="7" width="14.7109375" style="317" bestFit="1" customWidth="1"/>
    <col min="8" max="16384" width="11.42578125" style="317"/>
  </cols>
  <sheetData>
    <row r="1" spans="1:12" ht="20.25" x14ac:dyDescent="0.3">
      <c r="A1" s="963"/>
      <c r="B1" s="963"/>
      <c r="C1" s="963"/>
    </row>
    <row r="2" spans="1:12" ht="15" x14ac:dyDescent="0.2">
      <c r="A2" s="962"/>
      <c r="B2" s="962"/>
      <c r="C2" s="962"/>
    </row>
    <row r="3" spans="1:12" ht="15" x14ac:dyDescent="0.2">
      <c r="A3" s="962"/>
      <c r="B3" s="962"/>
      <c r="C3" s="962"/>
    </row>
    <row r="4" spans="1:12" ht="15" x14ac:dyDescent="0.2">
      <c r="A4" s="962"/>
      <c r="B4" s="962"/>
      <c r="C4" s="962"/>
    </row>
    <row r="5" spans="1:12" ht="15" x14ac:dyDescent="0.2">
      <c r="A5" s="962"/>
      <c r="B5" s="962"/>
      <c r="C5" s="962"/>
    </row>
    <row r="6" spans="1:12" s="235" customFormat="1" ht="18" x14ac:dyDescent="0.25">
      <c r="C6" s="208" t="s">
        <v>355</v>
      </c>
      <c r="D6" s="209"/>
      <c r="E6" s="209"/>
      <c r="G6" s="210"/>
      <c r="J6" s="318"/>
      <c r="K6" s="318"/>
      <c r="L6" s="318"/>
    </row>
    <row r="7" spans="1:12" s="235" customFormat="1" ht="18" x14ac:dyDescent="0.25">
      <c r="C7" s="208" t="s">
        <v>841</v>
      </c>
      <c r="D7" s="209"/>
      <c r="E7" s="209"/>
      <c r="G7" s="210"/>
      <c r="J7" s="318"/>
      <c r="K7" s="318"/>
      <c r="L7" s="318"/>
    </row>
    <row r="8" spans="1:12" s="235" customFormat="1" ht="18" x14ac:dyDescent="0.25">
      <c r="C8" s="208" t="s">
        <v>837</v>
      </c>
      <c r="D8" s="209"/>
      <c r="E8" s="209"/>
      <c r="G8" s="210"/>
      <c r="J8" s="318"/>
      <c r="K8" s="318"/>
      <c r="L8" s="318"/>
    </row>
    <row r="9" spans="1:12" s="235" customFormat="1" ht="18" x14ac:dyDescent="0.25">
      <c r="C9" s="211" t="s">
        <v>1292</v>
      </c>
      <c r="D9" s="209"/>
      <c r="E9" s="209"/>
      <c r="G9" s="210"/>
      <c r="J9" s="318"/>
      <c r="K9" s="318"/>
      <c r="L9" s="318"/>
    </row>
    <row r="10" spans="1:12" s="235" customFormat="1" ht="18" x14ac:dyDescent="0.25">
      <c r="C10" s="211" t="s">
        <v>99</v>
      </c>
      <c r="D10" s="209"/>
      <c r="E10" s="209"/>
      <c r="G10" s="210"/>
      <c r="J10" s="318"/>
      <c r="K10" s="318"/>
      <c r="L10" s="318"/>
    </row>
    <row r="11" spans="1:12" s="235" customFormat="1" x14ac:dyDescent="0.2">
      <c r="D11" s="319"/>
      <c r="E11" s="319"/>
      <c r="G11" s="210"/>
      <c r="J11" s="318"/>
      <c r="K11" s="318"/>
      <c r="L11" s="318"/>
    </row>
    <row r="16" spans="1:12" x14ac:dyDescent="0.2">
      <c r="B16" s="317">
        <v>82</v>
      </c>
      <c r="D16" s="317" t="s">
        <v>711</v>
      </c>
      <c r="F16" s="320"/>
      <c r="G16" s="321">
        <v>1953576</v>
      </c>
    </row>
    <row r="17" spans="2:7" x14ac:dyDescent="0.2">
      <c r="B17" s="317">
        <v>821</v>
      </c>
      <c r="D17" s="317" t="s">
        <v>176</v>
      </c>
      <c r="F17" s="322">
        <v>1953576</v>
      </c>
      <c r="G17" s="321"/>
    </row>
    <row r="18" spans="2:7" x14ac:dyDescent="0.2">
      <c r="G18" s="321"/>
    </row>
    <row r="19" spans="2:7" x14ac:dyDescent="0.2">
      <c r="D19" s="323"/>
      <c r="F19" s="317" t="s">
        <v>712</v>
      </c>
      <c r="G19" s="321"/>
    </row>
    <row r="20" spans="2:7" ht="13.5" thickBot="1" x14ac:dyDescent="0.25">
      <c r="D20" s="317" t="s">
        <v>510</v>
      </c>
      <c r="G20" s="324">
        <v>1953576</v>
      </c>
    </row>
    <row r="21" spans="2:7" ht="13.5" thickTop="1" x14ac:dyDescent="0.2"/>
    <row r="25" spans="2:7" x14ac:dyDescent="0.2">
      <c r="B25" s="317">
        <v>92</v>
      </c>
      <c r="D25" s="317" t="s">
        <v>848</v>
      </c>
    </row>
    <row r="26" spans="2:7" x14ac:dyDescent="0.2">
      <c r="F26" s="320"/>
      <c r="G26" s="321">
        <v>1953576.0000000002</v>
      </c>
    </row>
    <row r="27" spans="2:7" x14ac:dyDescent="0.2">
      <c r="B27" s="317">
        <v>921</v>
      </c>
      <c r="D27" s="317" t="s">
        <v>318</v>
      </c>
      <c r="F27" s="319">
        <v>1953576.0000000002</v>
      </c>
      <c r="G27" s="321"/>
    </row>
    <row r="28" spans="2:7" x14ac:dyDescent="0.2">
      <c r="B28" s="317">
        <v>9210</v>
      </c>
      <c r="D28" s="317" t="s">
        <v>713</v>
      </c>
      <c r="E28" s="322">
        <v>327975.58</v>
      </c>
      <c r="G28" s="321"/>
    </row>
    <row r="29" spans="2:7" x14ac:dyDescent="0.2">
      <c r="B29" s="317">
        <v>9211</v>
      </c>
      <c r="D29" s="317" t="s">
        <v>795</v>
      </c>
      <c r="E29" s="322">
        <v>53156.18</v>
      </c>
      <c r="G29" s="321"/>
    </row>
    <row r="30" spans="2:7" x14ac:dyDescent="0.2">
      <c r="B30" s="317">
        <v>9212</v>
      </c>
      <c r="D30" s="317" t="s">
        <v>714</v>
      </c>
      <c r="E30" s="322">
        <v>34146.33</v>
      </c>
      <c r="G30" s="321"/>
    </row>
    <row r="31" spans="2:7" x14ac:dyDescent="0.2">
      <c r="B31" s="317">
        <v>9213</v>
      </c>
      <c r="D31" s="317" t="s">
        <v>793</v>
      </c>
      <c r="E31" s="322">
        <v>5545.36</v>
      </c>
      <c r="G31" s="321"/>
    </row>
    <row r="32" spans="2:7" x14ac:dyDescent="0.2">
      <c r="B32" s="317">
        <v>9214</v>
      </c>
      <c r="D32" s="317" t="s">
        <v>794</v>
      </c>
      <c r="E32" s="322">
        <v>442392.68</v>
      </c>
      <c r="G32" s="321"/>
    </row>
    <row r="33" spans="2:7" x14ac:dyDescent="0.2">
      <c r="B33" s="317">
        <v>9216</v>
      </c>
      <c r="D33" s="317" t="s">
        <v>715</v>
      </c>
      <c r="E33" s="322">
        <v>1090292.3600000001</v>
      </c>
      <c r="G33" s="321"/>
    </row>
    <row r="34" spans="2:7" x14ac:dyDescent="0.2">
      <c r="B34" s="317">
        <v>9217</v>
      </c>
      <c r="D34" s="317" t="s">
        <v>716</v>
      </c>
      <c r="E34" s="322">
        <v>56.58</v>
      </c>
      <c r="G34" s="321"/>
    </row>
    <row r="35" spans="2:7" x14ac:dyDescent="0.2">
      <c r="B35" s="317">
        <v>9218</v>
      </c>
      <c r="D35" s="317" t="s">
        <v>717</v>
      </c>
      <c r="E35" s="322">
        <v>10.93</v>
      </c>
      <c r="G35" s="321"/>
    </row>
    <row r="36" spans="2:7" x14ac:dyDescent="0.2">
      <c r="G36" s="321"/>
    </row>
    <row r="37" spans="2:7" x14ac:dyDescent="0.2">
      <c r="E37" s="325"/>
      <c r="F37" s="325"/>
      <c r="G37" s="326"/>
    </row>
    <row r="38" spans="2:7" ht="13.5" thickBot="1" x14ac:dyDescent="0.25">
      <c r="D38" s="317" t="s">
        <v>710</v>
      </c>
      <c r="G38" s="327">
        <v>1953576.0000000002</v>
      </c>
    </row>
    <row r="39" spans="2:7" ht="13.5" thickTop="1" x14ac:dyDescent="0.2">
      <c r="G39" s="212">
        <v>0</v>
      </c>
    </row>
    <row r="47" spans="2:7" ht="15.75" customHeight="1" x14ac:dyDescent="0.2"/>
    <row r="49" spans="4:6" x14ac:dyDescent="0.2">
      <c r="D49" s="328" t="s">
        <v>738</v>
      </c>
      <c r="E49" s="328" t="s">
        <v>739</v>
      </c>
    </row>
    <row r="50" spans="4:6" x14ac:dyDescent="0.2">
      <c r="D50" s="317" t="str">
        <f>'Balance General SSF'!D124</f>
        <v>Shearlene Márquez</v>
      </c>
      <c r="E50" s="329" t="str">
        <f>'Balance General SSF'!E124</f>
        <v>Jesy Yanira Quijada</v>
      </c>
    </row>
    <row r="51" spans="4:6" x14ac:dyDescent="0.2">
      <c r="D51" s="317" t="s">
        <v>740</v>
      </c>
      <c r="E51" s="317" t="s">
        <v>798</v>
      </c>
    </row>
    <row r="61" spans="4:6" x14ac:dyDescent="0.2">
      <c r="D61" s="328"/>
      <c r="E61" s="328"/>
      <c r="F61" s="328"/>
    </row>
  </sheetData>
  <mergeCells count="5">
    <mergeCell ref="A5:C5"/>
    <mergeCell ref="A1:C1"/>
    <mergeCell ref="A2:C2"/>
    <mergeCell ref="A3:C3"/>
    <mergeCell ref="A4:C4"/>
  </mergeCells>
  <phoneticPr fontId="136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R62"/>
  <sheetViews>
    <sheetView showGridLines="0" topLeftCell="D1" workbookViewId="0">
      <selection activeCell="E35" sqref="E35"/>
    </sheetView>
  </sheetViews>
  <sheetFormatPr baseColWidth="10" defaultColWidth="11.42578125" defaultRowHeight="12.75" x14ac:dyDescent="0.2"/>
  <cols>
    <col min="1" max="1" width="5" style="154" hidden="1" customWidth="1"/>
    <col min="2" max="2" width="4.42578125" style="157" hidden="1" customWidth="1"/>
    <col min="3" max="3" width="7.28515625" style="193" hidden="1" customWidth="1"/>
    <col min="4" max="4" width="54.85546875" style="194" customWidth="1"/>
    <col min="5" max="5" width="20.7109375" style="195" customWidth="1"/>
    <col min="6" max="6" width="3.28515625" style="196" customWidth="1"/>
    <col min="7" max="7" width="8.140625" style="157" bestFit="1" customWidth="1"/>
    <col min="8" max="8" width="15.5703125" style="186" customWidth="1"/>
    <col min="9" max="9" width="12.85546875" style="157" bestFit="1" customWidth="1"/>
    <col min="10" max="10" width="8.85546875" style="157" customWidth="1"/>
    <col min="11" max="14" width="11.42578125" style="157"/>
    <col min="15" max="15" width="16.28515625" style="157" customWidth="1"/>
    <col min="16" max="16384" width="11.42578125" style="157"/>
  </cols>
  <sheetData>
    <row r="1" spans="1:18" s="126" customFormat="1" ht="33" customHeight="1" x14ac:dyDescent="0.2">
      <c r="A1" s="117"/>
      <c r="B1" s="118"/>
      <c r="C1" s="119" t="s">
        <v>342</v>
      </c>
      <c r="D1" s="120"/>
      <c r="E1" s="121" t="s">
        <v>343</v>
      </c>
      <c r="F1" s="122" t="s">
        <v>344</v>
      </c>
      <c r="G1" s="123"/>
      <c r="H1" s="124"/>
      <c r="I1" s="125"/>
      <c r="J1" s="125"/>
      <c r="K1" s="125"/>
      <c r="O1" s="127"/>
      <c r="P1" s="125"/>
      <c r="Q1" s="125"/>
      <c r="R1" s="125"/>
    </row>
    <row r="2" spans="1:18" s="126" customFormat="1" ht="47.25" hidden="1" customHeight="1" x14ac:dyDescent="0.2">
      <c r="A2" s="117"/>
      <c r="B2" s="118"/>
      <c r="C2" s="119" t="s">
        <v>345</v>
      </c>
      <c r="D2" s="128">
        <v>37530</v>
      </c>
      <c r="E2" s="121" t="s">
        <v>226</v>
      </c>
      <c r="F2" s="129" t="s">
        <v>227</v>
      </c>
      <c r="G2" s="123"/>
      <c r="H2" s="127"/>
      <c r="I2" s="125"/>
      <c r="J2" s="125"/>
      <c r="K2" s="125"/>
      <c r="O2" s="127"/>
      <c r="P2" s="125"/>
      <c r="Q2" s="125"/>
      <c r="R2" s="125"/>
    </row>
    <row r="3" spans="1:18" s="126" customFormat="1" ht="48.75" hidden="1" customHeight="1" x14ac:dyDescent="0.2">
      <c r="A3" s="117"/>
      <c r="B3" s="118"/>
      <c r="C3" s="119" t="s">
        <v>228</v>
      </c>
      <c r="D3" s="130"/>
      <c r="E3" s="121" t="s">
        <v>229</v>
      </c>
      <c r="F3" s="131" t="s">
        <v>230</v>
      </c>
      <c r="G3" s="132"/>
      <c r="H3" s="133"/>
      <c r="I3" s="134"/>
      <c r="J3" s="134"/>
      <c r="K3" s="134"/>
      <c r="O3" s="133"/>
      <c r="P3" s="134"/>
      <c r="Q3" s="134"/>
      <c r="R3" s="134"/>
    </row>
    <row r="4" spans="1:18" s="126" customFormat="1" ht="48.75" hidden="1" customHeight="1" x14ac:dyDescent="0.2">
      <c r="A4" s="117"/>
      <c r="B4" s="118"/>
      <c r="C4" s="119" t="s">
        <v>231</v>
      </c>
      <c r="D4" s="130">
        <v>255</v>
      </c>
      <c r="E4" s="121" t="s">
        <v>232</v>
      </c>
      <c r="F4" s="129">
        <v>0</v>
      </c>
      <c r="G4" s="123"/>
      <c r="H4" s="135"/>
      <c r="I4" s="134"/>
      <c r="J4" s="134"/>
      <c r="K4" s="136"/>
      <c r="L4" s="137"/>
      <c r="O4" s="133"/>
      <c r="P4" s="134"/>
      <c r="Q4" s="134"/>
      <c r="R4" s="136"/>
    </row>
    <row r="5" spans="1:18" s="143" customFormat="1" ht="48.75" hidden="1" customHeight="1" x14ac:dyDescent="0.2">
      <c r="A5" s="138"/>
      <c r="B5" s="139"/>
      <c r="C5" s="119" t="s">
        <v>727</v>
      </c>
      <c r="D5" s="130">
        <v>255</v>
      </c>
      <c r="E5" s="121" t="s">
        <v>495</v>
      </c>
      <c r="F5" s="129">
        <v>44</v>
      </c>
      <c r="G5" s="140"/>
      <c r="H5" s="141"/>
      <c r="I5" s="137"/>
      <c r="J5" s="142"/>
      <c r="K5" s="137"/>
      <c r="O5" s="141"/>
      <c r="P5" s="137"/>
      <c r="Q5" s="137"/>
      <c r="R5" s="137"/>
    </row>
    <row r="6" spans="1:18" s="150" customFormat="1" ht="13.5" customHeight="1" x14ac:dyDescent="0.2">
      <c r="A6" s="144"/>
      <c r="B6" s="142"/>
      <c r="C6" s="145"/>
      <c r="D6" s="146"/>
      <c r="E6" s="147"/>
      <c r="F6" s="148"/>
      <c r="G6" s="149"/>
      <c r="O6" s="151"/>
      <c r="R6" s="127"/>
    </row>
    <row r="7" spans="1:18" s="150" customFormat="1" ht="16.5" customHeight="1" x14ac:dyDescent="0.25">
      <c r="A7" s="144"/>
      <c r="B7" s="152"/>
      <c r="C7" s="153"/>
      <c r="D7" s="964" t="e">
        <f>+#REF!</f>
        <v>#REF!</v>
      </c>
      <c r="E7" s="964"/>
      <c r="F7" s="964"/>
      <c r="H7" s="127"/>
      <c r="I7" s="125"/>
      <c r="J7" s="125"/>
      <c r="K7" s="125"/>
      <c r="L7" s="126"/>
    </row>
    <row r="8" spans="1:18" ht="15.75" x14ac:dyDescent="0.25">
      <c r="B8" s="155"/>
      <c r="C8" s="156"/>
      <c r="D8" s="965" t="s">
        <v>240</v>
      </c>
      <c r="E8" s="965"/>
      <c r="F8" s="965"/>
      <c r="H8" s="158"/>
      <c r="I8" s="159"/>
      <c r="J8" s="159"/>
      <c r="K8" s="159"/>
      <c r="L8" s="160"/>
    </row>
    <row r="9" spans="1:18" ht="15" x14ac:dyDescent="0.25">
      <c r="B9" s="155"/>
      <c r="C9" s="156"/>
      <c r="D9" s="966" t="e">
        <f>"DE FONDO PATRIMONIAL "&amp;#REF!</f>
        <v>#REF!</v>
      </c>
      <c r="E9" s="966"/>
      <c r="F9" s="966"/>
      <c r="H9" s="372"/>
      <c r="I9" s="373"/>
      <c r="J9" s="373"/>
      <c r="K9" s="373"/>
      <c r="L9" s="374"/>
    </row>
    <row r="10" spans="1:18" ht="15.75" x14ac:dyDescent="0.25">
      <c r="B10" s="155"/>
      <c r="C10" s="156"/>
      <c r="D10" s="965" t="s">
        <v>241</v>
      </c>
      <c r="E10" s="965"/>
      <c r="F10" s="965"/>
      <c r="H10" s="372"/>
      <c r="I10" s="373"/>
      <c r="J10" s="373"/>
      <c r="K10" s="373"/>
      <c r="L10" s="374"/>
    </row>
    <row r="11" spans="1:18" x14ac:dyDescent="0.2">
      <c r="B11" s="155"/>
      <c r="C11" s="156"/>
      <c r="D11" s="161"/>
      <c r="E11" s="5"/>
      <c r="F11" s="162"/>
      <c r="H11" s="960"/>
      <c r="I11" s="583"/>
      <c r="J11" s="583"/>
      <c r="K11" s="373"/>
      <c r="L11" s="374"/>
      <c r="M11" s="375"/>
      <c r="N11" s="375"/>
    </row>
    <row r="12" spans="1:18" ht="18" customHeight="1" thickBot="1" x14ac:dyDescent="0.25">
      <c r="B12" s="155"/>
      <c r="C12" s="156"/>
      <c r="D12" s="161"/>
      <c r="E12" s="5"/>
      <c r="F12" s="162"/>
      <c r="G12" s="375"/>
      <c r="H12" s="953"/>
      <c r="I12" s="909"/>
      <c r="J12" s="909"/>
      <c r="K12" s="951"/>
      <c r="L12" s="584"/>
      <c r="M12" s="375"/>
      <c r="N12" s="375"/>
    </row>
    <row r="13" spans="1:18" ht="13.5" thickBot="1" x14ac:dyDescent="0.25">
      <c r="B13" s="155">
        <v>33</v>
      </c>
      <c r="C13" s="163"/>
      <c r="D13" s="164" t="s">
        <v>10</v>
      </c>
      <c r="E13" s="165" t="e">
        <f>+'Anexos valores'!F676</f>
        <v>#REF!</v>
      </c>
      <c r="F13" s="166"/>
      <c r="G13" s="375"/>
      <c r="H13" s="910" t="e">
        <f>SUM(E14:E16)</f>
        <v>#REF!</v>
      </c>
      <c r="I13" s="909"/>
      <c r="J13" s="909"/>
      <c r="K13" s="583"/>
      <c r="L13" s="586"/>
      <c r="M13" s="375"/>
      <c r="N13" s="375"/>
    </row>
    <row r="14" spans="1:18" ht="12.75" customHeight="1" x14ac:dyDescent="0.2">
      <c r="A14" s="6"/>
      <c r="B14" s="155">
        <v>311</v>
      </c>
      <c r="C14" s="163"/>
      <c r="D14" s="167" t="s">
        <v>50</v>
      </c>
      <c r="E14" s="255" t="e">
        <f>+'Anexos valores'!F563</f>
        <v>#REF!</v>
      </c>
      <c r="F14" s="168"/>
      <c r="G14" s="472"/>
      <c r="H14" s="910"/>
      <c r="I14" s="909"/>
      <c r="J14" s="909"/>
      <c r="K14" s="583"/>
      <c r="L14" s="586"/>
      <c r="M14" s="375"/>
      <c r="N14" s="375"/>
    </row>
    <row r="15" spans="1:18" x14ac:dyDescent="0.2">
      <c r="A15" s="6"/>
      <c r="B15" s="155">
        <v>312</v>
      </c>
      <c r="C15" s="163"/>
      <c r="D15" s="169" t="s">
        <v>354</v>
      </c>
      <c r="E15" s="255" t="e">
        <f>+'Anexos valores'!F641</f>
        <v>#REF!</v>
      </c>
      <c r="F15" s="170"/>
      <c r="G15" s="472"/>
      <c r="H15" s="910"/>
      <c r="I15" s="909"/>
      <c r="J15" s="909"/>
      <c r="K15" s="585"/>
      <c r="L15" s="586"/>
      <c r="M15" s="375"/>
      <c r="N15" s="375"/>
    </row>
    <row r="16" spans="1:18" ht="13.5" thickBot="1" x14ac:dyDescent="0.25">
      <c r="A16" s="6"/>
      <c r="B16" s="155">
        <v>313</v>
      </c>
      <c r="C16" s="163"/>
      <c r="D16" s="171" t="s">
        <v>54</v>
      </c>
      <c r="E16" s="256" t="e">
        <f>+'Anexos valores'!D669*-1</f>
        <v>#REF!</v>
      </c>
      <c r="F16" s="172"/>
      <c r="G16" s="472"/>
      <c r="H16" s="910" t="e">
        <f>+#REF!</f>
        <v>#REF!</v>
      </c>
      <c r="I16" s="909"/>
      <c r="J16" s="909"/>
      <c r="K16" s="587"/>
      <c r="L16" s="586"/>
      <c r="M16" s="375"/>
      <c r="N16" s="375"/>
    </row>
    <row r="17" spans="1:14" ht="12.75" customHeight="1" thickBot="1" x14ac:dyDescent="0.25">
      <c r="B17" s="155"/>
      <c r="C17" s="163"/>
      <c r="D17" s="161"/>
      <c r="E17" s="257"/>
      <c r="F17" s="162"/>
      <c r="G17" s="375"/>
      <c r="H17" s="911" t="e">
        <f>+#REF!</f>
        <v>#REF!</v>
      </c>
      <c r="I17" s="912"/>
      <c r="J17" s="912"/>
      <c r="K17" s="588"/>
      <c r="L17" s="589"/>
      <c r="M17" s="375"/>
      <c r="N17" s="375"/>
    </row>
    <row r="18" spans="1:14" ht="12.75" customHeight="1" thickBot="1" x14ac:dyDescent="0.25">
      <c r="A18" s="173"/>
      <c r="B18" s="161"/>
      <c r="C18" s="163"/>
      <c r="D18" s="174" t="s">
        <v>338</v>
      </c>
      <c r="E18" s="175"/>
      <c r="F18" s="176"/>
      <c r="G18" s="375"/>
      <c r="H18" s="911" t="e">
        <f>+H17+H16</f>
        <v>#REF!</v>
      </c>
      <c r="I18" s="912" t="s">
        <v>839</v>
      </c>
      <c r="J18" s="912"/>
      <c r="K18" s="590" t="e">
        <f>H18/1000</f>
        <v>#REF!</v>
      </c>
      <c r="L18" s="589"/>
      <c r="M18" s="375"/>
      <c r="N18" s="375"/>
    </row>
    <row r="19" spans="1:14" ht="12.75" customHeight="1" x14ac:dyDescent="0.2">
      <c r="A19" s="161">
        <v>111</v>
      </c>
      <c r="B19" s="75"/>
      <c r="C19" s="156"/>
      <c r="D19" s="177" t="s">
        <v>339</v>
      </c>
      <c r="E19" s="257" t="e">
        <f>+'Anexos valores'!D546</f>
        <v>#REF!</v>
      </c>
      <c r="F19" s="170"/>
      <c r="G19" s="472"/>
      <c r="H19" s="910"/>
      <c r="I19" s="909"/>
      <c r="J19" s="909"/>
      <c r="K19" s="591"/>
      <c r="L19" s="592"/>
      <c r="M19" s="375"/>
      <c r="N19" s="375"/>
    </row>
    <row r="20" spans="1:14" ht="12.75" customHeight="1" x14ac:dyDescent="0.2">
      <c r="A20" s="75"/>
      <c r="B20" s="161">
        <v>111</v>
      </c>
      <c r="C20" s="163"/>
      <c r="D20" s="178" t="s">
        <v>277</v>
      </c>
      <c r="E20" s="5" t="e">
        <f>+'Anexos valores'!F546</f>
        <v>#REF!</v>
      </c>
      <c r="F20" s="170"/>
      <c r="G20" s="472"/>
      <c r="H20" s="910" t="e">
        <f>+H18-H19</f>
        <v>#REF!</v>
      </c>
      <c r="I20" s="913" t="e">
        <f>E19-H20/1000</f>
        <v>#REF!</v>
      </c>
      <c r="J20" s="909"/>
      <c r="K20" s="583"/>
      <c r="L20" s="586"/>
      <c r="M20" s="375"/>
      <c r="N20" s="375"/>
    </row>
    <row r="21" spans="1:14" ht="12.75" customHeight="1" x14ac:dyDescent="0.2">
      <c r="A21" s="173"/>
      <c r="B21" s="161">
        <v>12</v>
      </c>
      <c r="C21" s="163"/>
      <c r="D21" s="179" t="s">
        <v>292</v>
      </c>
      <c r="E21" s="5" t="e">
        <f>+'Anexos valores'!F548</f>
        <v>#REF!</v>
      </c>
      <c r="F21" s="170"/>
      <c r="G21" s="472"/>
      <c r="H21" s="910" t="e">
        <f>H13-E21</f>
        <v>#REF!</v>
      </c>
      <c r="I21" s="914"/>
      <c r="J21" s="914"/>
      <c r="K21" s="593"/>
      <c r="L21" s="569"/>
      <c r="M21" s="375"/>
      <c r="N21" s="375"/>
    </row>
    <row r="22" spans="1:14" ht="12.75" customHeight="1" x14ac:dyDescent="0.2">
      <c r="A22" s="173"/>
      <c r="B22" s="161">
        <v>13</v>
      </c>
      <c r="C22" s="163"/>
      <c r="D22" s="179" t="s">
        <v>293</v>
      </c>
      <c r="E22" s="5" t="e">
        <f>+'Anexos valores'!F678</f>
        <v>#REF!</v>
      </c>
      <c r="F22" s="170"/>
      <c r="G22" s="472"/>
      <c r="H22" s="915" t="e">
        <f>E13/E20</f>
        <v>#REF!</v>
      </c>
      <c r="I22" s="914"/>
      <c r="J22" s="914"/>
      <c r="K22" s="569"/>
      <c r="L22" s="569"/>
      <c r="M22" s="375"/>
      <c r="N22" s="375"/>
    </row>
    <row r="23" spans="1:14" ht="12.75" customHeight="1" thickBot="1" x14ac:dyDescent="0.25">
      <c r="A23" s="173"/>
      <c r="B23" s="161">
        <v>14</v>
      </c>
      <c r="C23" s="156"/>
      <c r="D23" s="180" t="s">
        <v>294</v>
      </c>
      <c r="E23" s="181" t="e">
        <f>+'Anexos valores'!F680</f>
        <v>#REF!</v>
      </c>
      <c r="F23" s="172"/>
      <c r="G23" s="472"/>
      <c r="H23" s="916" t="e">
        <f>#REF!</f>
        <v>#REF!</v>
      </c>
      <c r="I23" s="914"/>
      <c r="J23" s="914"/>
      <c r="K23" s="569"/>
      <c r="L23" s="569"/>
      <c r="M23" s="375"/>
      <c r="N23" s="375"/>
    </row>
    <row r="24" spans="1:14" ht="12.75" customHeight="1" thickBot="1" x14ac:dyDescent="0.25">
      <c r="A24" s="173"/>
      <c r="B24" s="161"/>
      <c r="C24" s="163"/>
      <c r="D24" s="161"/>
      <c r="E24" s="5"/>
      <c r="F24" s="162"/>
      <c r="G24" s="375"/>
      <c r="H24" s="916" t="e">
        <f>#REF!</f>
        <v>#REF!</v>
      </c>
      <c r="I24" s="914"/>
      <c r="J24" s="914"/>
      <c r="K24" s="569"/>
      <c r="L24" s="569"/>
      <c r="M24" s="375"/>
      <c r="N24" s="375"/>
    </row>
    <row r="25" spans="1:14" ht="12.75" customHeight="1" thickBot="1" x14ac:dyDescent="0.25">
      <c r="A25" s="173"/>
      <c r="B25" s="161"/>
      <c r="C25" s="163"/>
      <c r="D25" s="182" t="s">
        <v>296</v>
      </c>
      <c r="E25" s="183"/>
      <c r="F25" s="176"/>
      <c r="G25" s="375"/>
      <c r="H25" s="916" t="e">
        <f>H23+H24</f>
        <v>#REF!</v>
      </c>
      <c r="I25" s="914" t="s">
        <v>838</v>
      </c>
      <c r="J25" s="914"/>
      <c r="K25" s="590" t="e">
        <f>H25/1000</f>
        <v>#REF!</v>
      </c>
      <c r="L25" s="569"/>
      <c r="M25" s="375"/>
      <c r="N25" s="375"/>
    </row>
    <row r="26" spans="1:14" ht="12.75" customHeight="1" x14ac:dyDescent="0.2">
      <c r="A26" s="161">
        <v>222</v>
      </c>
      <c r="B26" s="161"/>
      <c r="C26" s="163"/>
      <c r="D26" s="184" t="s">
        <v>191</v>
      </c>
      <c r="E26" s="185" t="e">
        <f>+'Anexos valores'!D783</f>
        <v>#REF!</v>
      </c>
      <c r="F26" s="168"/>
      <c r="G26" s="472"/>
      <c r="H26" s="916" t="e">
        <f>H25*0.07</f>
        <v>#REF!</v>
      </c>
      <c r="I26" s="914"/>
      <c r="J26" s="914"/>
      <c r="K26" s="569"/>
      <c r="L26" s="569"/>
      <c r="M26" s="375"/>
      <c r="N26" s="375"/>
    </row>
    <row r="27" spans="1:14" ht="12.75" customHeight="1" x14ac:dyDescent="0.2">
      <c r="A27" s="173"/>
      <c r="B27" s="161">
        <v>21</v>
      </c>
      <c r="C27" s="156"/>
      <c r="D27" s="178" t="s">
        <v>192</v>
      </c>
      <c r="E27" s="5" t="e">
        <f>+'Anexos valores'!F785</f>
        <v>#REF!</v>
      </c>
      <c r="F27" s="170"/>
      <c r="G27" s="472"/>
      <c r="H27" s="917" t="e">
        <f>E13-E27</f>
        <v>#REF!</v>
      </c>
      <c r="I27" s="914"/>
      <c r="J27" s="914"/>
      <c r="K27" s="569"/>
      <c r="L27" s="569"/>
      <c r="M27" s="375"/>
      <c r="N27" s="375"/>
    </row>
    <row r="28" spans="1:14" ht="12.75" customHeight="1" x14ac:dyDescent="0.2">
      <c r="A28" s="173"/>
      <c r="B28" s="161">
        <v>22</v>
      </c>
      <c r="C28" s="156"/>
      <c r="D28" s="179" t="s">
        <v>276</v>
      </c>
      <c r="E28" s="5" t="e">
        <f>+'Anexos valores'!F787</f>
        <v>#REF!</v>
      </c>
      <c r="F28" s="170"/>
      <c r="G28" s="472"/>
      <c r="H28" s="915" t="e">
        <f>E13/E26</f>
        <v>#REF!</v>
      </c>
      <c r="I28" s="914"/>
      <c r="J28" s="914"/>
      <c r="K28" s="569"/>
      <c r="L28" s="569"/>
      <c r="M28" s="375"/>
      <c r="N28" s="375"/>
    </row>
    <row r="29" spans="1:14" ht="12.75" customHeight="1" thickBot="1" x14ac:dyDescent="0.25">
      <c r="A29" s="173"/>
      <c r="B29" s="161"/>
      <c r="C29" s="163"/>
      <c r="D29" s="180" t="s">
        <v>479</v>
      </c>
      <c r="E29" s="258" t="e">
        <f>+'Anexos valores'!F789</f>
        <v>#REF!</v>
      </c>
      <c r="F29" s="172"/>
      <c r="G29" s="472"/>
      <c r="H29" s="570"/>
      <c r="I29" s="569"/>
      <c r="J29" s="569"/>
      <c r="K29" s="569"/>
      <c r="L29" s="569"/>
      <c r="M29" s="375"/>
      <c r="N29" s="375"/>
    </row>
    <row r="30" spans="1:14" ht="12.75" customHeight="1" x14ac:dyDescent="0.2">
      <c r="A30" s="173"/>
      <c r="B30" s="161"/>
      <c r="C30" s="163"/>
      <c r="D30" s="5"/>
      <c r="E30" s="5"/>
      <c r="F30" s="162"/>
      <c r="G30" s="375"/>
      <c r="H30" s="452"/>
      <c r="I30" s="375"/>
      <c r="J30" s="375"/>
      <c r="K30" s="830"/>
      <c r="L30" s="569"/>
      <c r="M30" s="375"/>
      <c r="N30" s="375"/>
    </row>
    <row r="31" spans="1:14" ht="12.75" customHeight="1" x14ac:dyDescent="0.2">
      <c r="A31" s="173"/>
      <c r="B31" s="161"/>
      <c r="C31" s="163"/>
      <c r="D31" s="187"/>
      <c r="E31" s="5"/>
      <c r="F31" s="162"/>
      <c r="G31" s="375"/>
      <c r="H31" s="452"/>
      <c r="I31" s="375"/>
      <c r="J31" s="375"/>
      <c r="K31" s="830"/>
      <c r="L31" s="569"/>
      <c r="M31" s="375"/>
      <c r="N31" s="375"/>
    </row>
    <row r="32" spans="1:14" ht="12.75" customHeight="1" x14ac:dyDescent="0.2">
      <c r="B32" s="155"/>
      <c r="C32" s="156"/>
      <c r="D32" s="161"/>
      <c r="E32" s="5"/>
      <c r="F32" s="162"/>
      <c r="G32" s="375"/>
      <c r="H32" s="570"/>
      <c r="I32" s="569"/>
      <c r="J32" s="569"/>
      <c r="K32" s="569"/>
      <c r="L32" s="569"/>
      <c r="M32" s="375"/>
      <c r="N32" s="375"/>
    </row>
    <row r="33" spans="2:14" ht="12.75" customHeight="1" x14ac:dyDescent="0.2">
      <c r="B33" s="155"/>
      <c r="C33" s="163"/>
      <c r="D33" s="161"/>
      <c r="E33" s="5"/>
      <c r="F33" s="162"/>
      <c r="G33" s="375"/>
      <c r="H33" s="570"/>
      <c r="I33" s="569"/>
      <c r="J33" s="569"/>
      <c r="K33" s="569"/>
      <c r="L33" s="569"/>
      <c r="M33" s="375"/>
      <c r="N33" s="375"/>
    </row>
    <row r="34" spans="2:14" ht="12.75" customHeight="1" x14ac:dyDescent="0.2">
      <c r="B34" s="155"/>
      <c r="C34" s="163"/>
      <c r="D34" s="161"/>
      <c r="E34" s="5"/>
      <c r="F34" s="162"/>
      <c r="G34" s="375"/>
      <c r="H34" s="570"/>
      <c r="I34" s="569"/>
      <c r="J34" s="569"/>
      <c r="K34" s="569"/>
      <c r="L34" s="569"/>
      <c r="M34" s="375"/>
      <c r="N34" s="375"/>
    </row>
    <row r="35" spans="2:14" ht="12.75" customHeight="1" x14ac:dyDescent="0.2">
      <c r="B35" s="6"/>
      <c r="C35" s="163"/>
      <c r="D35" s="188" t="s">
        <v>738</v>
      </c>
      <c r="E35" s="188" t="s">
        <v>739</v>
      </c>
      <c r="F35" s="112"/>
      <c r="G35" s="375"/>
      <c r="H35" s="570"/>
      <c r="I35" s="569"/>
      <c r="J35" s="569"/>
      <c r="K35" s="569"/>
      <c r="L35" s="569"/>
      <c r="M35" s="375"/>
      <c r="N35" s="375"/>
    </row>
    <row r="36" spans="2:14" x14ac:dyDescent="0.2">
      <c r="B36" s="155"/>
      <c r="C36" s="189"/>
      <c r="D36" s="112" t="str">
        <f>'Anexos valores'!C795</f>
        <v>Shearlene Márquez</v>
      </c>
      <c r="E36" s="294" t="str">
        <f>'Anexos valores'!D795</f>
        <v>Jesy Yanira Quijada</v>
      </c>
      <c r="F36" s="112"/>
      <c r="M36" s="375"/>
      <c r="N36" s="375"/>
    </row>
    <row r="37" spans="2:14" x14ac:dyDescent="0.2">
      <c r="B37" s="190"/>
      <c r="C37" s="163"/>
      <c r="D37" s="112" t="s">
        <v>740</v>
      </c>
      <c r="E37" s="112" t="str">
        <f>'Anexos valores'!D796</f>
        <v xml:space="preserve"> Jefe de Contraloría</v>
      </c>
      <c r="F37" s="112"/>
      <c r="M37" s="375"/>
      <c r="N37" s="375"/>
    </row>
    <row r="38" spans="2:14" ht="12.75" customHeight="1" x14ac:dyDescent="0.25">
      <c r="B38" s="155"/>
      <c r="C38" s="191"/>
      <c r="D38" s="192"/>
      <c r="E38" s="5"/>
      <c r="F38" s="162"/>
      <c r="H38" s="452"/>
      <c r="I38" s="375"/>
      <c r="J38" s="375"/>
      <c r="K38" s="375"/>
      <c r="L38" s="375"/>
      <c r="M38" s="375"/>
      <c r="N38" s="375"/>
    </row>
    <row r="39" spans="2:14" ht="12.75" customHeight="1" x14ac:dyDescent="0.2">
      <c r="B39" s="155"/>
      <c r="C39" s="163"/>
      <c r="D39" s="161"/>
      <c r="E39" s="5"/>
      <c r="F39" s="162"/>
      <c r="H39" s="452"/>
      <c r="I39" s="375"/>
      <c r="J39" s="375"/>
      <c r="K39" s="375"/>
      <c r="L39" s="375"/>
      <c r="M39" s="375"/>
      <c r="N39" s="375"/>
    </row>
    <row r="40" spans="2:14" ht="12.75" customHeight="1" x14ac:dyDescent="0.2">
      <c r="B40" s="155"/>
      <c r="C40" s="163"/>
      <c r="D40" s="157"/>
      <c r="E40" s="157"/>
      <c r="F40" s="157"/>
      <c r="G40" s="204"/>
      <c r="H40" s="452"/>
      <c r="I40" s="375"/>
      <c r="J40" s="375"/>
      <c r="K40" s="375"/>
      <c r="L40" s="375"/>
      <c r="M40" s="375"/>
    </row>
    <row r="41" spans="2:14" x14ac:dyDescent="0.2">
      <c r="D41" s="157"/>
      <c r="E41" s="157"/>
      <c r="F41" s="157"/>
      <c r="G41" s="204"/>
      <c r="H41" s="452"/>
      <c r="I41" s="375"/>
      <c r="J41" s="375"/>
      <c r="K41" s="375"/>
      <c r="L41" s="375"/>
    </row>
    <row r="42" spans="2:14" x14ac:dyDescent="0.2">
      <c r="D42" s="157"/>
      <c r="E42" s="157"/>
      <c r="F42" s="157"/>
      <c r="G42" s="204"/>
      <c r="H42" s="452"/>
      <c r="I42" s="375"/>
      <c r="J42" s="375"/>
      <c r="K42" s="375"/>
      <c r="L42" s="375"/>
    </row>
    <row r="43" spans="2:14" x14ac:dyDescent="0.2">
      <c r="D43" s="157"/>
      <c r="E43" s="157"/>
      <c r="F43" s="157"/>
      <c r="G43" s="204"/>
      <c r="H43" s="452"/>
      <c r="I43" s="375"/>
      <c r="J43" s="375"/>
      <c r="K43" s="375"/>
      <c r="L43" s="375"/>
    </row>
    <row r="44" spans="2:14" x14ac:dyDescent="0.2">
      <c r="D44" s="157"/>
      <c r="E44" s="157"/>
      <c r="F44" s="157"/>
      <c r="G44" s="204"/>
    </row>
    <row r="45" spans="2:14" x14ac:dyDescent="0.2">
      <c r="D45" s="157"/>
      <c r="E45" s="157"/>
      <c r="F45" s="157"/>
      <c r="G45" s="204"/>
    </row>
    <row r="46" spans="2:14" x14ac:dyDescent="0.2">
      <c r="D46" s="157"/>
      <c r="E46" s="157"/>
      <c r="F46" s="157"/>
      <c r="G46" s="204"/>
    </row>
    <row r="47" spans="2:14" x14ac:dyDescent="0.2">
      <c r="D47" s="157"/>
      <c r="E47" s="157"/>
      <c r="F47" s="157"/>
      <c r="G47" s="204"/>
    </row>
    <row r="48" spans="2:14" x14ac:dyDescent="0.2">
      <c r="D48" s="157"/>
      <c r="E48" s="157"/>
      <c r="F48" s="157"/>
      <c r="G48" s="204"/>
    </row>
    <row r="49" spans="4:7" x14ac:dyDescent="0.2">
      <c r="D49" s="157"/>
      <c r="E49" s="157"/>
      <c r="F49" s="157"/>
      <c r="G49" s="204"/>
    </row>
    <row r="50" spans="4:7" x14ac:dyDescent="0.2">
      <c r="D50" s="157"/>
      <c r="E50" s="157"/>
      <c r="F50" s="157"/>
      <c r="G50" s="204"/>
    </row>
    <row r="51" spans="4:7" x14ac:dyDescent="0.2">
      <c r="D51" s="157"/>
      <c r="E51" s="157"/>
      <c r="F51" s="157"/>
      <c r="G51" s="204"/>
    </row>
    <row r="52" spans="4:7" x14ac:dyDescent="0.2">
      <c r="D52" s="157"/>
      <c r="E52" s="157"/>
      <c r="F52" s="157"/>
      <c r="G52" s="204"/>
    </row>
    <row r="53" spans="4:7" x14ac:dyDescent="0.2">
      <c r="D53" s="157"/>
      <c r="E53" s="157"/>
      <c r="F53" s="157"/>
      <c r="G53" s="204"/>
    </row>
    <row r="54" spans="4:7" x14ac:dyDescent="0.2">
      <c r="D54" s="157"/>
      <c r="E54" s="157"/>
      <c r="F54" s="157"/>
      <c r="G54" s="204"/>
    </row>
    <row r="55" spans="4:7" x14ac:dyDescent="0.2">
      <c r="D55" s="157"/>
      <c r="E55" s="157"/>
      <c r="F55" s="157"/>
      <c r="G55" s="204"/>
    </row>
    <row r="56" spans="4:7" x14ac:dyDescent="0.2">
      <c r="D56" s="157"/>
      <c r="E56" s="157"/>
      <c r="F56" s="157"/>
      <c r="G56" s="204"/>
    </row>
    <row r="57" spans="4:7" x14ac:dyDescent="0.2">
      <c r="D57" s="157"/>
      <c r="E57" s="157"/>
      <c r="F57" s="157"/>
      <c r="G57" s="204"/>
    </row>
    <row r="58" spans="4:7" x14ac:dyDescent="0.2">
      <c r="D58" s="157"/>
      <c r="E58" s="157"/>
      <c r="F58" s="157"/>
      <c r="G58" s="204"/>
    </row>
    <row r="59" spans="4:7" x14ac:dyDescent="0.2">
      <c r="D59" s="157"/>
      <c r="E59" s="157"/>
      <c r="F59" s="157"/>
      <c r="G59" s="204"/>
    </row>
    <row r="60" spans="4:7" x14ac:dyDescent="0.2">
      <c r="D60" s="157"/>
      <c r="E60" s="157"/>
      <c r="F60" s="157"/>
      <c r="G60" s="204"/>
    </row>
    <row r="61" spans="4:7" x14ac:dyDescent="0.2">
      <c r="D61" s="157"/>
      <c r="E61" s="157"/>
      <c r="F61" s="157"/>
      <c r="G61" s="204"/>
    </row>
    <row r="62" spans="4:7" x14ac:dyDescent="0.2">
      <c r="D62" s="157"/>
      <c r="E62" s="157"/>
      <c r="F62" s="157"/>
    </row>
  </sheetData>
  <mergeCells count="4">
    <mergeCell ref="D7:F7"/>
    <mergeCell ref="D8:F8"/>
    <mergeCell ref="D9:F9"/>
    <mergeCell ref="D10:F10"/>
  </mergeCells>
  <phoneticPr fontId="136" type="noConversion"/>
  <printOptions horizontalCentered="1" verticalCentered="1"/>
  <pageMargins left="0.75" right="0.75" top="1" bottom="1" header="0" footer="0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L4429"/>
  <sheetViews>
    <sheetView showGridLines="0" zoomScale="85" zoomScaleNormal="85" workbookViewId="0">
      <pane xSplit="3" ySplit="14" topLeftCell="D671" activePane="bottomRight" state="frozen"/>
      <selection activeCell="E35" sqref="E35"/>
      <selection pane="topRight" activeCell="E35" sqref="E35"/>
      <selection pane="bottomLeft" activeCell="E35" sqref="E35"/>
      <selection pane="bottomRight" activeCell="E35" sqref="E35"/>
    </sheetView>
  </sheetViews>
  <sheetFormatPr baseColWidth="10" defaultColWidth="11.42578125" defaultRowHeight="12.75" x14ac:dyDescent="0.2"/>
  <cols>
    <col min="1" max="1" width="15" style="28" customWidth="1"/>
    <col min="2" max="2" width="13.28515625" style="6" customWidth="1"/>
    <col min="3" max="3" width="49.42578125" style="6" customWidth="1"/>
    <col min="4" max="4" width="14.7109375" style="6" customWidth="1"/>
    <col min="5" max="5" width="20.28515625" style="7" bestFit="1" customWidth="1"/>
    <col min="6" max="6" width="21.5703125" style="6" bestFit="1" customWidth="1"/>
    <col min="7" max="7" width="8" style="6" customWidth="1"/>
    <col min="8" max="8" width="10.85546875" style="27" hidden="1" customWidth="1"/>
    <col min="9" max="9" width="5.7109375" style="27" hidden="1" customWidth="1"/>
    <col min="10" max="10" width="21.5703125" style="27" customWidth="1"/>
    <col min="11" max="12" width="12.42578125" style="27" bestFit="1" customWidth="1"/>
    <col min="13" max="16384" width="11.42578125" style="27"/>
  </cols>
  <sheetData>
    <row r="1" spans="1:6" ht="12.75" customHeight="1" x14ac:dyDescent="0.2"/>
    <row r="2" spans="1:6" ht="8.25" customHeight="1" x14ac:dyDescent="0.2"/>
    <row r="3" spans="1:6" ht="6.75" customHeight="1" x14ac:dyDescent="0.2"/>
    <row r="4" spans="1:6" ht="17.25" hidden="1" customHeight="1" x14ac:dyDescent="0.2"/>
    <row r="5" spans="1:6" ht="15" hidden="1" customHeight="1" x14ac:dyDescent="0.2"/>
    <row r="6" spans="1:6" ht="16.5" customHeight="1" x14ac:dyDescent="0.25">
      <c r="A6" s="98" t="s">
        <v>1289</v>
      </c>
    </row>
    <row r="7" spans="1:6" ht="16.5" customHeight="1" x14ac:dyDescent="0.2">
      <c r="A7" s="46" t="e">
        <f>"REQUERIMIENTOS DE FONDO PATRIMONIAL"&amp;#REF!</f>
        <v>#REF!</v>
      </c>
      <c r="B7" s="27"/>
    </row>
    <row r="8" spans="1:6" ht="1.5" customHeight="1" x14ac:dyDescent="0.2">
      <c r="B8" s="29"/>
      <c r="C8" s="3"/>
    </row>
    <row r="9" spans="1:6" ht="15.75" customHeight="1" x14ac:dyDescent="0.2">
      <c r="A9" s="8" t="s">
        <v>13</v>
      </c>
      <c r="B9" s="27"/>
    </row>
    <row r="10" spans="1:6" ht="14.25" customHeight="1" thickBot="1" x14ac:dyDescent="0.25">
      <c r="C10" s="4"/>
    </row>
    <row r="11" spans="1:6" ht="1.5" hidden="1" customHeight="1" x14ac:dyDescent="0.2">
      <c r="C11" s="8"/>
    </row>
    <row r="12" spans="1:6" ht="18" customHeight="1" x14ac:dyDescent="0.2">
      <c r="A12" s="47"/>
      <c r="B12" s="48"/>
      <c r="C12" s="49"/>
      <c r="D12" s="49"/>
      <c r="E12" s="50" t="s">
        <v>14</v>
      </c>
      <c r="F12" s="51"/>
    </row>
    <row r="13" spans="1:6" x14ac:dyDescent="0.2">
      <c r="A13" s="52"/>
      <c r="B13" s="53"/>
      <c r="C13" s="53"/>
      <c r="D13" s="54" t="s">
        <v>15</v>
      </c>
      <c r="E13" s="55" t="s">
        <v>426</v>
      </c>
      <c r="F13" s="56" t="s">
        <v>16</v>
      </c>
    </row>
    <row r="14" spans="1:6" ht="13.5" thickBot="1" x14ac:dyDescent="0.25">
      <c r="A14" s="57"/>
      <c r="B14" s="58"/>
      <c r="C14" s="59" t="s">
        <v>17</v>
      </c>
      <c r="D14" s="60"/>
      <c r="E14" s="61"/>
      <c r="F14" s="62" t="s">
        <v>18</v>
      </c>
    </row>
    <row r="15" spans="1:6" x14ac:dyDescent="0.2">
      <c r="A15" s="63">
        <v>1110</v>
      </c>
      <c r="B15" s="64" t="s">
        <v>23</v>
      </c>
      <c r="C15" s="65" t="s">
        <v>362</v>
      </c>
      <c r="D15" s="66" t="e">
        <f>SUM(D16+D24+D26+D30+D32+D219+D220+D158)</f>
        <v>#REF!</v>
      </c>
      <c r="E15" s="67">
        <v>0</v>
      </c>
      <c r="F15" s="68">
        <v>0</v>
      </c>
    </row>
    <row r="16" spans="1:6" x14ac:dyDescent="0.2">
      <c r="A16" s="69">
        <v>111001</v>
      </c>
      <c r="B16" s="31" t="s">
        <v>24</v>
      </c>
      <c r="C16" s="9" t="s">
        <v>582</v>
      </c>
      <c r="D16" s="12" t="e">
        <f>SUM(D17:D22)</f>
        <v>#REF!</v>
      </c>
      <c r="E16" s="13">
        <v>0</v>
      </c>
      <c r="F16" s="70">
        <v>0</v>
      </c>
    </row>
    <row r="17" spans="1:6" x14ac:dyDescent="0.2">
      <c r="A17" s="69">
        <v>1110010101</v>
      </c>
      <c r="B17" s="32" t="s">
        <v>33</v>
      </c>
      <c r="C17" s="9" t="s">
        <v>25</v>
      </c>
      <c r="D17" s="12" t="e">
        <f>+#REF!</f>
        <v>#REF!</v>
      </c>
      <c r="E17" s="13">
        <v>0</v>
      </c>
      <c r="F17" s="70">
        <v>0</v>
      </c>
    </row>
    <row r="18" spans="1:6" x14ac:dyDescent="0.2">
      <c r="A18" s="69" t="s">
        <v>26</v>
      </c>
      <c r="B18" s="32" t="s">
        <v>34</v>
      </c>
      <c r="C18" s="9" t="s">
        <v>27</v>
      </c>
      <c r="D18" s="12" t="e">
        <f>+#REF!</f>
        <v>#REF!</v>
      </c>
      <c r="E18" s="13">
        <v>0</v>
      </c>
      <c r="F18" s="70">
        <v>0</v>
      </c>
    </row>
    <row r="19" spans="1:6" x14ac:dyDescent="0.2">
      <c r="A19" s="69" t="s">
        <v>28</v>
      </c>
      <c r="B19" s="32" t="s">
        <v>35</v>
      </c>
      <c r="C19" s="9" t="s">
        <v>29</v>
      </c>
      <c r="D19" s="12" t="e">
        <f>+#REF!</f>
        <v>#REF!</v>
      </c>
      <c r="E19" s="13">
        <v>0</v>
      </c>
      <c r="F19" s="70">
        <v>0</v>
      </c>
    </row>
    <row r="20" spans="1:6" x14ac:dyDescent="0.2">
      <c r="A20" s="69" t="s">
        <v>30</v>
      </c>
      <c r="B20" s="32" t="s">
        <v>278</v>
      </c>
      <c r="C20" s="9" t="s">
        <v>31</v>
      </c>
      <c r="D20" s="12" t="e">
        <f>+#REF!</f>
        <v>#REF!</v>
      </c>
      <c r="E20" s="13">
        <v>0</v>
      </c>
      <c r="F20" s="70">
        <v>0</v>
      </c>
    </row>
    <row r="21" spans="1:6" x14ac:dyDescent="0.2">
      <c r="A21" s="69" t="s">
        <v>32</v>
      </c>
      <c r="B21" s="32" t="s">
        <v>280</v>
      </c>
      <c r="C21" s="9" t="s">
        <v>375</v>
      </c>
      <c r="D21" s="12" t="e">
        <f>+#REF!</f>
        <v>#REF!</v>
      </c>
      <c r="E21" s="13">
        <v>0.2</v>
      </c>
      <c r="F21" s="70" t="e">
        <f>+D21*E21</f>
        <v>#REF!</v>
      </c>
    </row>
    <row r="22" spans="1:6" x14ac:dyDescent="0.2">
      <c r="A22" s="69" t="s">
        <v>376</v>
      </c>
      <c r="B22" s="32" t="s">
        <v>281</v>
      </c>
      <c r="C22" s="9" t="s">
        <v>381</v>
      </c>
      <c r="D22" s="12" t="e">
        <f>+#REF!/1000</f>
        <v>#REF!</v>
      </c>
      <c r="E22" s="13">
        <v>0.2</v>
      </c>
      <c r="F22" s="70" t="e">
        <f>+D22*E22</f>
        <v>#REF!</v>
      </c>
    </row>
    <row r="23" spans="1:6" x14ac:dyDescent="0.2">
      <c r="A23" s="69"/>
      <c r="B23" s="33"/>
      <c r="C23" s="15"/>
      <c r="D23" s="12"/>
      <c r="E23" s="13"/>
      <c r="F23" s="70"/>
    </row>
    <row r="24" spans="1:6" x14ac:dyDescent="0.2">
      <c r="A24" s="69">
        <v>111002</v>
      </c>
      <c r="B24" s="31" t="s">
        <v>382</v>
      </c>
      <c r="C24" s="9" t="s">
        <v>583</v>
      </c>
      <c r="D24" s="12">
        <v>0</v>
      </c>
      <c r="E24" s="13">
        <v>0</v>
      </c>
      <c r="F24" s="70">
        <v>0</v>
      </c>
    </row>
    <row r="25" spans="1:6" x14ac:dyDescent="0.2">
      <c r="A25" s="69"/>
      <c r="B25" s="33"/>
      <c r="C25" s="15"/>
      <c r="D25" s="12"/>
      <c r="E25" s="13"/>
      <c r="F25" s="70"/>
    </row>
    <row r="26" spans="1:6" x14ac:dyDescent="0.2">
      <c r="A26" s="69">
        <v>111003</v>
      </c>
      <c r="B26" s="31" t="s">
        <v>297</v>
      </c>
      <c r="C26" s="9" t="s">
        <v>584</v>
      </c>
      <c r="D26" s="12">
        <f>SUM(D27:D28)</f>
        <v>0</v>
      </c>
      <c r="E26" s="13">
        <v>0</v>
      </c>
      <c r="F26" s="70">
        <v>0</v>
      </c>
    </row>
    <row r="27" spans="1:6" x14ac:dyDescent="0.2">
      <c r="A27" s="69" t="s">
        <v>383</v>
      </c>
      <c r="B27" s="32" t="s">
        <v>359</v>
      </c>
      <c r="C27" s="9" t="s">
        <v>403</v>
      </c>
      <c r="D27" s="12">
        <v>0</v>
      </c>
      <c r="E27" s="13">
        <v>0</v>
      </c>
      <c r="F27" s="70">
        <v>0</v>
      </c>
    </row>
    <row r="28" spans="1:6" x14ac:dyDescent="0.2">
      <c r="A28" s="69" t="s">
        <v>404</v>
      </c>
      <c r="B28" s="32" t="s">
        <v>360</v>
      </c>
      <c r="C28" s="9" t="s">
        <v>405</v>
      </c>
      <c r="D28" s="12">
        <v>0</v>
      </c>
      <c r="E28" s="13">
        <v>0</v>
      </c>
      <c r="F28" s="70">
        <v>0</v>
      </c>
    </row>
    <row r="29" spans="1:6" x14ac:dyDescent="0.2">
      <c r="A29" s="69"/>
      <c r="B29" s="33"/>
      <c r="C29" s="15"/>
      <c r="D29" s="12"/>
      <c r="E29" s="13"/>
      <c r="F29" s="70"/>
    </row>
    <row r="30" spans="1:6" x14ac:dyDescent="0.2">
      <c r="A30" s="69">
        <v>111004</v>
      </c>
      <c r="B30" s="31" t="s">
        <v>406</v>
      </c>
      <c r="C30" s="9" t="s">
        <v>586</v>
      </c>
      <c r="D30" s="12" t="e">
        <f>+#REF!</f>
        <v>#REF!</v>
      </c>
      <c r="E30" s="13">
        <v>0.5</v>
      </c>
      <c r="F30" s="70" t="e">
        <f>+D30*E30</f>
        <v>#REF!</v>
      </c>
    </row>
    <row r="31" spans="1:6" x14ac:dyDescent="0.2">
      <c r="A31" s="69"/>
      <c r="B31" s="33"/>
      <c r="C31" s="9"/>
      <c r="D31" s="12"/>
      <c r="E31" s="13"/>
      <c r="F31" s="70"/>
    </row>
    <row r="32" spans="1:6" ht="12.75" customHeight="1" x14ac:dyDescent="0.2">
      <c r="A32" s="69"/>
      <c r="B32" s="31" t="s">
        <v>407</v>
      </c>
      <c r="C32" s="15" t="s">
        <v>587</v>
      </c>
      <c r="D32" s="12" t="e">
        <f>+#REF!</f>
        <v>#REF!</v>
      </c>
      <c r="E32" s="13">
        <v>1</v>
      </c>
      <c r="F32" s="70" t="e">
        <f>+D32*E32</f>
        <v>#REF!</v>
      </c>
    </row>
    <row r="33" spans="1:6" hidden="1" x14ac:dyDescent="0.2">
      <c r="A33" s="71" t="s">
        <v>518</v>
      </c>
      <c r="B33" s="33" t="str">
        <f t="shared" ref="B33:B44" si="0">A33</f>
        <v>111006010101</v>
      </c>
      <c r="C33" s="15"/>
      <c r="D33" s="12">
        <v>622.11965999999995</v>
      </c>
      <c r="E33" s="13">
        <v>0</v>
      </c>
      <c r="F33" s="70">
        <v>0</v>
      </c>
    </row>
    <row r="34" spans="1:6" hidden="1" x14ac:dyDescent="0.2">
      <c r="A34" s="71" t="s">
        <v>519</v>
      </c>
      <c r="B34" s="33" t="str">
        <f t="shared" si="0"/>
        <v>111006010102</v>
      </c>
      <c r="C34" s="15"/>
      <c r="D34" s="12">
        <v>5.5058400000000001</v>
      </c>
      <c r="E34" s="13">
        <v>0</v>
      </c>
      <c r="F34" s="70">
        <v>0</v>
      </c>
    </row>
    <row r="35" spans="1:6" ht="12.75" hidden="1" customHeight="1" x14ac:dyDescent="0.2">
      <c r="A35" s="71" t="s">
        <v>520</v>
      </c>
      <c r="B35" s="33" t="str">
        <f t="shared" si="0"/>
        <v>111006010103</v>
      </c>
      <c r="C35" s="15"/>
      <c r="D35" s="12">
        <v>123.13212</v>
      </c>
      <c r="E35" s="13">
        <v>0</v>
      </c>
      <c r="F35" s="70">
        <v>0</v>
      </c>
    </row>
    <row r="36" spans="1:6" ht="15" hidden="1" customHeight="1" x14ac:dyDescent="0.2">
      <c r="A36" s="71" t="s">
        <v>521</v>
      </c>
      <c r="B36" s="31" t="str">
        <f t="shared" si="0"/>
        <v>111006010104</v>
      </c>
      <c r="C36" s="15"/>
      <c r="D36" s="12">
        <v>0</v>
      </c>
      <c r="E36" s="13">
        <v>0</v>
      </c>
      <c r="F36" s="70">
        <v>0</v>
      </c>
    </row>
    <row r="37" spans="1:6" ht="13.5" hidden="1" customHeight="1" x14ac:dyDescent="0.2">
      <c r="A37" s="71" t="s">
        <v>221</v>
      </c>
      <c r="B37" s="33" t="str">
        <f t="shared" si="0"/>
        <v>111006010105</v>
      </c>
      <c r="C37" s="15"/>
      <c r="D37" s="12">
        <v>405.33708000000001</v>
      </c>
      <c r="E37" s="13">
        <v>0</v>
      </c>
      <c r="F37" s="70">
        <v>0</v>
      </c>
    </row>
    <row r="38" spans="1:6" ht="15" hidden="1" customHeight="1" x14ac:dyDescent="0.2">
      <c r="A38" s="71" t="s">
        <v>222</v>
      </c>
      <c r="B38" s="33" t="str">
        <f t="shared" si="0"/>
        <v>111006010106</v>
      </c>
      <c r="C38" s="15"/>
      <c r="D38" s="12">
        <v>0</v>
      </c>
      <c r="E38" s="13">
        <v>0</v>
      </c>
      <c r="F38" s="70">
        <v>0</v>
      </c>
    </row>
    <row r="39" spans="1:6" hidden="1" x14ac:dyDescent="0.2">
      <c r="A39" s="71" t="s">
        <v>223</v>
      </c>
      <c r="B39" s="31" t="str">
        <f t="shared" si="0"/>
        <v>111006010107</v>
      </c>
      <c r="C39" s="15"/>
      <c r="D39" s="12">
        <v>0</v>
      </c>
      <c r="E39" s="13">
        <v>0</v>
      </c>
      <c r="F39" s="70">
        <v>0</v>
      </c>
    </row>
    <row r="40" spans="1:6" hidden="1" x14ac:dyDescent="0.2">
      <c r="A40" s="71" t="s">
        <v>224</v>
      </c>
      <c r="B40" s="31" t="str">
        <f t="shared" si="0"/>
        <v>111006010108</v>
      </c>
      <c r="C40" s="15"/>
      <c r="D40" s="12">
        <v>0</v>
      </c>
      <c r="E40" s="13">
        <v>0</v>
      </c>
      <c r="F40" s="70">
        <v>0</v>
      </c>
    </row>
    <row r="41" spans="1:6" hidden="1" x14ac:dyDescent="0.2">
      <c r="A41" s="71" t="s">
        <v>225</v>
      </c>
      <c r="B41" s="33" t="str">
        <f t="shared" si="0"/>
        <v>111006010109</v>
      </c>
      <c r="C41" s="15"/>
      <c r="D41" s="12">
        <v>0</v>
      </c>
      <c r="E41" s="13">
        <v>0</v>
      </c>
      <c r="F41" s="70">
        <v>0</v>
      </c>
    </row>
    <row r="42" spans="1:6" hidden="1" x14ac:dyDescent="0.2">
      <c r="A42" s="71" t="s">
        <v>736</v>
      </c>
      <c r="B42" s="31" t="str">
        <f t="shared" si="0"/>
        <v>111006010110</v>
      </c>
      <c r="C42" s="15"/>
      <c r="D42" s="12">
        <v>6.6752399999999996</v>
      </c>
      <c r="E42" s="13">
        <v>0</v>
      </c>
      <c r="F42" s="70">
        <v>0</v>
      </c>
    </row>
    <row r="43" spans="1:6" hidden="1" x14ac:dyDescent="0.2">
      <c r="A43" s="71" t="s">
        <v>737</v>
      </c>
      <c r="B43" s="31" t="str">
        <f t="shared" si="0"/>
        <v>111006010111</v>
      </c>
      <c r="C43" s="15"/>
      <c r="D43" s="12">
        <v>134.38497000000001</v>
      </c>
      <c r="E43" s="13">
        <v>0</v>
      </c>
      <c r="F43" s="70">
        <v>0</v>
      </c>
    </row>
    <row r="44" spans="1:6" hidden="1" x14ac:dyDescent="0.2">
      <c r="A44" s="71" t="s">
        <v>11</v>
      </c>
      <c r="B44" s="33" t="str">
        <f t="shared" si="0"/>
        <v>111006010112</v>
      </c>
      <c r="C44" s="15"/>
      <c r="D44" s="12">
        <v>-41.588000000000001</v>
      </c>
      <c r="E44" s="13">
        <v>0</v>
      </c>
      <c r="F44" s="70">
        <v>0</v>
      </c>
    </row>
    <row r="45" spans="1:6" hidden="1" x14ac:dyDescent="0.2">
      <c r="A45" s="69" t="s">
        <v>282</v>
      </c>
      <c r="B45" s="72" t="s">
        <v>282</v>
      </c>
      <c r="C45" s="15"/>
      <c r="D45" s="12">
        <v>0</v>
      </c>
      <c r="E45" s="13">
        <v>0</v>
      </c>
      <c r="F45" s="70">
        <v>0</v>
      </c>
    </row>
    <row r="46" spans="1:6" hidden="1" x14ac:dyDescent="0.2">
      <c r="A46" s="71" t="s">
        <v>283</v>
      </c>
      <c r="B46" s="33" t="str">
        <f t="shared" ref="B46:B109" si="1">A46</f>
        <v>111006010114</v>
      </c>
      <c r="C46" s="15"/>
      <c r="D46" s="12">
        <v>0</v>
      </c>
      <c r="E46" s="13">
        <v>0</v>
      </c>
      <c r="F46" s="70">
        <v>0</v>
      </c>
    </row>
    <row r="47" spans="1:6" ht="13.5" hidden="1" customHeight="1" x14ac:dyDescent="0.2">
      <c r="A47" s="71" t="s">
        <v>284</v>
      </c>
      <c r="B47" s="33" t="str">
        <f t="shared" si="1"/>
        <v>111006010115</v>
      </c>
      <c r="C47" s="15"/>
      <c r="D47" s="12">
        <v>0</v>
      </c>
      <c r="E47" s="13">
        <v>0</v>
      </c>
      <c r="F47" s="70">
        <v>0</v>
      </c>
    </row>
    <row r="48" spans="1:6" hidden="1" x14ac:dyDescent="0.2">
      <c r="A48" s="71" t="s">
        <v>285</v>
      </c>
      <c r="B48" s="31" t="str">
        <f t="shared" si="1"/>
        <v>111006010116</v>
      </c>
      <c r="C48" s="15"/>
      <c r="D48" s="12">
        <v>0</v>
      </c>
      <c r="E48" s="13">
        <v>0</v>
      </c>
      <c r="F48" s="70">
        <v>0</v>
      </c>
    </row>
    <row r="49" spans="1:6" hidden="1" x14ac:dyDescent="0.2">
      <c r="A49" s="71" t="s">
        <v>286</v>
      </c>
      <c r="B49" s="33" t="str">
        <f t="shared" si="1"/>
        <v>111006010117</v>
      </c>
      <c r="C49" s="15"/>
      <c r="D49" s="12">
        <v>0.50949</v>
      </c>
      <c r="E49" s="13">
        <v>0</v>
      </c>
      <c r="F49" s="70">
        <v>0</v>
      </c>
    </row>
    <row r="50" spans="1:6" hidden="1" x14ac:dyDescent="0.2">
      <c r="A50" s="71" t="s">
        <v>287</v>
      </c>
      <c r="B50" s="33" t="str">
        <f t="shared" si="1"/>
        <v>111006010118</v>
      </c>
      <c r="C50" s="15"/>
      <c r="D50" s="12">
        <v>0</v>
      </c>
      <c r="E50" s="13">
        <v>0</v>
      </c>
      <c r="F50" s="70">
        <v>0</v>
      </c>
    </row>
    <row r="51" spans="1:6" hidden="1" x14ac:dyDescent="0.2">
      <c r="A51" s="71" t="s">
        <v>288</v>
      </c>
      <c r="B51" s="31" t="str">
        <f t="shared" si="1"/>
        <v>111006010119</v>
      </c>
      <c r="C51" s="15"/>
      <c r="D51" s="12">
        <v>0</v>
      </c>
      <c r="E51" s="13">
        <v>0</v>
      </c>
      <c r="F51" s="70">
        <v>0</v>
      </c>
    </row>
    <row r="52" spans="1:6" hidden="1" x14ac:dyDescent="0.2">
      <c r="A52" s="71" t="s">
        <v>289</v>
      </c>
      <c r="B52" s="31" t="str">
        <f t="shared" si="1"/>
        <v>111006010120</v>
      </c>
      <c r="C52" s="15"/>
      <c r="D52" s="12">
        <v>10.44853</v>
      </c>
      <c r="E52" s="13">
        <v>0</v>
      </c>
      <c r="F52" s="70">
        <v>0</v>
      </c>
    </row>
    <row r="53" spans="1:6" hidden="1" x14ac:dyDescent="0.2">
      <c r="A53" s="71" t="s">
        <v>290</v>
      </c>
      <c r="B53" s="31" t="str">
        <f t="shared" si="1"/>
        <v>111006010121</v>
      </c>
      <c r="C53" s="15"/>
      <c r="D53" s="12">
        <v>0</v>
      </c>
      <c r="E53" s="13">
        <v>0</v>
      </c>
      <c r="F53" s="70">
        <v>0</v>
      </c>
    </row>
    <row r="54" spans="1:6" hidden="1" x14ac:dyDescent="0.2">
      <c r="A54" s="71" t="s">
        <v>291</v>
      </c>
      <c r="B54" s="31" t="str">
        <f t="shared" si="1"/>
        <v>111006010122</v>
      </c>
      <c r="C54" s="15"/>
      <c r="D54" s="12">
        <v>0</v>
      </c>
      <c r="E54" s="13">
        <v>0</v>
      </c>
      <c r="F54" s="70">
        <v>0</v>
      </c>
    </row>
    <row r="55" spans="1:6" hidden="1" x14ac:dyDescent="0.2">
      <c r="A55" s="71" t="s">
        <v>657</v>
      </c>
      <c r="B55" s="33" t="str">
        <f t="shared" si="1"/>
        <v>111006010123</v>
      </c>
      <c r="C55" s="15"/>
      <c r="D55" s="12">
        <v>0</v>
      </c>
      <c r="E55" s="13">
        <v>0</v>
      </c>
      <c r="F55" s="70">
        <v>0</v>
      </c>
    </row>
    <row r="56" spans="1:6" hidden="1" x14ac:dyDescent="0.2">
      <c r="A56" s="71" t="s">
        <v>658</v>
      </c>
      <c r="B56" s="31" t="str">
        <f t="shared" si="1"/>
        <v>111006010124</v>
      </c>
      <c r="C56" s="15"/>
      <c r="D56" s="12">
        <v>-944.95681999999999</v>
      </c>
      <c r="E56" s="13">
        <v>0</v>
      </c>
      <c r="F56" s="70">
        <v>0</v>
      </c>
    </row>
    <row r="57" spans="1:6" hidden="1" x14ac:dyDescent="0.2">
      <c r="A57" s="71" t="s">
        <v>659</v>
      </c>
      <c r="B57" s="31" t="str">
        <f t="shared" si="1"/>
        <v>111006010125</v>
      </c>
      <c r="C57" s="15"/>
      <c r="D57" s="12">
        <v>0</v>
      </c>
      <c r="E57" s="13">
        <v>0</v>
      </c>
      <c r="F57" s="70">
        <v>0</v>
      </c>
    </row>
    <row r="58" spans="1:6" hidden="1" x14ac:dyDescent="0.2">
      <c r="A58" s="71" t="s">
        <v>660</v>
      </c>
      <c r="B58" s="31" t="str">
        <f t="shared" si="1"/>
        <v>111006010126</v>
      </c>
      <c r="C58" s="15"/>
      <c r="D58" s="12">
        <v>0</v>
      </c>
      <c r="E58" s="13">
        <v>0</v>
      </c>
      <c r="F58" s="70">
        <v>0</v>
      </c>
    </row>
    <row r="59" spans="1:6" hidden="1" x14ac:dyDescent="0.2">
      <c r="A59" s="71" t="s">
        <v>661</v>
      </c>
      <c r="B59" s="31" t="str">
        <f t="shared" si="1"/>
        <v>111006010127</v>
      </c>
      <c r="C59" s="15"/>
      <c r="D59" s="12">
        <v>0</v>
      </c>
      <c r="E59" s="13">
        <v>0</v>
      </c>
      <c r="F59" s="70">
        <v>0</v>
      </c>
    </row>
    <row r="60" spans="1:6" hidden="1" x14ac:dyDescent="0.2">
      <c r="A60" s="71" t="s">
        <v>662</v>
      </c>
      <c r="B60" s="31" t="str">
        <f t="shared" si="1"/>
        <v>111006010128</v>
      </c>
      <c r="C60" s="15"/>
      <c r="D60" s="12">
        <v>0</v>
      </c>
      <c r="E60" s="13">
        <v>0</v>
      </c>
      <c r="F60" s="70">
        <v>0</v>
      </c>
    </row>
    <row r="61" spans="1:6" hidden="1" x14ac:dyDescent="0.2">
      <c r="A61" s="71" t="s">
        <v>663</v>
      </c>
      <c r="B61" s="31" t="str">
        <f t="shared" si="1"/>
        <v>111006010129</v>
      </c>
      <c r="C61" s="15"/>
      <c r="D61" s="12">
        <v>0</v>
      </c>
      <c r="E61" s="13">
        <v>0</v>
      </c>
      <c r="F61" s="70">
        <v>0</v>
      </c>
    </row>
    <row r="62" spans="1:6" hidden="1" x14ac:dyDescent="0.2">
      <c r="A62" s="71" t="s">
        <v>664</v>
      </c>
      <c r="B62" s="31" t="str">
        <f t="shared" si="1"/>
        <v>111006010130</v>
      </c>
      <c r="C62" s="15"/>
      <c r="D62" s="12">
        <v>0</v>
      </c>
      <c r="E62" s="13">
        <v>0</v>
      </c>
      <c r="F62" s="70">
        <v>0</v>
      </c>
    </row>
    <row r="63" spans="1:6" hidden="1" x14ac:dyDescent="0.2">
      <c r="A63" s="71" t="s">
        <v>395</v>
      </c>
      <c r="B63" s="31" t="str">
        <f t="shared" si="1"/>
        <v>111006010131</v>
      </c>
      <c r="C63" s="15"/>
      <c r="D63" s="12">
        <v>1.4999999999999999E-2</v>
      </c>
      <c r="E63" s="13">
        <v>0</v>
      </c>
      <c r="F63" s="70">
        <v>0</v>
      </c>
    </row>
    <row r="64" spans="1:6" hidden="1" x14ac:dyDescent="0.2">
      <c r="A64" s="71" t="s">
        <v>396</v>
      </c>
      <c r="B64" s="33" t="str">
        <f t="shared" si="1"/>
        <v>111006010132</v>
      </c>
      <c r="C64" s="15"/>
      <c r="D64" s="12">
        <v>0</v>
      </c>
      <c r="E64" s="13">
        <v>0</v>
      </c>
      <c r="F64" s="70">
        <v>0</v>
      </c>
    </row>
    <row r="65" spans="1:6" hidden="1" x14ac:dyDescent="0.2">
      <c r="A65" s="71" t="s">
        <v>397</v>
      </c>
      <c r="B65" s="31" t="str">
        <f t="shared" si="1"/>
        <v>111006010133</v>
      </c>
      <c r="C65" s="15"/>
      <c r="D65" s="12">
        <v>1887.3162</v>
      </c>
      <c r="E65" s="13">
        <v>0</v>
      </c>
      <c r="F65" s="70">
        <v>0</v>
      </c>
    </row>
    <row r="66" spans="1:6" hidden="1" x14ac:dyDescent="0.2">
      <c r="A66" s="71" t="s">
        <v>398</v>
      </c>
      <c r="B66" s="33" t="str">
        <f t="shared" si="1"/>
        <v>111006010134</v>
      </c>
      <c r="C66" s="15"/>
      <c r="D66" s="12">
        <v>0</v>
      </c>
      <c r="E66" s="13">
        <v>0</v>
      </c>
      <c r="F66" s="70">
        <v>0</v>
      </c>
    </row>
    <row r="67" spans="1:6" hidden="1" x14ac:dyDescent="0.2">
      <c r="A67" s="71" t="s">
        <v>399</v>
      </c>
      <c r="B67" s="33" t="str">
        <f t="shared" si="1"/>
        <v>111006010135</v>
      </c>
      <c r="C67" s="15"/>
      <c r="D67" s="12">
        <v>0</v>
      </c>
      <c r="E67" s="13">
        <v>0</v>
      </c>
      <c r="F67" s="70">
        <v>0</v>
      </c>
    </row>
    <row r="68" spans="1:6" hidden="1" x14ac:dyDescent="0.2">
      <c r="A68" s="71" t="s">
        <v>400</v>
      </c>
      <c r="B68" s="33" t="str">
        <f t="shared" si="1"/>
        <v>111006010136</v>
      </c>
      <c r="C68" s="15"/>
      <c r="D68" s="12">
        <v>0.55008999999999997</v>
      </c>
      <c r="E68" s="13">
        <v>0</v>
      </c>
      <c r="F68" s="70">
        <v>0</v>
      </c>
    </row>
    <row r="69" spans="1:6" hidden="1" x14ac:dyDescent="0.2">
      <c r="A69" s="71" t="s">
        <v>7</v>
      </c>
      <c r="B69" s="33" t="str">
        <f t="shared" si="1"/>
        <v>111006010137</v>
      </c>
      <c r="C69" s="15"/>
      <c r="D69" s="12">
        <v>1857.7452800000001</v>
      </c>
      <c r="E69" s="13">
        <v>0</v>
      </c>
      <c r="F69" s="70">
        <v>0</v>
      </c>
    </row>
    <row r="70" spans="1:6" hidden="1" x14ac:dyDescent="0.2">
      <c r="A70" s="71" t="s">
        <v>8</v>
      </c>
      <c r="B70" s="33" t="str">
        <f t="shared" si="1"/>
        <v>111006010138</v>
      </c>
      <c r="C70" s="15"/>
      <c r="D70" s="12">
        <v>0</v>
      </c>
      <c r="E70" s="13">
        <v>0</v>
      </c>
      <c r="F70" s="70">
        <v>0</v>
      </c>
    </row>
    <row r="71" spans="1:6" ht="13.5" hidden="1" customHeight="1" x14ac:dyDescent="0.2">
      <c r="A71" s="71" t="s">
        <v>9</v>
      </c>
      <c r="B71" s="31" t="str">
        <f t="shared" si="1"/>
        <v>111006010139</v>
      </c>
      <c r="C71" s="15"/>
      <c r="D71" s="12">
        <v>25.28172</v>
      </c>
      <c r="E71" s="13">
        <v>0</v>
      </c>
      <c r="F71" s="70">
        <v>0</v>
      </c>
    </row>
    <row r="72" spans="1:6" hidden="1" x14ac:dyDescent="0.2">
      <c r="A72" s="71" t="s">
        <v>597</v>
      </c>
      <c r="B72" s="31" t="str">
        <f t="shared" si="1"/>
        <v>111006010140</v>
      </c>
      <c r="C72" s="15"/>
      <c r="D72" s="12">
        <v>0</v>
      </c>
      <c r="E72" s="13">
        <v>0</v>
      </c>
      <c r="F72" s="70">
        <v>0</v>
      </c>
    </row>
    <row r="73" spans="1:6" hidden="1" x14ac:dyDescent="0.2">
      <c r="A73" s="71" t="s">
        <v>598</v>
      </c>
      <c r="B73" s="33" t="str">
        <f t="shared" si="1"/>
        <v>111006010141</v>
      </c>
      <c r="C73" s="15"/>
      <c r="D73" s="12">
        <v>76.142110000000002</v>
      </c>
      <c r="E73" s="13">
        <v>0</v>
      </c>
      <c r="F73" s="70">
        <v>0</v>
      </c>
    </row>
    <row r="74" spans="1:6" hidden="1" x14ac:dyDescent="0.2">
      <c r="A74" s="71" t="s">
        <v>599</v>
      </c>
      <c r="B74" s="31" t="str">
        <f t="shared" si="1"/>
        <v>111006010142</v>
      </c>
      <c r="C74" s="15"/>
      <c r="D74" s="12">
        <v>0</v>
      </c>
      <c r="E74" s="13">
        <v>0</v>
      </c>
      <c r="F74" s="70">
        <v>0</v>
      </c>
    </row>
    <row r="75" spans="1:6" hidden="1" x14ac:dyDescent="0.2">
      <c r="A75" s="71" t="s">
        <v>600</v>
      </c>
      <c r="B75" s="31" t="str">
        <f t="shared" si="1"/>
        <v>111006010143</v>
      </c>
      <c r="C75" s="15"/>
      <c r="D75" s="12">
        <v>0</v>
      </c>
      <c r="E75" s="13">
        <v>0</v>
      </c>
      <c r="F75" s="70">
        <v>0</v>
      </c>
    </row>
    <row r="76" spans="1:6" hidden="1" x14ac:dyDescent="0.2">
      <c r="A76" s="71" t="s">
        <v>601</v>
      </c>
      <c r="B76" s="33" t="str">
        <f t="shared" si="1"/>
        <v>111006010144</v>
      </c>
      <c r="C76" s="15"/>
      <c r="D76" s="12">
        <v>0</v>
      </c>
      <c r="E76" s="13">
        <v>0</v>
      </c>
      <c r="F76" s="70">
        <v>0</v>
      </c>
    </row>
    <row r="77" spans="1:6" hidden="1" x14ac:dyDescent="0.2">
      <c r="A77" s="71" t="s">
        <v>602</v>
      </c>
      <c r="B77" s="33" t="str">
        <f t="shared" si="1"/>
        <v>111006010145</v>
      </c>
      <c r="C77" s="15"/>
      <c r="D77" s="12">
        <v>0</v>
      </c>
      <c r="E77" s="13">
        <v>0</v>
      </c>
      <c r="F77" s="70">
        <v>0</v>
      </c>
    </row>
    <row r="78" spans="1:6" hidden="1" x14ac:dyDescent="0.2">
      <c r="A78" s="71" t="s">
        <v>603</v>
      </c>
      <c r="B78" s="33" t="str">
        <f t="shared" si="1"/>
        <v>111006010146</v>
      </c>
      <c r="C78" s="15"/>
      <c r="D78" s="12">
        <v>56.796979999999998</v>
      </c>
      <c r="E78" s="13">
        <v>0</v>
      </c>
      <c r="F78" s="70">
        <v>0</v>
      </c>
    </row>
    <row r="79" spans="1:6" hidden="1" x14ac:dyDescent="0.2">
      <c r="A79" s="71" t="s">
        <v>604</v>
      </c>
      <c r="B79" s="31" t="str">
        <f t="shared" si="1"/>
        <v>111006010147</v>
      </c>
      <c r="C79" s="15"/>
      <c r="D79" s="12">
        <v>0</v>
      </c>
      <c r="E79" s="13">
        <v>0</v>
      </c>
      <c r="F79" s="70">
        <v>0</v>
      </c>
    </row>
    <row r="80" spans="1:6" hidden="1" x14ac:dyDescent="0.2">
      <c r="A80" s="71" t="s">
        <v>765</v>
      </c>
      <c r="B80" s="31" t="str">
        <f t="shared" si="1"/>
        <v>111006010148</v>
      </c>
      <c r="C80" s="15"/>
      <c r="D80" s="12">
        <v>0</v>
      </c>
      <c r="E80" s="13">
        <v>0</v>
      </c>
      <c r="F80" s="70">
        <v>0</v>
      </c>
    </row>
    <row r="81" spans="1:6" hidden="1" x14ac:dyDescent="0.2">
      <c r="A81" s="71" t="s">
        <v>766</v>
      </c>
      <c r="B81" s="31" t="str">
        <f t="shared" si="1"/>
        <v>111006010149</v>
      </c>
      <c r="C81" s="15"/>
      <c r="D81" s="12">
        <v>0</v>
      </c>
      <c r="E81" s="13">
        <v>0</v>
      </c>
      <c r="F81" s="70">
        <v>0</v>
      </c>
    </row>
    <row r="82" spans="1:6" hidden="1" x14ac:dyDescent="0.2">
      <c r="A82" s="71" t="s">
        <v>767</v>
      </c>
      <c r="B82" s="31" t="str">
        <f t="shared" si="1"/>
        <v>111006010150</v>
      </c>
      <c r="C82" s="15"/>
      <c r="D82" s="12">
        <v>-3.5009999999999999</v>
      </c>
      <c r="E82" s="13">
        <v>0</v>
      </c>
      <c r="F82" s="70">
        <v>0</v>
      </c>
    </row>
    <row r="83" spans="1:6" hidden="1" x14ac:dyDescent="0.2">
      <c r="A83" s="71" t="s">
        <v>768</v>
      </c>
      <c r="B83" s="33" t="str">
        <f t="shared" si="1"/>
        <v>111006010151</v>
      </c>
      <c r="C83" s="15"/>
      <c r="D83" s="12">
        <v>771.49510999999995</v>
      </c>
      <c r="E83" s="13">
        <v>0</v>
      </c>
      <c r="F83" s="70">
        <v>0</v>
      </c>
    </row>
    <row r="84" spans="1:6" hidden="1" x14ac:dyDescent="0.2">
      <c r="A84" s="71" t="s">
        <v>147</v>
      </c>
      <c r="B84" s="31" t="str">
        <f t="shared" si="1"/>
        <v>111006010154</v>
      </c>
      <c r="C84" s="15"/>
      <c r="D84" s="12">
        <v>0</v>
      </c>
      <c r="E84" s="13">
        <v>0</v>
      </c>
      <c r="F84" s="70">
        <v>0</v>
      </c>
    </row>
    <row r="85" spans="1:6" hidden="1" x14ac:dyDescent="0.2">
      <c r="A85" s="71" t="s">
        <v>148</v>
      </c>
      <c r="B85" s="31" t="str">
        <f t="shared" si="1"/>
        <v>111006010155</v>
      </c>
      <c r="C85" s="15"/>
      <c r="D85" s="12">
        <v>0</v>
      </c>
      <c r="E85" s="13">
        <v>0</v>
      </c>
      <c r="F85" s="70">
        <v>0</v>
      </c>
    </row>
    <row r="86" spans="1:6" ht="14.25" hidden="1" customHeight="1" x14ac:dyDescent="0.2">
      <c r="A86" s="71" t="s">
        <v>149</v>
      </c>
      <c r="B86" s="31" t="str">
        <f t="shared" si="1"/>
        <v>111006010156</v>
      </c>
      <c r="C86" s="15"/>
      <c r="D86" s="12">
        <v>0</v>
      </c>
      <c r="E86" s="13">
        <v>0</v>
      </c>
      <c r="F86" s="70">
        <v>0</v>
      </c>
    </row>
    <row r="87" spans="1:6" hidden="1" x14ac:dyDescent="0.2">
      <c r="A87" s="71" t="s">
        <v>150</v>
      </c>
      <c r="B87" s="31" t="str">
        <f t="shared" si="1"/>
        <v>111006010157</v>
      </c>
      <c r="C87" s="15"/>
      <c r="D87" s="12">
        <v>0</v>
      </c>
      <c r="E87" s="13">
        <v>0</v>
      </c>
      <c r="F87" s="70">
        <v>0</v>
      </c>
    </row>
    <row r="88" spans="1:6" hidden="1" x14ac:dyDescent="0.2">
      <c r="A88" s="71" t="s">
        <v>151</v>
      </c>
      <c r="B88" s="31" t="str">
        <f t="shared" si="1"/>
        <v>111006010158</v>
      </c>
      <c r="C88" s="15"/>
      <c r="D88" s="12">
        <v>0</v>
      </c>
      <c r="E88" s="13">
        <v>0</v>
      </c>
      <c r="F88" s="70">
        <v>0</v>
      </c>
    </row>
    <row r="89" spans="1:6" hidden="1" x14ac:dyDescent="0.2">
      <c r="A89" s="71" t="s">
        <v>152</v>
      </c>
      <c r="B89" s="31" t="str">
        <f t="shared" si="1"/>
        <v>111006010159</v>
      </c>
      <c r="C89" s="15"/>
      <c r="D89" s="12">
        <v>61.375070000000001</v>
      </c>
      <c r="E89" s="13">
        <v>0</v>
      </c>
      <c r="F89" s="70">
        <v>0</v>
      </c>
    </row>
    <row r="90" spans="1:6" hidden="1" x14ac:dyDescent="0.2">
      <c r="A90" s="71" t="s">
        <v>153</v>
      </c>
      <c r="B90" s="31" t="str">
        <f t="shared" si="1"/>
        <v>111006010160</v>
      </c>
      <c r="C90" s="15"/>
      <c r="D90" s="12">
        <v>0</v>
      </c>
      <c r="E90" s="13">
        <v>0</v>
      </c>
      <c r="F90" s="70">
        <v>0</v>
      </c>
    </row>
    <row r="91" spans="1:6" hidden="1" x14ac:dyDescent="0.2">
      <c r="A91" s="71" t="s">
        <v>154</v>
      </c>
      <c r="B91" s="31" t="str">
        <f t="shared" si="1"/>
        <v>111006010161</v>
      </c>
      <c r="C91" s="15"/>
      <c r="D91" s="12">
        <v>4.0928100000000001</v>
      </c>
      <c r="E91" s="13">
        <v>0</v>
      </c>
      <c r="F91" s="70">
        <v>0</v>
      </c>
    </row>
    <row r="92" spans="1:6" hidden="1" x14ac:dyDescent="0.2">
      <c r="A92" s="71" t="s">
        <v>155</v>
      </c>
      <c r="B92" s="31" t="str">
        <f t="shared" si="1"/>
        <v>111006010162</v>
      </c>
      <c r="C92" s="15"/>
      <c r="D92" s="12">
        <v>0</v>
      </c>
      <c r="E92" s="13">
        <v>0</v>
      </c>
      <c r="F92" s="70">
        <v>0</v>
      </c>
    </row>
    <row r="93" spans="1:6" hidden="1" x14ac:dyDescent="0.2">
      <c r="A93" s="71" t="s">
        <v>156</v>
      </c>
      <c r="B93" s="31" t="str">
        <f t="shared" si="1"/>
        <v>111006010163</v>
      </c>
      <c r="C93" s="15"/>
      <c r="D93" s="12">
        <v>0</v>
      </c>
      <c r="E93" s="13">
        <v>0</v>
      </c>
      <c r="F93" s="70">
        <v>0</v>
      </c>
    </row>
    <row r="94" spans="1:6" hidden="1" x14ac:dyDescent="0.2">
      <c r="A94" s="71" t="s">
        <v>415</v>
      </c>
      <c r="B94" s="31" t="str">
        <f t="shared" si="1"/>
        <v>111006010164</v>
      </c>
      <c r="C94" s="15"/>
      <c r="D94" s="12">
        <v>141.76406</v>
      </c>
      <c r="E94" s="13">
        <v>0</v>
      </c>
      <c r="F94" s="70">
        <v>0</v>
      </c>
    </row>
    <row r="95" spans="1:6" hidden="1" x14ac:dyDescent="0.2">
      <c r="A95" s="71" t="s">
        <v>416</v>
      </c>
      <c r="B95" s="31" t="str">
        <f t="shared" si="1"/>
        <v>111006010165</v>
      </c>
      <c r="C95" s="15"/>
      <c r="D95" s="12">
        <v>0</v>
      </c>
      <c r="E95" s="13">
        <v>0</v>
      </c>
      <c r="F95" s="70">
        <v>0</v>
      </c>
    </row>
    <row r="96" spans="1:6" hidden="1" x14ac:dyDescent="0.2">
      <c r="A96" s="71" t="s">
        <v>417</v>
      </c>
      <c r="B96" s="31" t="str">
        <f t="shared" si="1"/>
        <v>111006010166</v>
      </c>
      <c r="C96" s="15"/>
      <c r="D96" s="12">
        <v>144.65468999999999</v>
      </c>
      <c r="E96" s="13">
        <v>0</v>
      </c>
      <c r="F96" s="70">
        <v>0</v>
      </c>
    </row>
    <row r="97" spans="1:6" hidden="1" x14ac:dyDescent="0.2">
      <c r="A97" s="71" t="s">
        <v>242</v>
      </c>
      <c r="B97" s="31" t="str">
        <f t="shared" si="1"/>
        <v>111006010167</v>
      </c>
      <c r="C97" s="15"/>
      <c r="D97" s="12"/>
      <c r="E97" s="13"/>
      <c r="F97" s="70"/>
    </row>
    <row r="98" spans="1:6" hidden="1" x14ac:dyDescent="0.2">
      <c r="A98" s="71" t="s">
        <v>243</v>
      </c>
      <c r="B98" s="31" t="str">
        <f t="shared" si="1"/>
        <v>111006010168</v>
      </c>
      <c r="C98" s="15"/>
      <c r="D98" s="12">
        <v>0</v>
      </c>
      <c r="E98" s="13">
        <v>0</v>
      </c>
      <c r="F98" s="70">
        <v>0</v>
      </c>
    </row>
    <row r="99" spans="1:6" hidden="1" x14ac:dyDescent="0.2">
      <c r="A99" s="71" t="s">
        <v>244</v>
      </c>
      <c r="B99" s="31" t="str">
        <f t="shared" si="1"/>
        <v>111006010169</v>
      </c>
      <c r="C99" s="15"/>
      <c r="D99" s="12">
        <v>0</v>
      </c>
      <c r="E99" s="13">
        <v>0</v>
      </c>
      <c r="F99" s="70">
        <v>0</v>
      </c>
    </row>
    <row r="100" spans="1:6" hidden="1" x14ac:dyDescent="0.2">
      <c r="A100" s="71" t="s">
        <v>363</v>
      </c>
      <c r="B100" s="33" t="str">
        <f t="shared" si="1"/>
        <v>111006010170</v>
      </c>
      <c r="C100" s="15"/>
      <c r="D100" s="12">
        <v>0</v>
      </c>
      <c r="E100" s="13">
        <v>0</v>
      </c>
      <c r="F100" s="70">
        <v>0</v>
      </c>
    </row>
    <row r="101" spans="1:6" hidden="1" x14ac:dyDescent="0.2">
      <c r="A101" s="71" t="s">
        <v>364</v>
      </c>
      <c r="B101" s="31" t="str">
        <f t="shared" si="1"/>
        <v>111006010172</v>
      </c>
      <c r="C101" s="15"/>
      <c r="D101" s="12">
        <v>0</v>
      </c>
      <c r="E101" s="13">
        <v>0</v>
      </c>
      <c r="F101" s="70">
        <v>0</v>
      </c>
    </row>
    <row r="102" spans="1:6" hidden="1" x14ac:dyDescent="0.2">
      <c r="A102" s="71" t="s">
        <v>365</v>
      </c>
      <c r="B102" s="31" t="str">
        <f t="shared" si="1"/>
        <v>111006010174</v>
      </c>
      <c r="C102" s="15"/>
      <c r="D102" s="12">
        <v>0</v>
      </c>
      <c r="E102" s="13">
        <v>0</v>
      </c>
      <c r="F102" s="70">
        <v>0</v>
      </c>
    </row>
    <row r="103" spans="1:6" hidden="1" x14ac:dyDescent="0.2">
      <c r="A103" s="71" t="s">
        <v>366</v>
      </c>
      <c r="B103" s="33" t="str">
        <f t="shared" si="1"/>
        <v>111006010175</v>
      </c>
      <c r="C103" s="15"/>
      <c r="D103" s="12">
        <v>4906.3112799999999</v>
      </c>
      <c r="E103" s="13">
        <v>0</v>
      </c>
      <c r="F103" s="70">
        <v>0</v>
      </c>
    </row>
    <row r="104" spans="1:6" hidden="1" x14ac:dyDescent="0.2">
      <c r="A104" s="71" t="s">
        <v>367</v>
      </c>
      <c r="B104" s="33" t="str">
        <f t="shared" si="1"/>
        <v>111006010176</v>
      </c>
      <c r="C104" s="15"/>
      <c r="D104" s="12">
        <v>1.34836</v>
      </c>
      <c r="E104" s="13">
        <v>0</v>
      </c>
      <c r="F104" s="70">
        <v>0</v>
      </c>
    </row>
    <row r="105" spans="1:6" ht="12" hidden="1" customHeight="1" x14ac:dyDescent="0.2">
      <c r="A105" s="71" t="s">
        <v>368</v>
      </c>
      <c r="B105" s="31" t="str">
        <f t="shared" si="1"/>
        <v>111006010177</v>
      </c>
      <c r="C105" s="15"/>
      <c r="D105" s="12">
        <v>121.56377999999999</v>
      </c>
      <c r="E105" s="13">
        <v>0</v>
      </c>
      <c r="F105" s="70">
        <v>0</v>
      </c>
    </row>
    <row r="106" spans="1:6" hidden="1" x14ac:dyDescent="0.2">
      <c r="A106" s="71" t="s">
        <v>369</v>
      </c>
      <c r="B106" s="31" t="str">
        <f t="shared" si="1"/>
        <v>111006010178</v>
      </c>
      <c r="C106" s="15"/>
      <c r="D106" s="12">
        <v>0</v>
      </c>
      <c r="E106" s="13">
        <v>0</v>
      </c>
      <c r="F106" s="70">
        <v>0</v>
      </c>
    </row>
    <row r="107" spans="1:6" hidden="1" x14ac:dyDescent="0.2">
      <c r="A107" s="71" t="s">
        <v>370</v>
      </c>
      <c r="B107" s="31" t="str">
        <f t="shared" si="1"/>
        <v>111006010179</v>
      </c>
      <c r="C107" s="15"/>
      <c r="D107" s="12">
        <v>0</v>
      </c>
      <c r="E107" s="13">
        <v>0</v>
      </c>
      <c r="F107" s="70">
        <v>0</v>
      </c>
    </row>
    <row r="108" spans="1:6" hidden="1" x14ac:dyDescent="0.2">
      <c r="A108" s="71" t="s">
        <v>371</v>
      </c>
      <c r="B108" s="31" t="str">
        <f t="shared" si="1"/>
        <v>111006010180</v>
      </c>
      <c r="C108" s="15"/>
      <c r="D108" s="12">
        <v>0</v>
      </c>
      <c r="E108" s="13">
        <v>0</v>
      </c>
      <c r="F108" s="70">
        <v>0</v>
      </c>
    </row>
    <row r="109" spans="1:6" hidden="1" x14ac:dyDescent="0.2">
      <c r="A109" s="71" t="s">
        <v>372</v>
      </c>
      <c r="B109" s="31" t="str">
        <f t="shared" si="1"/>
        <v>111006010181</v>
      </c>
      <c r="C109" s="15"/>
      <c r="D109" s="12">
        <v>865.23397999999997</v>
      </c>
      <c r="E109" s="13">
        <v>0</v>
      </c>
      <c r="F109" s="70">
        <v>0</v>
      </c>
    </row>
    <row r="110" spans="1:6" hidden="1" x14ac:dyDescent="0.2">
      <c r="A110" s="69" t="s">
        <v>128</v>
      </c>
      <c r="B110" s="31" t="str">
        <f t="shared" ref="B110:B140" si="2">A110</f>
        <v>111006010185</v>
      </c>
      <c r="C110" s="15"/>
      <c r="D110" s="12">
        <v>0</v>
      </c>
      <c r="E110" s="13">
        <v>0</v>
      </c>
      <c r="F110" s="70">
        <v>0</v>
      </c>
    </row>
    <row r="111" spans="1:6" hidden="1" x14ac:dyDescent="0.2">
      <c r="A111" s="69" t="s">
        <v>129</v>
      </c>
      <c r="B111" s="31" t="str">
        <f t="shared" si="2"/>
        <v>111006010187</v>
      </c>
      <c r="C111" s="15"/>
      <c r="D111" s="12">
        <v>0</v>
      </c>
      <c r="E111" s="13">
        <v>0</v>
      </c>
      <c r="F111" s="70">
        <v>0</v>
      </c>
    </row>
    <row r="112" spans="1:6" hidden="1" x14ac:dyDescent="0.2">
      <c r="A112" s="69" t="s">
        <v>429</v>
      </c>
      <c r="B112" s="31" t="str">
        <f t="shared" si="2"/>
        <v>111006010189</v>
      </c>
      <c r="C112" s="15"/>
      <c r="D112" s="12">
        <v>0</v>
      </c>
      <c r="E112" s="13">
        <v>0</v>
      </c>
      <c r="F112" s="70">
        <v>0</v>
      </c>
    </row>
    <row r="113" spans="1:6" hidden="1" x14ac:dyDescent="0.2">
      <c r="A113" s="69" t="s">
        <v>430</v>
      </c>
      <c r="B113" s="31" t="str">
        <f t="shared" si="2"/>
        <v>111006010190</v>
      </c>
      <c r="C113" s="15"/>
      <c r="D113" s="12">
        <v>0</v>
      </c>
      <c r="E113" s="13">
        <v>0</v>
      </c>
      <c r="F113" s="70">
        <v>0</v>
      </c>
    </row>
    <row r="114" spans="1:6" hidden="1" x14ac:dyDescent="0.2">
      <c r="A114" s="69" t="s">
        <v>431</v>
      </c>
      <c r="B114" s="31" t="str">
        <f t="shared" si="2"/>
        <v>111006010191</v>
      </c>
      <c r="C114" s="15"/>
      <c r="D114" s="12">
        <v>0</v>
      </c>
      <c r="E114" s="13">
        <v>0</v>
      </c>
      <c r="F114" s="70">
        <v>0</v>
      </c>
    </row>
    <row r="115" spans="1:6" hidden="1" x14ac:dyDescent="0.2">
      <c r="A115" s="69" t="s">
        <v>432</v>
      </c>
      <c r="B115" s="31" t="str">
        <f t="shared" si="2"/>
        <v>111006010192</v>
      </c>
      <c r="C115" s="15"/>
      <c r="D115" s="12">
        <v>0</v>
      </c>
      <c r="E115" s="13">
        <v>0</v>
      </c>
      <c r="F115" s="70">
        <v>0</v>
      </c>
    </row>
    <row r="116" spans="1:6" hidden="1" x14ac:dyDescent="0.2">
      <c r="A116" s="69" t="s">
        <v>433</v>
      </c>
      <c r="B116" s="31" t="str">
        <f t="shared" si="2"/>
        <v>111006010193</v>
      </c>
      <c r="C116" s="15"/>
      <c r="D116" s="12">
        <v>-3.7835100000000002</v>
      </c>
      <c r="E116" s="13">
        <v>0</v>
      </c>
      <c r="F116" s="70">
        <v>0</v>
      </c>
    </row>
    <row r="117" spans="1:6" hidden="1" x14ac:dyDescent="0.2">
      <c r="A117" s="69" t="s">
        <v>434</v>
      </c>
      <c r="B117" s="31" t="str">
        <f t="shared" si="2"/>
        <v>111006010194</v>
      </c>
      <c r="C117" s="15"/>
      <c r="D117" s="12">
        <v>0</v>
      </c>
      <c r="E117" s="13">
        <v>0</v>
      </c>
      <c r="F117" s="70">
        <v>0</v>
      </c>
    </row>
    <row r="118" spans="1:6" hidden="1" x14ac:dyDescent="0.2">
      <c r="A118" s="69" t="s">
        <v>435</v>
      </c>
      <c r="B118" s="31" t="str">
        <f t="shared" si="2"/>
        <v>111006010195</v>
      </c>
      <c r="C118" s="15"/>
      <c r="D118" s="12">
        <v>0</v>
      </c>
      <c r="E118" s="13">
        <v>0</v>
      </c>
      <c r="F118" s="70">
        <v>0</v>
      </c>
    </row>
    <row r="119" spans="1:6" hidden="1" x14ac:dyDescent="0.2">
      <c r="A119" s="69" t="s">
        <v>436</v>
      </c>
      <c r="B119" s="31" t="str">
        <f t="shared" si="2"/>
        <v>111006010196</v>
      </c>
      <c r="C119" s="15"/>
      <c r="D119" s="12">
        <v>0</v>
      </c>
      <c r="E119" s="13">
        <v>0</v>
      </c>
      <c r="F119" s="70">
        <v>0</v>
      </c>
    </row>
    <row r="120" spans="1:6" hidden="1" x14ac:dyDescent="0.2">
      <c r="A120" s="69" t="s">
        <v>437</v>
      </c>
      <c r="B120" s="31" t="str">
        <f t="shared" si="2"/>
        <v>111006010197</v>
      </c>
      <c r="C120" s="15"/>
      <c r="D120" s="12">
        <v>1555.93111</v>
      </c>
      <c r="E120" s="13">
        <v>0</v>
      </c>
      <c r="F120" s="70">
        <v>0</v>
      </c>
    </row>
    <row r="121" spans="1:6" hidden="1" x14ac:dyDescent="0.2">
      <c r="A121" s="69" t="s">
        <v>438</v>
      </c>
      <c r="B121" s="31" t="str">
        <f t="shared" si="2"/>
        <v>111006010199</v>
      </c>
      <c r="C121" s="15"/>
      <c r="D121" s="12">
        <v>0</v>
      </c>
      <c r="E121" s="13">
        <v>0</v>
      </c>
      <c r="F121" s="70">
        <v>0</v>
      </c>
    </row>
    <row r="122" spans="1:6" hidden="1" x14ac:dyDescent="0.2">
      <c r="A122" s="69" t="s">
        <v>439</v>
      </c>
      <c r="B122" s="31" t="str">
        <f t="shared" si="2"/>
        <v>111006010204</v>
      </c>
      <c r="C122" s="15"/>
      <c r="D122" s="12">
        <v>0</v>
      </c>
      <c r="E122" s="13">
        <v>0</v>
      </c>
      <c r="F122" s="70">
        <v>0</v>
      </c>
    </row>
    <row r="123" spans="1:6" hidden="1" x14ac:dyDescent="0.2">
      <c r="A123" s="69" t="s">
        <v>440</v>
      </c>
      <c r="B123" s="31" t="str">
        <f t="shared" si="2"/>
        <v>111006010209</v>
      </c>
      <c r="C123" s="15"/>
      <c r="D123" s="12">
        <v>0</v>
      </c>
      <c r="E123" s="13">
        <v>0</v>
      </c>
      <c r="F123" s="70">
        <v>0</v>
      </c>
    </row>
    <row r="124" spans="1:6" hidden="1" x14ac:dyDescent="0.2">
      <c r="A124" s="69" t="s">
        <v>70</v>
      </c>
      <c r="B124" s="31" t="str">
        <f t="shared" si="2"/>
        <v>111006010213</v>
      </c>
      <c r="C124" s="15"/>
      <c r="D124" s="12">
        <v>1109.5635</v>
      </c>
      <c r="E124" s="13">
        <v>0</v>
      </c>
      <c r="F124" s="70">
        <v>0</v>
      </c>
    </row>
    <row r="125" spans="1:6" hidden="1" x14ac:dyDescent="0.2">
      <c r="A125" s="69" t="s">
        <v>36</v>
      </c>
      <c r="B125" s="31" t="str">
        <f t="shared" si="2"/>
        <v>111006010214</v>
      </c>
      <c r="C125" s="15"/>
      <c r="D125" s="12">
        <v>0</v>
      </c>
      <c r="E125" s="13">
        <v>0</v>
      </c>
      <c r="F125" s="70">
        <v>0</v>
      </c>
    </row>
    <row r="126" spans="1:6" hidden="1" x14ac:dyDescent="0.2">
      <c r="A126" s="69" t="s">
        <v>37</v>
      </c>
      <c r="B126" s="31" t="str">
        <f t="shared" si="2"/>
        <v>111006010216</v>
      </c>
      <c r="C126" s="15"/>
      <c r="D126" s="12">
        <v>0</v>
      </c>
      <c r="E126" s="13">
        <v>0</v>
      </c>
      <c r="F126" s="70">
        <v>0</v>
      </c>
    </row>
    <row r="127" spans="1:6" hidden="1" x14ac:dyDescent="0.2">
      <c r="A127" s="69" t="s">
        <v>38</v>
      </c>
      <c r="B127" s="31" t="str">
        <f t="shared" si="2"/>
        <v>111006010222</v>
      </c>
      <c r="C127" s="15"/>
      <c r="D127" s="12">
        <v>0</v>
      </c>
      <c r="E127" s="13">
        <v>0</v>
      </c>
      <c r="F127" s="70">
        <v>0</v>
      </c>
    </row>
    <row r="128" spans="1:6" hidden="1" x14ac:dyDescent="0.2">
      <c r="A128" s="69" t="s">
        <v>39</v>
      </c>
      <c r="B128" s="31" t="str">
        <f t="shared" si="2"/>
        <v>111006010224</v>
      </c>
      <c r="C128" s="15"/>
      <c r="D128" s="12">
        <v>0</v>
      </c>
      <c r="E128" s="13">
        <v>0</v>
      </c>
      <c r="F128" s="70">
        <v>0</v>
      </c>
    </row>
    <row r="129" spans="1:6" hidden="1" x14ac:dyDescent="0.2">
      <c r="A129" s="69" t="s">
        <v>40</v>
      </c>
      <c r="B129" s="31" t="str">
        <f t="shared" si="2"/>
        <v>111006010227</v>
      </c>
      <c r="C129" s="15"/>
      <c r="D129" s="12">
        <v>0</v>
      </c>
      <c r="E129" s="13">
        <v>0</v>
      </c>
      <c r="F129" s="70">
        <v>0</v>
      </c>
    </row>
    <row r="130" spans="1:6" hidden="1" x14ac:dyDescent="0.2">
      <c r="A130" s="69" t="s">
        <v>41</v>
      </c>
      <c r="B130" s="31" t="str">
        <f t="shared" si="2"/>
        <v>111006010234</v>
      </c>
      <c r="C130" s="15"/>
      <c r="D130" s="12">
        <v>0</v>
      </c>
      <c r="E130" s="13">
        <v>0</v>
      </c>
      <c r="F130" s="70">
        <v>0</v>
      </c>
    </row>
    <row r="131" spans="1:6" hidden="1" x14ac:dyDescent="0.2">
      <c r="A131" s="71" t="s">
        <v>42</v>
      </c>
      <c r="B131" s="31" t="str">
        <f t="shared" si="2"/>
        <v>111006010252</v>
      </c>
      <c r="C131" s="15"/>
      <c r="D131" s="12">
        <v>10.85528</v>
      </c>
      <c r="E131" s="13">
        <v>0</v>
      </c>
      <c r="F131" s="70">
        <v>0</v>
      </c>
    </row>
    <row r="132" spans="1:6" hidden="1" x14ac:dyDescent="0.2">
      <c r="A132" s="71" t="s">
        <v>43</v>
      </c>
      <c r="B132" s="31" t="str">
        <f t="shared" si="2"/>
        <v>111006010253</v>
      </c>
      <c r="C132" s="15"/>
      <c r="D132" s="12">
        <v>0</v>
      </c>
      <c r="E132" s="13">
        <v>0</v>
      </c>
      <c r="F132" s="70">
        <v>0</v>
      </c>
    </row>
    <row r="133" spans="1:6" hidden="1" x14ac:dyDescent="0.2">
      <c r="A133" s="69" t="s">
        <v>44</v>
      </c>
      <c r="B133" s="31" t="str">
        <f t="shared" si="2"/>
        <v>111006010254</v>
      </c>
      <c r="C133" s="15"/>
      <c r="D133" s="12">
        <v>0</v>
      </c>
      <c r="E133" s="13">
        <v>0</v>
      </c>
      <c r="F133" s="70">
        <v>0</v>
      </c>
    </row>
    <row r="134" spans="1:6" hidden="1" x14ac:dyDescent="0.2">
      <c r="A134" s="69" t="s">
        <v>45</v>
      </c>
      <c r="B134" s="31" t="str">
        <f t="shared" si="2"/>
        <v>111006010255</v>
      </c>
      <c r="C134" s="15"/>
      <c r="D134" s="12">
        <v>0</v>
      </c>
      <c r="E134" s="13">
        <v>0</v>
      </c>
      <c r="F134" s="70">
        <v>0</v>
      </c>
    </row>
    <row r="135" spans="1:6" hidden="1" x14ac:dyDescent="0.2">
      <c r="A135" s="69" t="s">
        <v>46</v>
      </c>
      <c r="B135" s="31" t="str">
        <f t="shared" si="2"/>
        <v>111006010257</v>
      </c>
      <c r="C135" s="15"/>
      <c r="D135" s="12">
        <v>0</v>
      </c>
      <c r="E135" s="13">
        <v>0</v>
      </c>
      <c r="F135" s="70">
        <v>0</v>
      </c>
    </row>
    <row r="136" spans="1:6" hidden="1" x14ac:dyDescent="0.2">
      <c r="A136" s="71" t="s">
        <v>47</v>
      </c>
      <c r="B136" s="31" t="str">
        <f t="shared" si="2"/>
        <v>111006010271</v>
      </c>
      <c r="C136" s="15"/>
      <c r="D136" s="12">
        <v>0</v>
      </c>
      <c r="E136" s="13">
        <v>0</v>
      </c>
      <c r="F136" s="70">
        <v>0</v>
      </c>
    </row>
    <row r="137" spans="1:6" hidden="1" x14ac:dyDescent="0.2">
      <c r="A137" s="71" t="s">
        <v>48</v>
      </c>
      <c r="B137" s="31" t="str">
        <f t="shared" si="2"/>
        <v>111006010273</v>
      </c>
      <c r="C137" s="15"/>
      <c r="D137" s="12">
        <v>21.39602</v>
      </c>
      <c r="E137" s="13">
        <v>0</v>
      </c>
      <c r="F137" s="70">
        <v>0</v>
      </c>
    </row>
    <row r="138" spans="1:6" hidden="1" x14ac:dyDescent="0.2">
      <c r="A138" s="69" t="s">
        <v>51</v>
      </c>
      <c r="B138" s="31" t="str">
        <f t="shared" si="2"/>
        <v>111006010291</v>
      </c>
      <c r="C138" s="15"/>
      <c r="D138" s="12">
        <v>10.48643</v>
      </c>
      <c r="E138" s="13">
        <v>0</v>
      </c>
      <c r="F138" s="70">
        <v>0</v>
      </c>
    </row>
    <row r="139" spans="1:6" hidden="1" x14ac:dyDescent="0.2">
      <c r="A139" s="71" t="s">
        <v>731</v>
      </c>
      <c r="B139" s="33" t="str">
        <f t="shared" si="2"/>
        <v>111006010298</v>
      </c>
      <c r="C139" s="15"/>
      <c r="D139" s="12">
        <v>41.044269999999997</v>
      </c>
      <c r="E139" s="13">
        <v>0</v>
      </c>
      <c r="F139" s="70">
        <v>0</v>
      </c>
    </row>
    <row r="140" spans="1:6" hidden="1" x14ac:dyDescent="0.2">
      <c r="A140" s="71" t="s">
        <v>732</v>
      </c>
      <c r="B140" s="33" t="str">
        <f t="shared" si="2"/>
        <v>111006020101</v>
      </c>
      <c r="C140" s="15"/>
      <c r="D140" s="12">
        <v>0</v>
      </c>
      <c r="E140" s="13">
        <v>0</v>
      </c>
      <c r="F140" s="70">
        <v>0</v>
      </c>
    </row>
    <row r="141" spans="1:6" hidden="1" x14ac:dyDescent="0.2">
      <c r="A141" s="71" t="s">
        <v>733</v>
      </c>
      <c r="B141" s="73" t="s">
        <v>733</v>
      </c>
      <c r="C141" s="15"/>
      <c r="D141" s="12">
        <v>181.67804000000001</v>
      </c>
      <c r="E141" s="13">
        <v>0</v>
      </c>
      <c r="F141" s="70">
        <v>0</v>
      </c>
    </row>
    <row r="142" spans="1:6" hidden="1" x14ac:dyDescent="0.2">
      <c r="A142" s="71" t="s">
        <v>734</v>
      </c>
      <c r="B142" s="73" t="s">
        <v>734</v>
      </c>
      <c r="C142" s="15"/>
      <c r="D142" s="12">
        <v>85.810199999999995</v>
      </c>
      <c r="E142" s="13">
        <v>0</v>
      </c>
      <c r="F142" s="70">
        <v>0</v>
      </c>
    </row>
    <row r="143" spans="1:6" hidden="1" x14ac:dyDescent="0.2">
      <c r="A143" s="69" t="s">
        <v>735</v>
      </c>
      <c r="B143" s="72" t="s">
        <v>735</v>
      </c>
      <c r="C143" s="15"/>
      <c r="D143" s="12">
        <v>3000</v>
      </c>
      <c r="E143" s="13">
        <v>0</v>
      </c>
      <c r="F143" s="70">
        <v>0</v>
      </c>
    </row>
    <row r="144" spans="1:6" hidden="1" x14ac:dyDescent="0.2">
      <c r="A144" s="71" t="s">
        <v>357</v>
      </c>
      <c r="B144" s="73" t="s">
        <v>357</v>
      </c>
      <c r="C144" s="15"/>
      <c r="D144" s="12">
        <v>11000</v>
      </c>
      <c r="E144" s="13">
        <v>0</v>
      </c>
      <c r="F144" s="70">
        <v>0</v>
      </c>
    </row>
    <row r="145" spans="1:6" hidden="1" x14ac:dyDescent="0.2">
      <c r="A145" s="69" t="s">
        <v>358</v>
      </c>
      <c r="B145" s="72" t="s">
        <v>358</v>
      </c>
      <c r="C145" s="15"/>
      <c r="D145" s="12">
        <v>2.3749699999999998</v>
      </c>
      <c r="E145" s="13">
        <v>0</v>
      </c>
      <c r="F145" s="70">
        <v>0</v>
      </c>
    </row>
    <row r="146" spans="1:6" hidden="1" x14ac:dyDescent="0.2">
      <c r="A146" s="71" t="s">
        <v>408</v>
      </c>
      <c r="B146" s="33" t="s">
        <v>408</v>
      </c>
      <c r="C146" s="15"/>
      <c r="D146" s="12">
        <v>0</v>
      </c>
      <c r="E146" s="13">
        <v>0</v>
      </c>
      <c r="F146" s="70">
        <v>0</v>
      </c>
    </row>
    <row r="147" spans="1:6" ht="14.25" hidden="1" customHeight="1" x14ac:dyDescent="0.2">
      <c r="A147" s="71" t="s">
        <v>409</v>
      </c>
      <c r="B147" s="73" t="s">
        <v>409</v>
      </c>
      <c r="C147" s="15"/>
      <c r="D147" s="12">
        <v>0</v>
      </c>
      <c r="E147" s="13">
        <v>0</v>
      </c>
      <c r="F147" s="70">
        <v>0</v>
      </c>
    </row>
    <row r="148" spans="1:6" ht="14.25" hidden="1" customHeight="1" x14ac:dyDescent="0.2">
      <c r="A148" s="71" t="s">
        <v>410</v>
      </c>
      <c r="B148" s="33" t="str">
        <f>A148</f>
        <v>111006020136</v>
      </c>
      <c r="C148" s="15"/>
      <c r="D148" s="12">
        <v>0</v>
      </c>
      <c r="E148" s="13">
        <v>0</v>
      </c>
      <c r="F148" s="70">
        <v>0</v>
      </c>
    </row>
    <row r="149" spans="1:6" ht="14.25" hidden="1" customHeight="1" x14ac:dyDescent="0.2">
      <c r="A149" s="71" t="s">
        <v>641</v>
      </c>
      <c r="B149" s="33" t="str">
        <f>A149</f>
        <v>111006020137</v>
      </c>
      <c r="C149" s="15"/>
      <c r="D149" s="12">
        <v>0</v>
      </c>
      <c r="E149" s="13">
        <v>0</v>
      </c>
      <c r="F149" s="70">
        <v>0</v>
      </c>
    </row>
    <row r="150" spans="1:6" ht="14.25" hidden="1" customHeight="1" x14ac:dyDescent="0.2">
      <c r="A150" s="71" t="s">
        <v>642</v>
      </c>
      <c r="B150" s="33" t="str">
        <f>A150</f>
        <v>111006020144</v>
      </c>
      <c r="C150" s="15"/>
      <c r="D150" s="12">
        <v>0</v>
      </c>
      <c r="E150" s="13">
        <v>0</v>
      </c>
      <c r="F150" s="70">
        <v>0</v>
      </c>
    </row>
    <row r="151" spans="1:6" ht="14.25" hidden="1" customHeight="1" x14ac:dyDescent="0.2">
      <c r="A151" s="71" t="s">
        <v>643</v>
      </c>
      <c r="B151" s="31" t="str">
        <f>A151</f>
        <v>111006020173</v>
      </c>
      <c r="C151" s="15"/>
      <c r="D151" s="12">
        <v>0</v>
      </c>
      <c r="E151" s="13">
        <v>0</v>
      </c>
      <c r="F151" s="70">
        <v>0</v>
      </c>
    </row>
    <row r="152" spans="1:6" ht="14.25" hidden="1" customHeight="1" x14ac:dyDescent="0.2">
      <c r="A152" s="69" t="s">
        <v>644</v>
      </c>
      <c r="B152" s="72" t="s">
        <v>644</v>
      </c>
      <c r="C152" s="15"/>
      <c r="D152" s="12">
        <v>3987.1259300000002</v>
      </c>
      <c r="E152" s="13">
        <v>0</v>
      </c>
      <c r="F152" s="70">
        <v>0</v>
      </c>
    </row>
    <row r="153" spans="1:6" ht="14.25" hidden="1" customHeight="1" x14ac:dyDescent="0.2">
      <c r="A153" s="71" t="s">
        <v>645</v>
      </c>
      <c r="B153" s="33" t="str">
        <f>A153</f>
        <v>111006020198</v>
      </c>
      <c r="C153" s="15"/>
      <c r="D153" s="12">
        <v>0</v>
      </c>
      <c r="E153" s="13">
        <v>0</v>
      </c>
      <c r="F153" s="70">
        <v>0</v>
      </c>
    </row>
    <row r="154" spans="1:6" ht="14.25" hidden="1" customHeight="1" x14ac:dyDescent="0.2">
      <c r="A154" s="71" t="s">
        <v>646</v>
      </c>
      <c r="B154" s="33" t="str">
        <f>A154</f>
        <v>111006020213</v>
      </c>
      <c r="C154" s="15"/>
      <c r="D154" s="12">
        <v>4113.03593</v>
      </c>
      <c r="E154" s="13">
        <v>0</v>
      </c>
      <c r="F154" s="70">
        <v>0</v>
      </c>
    </row>
    <row r="155" spans="1:6" ht="15" hidden="1" customHeight="1" x14ac:dyDescent="0.2">
      <c r="A155" s="71" t="s">
        <v>647</v>
      </c>
      <c r="B155" s="33" t="str">
        <f>A155</f>
        <v>1110069901</v>
      </c>
      <c r="C155" s="15"/>
      <c r="D155" s="12">
        <v>90.924059999999997</v>
      </c>
      <c r="E155" s="13">
        <v>0</v>
      </c>
      <c r="F155" s="70">
        <v>0</v>
      </c>
    </row>
    <row r="156" spans="1:6" ht="15" hidden="1" customHeight="1" x14ac:dyDescent="0.2">
      <c r="A156" s="69" t="s">
        <v>648</v>
      </c>
      <c r="B156" s="33" t="str">
        <f>A156</f>
        <v>1110069902</v>
      </c>
      <c r="C156" s="15"/>
      <c r="D156" s="12">
        <v>0</v>
      </c>
      <c r="E156" s="13">
        <v>0</v>
      </c>
      <c r="F156" s="70">
        <v>0</v>
      </c>
    </row>
    <row r="157" spans="1:6" ht="15" customHeight="1" x14ac:dyDescent="0.2">
      <c r="A157" s="69"/>
      <c r="B157" s="31"/>
      <c r="C157" s="15"/>
      <c r="D157" s="12"/>
      <c r="E157" s="13"/>
      <c r="F157" s="70"/>
    </row>
    <row r="158" spans="1:6" ht="15.75" customHeight="1" x14ac:dyDescent="0.2">
      <c r="A158" s="69"/>
      <c r="B158" s="31" t="s">
        <v>407</v>
      </c>
      <c r="C158" s="15" t="s">
        <v>542</v>
      </c>
      <c r="D158" s="12">
        <v>0</v>
      </c>
      <c r="E158" s="13">
        <v>-0.5</v>
      </c>
      <c r="F158" s="70">
        <f>+D158*E158</f>
        <v>0</v>
      </c>
    </row>
    <row r="159" spans="1:6" ht="15" hidden="1" customHeight="1" x14ac:dyDescent="0.2">
      <c r="A159" s="71" t="s">
        <v>518</v>
      </c>
      <c r="B159" s="33" t="str">
        <f>A159</f>
        <v>111006010101</v>
      </c>
      <c r="C159" s="15"/>
      <c r="D159" s="12">
        <v>622.11965999999995</v>
      </c>
      <c r="E159" s="13">
        <v>0</v>
      </c>
      <c r="F159" s="70">
        <v>0</v>
      </c>
    </row>
    <row r="160" spans="1:6" ht="15" hidden="1" customHeight="1" x14ac:dyDescent="0.2">
      <c r="A160" s="71" t="s">
        <v>221</v>
      </c>
      <c r="B160" s="33" t="str">
        <f>A160</f>
        <v>111006010105</v>
      </c>
      <c r="C160" s="15"/>
      <c r="D160" s="12">
        <v>405.33708000000001</v>
      </c>
      <c r="E160" s="13">
        <v>0</v>
      </c>
      <c r="F160" s="70">
        <v>0</v>
      </c>
    </row>
    <row r="161" spans="1:6" ht="15" hidden="1" customHeight="1" x14ac:dyDescent="0.2">
      <c r="A161" s="71" t="s">
        <v>223</v>
      </c>
      <c r="B161" s="33" t="str">
        <f>A161</f>
        <v>111006010107</v>
      </c>
      <c r="C161" s="15"/>
      <c r="D161" s="12">
        <v>0</v>
      </c>
      <c r="E161" s="13">
        <v>0</v>
      </c>
      <c r="F161" s="70">
        <v>0</v>
      </c>
    </row>
    <row r="162" spans="1:6" ht="15" hidden="1" customHeight="1" x14ac:dyDescent="0.2">
      <c r="A162" s="71" t="s">
        <v>737</v>
      </c>
      <c r="B162" s="73" t="s">
        <v>737</v>
      </c>
      <c r="C162" s="15"/>
      <c r="D162" s="12">
        <v>134.38497000000001</v>
      </c>
      <c r="E162" s="13">
        <v>0</v>
      </c>
      <c r="F162" s="70">
        <v>0</v>
      </c>
    </row>
    <row r="163" spans="1:6" ht="15" hidden="1" customHeight="1" x14ac:dyDescent="0.2">
      <c r="A163" s="71" t="s">
        <v>11</v>
      </c>
      <c r="B163" s="33" t="str">
        <f>A163</f>
        <v>111006010112</v>
      </c>
      <c r="C163" s="15"/>
      <c r="D163" s="12">
        <v>-41.588000000000001</v>
      </c>
      <c r="E163" s="13">
        <v>0</v>
      </c>
      <c r="F163" s="70">
        <v>0</v>
      </c>
    </row>
    <row r="164" spans="1:6" ht="15" hidden="1" customHeight="1" x14ac:dyDescent="0.2">
      <c r="A164" s="69" t="s">
        <v>282</v>
      </c>
      <c r="B164" s="72" t="s">
        <v>282</v>
      </c>
      <c r="C164" s="15"/>
      <c r="D164" s="12">
        <v>0</v>
      </c>
      <c r="E164" s="13">
        <v>0</v>
      </c>
      <c r="F164" s="70">
        <v>0</v>
      </c>
    </row>
    <row r="165" spans="1:6" ht="15" hidden="1" customHeight="1" x14ac:dyDescent="0.2">
      <c r="A165" s="71" t="s">
        <v>284</v>
      </c>
      <c r="B165" s="73" t="s">
        <v>284</v>
      </c>
      <c r="C165" s="15"/>
      <c r="D165" s="12">
        <v>0</v>
      </c>
      <c r="E165" s="13">
        <v>0</v>
      </c>
      <c r="F165" s="70">
        <v>0</v>
      </c>
    </row>
    <row r="166" spans="1:6" ht="15" hidden="1" customHeight="1" x14ac:dyDescent="0.2">
      <c r="A166" s="69" t="s">
        <v>285</v>
      </c>
      <c r="B166" s="72" t="s">
        <v>285</v>
      </c>
      <c r="C166" s="15"/>
      <c r="D166" s="12">
        <v>0</v>
      </c>
      <c r="E166" s="13">
        <v>0</v>
      </c>
      <c r="F166" s="70">
        <v>0</v>
      </c>
    </row>
    <row r="167" spans="1:6" ht="15" hidden="1" customHeight="1" x14ac:dyDescent="0.2">
      <c r="A167" s="71" t="s">
        <v>286</v>
      </c>
      <c r="B167" s="33" t="str">
        <f>A167</f>
        <v>111006010117</v>
      </c>
      <c r="C167" s="15"/>
      <c r="D167" s="12">
        <v>0.50949</v>
      </c>
      <c r="E167" s="13">
        <v>0</v>
      </c>
      <c r="F167" s="70">
        <v>0</v>
      </c>
    </row>
    <row r="168" spans="1:6" ht="15" hidden="1" customHeight="1" x14ac:dyDescent="0.2">
      <c r="A168" s="71" t="s">
        <v>287</v>
      </c>
      <c r="B168" s="33" t="str">
        <f>A168</f>
        <v>111006010118</v>
      </c>
      <c r="C168" s="15"/>
      <c r="D168" s="12">
        <v>0</v>
      </c>
      <c r="E168" s="13">
        <v>0</v>
      </c>
      <c r="F168" s="70">
        <v>0</v>
      </c>
    </row>
    <row r="169" spans="1:6" ht="15" hidden="1" customHeight="1" x14ac:dyDescent="0.2">
      <c r="A169" s="71" t="s">
        <v>289</v>
      </c>
      <c r="B169" s="33" t="str">
        <f>A169</f>
        <v>111006010120</v>
      </c>
      <c r="C169" s="15"/>
      <c r="D169" s="12">
        <v>10.44853</v>
      </c>
      <c r="E169" s="13">
        <v>0</v>
      </c>
      <c r="F169" s="70">
        <v>0</v>
      </c>
    </row>
    <row r="170" spans="1:6" ht="15" hidden="1" customHeight="1" x14ac:dyDescent="0.2">
      <c r="A170" s="71" t="s">
        <v>657</v>
      </c>
      <c r="B170" s="73" t="s">
        <v>657</v>
      </c>
      <c r="C170" s="15"/>
      <c r="D170" s="12">
        <v>0</v>
      </c>
      <c r="E170" s="13">
        <v>0</v>
      </c>
      <c r="F170" s="70">
        <v>0</v>
      </c>
    </row>
    <row r="171" spans="1:6" ht="15" hidden="1" customHeight="1" x14ac:dyDescent="0.2">
      <c r="A171" s="69" t="s">
        <v>658</v>
      </c>
      <c r="B171" s="72" t="s">
        <v>658</v>
      </c>
      <c r="C171" s="15"/>
      <c r="D171" s="12">
        <v>-944.95681999999999</v>
      </c>
      <c r="E171" s="13">
        <v>0</v>
      </c>
      <c r="F171" s="70">
        <v>0</v>
      </c>
    </row>
    <row r="172" spans="1:6" ht="15" hidden="1" customHeight="1" x14ac:dyDescent="0.2">
      <c r="A172" s="71" t="s">
        <v>288</v>
      </c>
      <c r="B172" s="33" t="str">
        <f t="shared" ref="B172:B182" si="3">A172</f>
        <v>111006010119</v>
      </c>
      <c r="C172" s="15"/>
      <c r="D172" s="12">
        <v>0</v>
      </c>
      <c r="E172" s="13">
        <v>0</v>
      </c>
      <c r="F172" s="70">
        <v>0</v>
      </c>
    </row>
    <row r="173" spans="1:6" ht="15" hidden="1" customHeight="1" x14ac:dyDescent="0.2">
      <c r="A173" s="71" t="s">
        <v>395</v>
      </c>
      <c r="B173" s="33" t="str">
        <f t="shared" si="3"/>
        <v>111006010131</v>
      </c>
      <c r="C173" s="15"/>
      <c r="D173" s="12">
        <v>1.4999999999999999E-2</v>
      </c>
      <c r="E173" s="13">
        <v>0</v>
      </c>
      <c r="F173" s="70">
        <v>0</v>
      </c>
    </row>
    <row r="174" spans="1:6" ht="15" hidden="1" customHeight="1" x14ac:dyDescent="0.2">
      <c r="A174" s="71" t="s">
        <v>396</v>
      </c>
      <c r="B174" s="33" t="str">
        <f t="shared" si="3"/>
        <v>111006010132</v>
      </c>
      <c r="C174" s="15"/>
      <c r="D174" s="12">
        <v>0</v>
      </c>
      <c r="E174" s="13">
        <v>0</v>
      </c>
      <c r="F174" s="70">
        <v>0</v>
      </c>
    </row>
    <row r="175" spans="1:6" ht="15" hidden="1" customHeight="1" x14ac:dyDescent="0.2">
      <c r="A175" s="71" t="s">
        <v>397</v>
      </c>
      <c r="B175" s="33" t="str">
        <f t="shared" si="3"/>
        <v>111006010133</v>
      </c>
      <c r="C175" s="15"/>
      <c r="D175" s="12">
        <v>1887.3162</v>
      </c>
      <c r="E175" s="13">
        <v>0</v>
      </c>
      <c r="F175" s="70">
        <v>0</v>
      </c>
    </row>
    <row r="176" spans="1:6" ht="15" hidden="1" customHeight="1" x14ac:dyDescent="0.2">
      <c r="A176" s="71" t="s">
        <v>400</v>
      </c>
      <c r="B176" s="33" t="str">
        <f t="shared" si="3"/>
        <v>111006010136</v>
      </c>
      <c r="C176" s="15"/>
      <c r="D176" s="12">
        <v>0.55008999999999997</v>
      </c>
      <c r="E176" s="13">
        <v>0</v>
      </c>
      <c r="F176" s="70">
        <v>0</v>
      </c>
    </row>
    <row r="177" spans="1:6" ht="15" hidden="1" customHeight="1" x14ac:dyDescent="0.2">
      <c r="A177" s="71" t="s">
        <v>7</v>
      </c>
      <c r="B177" s="33" t="str">
        <f t="shared" si="3"/>
        <v>111006010137</v>
      </c>
      <c r="C177" s="15"/>
      <c r="D177" s="12">
        <v>1857.7452800000001</v>
      </c>
      <c r="E177" s="13">
        <v>0</v>
      </c>
      <c r="F177" s="70">
        <v>0</v>
      </c>
    </row>
    <row r="178" spans="1:6" ht="15" hidden="1" customHeight="1" x14ac:dyDescent="0.2">
      <c r="A178" s="71" t="s">
        <v>598</v>
      </c>
      <c r="B178" s="33" t="str">
        <f t="shared" si="3"/>
        <v>111006010141</v>
      </c>
      <c r="C178" s="15"/>
      <c r="D178" s="12">
        <v>76.142110000000002</v>
      </c>
      <c r="E178" s="13">
        <v>0</v>
      </c>
      <c r="F178" s="70">
        <v>0</v>
      </c>
    </row>
    <row r="179" spans="1:6" ht="15" hidden="1" customHeight="1" x14ac:dyDescent="0.2">
      <c r="A179" s="71" t="s">
        <v>601</v>
      </c>
      <c r="B179" s="33" t="str">
        <f t="shared" si="3"/>
        <v>111006010144</v>
      </c>
      <c r="C179" s="15"/>
      <c r="D179" s="12">
        <v>0</v>
      </c>
      <c r="E179" s="13">
        <v>0</v>
      </c>
      <c r="F179" s="70">
        <v>0</v>
      </c>
    </row>
    <row r="180" spans="1:6" ht="15" hidden="1" customHeight="1" x14ac:dyDescent="0.2">
      <c r="A180" s="71" t="s">
        <v>602</v>
      </c>
      <c r="B180" s="33" t="str">
        <f t="shared" si="3"/>
        <v>111006010145</v>
      </c>
      <c r="C180" s="15"/>
      <c r="D180" s="12">
        <v>0</v>
      </c>
      <c r="E180" s="13">
        <v>0</v>
      </c>
      <c r="F180" s="70">
        <v>0</v>
      </c>
    </row>
    <row r="181" spans="1:6" ht="15" hidden="1" customHeight="1" x14ac:dyDescent="0.2">
      <c r="A181" s="71" t="s">
        <v>603</v>
      </c>
      <c r="B181" s="33" t="str">
        <f t="shared" si="3"/>
        <v>111006010146</v>
      </c>
      <c r="C181" s="15"/>
      <c r="D181" s="12">
        <v>56.796979999999998</v>
      </c>
      <c r="E181" s="13">
        <v>0</v>
      </c>
      <c r="F181" s="70">
        <v>0</v>
      </c>
    </row>
    <row r="182" spans="1:6" ht="15" hidden="1" customHeight="1" x14ac:dyDescent="0.2">
      <c r="A182" s="71" t="s">
        <v>767</v>
      </c>
      <c r="B182" s="33" t="str">
        <f t="shared" si="3"/>
        <v>111006010150</v>
      </c>
      <c r="C182" s="15"/>
      <c r="D182" s="12">
        <v>-3.5009999999999999</v>
      </c>
      <c r="E182" s="13">
        <v>0</v>
      </c>
      <c r="F182" s="70">
        <v>0</v>
      </c>
    </row>
    <row r="183" spans="1:6" ht="15" hidden="1" customHeight="1" x14ac:dyDescent="0.2">
      <c r="A183" s="69" t="s">
        <v>151</v>
      </c>
      <c r="B183" s="72" t="s">
        <v>151</v>
      </c>
      <c r="C183" s="15"/>
      <c r="D183" s="12">
        <v>0</v>
      </c>
      <c r="E183" s="13">
        <v>0</v>
      </c>
      <c r="F183" s="70">
        <v>0</v>
      </c>
    </row>
    <row r="184" spans="1:6" ht="15" hidden="1" customHeight="1" x14ac:dyDescent="0.2">
      <c r="A184" s="71" t="s">
        <v>768</v>
      </c>
      <c r="B184" s="33" t="str">
        <f>A184</f>
        <v>111006010151</v>
      </c>
      <c r="C184" s="15"/>
      <c r="D184" s="12">
        <v>771.49510999999995</v>
      </c>
      <c r="E184" s="13">
        <v>0</v>
      </c>
      <c r="F184" s="70">
        <v>0</v>
      </c>
    </row>
    <row r="185" spans="1:6" ht="15" hidden="1" customHeight="1" x14ac:dyDescent="0.2">
      <c r="A185" s="69" t="s">
        <v>154</v>
      </c>
      <c r="B185" s="31" t="s">
        <v>154</v>
      </c>
      <c r="C185" s="15"/>
      <c r="D185" s="12">
        <v>4.0928100000000001</v>
      </c>
      <c r="E185" s="13">
        <v>0</v>
      </c>
      <c r="F185" s="70">
        <v>0</v>
      </c>
    </row>
    <row r="186" spans="1:6" ht="15" hidden="1" customHeight="1" x14ac:dyDescent="0.2">
      <c r="A186" s="69" t="s">
        <v>417</v>
      </c>
      <c r="B186" s="72" t="s">
        <v>417</v>
      </c>
      <c r="C186" s="15"/>
      <c r="D186" s="12">
        <v>144.65468999999999</v>
      </c>
      <c r="E186" s="13">
        <v>0</v>
      </c>
      <c r="F186" s="70">
        <v>0</v>
      </c>
    </row>
    <row r="187" spans="1:6" ht="15" hidden="1" customHeight="1" x14ac:dyDescent="0.2">
      <c r="A187" s="71" t="s">
        <v>364</v>
      </c>
      <c r="B187" s="33" t="str">
        <f>A187</f>
        <v>111006010172</v>
      </c>
      <c r="C187" s="15"/>
      <c r="D187" s="12">
        <v>0</v>
      </c>
      <c r="E187" s="13">
        <v>0</v>
      </c>
      <c r="F187" s="70">
        <v>0</v>
      </c>
    </row>
    <row r="188" spans="1:6" ht="15" hidden="1" customHeight="1" x14ac:dyDescent="0.2">
      <c r="A188" s="71" t="s">
        <v>366</v>
      </c>
      <c r="B188" s="33" t="str">
        <f>A188</f>
        <v>111006010175</v>
      </c>
      <c r="C188" s="15"/>
      <c r="D188" s="12">
        <v>4906.3112799999999</v>
      </c>
      <c r="E188" s="13">
        <v>0</v>
      </c>
      <c r="F188" s="70">
        <v>0</v>
      </c>
    </row>
    <row r="189" spans="1:6" ht="15" hidden="1" customHeight="1" x14ac:dyDescent="0.2">
      <c r="A189" s="71" t="s">
        <v>372</v>
      </c>
      <c r="B189" s="73" t="s">
        <v>372</v>
      </c>
      <c r="C189" s="15"/>
      <c r="D189" s="12">
        <v>865.23397999999997</v>
      </c>
      <c r="E189" s="13">
        <v>0</v>
      </c>
      <c r="F189" s="70">
        <v>0</v>
      </c>
    </row>
    <row r="190" spans="1:6" ht="15" hidden="1" customHeight="1" x14ac:dyDescent="0.2">
      <c r="A190" s="71" t="s">
        <v>430</v>
      </c>
      <c r="B190" s="33" t="str">
        <f t="shared" ref="B190:B197" si="4">A190</f>
        <v>111006010190</v>
      </c>
      <c r="C190" s="15"/>
      <c r="D190" s="12">
        <v>0</v>
      </c>
      <c r="E190" s="13">
        <v>0</v>
      </c>
      <c r="F190" s="70">
        <v>0</v>
      </c>
    </row>
    <row r="191" spans="1:6" ht="15" hidden="1" customHeight="1" x14ac:dyDescent="0.2">
      <c r="A191" s="71" t="s">
        <v>433</v>
      </c>
      <c r="B191" s="33" t="str">
        <f t="shared" si="4"/>
        <v>111006010193</v>
      </c>
      <c r="C191" s="15"/>
      <c r="D191" s="12">
        <v>-3.7835100000000002</v>
      </c>
      <c r="E191" s="13">
        <v>0</v>
      </c>
      <c r="F191" s="70">
        <v>0</v>
      </c>
    </row>
    <row r="192" spans="1:6" ht="15" hidden="1" customHeight="1" x14ac:dyDescent="0.2">
      <c r="A192" s="71" t="s">
        <v>436</v>
      </c>
      <c r="B192" s="33" t="str">
        <f t="shared" si="4"/>
        <v>111006010196</v>
      </c>
      <c r="C192" s="15"/>
      <c r="D192" s="12">
        <v>0</v>
      </c>
      <c r="E192" s="13">
        <v>0</v>
      </c>
      <c r="F192" s="70">
        <v>0</v>
      </c>
    </row>
    <row r="193" spans="1:6" ht="15" hidden="1" customHeight="1" x14ac:dyDescent="0.2">
      <c r="A193" s="71" t="s">
        <v>437</v>
      </c>
      <c r="B193" s="33" t="str">
        <f t="shared" si="4"/>
        <v>111006010197</v>
      </c>
      <c r="C193" s="15"/>
      <c r="D193" s="12">
        <v>1555.93111</v>
      </c>
      <c r="E193" s="13">
        <v>0</v>
      </c>
      <c r="F193" s="70">
        <v>0</v>
      </c>
    </row>
    <row r="194" spans="1:6" ht="15" hidden="1" customHeight="1" x14ac:dyDescent="0.2">
      <c r="A194" s="71" t="s">
        <v>440</v>
      </c>
      <c r="B194" s="33" t="str">
        <f t="shared" si="4"/>
        <v>111006010209</v>
      </c>
      <c r="C194" s="15"/>
      <c r="D194" s="12">
        <v>0</v>
      </c>
      <c r="E194" s="13">
        <v>0</v>
      </c>
      <c r="F194" s="70">
        <v>0</v>
      </c>
    </row>
    <row r="195" spans="1:6" ht="15" hidden="1" customHeight="1" x14ac:dyDescent="0.2">
      <c r="A195" s="71" t="s">
        <v>70</v>
      </c>
      <c r="B195" s="33" t="str">
        <f t="shared" si="4"/>
        <v>111006010213</v>
      </c>
      <c r="C195" s="15"/>
      <c r="D195" s="12">
        <v>1109.5635</v>
      </c>
      <c r="E195" s="13">
        <v>0</v>
      </c>
      <c r="F195" s="70">
        <v>0</v>
      </c>
    </row>
    <row r="196" spans="1:6" ht="15" hidden="1" customHeight="1" x14ac:dyDescent="0.2">
      <c r="A196" s="71" t="s">
        <v>51</v>
      </c>
      <c r="B196" s="33" t="str">
        <f t="shared" si="4"/>
        <v>111006010291</v>
      </c>
      <c r="C196" s="15"/>
      <c r="D196" s="12">
        <v>10.48643</v>
      </c>
      <c r="E196" s="13">
        <v>0</v>
      </c>
      <c r="F196" s="70">
        <v>0</v>
      </c>
    </row>
    <row r="197" spans="1:6" ht="15" hidden="1" customHeight="1" x14ac:dyDescent="0.2">
      <c r="A197" s="71" t="s">
        <v>732</v>
      </c>
      <c r="B197" s="33" t="str">
        <f t="shared" si="4"/>
        <v>111006020101</v>
      </c>
      <c r="C197" s="15"/>
      <c r="D197" s="12">
        <v>0</v>
      </c>
      <c r="E197" s="13">
        <v>0</v>
      </c>
      <c r="F197" s="70">
        <v>0</v>
      </c>
    </row>
    <row r="198" spans="1:6" ht="15" hidden="1" customHeight="1" x14ac:dyDescent="0.2">
      <c r="A198" s="71" t="s">
        <v>733</v>
      </c>
      <c r="B198" s="73" t="s">
        <v>733</v>
      </c>
      <c r="C198" s="15"/>
      <c r="D198" s="12">
        <v>181.67804000000001</v>
      </c>
      <c r="E198" s="13">
        <v>0</v>
      </c>
      <c r="F198" s="70">
        <v>0</v>
      </c>
    </row>
    <row r="199" spans="1:6" ht="15" hidden="1" customHeight="1" x14ac:dyDescent="0.2">
      <c r="A199" s="71" t="s">
        <v>734</v>
      </c>
      <c r="B199" s="73" t="s">
        <v>734</v>
      </c>
      <c r="C199" s="15"/>
      <c r="D199" s="12">
        <v>85.810199999999995</v>
      </c>
      <c r="E199" s="13">
        <v>0</v>
      </c>
      <c r="F199" s="70">
        <v>0</v>
      </c>
    </row>
    <row r="200" spans="1:6" ht="15" hidden="1" customHeight="1" x14ac:dyDescent="0.2">
      <c r="A200" s="71" t="s">
        <v>543</v>
      </c>
      <c r="B200" s="33" t="s">
        <v>543</v>
      </c>
      <c r="C200" s="15"/>
      <c r="D200" s="12"/>
      <c r="E200" s="13">
        <v>0</v>
      </c>
      <c r="F200" s="70">
        <v>0</v>
      </c>
    </row>
    <row r="201" spans="1:6" ht="15" hidden="1" customHeight="1" x14ac:dyDescent="0.2">
      <c r="A201" s="71" t="s">
        <v>357</v>
      </c>
      <c r="B201" s="73" t="s">
        <v>357</v>
      </c>
      <c r="C201" s="15"/>
      <c r="D201" s="12">
        <v>11000</v>
      </c>
      <c r="E201" s="13">
        <v>0</v>
      </c>
      <c r="F201" s="70">
        <v>0</v>
      </c>
    </row>
    <row r="202" spans="1:6" ht="15" hidden="1" customHeight="1" x14ac:dyDescent="0.2">
      <c r="A202" s="69" t="s">
        <v>358</v>
      </c>
      <c r="B202" s="72" t="s">
        <v>358</v>
      </c>
      <c r="C202" s="15"/>
      <c r="D202" s="12">
        <v>2.3749699999999998</v>
      </c>
      <c r="E202" s="13">
        <v>0</v>
      </c>
      <c r="F202" s="70">
        <v>0</v>
      </c>
    </row>
    <row r="203" spans="1:6" ht="15" hidden="1" customHeight="1" x14ac:dyDescent="0.2">
      <c r="A203" s="71" t="s">
        <v>408</v>
      </c>
      <c r="B203" s="33" t="s">
        <v>408</v>
      </c>
      <c r="C203" s="15"/>
      <c r="D203" s="12">
        <v>0</v>
      </c>
      <c r="E203" s="13">
        <v>0</v>
      </c>
      <c r="F203" s="70">
        <v>0</v>
      </c>
    </row>
    <row r="204" spans="1:6" ht="15" hidden="1" customHeight="1" x14ac:dyDescent="0.2">
      <c r="A204" s="71" t="s">
        <v>409</v>
      </c>
      <c r="B204" s="73" t="s">
        <v>409</v>
      </c>
      <c r="C204" s="15"/>
      <c r="D204" s="12">
        <v>0</v>
      </c>
      <c r="E204" s="13">
        <v>0</v>
      </c>
      <c r="F204" s="70">
        <v>0</v>
      </c>
    </row>
    <row r="205" spans="1:6" ht="15" hidden="1" customHeight="1" x14ac:dyDescent="0.2">
      <c r="A205" s="71" t="s">
        <v>410</v>
      </c>
      <c r="B205" s="33" t="str">
        <f>A205</f>
        <v>111006020136</v>
      </c>
      <c r="C205" s="15"/>
      <c r="D205" s="12">
        <v>0</v>
      </c>
      <c r="E205" s="13">
        <v>0</v>
      </c>
      <c r="F205" s="70">
        <v>0</v>
      </c>
    </row>
    <row r="206" spans="1:6" ht="15" hidden="1" customHeight="1" x14ac:dyDescent="0.2">
      <c r="A206" s="71" t="s">
        <v>641</v>
      </c>
      <c r="B206" s="33" t="str">
        <f>A206</f>
        <v>111006020137</v>
      </c>
      <c r="C206" s="15"/>
      <c r="D206" s="12">
        <v>0</v>
      </c>
      <c r="E206" s="13">
        <v>0</v>
      </c>
      <c r="F206" s="70">
        <v>0</v>
      </c>
    </row>
    <row r="207" spans="1:6" ht="15" hidden="1" customHeight="1" x14ac:dyDescent="0.2">
      <c r="A207" s="71" t="s">
        <v>642</v>
      </c>
      <c r="B207" s="33" t="str">
        <f>A207</f>
        <v>111006020144</v>
      </c>
      <c r="C207" s="15"/>
      <c r="D207" s="12">
        <v>0</v>
      </c>
      <c r="E207" s="13">
        <v>0</v>
      </c>
      <c r="F207" s="70">
        <v>0</v>
      </c>
    </row>
    <row r="208" spans="1:6" ht="15" hidden="1" customHeight="1" x14ac:dyDescent="0.2">
      <c r="A208" s="69" t="s">
        <v>644</v>
      </c>
      <c r="B208" s="72" t="s">
        <v>644</v>
      </c>
      <c r="C208" s="15"/>
      <c r="D208" s="12">
        <v>3987.1259300000002</v>
      </c>
      <c r="E208" s="13">
        <v>0</v>
      </c>
      <c r="F208" s="70">
        <v>0</v>
      </c>
    </row>
    <row r="209" spans="1:6" ht="15" hidden="1" customHeight="1" x14ac:dyDescent="0.2">
      <c r="A209" s="69" t="s">
        <v>646</v>
      </c>
      <c r="B209" s="33" t="str">
        <f>A209</f>
        <v>111006020213</v>
      </c>
      <c r="C209" s="15"/>
      <c r="D209" s="12">
        <v>4113.03593</v>
      </c>
      <c r="E209" s="13">
        <v>0</v>
      </c>
      <c r="F209" s="70">
        <v>0</v>
      </c>
    </row>
    <row r="210" spans="1:6" ht="15" hidden="1" customHeight="1" x14ac:dyDescent="0.2">
      <c r="A210" s="71" t="s">
        <v>544</v>
      </c>
      <c r="B210" s="33" t="str">
        <f>A210</f>
        <v>111006990105</v>
      </c>
      <c r="C210" s="15"/>
      <c r="D210" s="12">
        <v>0.16017999999999999</v>
      </c>
      <c r="E210" s="13">
        <v>0</v>
      </c>
      <c r="F210" s="70">
        <v>0</v>
      </c>
    </row>
    <row r="211" spans="1:6" ht="15" hidden="1" customHeight="1" x14ac:dyDescent="0.2">
      <c r="A211" s="69" t="s">
        <v>545</v>
      </c>
      <c r="B211" s="33" t="str">
        <f>A211</f>
        <v>111006990106</v>
      </c>
      <c r="C211" s="15"/>
      <c r="D211" s="12">
        <v>7.5730000000000006E-2</v>
      </c>
      <c r="E211" s="13">
        <v>0</v>
      </c>
      <c r="F211" s="70">
        <v>0</v>
      </c>
    </row>
    <row r="212" spans="1:6" ht="15" hidden="1" customHeight="1" x14ac:dyDescent="0.2">
      <c r="A212" s="71" t="s">
        <v>546</v>
      </c>
      <c r="B212" s="73" t="s">
        <v>546</v>
      </c>
      <c r="C212" s="15"/>
      <c r="D212" s="12">
        <v>83.645830000000004</v>
      </c>
      <c r="E212" s="13">
        <v>0</v>
      </c>
      <c r="F212" s="70">
        <v>0</v>
      </c>
    </row>
    <row r="213" spans="1:6" ht="15" hidden="1" customHeight="1" x14ac:dyDescent="0.2">
      <c r="A213" s="69" t="s">
        <v>547</v>
      </c>
      <c r="B213" s="33" t="str">
        <f>A213</f>
        <v>111006990120</v>
      </c>
      <c r="C213" s="15"/>
      <c r="D213" s="12"/>
      <c r="E213" s="13"/>
      <c r="F213" s="70"/>
    </row>
    <row r="214" spans="1:6" ht="15" hidden="1" customHeight="1" x14ac:dyDescent="0.2">
      <c r="A214" s="69" t="s">
        <v>548</v>
      </c>
      <c r="B214" s="33" t="str">
        <f>A214</f>
        <v>111006990133</v>
      </c>
      <c r="C214" s="15"/>
      <c r="D214" s="12">
        <v>0</v>
      </c>
      <c r="E214" s="13">
        <v>0</v>
      </c>
      <c r="F214" s="70">
        <v>0</v>
      </c>
    </row>
    <row r="215" spans="1:6" ht="15" hidden="1" customHeight="1" x14ac:dyDescent="0.2">
      <c r="A215" s="69" t="s">
        <v>549</v>
      </c>
      <c r="B215" s="33" t="str">
        <f>A215</f>
        <v>111006990137</v>
      </c>
      <c r="C215" s="15"/>
      <c r="D215" s="12">
        <v>0</v>
      </c>
      <c r="E215" s="13">
        <v>0</v>
      </c>
      <c r="F215" s="70">
        <v>0</v>
      </c>
    </row>
    <row r="216" spans="1:6" ht="15" hidden="1" customHeight="1" x14ac:dyDescent="0.2">
      <c r="A216" s="69" t="s">
        <v>550</v>
      </c>
      <c r="B216" s="33" t="str">
        <f>A216</f>
        <v>111006990144</v>
      </c>
      <c r="C216" s="15"/>
      <c r="D216" s="12">
        <v>0</v>
      </c>
      <c r="E216" s="13">
        <v>0</v>
      </c>
      <c r="F216" s="70">
        <v>0</v>
      </c>
    </row>
    <row r="217" spans="1:6" ht="15.75" hidden="1" customHeight="1" x14ac:dyDescent="0.2">
      <c r="A217" s="69" t="s">
        <v>650</v>
      </c>
      <c r="B217" s="33" t="str">
        <f>A217</f>
        <v>111006990213</v>
      </c>
      <c r="C217" s="15"/>
      <c r="D217" s="12">
        <v>0</v>
      </c>
      <c r="E217" s="13">
        <v>0</v>
      </c>
      <c r="F217" s="70">
        <v>0</v>
      </c>
    </row>
    <row r="218" spans="1:6" ht="15" customHeight="1" x14ac:dyDescent="0.2">
      <c r="A218" s="69"/>
      <c r="B218" s="33"/>
      <c r="C218" s="15"/>
      <c r="D218" s="12"/>
      <c r="E218" s="13"/>
      <c r="F218" s="70"/>
    </row>
    <row r="219" spans="1:6" ht="15" customHeight="1" x14ac:dyDescent="0.2">
      <c r="A219" s="71" t="s">
        <v>651</v>
      </c>
      <c r="B219" s="34" t="s">
        <v>278</v>
      </c>
      <c r="C219" s="9" t="s">
        <v>652</v>
      </c>
      <c r="D219" s="12">
        <v>0</v>
      </c>
      <c r="E219" s="13">
        <v>0.2</v>
      </c>
      <c r="F219" s="70">
        <f>+D219*E219</f>
        <v>0</v>
      </c>
    </row>
    <row r="220" spans="1:6" ht="17.25" customHeight="1" x14ac:dyDescent="0.2">
      <c r="A220" s="69" t="s">
        <v>653</v>
      </c>
      <c r="B220" s="32" t="s">
        <v>279</v>
      </c>
      <c r="C220" s="9" t="s">
        <v>654</v>
      </c>
      <c r="D220" s="12">
        <v>0</v>
      </c>
      <c r="E220" s="13">
        <v>0.2</v>
      </c>
      <c r="F220" s="70">
        <f>+D220*E220</f>
        <v>0</v>
      </c>
    </row>
    <row r="221" spans="1:6" x14ac:dyDescent="0.2">
      <c r="A221" s="69"/>
      <c r="B221" s="33"/>
      <c r="C221" s="9"/>
      <c r="D221" s="12"/>
      <c r="E221" s="13"/>
      <c r="F221" s="70"/>
    </row>
    <row r="222" spans="1:6" x14ac:dyDescent="0.2">
      <c r="A222" s="69">
        <v>1121</v>
      </c>
      <c r="B222" s="31" t="s">
        <v>655</v>
      </c>
      <c r="C222" s="17" t="s">
        <v>656</v>
      </c>
      <c r="D222" s="12">
        <f>SUM(D223:D234)</f>
        <v>0</v>
      </c>
      <c r="E222" s="13">
        <v>0</v>
      </c>
      <c r="F222" s="70">
        <v>0</v>
      </c>
    </row>
    <row r="223" spans="1:6" hidden="1" x14ac:dyDescent="0.2">
      <c r="A223" s="69">
        <v>112101</v>
      </c>
      <c r="B223" s="31" t="s">
        <v>24</v>
      </c>
      <c r="C223" s="15" t="s">
        <v>750</v>
      </c>
      <c r="D223" s="12"/>
      <c r="E223" s="13">
        <v>1</v>
      </c>
      <c r="F223" s="70">
        <f>+D223*E223</f>
        <v>0</v>
      </c>
    </row>
    <row r="224" spans="1:6" hidden="1" x14ac:dyDescent="0.2">
      <c r="A224" s="69">
        <v>112102</v>
      </c>
      <c r="B224" s="31" t="s">
        <v>382</v>
      </c>
      <c r="C224" s="15" t="s">
        <v>697</v>
      </c>
      <c r="D224" s="12"/>
      <c r="E224" s="13">
        <v>1</v>
      </c>
      <c r="F224" s="70">
        <f>+D224*E224</f>
        <v>0</v>
      </c>
    </row>
    <row r="225" spans="1:6" hidden="1" x14ac:dyDescent="0.2">
      <c r="A225" s="69"/>
      <c r="B225" s="33"/>
      <c r="C225" s="9"/>
      <c r="D225" s="12"/>
      <c r="E225" s="13"/>
      <c r="F225" s="70"/>
    </row>
    <row r="226" spans="1:6" x14ac:dyDescent="0.2">
      <c r="A226" s="69">
        <v>112103</v>
      </c>
      <c r="B226" s="33" t="s">
        <v>698</v>
      </c>
      <c r="C226" s="15" t="s">
        <v>699</v>
      </c>
      <c r="D226" s="12">
        <v>0</v>
      </c>
      <c r="E226" s="13">
        <v>1</v>
      </c>
      <c r="F226" s="70">
        <f>+D226*E226</f>
        <v>0</v>
      </c>
    </row>
    <row r="227" spans="1:6" hidden="1" x14ac:dyDescent="0.2">
      <c r="A227" s="69"/>
      <c r="B227" s="33"/>
      <c r="C227" s="15"/>
      <c r="D227" s="12"/>
      <c r="E227" s="13"/>
      <c r="F227" s="70"/>
    </row>
    <row r="228" spans="1:6" hidden="1" x14ac:dyDescent="0.2">
      <c r="A228" s="69" t="s">
        <v>700</v>
      </c>
      <c r="B228" s="31" t="s">
        <v>406</v>
      </c>
      <c r="C228" s="15" t="s">
        <v>703</v>
      </c>
      <c r="D228" s="12"/>
      <c r="E228" s="13"/>
      <c r="F228" s="70"/>
    </row>
    <row r="229" spans="1:6" hidden="1" x14ac:dyDescent="0.2">
      <c r="A229" s="69"/>
      <c r="B229" s="34"/>
      <c r="C229" s="16"/>
      <c r="D229" s="12"/>
      <c r="E229" s="13"/>
      <c r="F229" s="70"/>
    </row>
    <row r="230" spans="1:6" hidden="1" x14ac:dyDescent="0.2">
      <c r="A230" s="69" t="s">
        <v>704</v>
      </c>
      <c r="B230" s="31" t="s">
        <v>131</v>
      </c>
      <c r="C230" s="15" t="s">
        <v>377</v>
      </c>
      <c r="D230" s="12"/>
      <c r="E230" s="13"/>
      <c r="F230" s="70"/>
    </row>
    <row r="231" spans="1:6" hidden="1" x14ac:dyDescent="0.2">
      <c r="A231" s="69"/>
      <c r="B231" s="34"/>
      <c r="C231" s="16"/>
      <c r="D231" s="12"/>
      <c r="E231" s="13"/>
      <c r="F231" s="70"/>
    </row>
    <row r="232" spans="1:6" hidden="1" x14ac:dyDescent="0.2">
      <c r="A232" s="69" t="s">
        <v>378</v>
      </c>
      <c r="B232" s="31" t="s">
        <v>407</v>
      </c>
      <c r="C232" s="15" t="s">
        <v>114</v>
      </c>
      <c r="D232" s="12"/>
      <c r="E232" s="13"/>
      <c r="F232" s="70"/>
    </row>
    <row r="233" spans="1:6" hidden="1" x14ac:dyDescent="0.2">
      <c r="A233" s="69"/>
      <c r="B233" s="34"/>
      <c r="C233" s="16"/>
      <c r="D233" s="12"/>
      <c r="E233" s="13"/>
      <c r="F233" s="70"/>
    </row>
    <row r="234" spans="1:6" x14ac:dyDescent="0.2">
      <c r="A234" s="71" t="s">
        <v>115</v>
      </c>
      <c r="B234" s="31" t="s">
        <v>116</v>
      </c>
      <c r="C234" s="15" t="s">
        <v>588</v>
      </c>
      <c r="D234" s="12">
        <f>SUM(D235:D245)</f>
        <v>0</v>
      </c>
      <c r="E234" s="13">
        <v>0</v>
      </c>
      <c r="F234" s="70">
        <v>0</v>
      </c>
    </row>
    <row r="235" spans="1:6" hidden="1" x14ac:dyDescent="0.2">
      <c r="A235" s="71" t="s">
        <v>117</v>
      </c>
      <c r="B235" s="32" t="s">
        <v>33</v>
      </c>
      <c r="C235" s="9" t="s">
        <v>418</v>
      </c>
      <c r="D235" s="12">
        <v>0</v>
      </c>
      <c r="E235" s="13">
        <v>0</v>
      </c>
      <c r="F235" s="70">
        <v>0</v>
      </c>
    </row>
    <row r="236" spans="1:6" hidden="1" x14ac:dyDescent="0.2">
      <c r="A236" s="71"/>
      <c r="B236" s="32"/>
      <c r="C236" s="9" t="s">
        <v>118</v>
      </c>
      <c r="D236" s="12"/>
      <c r="E236" s="13">
        <v>0</v>
      </c>
      <c r="F236" s="70">
        <f>+D236*E236</f>
        <v>0</v>
      </c>
    </row>
    <row r="237" spans="1:6" hidden="1" x14ac:dyDescent="0.2">
      <c r="A237" s="71" t="s">
        <v>119</v>
      </c>
      <c r="B237" s="32" t="s">
        <v>34</v>
      </c>
      <c r="C237" s="9" t="s">
        <v>71</v>
      </c>
      <c r="D237" s="12">
        <v>0</v>
      </c>
      <c r="E237" s="13">
        <v>0</v>
      </c>
      <c r="F237" s="70">
        <v>0</v>
      </c>
    </row>
    <row r="238" spans="1:6" ht="21" hidden="1" customHeight="1" x14ac:dyDescent="0.2">
      <c r="A238" s="71"/>
      <c r="B238" s="32"/>
      <c r="C238" s="9" t="s">
        <v>72</v>
      </c>
      <c r="D238" s="12">
        <v>0</v>
      </c>
      <c r="E238" s="13">
        <v>0</v>
      </c>
      <c r="F238" s="70">
        <v>0</v>
      </c>
    </row>
    <row r="239" spans="1:6" ht="15.75" hidden="1" customHeight="1" x14ac:dyDescent="0.2">
      <c r="A239" s="71" t="s">
        <v>475</v>
      </c>
      <c r="B239" s="32" t="s">
        <v>278</v>
      </c>
      <c r="C239" s="17" t="s">
        <v>476</v>
      </c>
      <c r="D239" s="12">
        <v>0</v>
      </c>
      <c r="E239" s="13">
        <v>1</v>
      </c>
      <c r="F239" s="70">
        <f>+D239*E239</f>
        <v>0</v>
      </c>
    </row>
    <row r="240" spans="1:6" ht="18" hidden="1" customHeight="1" x14ac:dyDescent="0.2">
      <c r="A240" s="71"/>
      <c r="B240" s="32"/>
      <c r="C240" s="15" t="s">
        <v>490</v>
      </c>
      <c r="D240" s="12">
        <v>0</v>
      </c>
      <c r="E240" s="13">
        <v>1</v>
      </c>
      <c r="F240" s="70">
        <v>0</v>
      </c>
    </row>
    <row r="241" spans="1:6" ht="14.25" hidden="1" customHeight="1" x14ac:dyDescent="0.2">
      <c r="A241" s="44">
        <v>1121070501</v>
      </c>
      <c r="B241" s="74" t="s">
        <v>299</v>
      </c>
      <c r="C241" s="75" t="s">
        <v>168</v>
      </c>
      <c r="D241" s="5">
        <v>0</v>
      </c>
      <c r="E241" s="13">
        <v>1</v>
      </c>
      <c r="F241" s="70">
        <f>+D241*E241</f>
        <v>0</v>
      </c>
    </row>
    <row r="242" spans="1:6" ht="30" hidden="1" customHeight="1" x14ac:dyDescent="0.2">
      <c r="A242" s="44"/>
      <c r="B242" s="74"/>
      <c r="C242" s="75" t="s">
        <v>708</v>
      </c>
      <c r="D242" s="75">
        <v>0</v>
      </c>
      <c r="E242" s="13">
        <v>1</v>
      </c>
      <c r="F242" s="70">
        <v>0</v>
      </c>
    </row>
    <row r="243" spans="1:6" ht="39" hidden="1" customHeight="1" x14ac:dyDescent="0.2">
      <c r="A243" s="71" t="s">
        <v>709</v>
      </c>
      <c r="B243" s="32" t="s">
        <v>298</v>
      </c>
      <c r="C243" s="15" t="s">
        <v>217</v>
      </c>
      <c r="D243" s="12">
        <v>0</v>
      </c>
      <c r="E243" s="13">
        <v>1</v>
      </c>
      <c r="F243" s="70">
        <v>0</v>
      </c>
    </row>
    <row r="244" spans="1:6" ht="15" hidden="1" customHeight="1" x14ac:dyDescent="0.2">
      <c r="A244" s="69" t="s">
        <v>4</v>
      </c>
      <c r="B244" s="32" t="s">
        <v>303</v>
      </c>
      <c r="C244" s="17" t="s">
        <v>5</v>
      </c>
      <c r="D244" s="12">
        <v>0</v>
      </c>
      <c r="E244" s="13">
        <v>1</v>
      </c>
      <c r="F244" s="70">
        <f>+D244*E244</f>
        <v>0</v>
      </c>
    </row>
    <row r="245" spans="1:6" ht="15" hidden="1" customHeight="1" x14ac:dyDescent="0.2">
      <c r="A245" s="71" t="s">
        <v>589</v>
      </c>
      <c r="B245" s="32" t="s">
        <v>219</v>
      </c>
      <c r="C245" s="9" t="s">
        <v>590</v>
      </c>
      <c r="D245" s="12">
        <v>0</v>
      </c>
      <c r="E245" s="13">
        <v>1</v>
      </c>
      <c r="F245" s="70">
        <f>+D245*E245</f>
        <v>0</v>
      </c>
    </row>
    <row r="246" spans="1:6" hidden="1" x14ac:dyDescent="0.2">
      <c r="A246" s="71"/>
      <c r="B246" s="32"/>
      <c r="C246" s="9"/>
      <c r="D246" s="12"/>
      <c r="E246" s="13"/>
      <c r="F246" s="70"/>
    </row>
    <row r="247" spans="1:6" hidden="1" x14ac:dyDescent="0.2">
      <c r="A247" s="69" t="s">
        <v>591</v>
      </c>
      <c r="B247" s="32" t="s">
        <v>591</v>
      </c>
      <c r="C247" s="9" t="s">
        <v>180</v>
      </c>
      <c r="D247" s="12"/>
      <c r="E247" s="13">
        <v>0</v>
      </c>
      <c r="F247" s="70">
        <v>0</v>
      </c>
    </row>
    <row r="248" spans="1:6" hidden="1" x14ac:dyDescent="0.2">
      <c r="A248" s="71"/>
      <c r="B248" s="32"/>
      <c r="C248" s="9"/>
      <c r="D248" s="12"/>
      <c r="E248" s="13"/>
      <c r="F248" s="70"/>
    </row>
    <row r="249" spans="1:6" hidden="1" x14ac:dyDescent="0.2">
      <c r="A249" s="69" t="s">
        <v>76</v>
      </c>
      <c r="B249" s="32" t="s">
        <v>76</v>
      </c>
      <c r="C249" s="9" t="s">
        <v>779</v>
      </c>
      <c r="D249" s="12"/>
      <c r="E249" s="13">
        <v>0</v>
      </c>
      <c r="F249" s="70">
        <v>0</v>
      </c>
    </row>
    <row r="250" spans="1:6" hidden="1" x14ac:dyDescent="0.2">
      <c r="A250" s="69"/>
      <c r="B250" s="31"/>
      <c r="C250" s="15"/>
      <c r="D250" s="12"/>
      <c r="E250" s="13"/>
      <c r="F250" s="70"/>
    </row>
    <row r="251" spans="1:6" x14ac:dyDescent="0.2">
      <c r="A251" s="69">
        <v>1130</v>
      </c>
      <c r="B251" s="32">
        <v>1130</v>
      </c>
      <c r="C251" s="18" t="s">
        <v>628</v>
      </c>
      <c r="D251" s="12" t="e">
        <f>SUM(D252+D267)</f>
        <v>#REF!</v>
      </c>
      <c r="E251" s="13">
        <v>0</v>
      </c>
      <c r="F251" s="70">
        <v>0</v>
      </c>
    </row>
    <row r="252" spans="1:6" x14ac:dyDescent="0.2">
      <c r="A252" s="69">
        <v>113001</v>
      </c>
      <c r="B252" s="31" t="s">
        <v>24</v>
      </c>
      <c r="C252" s="9" t="s">
        <v>127</v>
      </c>
      <c r="D252" s="12" t="e">
        <f>SUM(D253:D265)</f>
        <v>#REF!</v>
      </c>
      <c r="E252" s="13">
        <v>0</v>
      </c>
      <c r="F252" s="70">
        <v>0</v>
      </c>
    </row>
    <row r="253" spans="1:6" x14ac:dyDescent="0.2">
      <c r="A253" s="69" t="s">
        <v>629</v>
      </c>
      <c r="B253" s="32" t="s">
        <v>33</v>
      </c>
      <c r="C253" s="9" t="s">
        <v>418</v>
      </c>
      <c r="D253" s="12">
        <v>0</v>
      </c>
      <c r="E253" s="13">
        <v>0</v>
      </c>
      <c r="F253" s="70">
        <v>0</v>
      </c>
    </row>
    <row r="254" spans="1:6" hidden="1" x14ac:dyDescent="0.2">
      <c r="A254" s="69"/>
      <c r="B254" s="32"/>
      <c r="C254" s="15" t="s">
        <v>118</v>
      </c>
      <c r="D254" s="12">
        <v>0</v>
      </c>
      <c r="E254" s="13">
        <v>0</v>
      </c>
      <c r="F254" s="70">
        <v>0</v>
      </c>
    </row>
    <row r="255" spans="1:6" x14ac:dyDescent="0.2">
      <c r="A255" s="69" t="s">
        <v>665</v>
      </c>
      <c r="B255" s="32" t="s">
        <v>34</v>
      </c>
      <c r="C255" s="9" t="s">
        <v>620</v>
      </c>
      <c r="D255" s="12" t="e">
        <f>+#REF!</f>
        <v>#REF!</v>
      </c>
      <c r="E255" s="265">
        <v>0</v>
      </c>
      <c r="F255" s="70">
        <v>0</v>
      </c>
    </row>
    <row r="256" spans="1:6" ht="15.75" hidden="1" customHeight="1" x14ac:dyDescent="0.2">
      <c r="A256" s="69"/>
      <c r="B256" s="32"/>
      <c r="C256" s="9" t="s">
        <v>621</v>
      </c>
      <c r="D256" s="12">
        <v>0</v>
      </c>
      <c r="E256" s="13">
        <v>0</v>
      </c>
      <c r="F256" s="70">
        <v>0</v>
      </c>
    </row>
    <row r="257" spans="1:6" x14ac:dyDescent="0.2">
      <c r="A257" s="69" t="s">
        <v>622</v>
      </c>
      <c r="B257" s="32" t="s">
        <v>278</v>
      </c>
      <c r="C257" s="17" t="s">
        <v>623</v>
      </c>
      <c r="D257" s="12" t="e">
        <f>+#REF!</f>
        <v>#REF!</v>
      </c>
      <c r="E257" s="13">
        <v>1</v>
      </c>
      <c r="F257" s="70" t="e">
        <f>+D257*E257</f>
        <v>#REF!</v>
      </c>
    </row>
    <row r="258" spans="1:6" x14ac:dyDescent="0.2">
      <c r="A258" s="69" t="s">
        <v>624</v>
      </c>
      <c r="B258" s="32" t="s">
        <v>299</v>
      </c>
      <c r="C258" s="9" t="s">
        <v>625</v>
      </c>
      <c r="D258" s="12">
        <v>0</v>
      </c>
      <c r="E258" s="13">
        <v>1</v>
      </c>
      <c r="F258" s="70">
        <f>+D258*E258</f>
        <v>0</v>
      </c>
    </row>
    <row r="259" spans="1:6" hidden="1" x14ac:dyDescent="0.2">
      <c r="A259" s="69"/>
      <c r="B259" s="32"/>
      <c r="C259" s="9" t="s">
        <v>626</v>
      </c>
      <c r="D259" s="12"/>
      <c r="E259" s="13">
        <v>1</v>
      </c>
      <c r="F259" s="70"/>
    </row>
    <row r="260" spans="1:6" x14ac:dyDescent="0.2">
      <c r="A260" s="69" t="s">
        <v>503</v>
      </c>
      <c r="B260" s="32" t="s">
        <v>298</v>
      </c>
      <c r="C260" s="15" t="s">
        <v>217</v>
      </c>
      <c r="D260" s="12">
        <v>0</v>
      </c>
      <c r="E260" s="13">
        <v>1</v>
      </c>
      <c r="F260" s="70">
        <f t="shared" ref="F260:F265" si="5">+D260*E260</f>
        <v>0</v>
      </c>
    </row>
    <row r="261" spans="1:6" x14ac:dyDescent="0.2">
      <c r="A261" s="71" t="s">
        <v>55</v>
      </c>
      <c r="B261" s="34" t="s">
        <v>504</v>
      </c>
      <c r="C261" s="17" t="s">
        <v>393</v>
      </c>
      <c r="D261" s="12">
        <v>0</v>
      </c>
      <c r="E261" s="13">
        <v>-1</v>
      </c>
      <c r="F261" s="70">
        <f t="shared" si="5"/>
        <v>0</v>
      </c>
    </row>
    <row r="262" spans="1:6" x14ac:dyDescent="0.2">
      <c r="A262" s="71" t="s">
        <v>394</v>
      </c>
      <c r="B262" s="34" t="s">
        <v>303</v>
      </c>
      <c r="C262" s="9" t="s">
        <v>125</v>
      </c>
      <c r="D262" s="12">
        <v>0</v>
      </c>
      <c r="E262" s="13">
        <v>1</v>
      </c>
      <c r="F262" s="70">
        <f t="shared" si="5"/>
        <v>0</v>
      </c>
    </row>
    <row r="263" spans="1:6" ht="13.5" customHeight="1" x14ac:dyDescent="0.2">
      <c r="A263" s="71" t="s">
        <v>126</v>
      </c>
      <c r="B263" s="32" t="s">
        <v>219</v>
      </c>
      <c r="C263" s="15" t="s">
        <v>304</v>
      </c>
      <c r="D263" s="12">
        <v>0</v>
      </c>
      <c r="E263" s="13">
        <v>1</v>
      </c>
      <c r="F263" s="70">
        <f t="shared" si="5"/>
        <v>0</v>
      </c>
    </row>
    <row r="264" spans="1:6" x14ac:dyDescent="0.2">
      <c r="A264" s="69" t="s">
        <v>305</v>
      </c>
      <c r="B264" s="74" t="s">
        <v>220</v>
      </c>
      <c r="C264" s="17" t="s">
        <v>306</v>
      </c>
      <c r="D264" s="12">
        <v>0</v>
      </c>
      <c r="E264" s="13">
        <v>1</v>
      </c>
      <c r="F264" s="70">
        <f t="shared" si="5"/>
        <v>0</v>
      </c>
    </row>
    <row r="265" spans="1:6" ht="15" customHeight="1" x14ac:dyDescent="0.2">
      <c r="A265" s="69" t="s">
        <v>307</v>
      </c>
      <c r="B265" s="74" t="s">
        <v>321</v>
      </c>
      <c r="C265" s="17" t="s">
        <v>308</v>
      </c>
      <c r="D265" s="12"/>
      <c r="E265" s="13">
        <v>1</v>
      </c>
      <c r="F265" s="70">
        <f t="shared" si="5"/>
        <v>0</v>
      </c>
    </row>
    <row r="266" spans="1:6" x14ac:dyDescent="0.2">
      <c r="A266" s="69"/>
      <c r="B266" s="76"/>
      <c r="C266" s="75"/>
      <c r="D266" s="12"/>
      <c r="E266" s="13"/>
      <c r="F266" s="70"/>
    </row>
    <row r="267" spans="1:6" x14ac:dyDescent="0.2">
      <c r="A267" s="69">
        <v>113002</v>
      </c>
      <c r="B267" s="33" t="s">
        <v>309</v>
      </c>
      <c r="C267" s="15" t="s">
        <v>310</v>
      </c>
      <c r="D267" s="12">
        <f>SUM(D268:D272)</f>
        <v>0</v>
      </c>
      <c r="E267" s="13">
        <v>0</v>
      </c>
      <c r="F267" s="70">
        <v>0</v>
      </c>
    </row>
    <row r="268" spans="1:6" x14ac:dyDescent="0.2">
      <c r="A268" s="69" t="s">
        <v>311</v>
      </c>
      <c r="B268" s="32" t="s">
        <v>33</v>
      </c>
      <c r="C268" s="9" t="s">
        <v>418</v>
      </c>
      <c r="D268" s="12">
        <v>0</v>
      </c>
      <c r="E268" s="13">
        <v>0</v>
      </c>
      <c r="F268" s="70">
        <v>0</v>
      </c>
    </row>
    <row r="269" spans="1:6" hidden="1" x14ac:dyDescent="0.2">
      <c r="A269" s="69"/>
      <c r="B269" s="32"/>
      <c r="C269" s="15" t="s">
        <v>118</v>
      </c>
      <c r="D269" s="12"/>
      <c r="E269" s="13">
        <v>0</v>
      </c>
      <c r="F269" s="70">
        <v>0</v>
      </c>
    </row>
    <row r="270" spans="1:6" hidden="1" x14ac:dyDescent="0.2">
      <c r="A270" s="69" t="s">
        <v>312</v>
      </c>
      <c r="B270" s="32" t="s">
        <v>34</v>
      </c>
      <c r="C270" s="9" t="s">
        <v>620</v>
      </c>
      <c r="D270" s="12"/>
      <c r="E270" s="13">
        <v>0</v>
      </c>
      <c r="F270" s="70">
        <f>+D270*E270</f>
        <v>0</v>
      </c>
    </row>
    <row r="271" spans="1:6" hidden="1" x14ac:dyDescent="0.2">
      <c r="A271" s="69"/>
      <c r="B271" s="32"/>
      <c r="C271" s="9" t="s">
        <v>621</v>
      </c>
      <c r="D271" s="12"/>
      <c r="E271" s="13">
        <v>0</v>
      </c>
      <c r="F271" s="70">
        <f>+D271*E271</f>
        <v>0</v>
      </c>
    </row>
    <row r="272" spans="1:6" hidden="1" x14ac:dyDescent="0.2">
      <c r="A272" s="69" t="s">
        <v>313</v>
      </c>
      <c r="B272" s="32" t="s">
        <v>278</v>
      </c>
      <c r="C272" s="17" t="s">
        <v>623</v>
      </c>
      <c r="D272" s="12"/>
      <c r="E272" s="13">
        <v>1</v>
      </c>
      <c r="F272" s="70">
        <f>+D272*E272</f>
        <v>0</v>
      </c>
    </row>
    <row r="273" spans="1:6" hidden="1" x14ac:dyDescent="0.2">
      <c r="A273" s="69"/>
      <c r="B273" s="32"/>
      <c r="C273" s="17" t="s">
        <v>314</v>
      </c>
      <c r="D273" s="12"/>
      <c r="E273" s="13">
        <v>1</v>
      </c>
      <c r="F273" s="70">
        <v>0</v>
      </c>
    </row>
    <row r="274" spans="1:6" hidden="1" x14ac:dyDescent="0.2">
      <c r="A274" s="69" t="s">
        <v>315</v>
      </c>
      <c r="B274" s="32" t="s">
        <v>299</v>
      </c>
      <c r="C274" s="9" t="s">
        <v>625</v>
      </c>
      <c r="D274" s="12"/>
      <c r="E274" s="13">
        <v>1</v>
      </c>
      <c r="F274" s="70">
        <f>+D274*E274</f>
        <v>0</v>
      </c>
    </row>
    <row r="275" spans="1:6" hidden="1" x14ac:dyDescent="0.2">
      <c r="A275" s="69"/>
      <c r="B275" s="32"/>
      <c r="C275" s="9" t="s">
        <v>626</v>
      </c>
      <c r="D275" s="12"/>
      <c r="E275" s="13">
        <v>1</v>
      </c>
      <c r="F275" s="70"/>
    </row>
    <row r="276" spans="1:6" hidden="1" x14ac:dyDescent="0.2">
      <c r="A276" s="69" t="s">
        <v>605</v>
      </c>
      <c r="B276" s="32" t="s">
        <v>298</v>
      </c>
      <c r="C276" s="15" t="s">
        <v>217</v>
      </c>
      <c r="D276" s="12"/>
      <c r="E276" s="13">
        <v>1</v>
      </c>
      <c r="F276" s="70">
        <f>+D276*E276</f>
        <v>0</v>
      </c>
    </row>
    <row r="277" spans="1:6" hidden="1" x14ac:dyDescent="0.2">
      <c r="A277" s="69"/>
      <c r="B277" s="32"/>
      <c r="C277" s="15" t="s">
        <v>719</v>
      </c>
      <c r="D277" s="12"/>
      <c r="E277" s="13">
        <v>1</v>
      </c>
      <c r="F277" s="70"/>
    </row>
    <row r="278" spans="1:6" hidden="1" x14ac:dyDescent="0.2">
      <c r="A278" s="69" t="s">
        <v>592</v>
      </c>
      <c r="B278" s="32" t="s">
        <v>219</v>
      </c>
      <c r="C278" s="9" t="s">
        <v>125</v>
      </c>
      <c r="D278" s="12"/>
      <c r="E278" s="13">
        <v>1</v>
      </c>
      <c r="F278" s="70">
        <f>+D278*E278</f>
        <v>0</v>
      </c>
    </row>
    <row r="279" spans="1:6" hidden="1" x14ac:dyDescent="0.2">
      <c r="A279" s="69" t="s">
        <v>593</v>
      </c>
      <c r="B279" s="32" t="s">
        <v>58</v>
      </c>
      <c r="C279" s="9" t="s">
        <v>594</v>
      </c>
      <c r="D279" s="12">
        <v>0</v>
      </c>
      <c r="E279" s="13">
        <v>0</v>
      </c>
      <c r="F279" s="70">
        <v>0</v>
      </c>
    </row>
    <row r="280" spans="1:6" hidden="1" x14ac:dyDescent="0.2">
      <c r="A280" s="69"/>
      <c r="B280" s="32"/>
      <c r="C280" s="9" t="s">
        <v>169</v>
      </c>
      <c r="D280" s="12">
        <v>0</v>
      </c>
      <c r="E280" s="13">
        <v>0</v>
      </c>
      <c r="F280" s="70">
        <v>0</v>
      </c>
    </row>
    <row r="281" spans="1:6" hidden="1" x14ac:dyDescent="0.2">
      <c r="A281" s="69" t="s">
        <v>170</v>
      </c>
      <c r="B281" s="74" t="s">
        <v>220</v>
      </c>
      <c r="C281" s="17" t="s">
        <v>306</v>
      </c>
      <c r="D281" s="12">
        <v>0</v>
      </c>
      <c r="E281" s="13">
        <v>1</v>
      </c>
      <c r="F281" s="70">
        <v>0</v>
      </c>
    </row>
    <row r="282" spans="1:6" hidden="1" x14ac:dyDescent="0.2">
      <c r="A282" s="69"/>
      <c r="B282" s="74"/>
      <c r="C282" s="17" t="s">
        <v>308</v>
      </c>
      <c r="D282" s="12"/>
      <c r="E282" s="13">
        <v>0</v>
      </c>
      <c r="F282" s="70"/>
    </row>
    <row r="283" spans="1:6" x14ac:dyDescent="0.2">
      <c r="A283" s="69"/>
      <c r="B283" s="33"/>
      <c r="C283" s="15"/>
      <c r="D283" s="12"/>
      <c r="E283" s="13"/>
      <c r="F283" s="70"/>
    </row>
    <row r="284" spans="1:6" x14ac:dyDescent="0.2">
      <c r="A284" s="69">
        <v>1131</v>
      </c>
      <c r="B284" s="32">
        <v>1131</v>
      </c>
      <c r="C284" s="18" t="s">
        <v>20</v>
      </c>
      <c r="D284" s="12">
        <f>SUM(D285)</f>
        <v>0</v>
      </c>
      <c r="E284" s="13">
        <v>0</v>
      </c>
      <c r="F284" s="70">
        <v>0</v>
      </c>
    </row>
    <row r="285" spans="1:6" x14ac:dyDescent="0.2">
      <c r="A285" s="69">
        <v>113100</v>
      </c>
      <c r="B285" s="33" t="s">
        <v>427</v>
      </c>
      <c r="C285" s="18" t="s">
        <v>20</v>
      </c>
      <c r="D285" s="12">
        <f>SUM(D286:D299)</f>
        <v>0</v>
      </c>
      <c r="E285" s="13">
        <v>0</v>
      </c>
      <c r="F285" s="70">
        <v>0</v>
      </c>
    </row>
    <row r="286" spans="1:6" x14ac:dyDescent="0.2">
      <c r="A286" s="69" t="s">
        <v>428</v>
      </c>
      <c r="B286" s="32" t="s">
        <v>33</v>
      </c>
      <c r="C286" s="9" t="s">
        <v>418</v>
      </c>
      <c r="D286" s="12">
        <v>0</v>
      </c>
      <c r="E286" s="13">
        <v>0</v>
      </c>
      <c r="F286" s="70">
        <v>0</v>
      </c>
    </row>
    <row r="287" spans="1:6" ht="0.75" hidden="1" customHeight="1" x14ac:dyDescent="0.2">
      <c r="A287" s="69"/>
      <c r="B287" s="32"/>
      <c r="C287" s="15" t="s">
        <v>118</v>
      </c>
      <c r="D287" s="12"/>
      <c r="E287" s="13">
        <v>0</v>
      </c>
      <c r="F287" s="70">
        <v>0</v>
      </c>
    </row>
    <row r="288" spans="1:6" ht="13.5" customHeight="1" x14ac:dyDescent="0.2">
      <c r="A288" s="69" t="s">
        <v>464</v>
      </c>
      <c r="B288" s="32" t="s">
        <v>34</v>
      </c>
      <c r="C288" s="9" t="s">
        <v>620</v>
      </c>
      <c r="D288" s="12">
        <v>0</v>
      </c>
      <c r="E288" s="13">
        <v>0</v>
      </c>
      <c r="F288" s="70">
        <v>0</v>
      </c>
    </row>
    <row r="289" spans="1:6" ht="21" hidden="1" customHeight="1" x14ac:dyDescent="0.2">
      <c r="A289" s="69"/>
      <c r="B289" s="32"/>
      <c r="C289" s="9" t="s">
        <v>621</v>
      </c>
      <c r="D289" s="12"/>
      <c r="E289" s="13">
        <v>0</v>
      </c>
      <c r="F289" s="70">
        <f>+D289*E289</f>
        <v>0</v>
      </c>
    </row>
    <row r="290" spans="1:6" ht="17.25" hidden="1" customHeight="1" x14ac:dyDescent="0.2">
      <c r="A290" s="69" t="s">
        <v>465</v>
      </c>
      <c r="B290" s="32" t="s">
        <v>278</v>
      </c>
      <c r="C290" s="17" t="s">
        <v>623</v>
      </c>
      <c r="D290" s="12">
        <v>0</v>
      </c>
      <c r="E290" s="13">
        <v>1</v>
      </c>
      <c r="F290" s="70">
        <v>0</v>
      </c>
    </row>
    <row r="291" spans="1:6" ht="20.25" hidden="1" customHeight="1" x14ac:dyDescent="0.2">
      <c r="A291" s="69"/>
      <c r="B291" s="32"/>
      <c r="C291" s="17" t="s">
        <v>314</v>
      </c>
      <c r="D291" s="12"/>
      <c r="E291" s="13">
        <v>1</v>
      </c>
      <c r="F291" s="70">
        <v>0</v>
      </c>
    </row>
    <row r="292" spans="1:6" ht="23.25" hidden="1" customHeight="1" x14ac:dyDescent="0.2">
      <c r="A292" s="69" t="s">
        <v>466</v>
      </c>
      <c r="B292" s="32" t="s">
        <v>299</v>
      </c>
      <c r="C292" s="9" t="s">
        <v>625</v>
      </c>
      <c r="D292" s="12"/>
      <c r="E292" s="13">
        <v>1</v>
      </c>
      <c r="F292" s="70">
        <f>+D292*E292</f>
        <v>0</v>
      </c>
    </row>
    <row r="293" spans="1:6" ht="18.75" hidden="1" customHeight="1" x14ac:dyDescent="0.2">
      <c r="A293" s="69"/>
      <c r="B293" s="32"/>
      <c r="C293" s="9" t="s">
        <v>626</v>
      </c>
      <c r="D293" s="12"/>
      <c r="E293" s="13">
        <v>1</v>
      </c>
      <c r="F293" s="70"/>
    </row>
    <row r="294" spans="1:6" ht="24" hidden="1" customHeight="1" x14ac:dyDescent="0.2">
      <c r="A294" s="69" t="s">
        <v>467</v>
      </c>
      <c r="B294" s="32" t="s">
        <v>298</v>
      </c>
      <c r="C294" s="15" t="s">
        <v>217</v>
      </c>
      <c r="D294" s="12"/>
      <c r="E294" s="13">
        <v>1</v>
      </c>
      <c r="F294" s="70">
        <f>+D294*E294</f>
        <v>0</v>
      </c>
    </row>
    <row r="295" spans="1:6" ht="17.25" hidden="1" customHeight="1" x14ac:dyDescent="0.2">
      <c r="A295" s="69"/>
      <c r="B295" s="32"/>
      <c r="C295" s="15" t="s">
        <v>719</v>
      </c>
      <c r="D295" s="12"/>
      <c r="E295" s="13">
        <v>1</v>
      </c>
      <c r="F295" s="70"/>
    </row>
    <row r="296" spans="1:6" ht="18.75" hidden="1" customHeight="1" x14ac:dyDescent="0.2">
      <c r="A296" s="69" t="s">
        <v>468</v>
      </c>
      <c r="B296" s="32" t="s">
        <v>219</v>
      </c>
      <c r="C296" s="9" t="s">
        <v>125</v>
      </c>
      <c r="D296" s="12">
        <v>0</v>
      </c>
      <c r="E296" s="13">
        <v>1</v>
      </c>
      <c r="F296" s="70">
        <v>0</v>
      </c>
    </row>
    <row r="297" spans="1:6" ht="21" hidden="1" customHeight="1" x14ac:dyDescent="0.2">
      <c r="A297" s="69" t="s">
        <v>480</v>
      </c>
      <c r="B297" s="32" t="s">
        <v>58</v>
      </c>
      <c r="C297" s="9" t="s">
        <v>594</v>
      </c>
      <c r="D297" s="12"/>
      <c r="E297" s="13">
        <v>0</v>
      </c>
      <c r="F297" s="70"/>
    </row>
    <row r="298" spans="1:6" ht="18" hidden="1" customHeight="1" x14ac:dyDescent="0.2">
      <c r="A298" s="69"/>
      <c r="B298" s="32"/>
      <c r="C298" s="9" t="s">
        <v>169</v>
      </c>
      <c r="D298" s="12"/>
      <c r="E298" s="13">
        <v>0</v>
      </c>
      <c r="F298" s="70">
        <f>+D298*E298</f>
        <v>0</v>
      </c>
    </row>
    <row r="299" spans="1:6" x14ac:dyDescent="0.2">
      <c r="A299" s="69" t="s">
        <v>481</v>
      </c>
      <c r="B299" s="74" t="s">
        <v>220</v>
      </c>
      <c r="C299" s="17" t="s">
        <v>306</v>
      </c>
      <c r="D299" s="12">
        <v>0</v>
      </c>
      <c r="E299" s="13">
        <v>1</v>
      </c>
      <c r="F299" s="70">
        <f>+D299*E299</f>
        <v>0</v>
      </c>
    </row>
    <row r="300" spans="1:6" hidden="1" x14ac:dyDescent="0.2">
      <c r="A300" s="69"/>
      <c r="B300" s="74"/>
      <c r="C300" s="17" t="s">
        <v>308</v>
      </c>
      <c r="D300" s="12"/>
      <c r="E300" s="13">
        <v>1</v>
      </c>
      <c r="F300" s="70"/>
    </row>
    <row r="301" spans="1:6" x14ac:dyDescent="0.2">
      <c r="A301" s="69"/>
      <c r="B301" s="33"/>
      <c r="C301" s="15"/>
      <c r="D301" s="12"/>
      <c r="E301" s="13"/>
      <c r="F301" s="70">
        <f>+D301*E301</f>
        <v>0</v>
      </c>
    </row>
    <row r="302" spans="1:6" x14ac:dyDescent="0.2">
      <c r="A302" s="69">
        <v>1132</v>
      </c>
      <c r="B302" s="31">
        <v>1132</v>
      </c>
      <c r="C302" s="18" t="s">
        <v>482</v>
      </c>
      <c r="D302" s="12">
        <f>SUM(D303)</f>
        <v>0</v>
      </c>
      <c r="E302" s="13">
        <v>0</v>
      </c>
      <c r="F302" s="70">
        <v>0</v>
      </c>
    </row>
    <row r="303" spans="1:6" x14ac:dyDescent="0.2">
      <c r="A303" s="69">
        <v>113200</v>
      </c>
      <c r="B303" s="33" t="s">
        <v>427</v>
      </c>
      <c r="C303" s="18" t="s">
        <v>482</v>
      </c>
      <c r="D303" s="12">
        <f>SUM(D304:D317)-D313</f>
        <v>0</v>
      </c>
      <c r="E303" s="13">
        <v>0</v>
      </c>
      <c r="F303" s="70">
        <v>0</v>
      </c>
    </row>
    <row r="304" spans="1:6" x14ac:dyDescent="0.2">
      <c r="A304" s="69" t="s">
        <v>483</v>
      </c>
      <c r="B304" s="32" t="s">
        <v>33</v>
      </c>
      <c r="C304" s="9" t="s">
        <v>418</v>
      </c>
      <c r="D304" s="12">
        <v>0</v>
      </c>
      <c r="E304" s="13">
        <v>0</v>
      </c>
      <c r="F304" s="70">
        <v>0</v>
      </c>
    </row>
    <row r="305" spans="1:6" hidden="1" x14ac:dyDescent="0.2">
      <c r="A305" s="69"/>
      <c r="B305" s="32"/>
      <c r="C305" s="15" t="s">
        <v>118</v>
      </c>
      <c r="D305" s="12"/>
      <c r="E305" s="13">
        <v>0</v>
      </c>
      <c r="F305" s="70">
        <f>+D305*E305</f>
        <v>0</v>
      </c>
    </row>
    <row r="306" spans="1:6" x14ac:dyDescent="0.2">
      <c r="A306" s="69" t="s">
        <v>484</v>
      </c>
      <c r="B306" s="32" t="s">
        <v>34</v>
      </c>
      <c r="C306" s="9" t="s">
        <v>620</v>
      </c>
      <c r="D306" s="12">
        <v>0</v>
      </c>
      <c r="E306" s="13">
        <v>0</v>
      </c>
      <c r="F306" s="70">
        <v>0</v>
      </c>
    </row>
    <row r="307" spans="1:6" hidden="1" x14ac:dyDescent="0.2">
      <c r="A307" s="69"/>
      <c r="B307" s="32"/>
      <c r="C307" s="9" t="s">
        <v>621</v>
      </c>
      <c r="D307" s="12"/>
      <c r="E307" s="13">
        <v>0</v>
      </c>
      <c r="F307" s="70">
        <f>+D307*E307</f>
        <v>0</v>
      </c>
    </row>
    <row r="308" spans="1:6" hidden="1" x14ac:dyDescent="0.2">
      <c r="A308" s="69" t="s">
        <v>485</v>
      </c>
      <c r="B308" s="32" t="s">
        <v>278</v>
      </c>
      <c r="C308" s="17" t="s">
        <v>623</v>
      </c>
      <c r="D308" s="12"/>
      <c r="E308" s="13">
        <v>1</v>
      </c>
      <c r="F308" s="70">
        <f>+D308*E308</f>
        <v>0</v>
      </c>
    </row>
    <row r="309" spans="1:6" hidden="1" x14ac:dyDescent="0.2">
      <c r="A309" s="69"/>
      <c r="B309" s="32"/>
      <c r="C309" s="17" t="s">
        <v>314</v>
      </c>
      <c r="D309" s="12"/>
      <c r="E309" s="13">
        <v>1</v>
      </c>
      <c r="F309" s="70">
        <v>0</v>
      </c>
    </row>
    <row r="310" spans="1:6" x14ac:dyDescent="0.2">
      <c r="A310" s="69" t="s">
        <v>63</v>
      </c>
      <c r="B310" s="32" t="s">
        <v>299</v>
      </c>
      <c r="C310" s="9" t="s">
        <v>625</v>
      </c>
      <c r="D310" s="12">
        <v>0</v>
      </c>
      <c r="E310" s="13">
        <v>1</v>
      </c>
      <c r="F310" s="70">
        <f>+D310*E310</f>
        <v>0</v>
      </c>
    </row>
    <row r="311" spans="1:6" hidden="1" x14ac:dyDescent="0.2">
      <c r="A311" s="69"/>
      <c r="B311" s="32"/>
      <c r="C311" s="9" t="s">
        <v>626</v>
      </c>
      <c r="D311" s="12"/>
      <c r="E311" s="13">
        <v>1</v>
      </c>
      <c r="F311" s="70"/>
    </row>
    <row r="312" spans="1:6" x14ac:dyDescent="0.2">
      <c r="A312" s="69" t="s">
        <v>64</v>
      </c>
      <c r="B312" s="32" t="s">
        <v>298</v>
      </c>
      <c r="C312" s="15" t="s">
        <v>457</v>
      </c>
      <c r="D312" s="12">
        <v>0</v>
      </c>
      <c r="E312" s="13">
        <v>1</v>
      </c>
      <c r="F312" s="70">
        <f>+D312*E312</f>
        <v>0</v>
      </c>
    </row>
    <row r="313" spans="1:6" x14ac:dyDescent="0.2">
      <c r="A313" s="71" t="s">
        <v>458</v>
      </c>
      <c r="B313" s="73" t="s">
        <v>458</v>
      </c>
      <c r="C313" s="15" t="s">
        <v>457</v>
      </c>
      <c r="D313" s="12">
        <f>+D312*-1</f>
        <v>0</v>
      </c>
      <c r="E313" s="13">
        <v>-1</v>
      </c>
      <c r="F313" s="70">
        <f>+D313*E313</f>
        <v>0</v>
      </c>
    </row>
    <row r="314" spans="1:6" hidden="1" x14ac:dyDescent="0.2">
      <c r="A314" s="69" t="s">
        <v>459</v>
      </c>
      <c r="B314" s="32" t="s">
        <v>219</v>
      </c>
      <c r="C314" s="9" t="s">
        <v>125</v>
      </c>
      <c r="D314" s="12"/>
      <c r="E314" s="13">
        <v>1</v>
      </c>
      <c r="F314" s="70">
        <f>+D314*E314</f>
        <v>0</v>
      </c>
    </row>
    <row r="315" spans="1:6" hidden="1" x14ac:dyDescent="0.2">
      <c r="A315" s="69" t="s">
        <v>460</v>
      </c>
      <c r="B315" s="32" t="s">
        <v>58</v>
      </c>
      <c r="C315" s="9" t="s">
        <v>594</v>
      </c>
      <c r="D315" s="12"/>
      <c r="E315" s="13">
        <v>0</v>
      </c>
      <c r="F315" s="70">
        <v>0</v>
      </c>
    </row>
    <row r="316" spans="1:6" hidden="1" x14ac:dyDescent="0.2">
      <c r="A316" s="69"/>
      <c r="B316" s="32"/>
      <c r="C316" s="9" t="s">
        <v>169</v>
      </c>
      <c r="D316" s="12"/>
      <c r="E316" s="13">
        <v>0</v>
      </c>
      <c r="F316" s="70">
        <f>+D316*E316</f>
        <v>0</v>
      </c>
    </row>
    <row r="317" spans="1:6" x14ac:dyDescent="0.2">
      <c r="A317" s="69" t="s">
        <v>461</v>
      </c>
      <c r="B317" s="74" t="s">
        <v>220</v>
      </c>
      <c r="C317" s="17" t="s">
        <v>306</v>
      </c>
      <c r="D317" s="12">
        <v>0</v>
      </c>
      <c r="E317" s="13">
        <v>1</v>
      </c>
      <c r="F317" s="70">
        <f>+D317*E317</f>
        <v>0</v>
      </c>
    </row>
    <row r="318" spans="1:6" hidden="1" x14ac:dyDescent="0.2">
      <c r="A318" s="69"/>
      <c r="B318" s="74"/>
      <c r="C318" s="17" t="s">
        <v>308</v>
      </c>
      <c r="D318" s="12"/>
      <c r="E318" s="13">
        <v>0</v>
      </c>
      <c r="F318" s="70">
        <f t="shared" ref="F318:F325" si="6">+D318*E318</f>
        <v>0</v>
      </c>
    </row>
    <row r="319" spans="1:6" x14ac:dyDescent="0.2">
      <c r="A319" s="69"/>
      <c r="B319" s="33"/>
      <c r="C319" s="15"/>
      <c r="D319" s="12"/>
      <c r="E319" s="13"/>
      <c r="F319" s="70">
        <f t="shared" si="6"/>
        <v>0</v>
      </c>
    </row>
    <row r="320" spans="1:6" hidden="1" x14ac:dyDescent="0.2">
      <c r="A320" s="69">
        <v>1138</v>
      </c>
      <c r="B320" s="31">
        <v>1138</v>
      </c>
      <c r="C320" s="16" t="s">
        <v>686</v>
      </c>
      <c r="D320" s="12">
        <f>SUM(D321+D338+D355)</f>
        <v>0</v>
      </c>
      <c r="E320" s="13"/>
      <c r="F320" s="70">
        <f t="shared" si="6"/>
        <v>0</v>
      </c>
    </row>
    <row r="321" spans="1:6" hidden="1" x14ac:dyDescent="0.2">
      <c r="A321" s="69">
        <v>113801</v>
      </c>
      <c r="B321" s="33" t="s">
        <v>687</v>
      </c>
      <c r="C321" s="15" t="s">
        <v>688</v>
      </c>
      <c r="D321" s="12">
        <f>SUM(D322:D336)</f>
        <v>0</v>
      </c>
      <c r="E321" s="13">
        <v>0</v>
      </c>
      <c r="F321" s="70">
        <f t="shared" si="6"/>
        <v>0</v>
      </c>
    </row>
    <row r="322" spans="1:6" hidden="1" x14ac:dyDescent="0.2">
      <c r="A322" s="69" t="s">
        <v>689</v>
      </c>
      <c r="B322" s="32" t="s">
        <v>33</v>
      </c>
      <c r="C322" s="9" t="s">
        <v>418</v>
      </c>
      <c r="D322" s="12"/>
      <c r="E322" s="13">
        <v>0</v>
      </c>
      <c r="F322" s="70">
        <f t="shared" si="6"/>
        <v>0</v>
      </c>
    </row>
    <row r="323" spans="1:6" hidden="1" x14ac:dyDescent="0.2">
      <c r="A323" s="69"/>
      <c r="B323" s="32"/>
      <c r="C323" s="15" t="s">
        <v>118</v>
      </c>
      <c r="D323" s="12"/>
      <c r="E323" s="13">
        <v>0</v>
      </c>
      <c r="F323" s="70">
        <f t="shared" si="6"/>
        <v>0</v>
      </c>
    </row>
    <row r="324" spans="1:6" hidden="1" x14ac:dyDescent="0.2">
      <c r="A324" s="69" t="s">
        <v>690</v>
      </c>
      <c r="B324" s="32" t="s">
        <v>34</v>
      </c>
      <c r="C324" s="9" t="s">
        <v>620</v>
      </c>
      <c r="D324" s="12"/>
      <c r="E324" s="13">
        <v>0</v>
      </c>
      <c r="F324" s="70">
        <f t="shared" si="6"/>
        <v>0</v>
      </c>
    </row>
    <row r="325" spans="1:6" hidden="1" x14ac:dyDescent="0.2">
      <c r="A325" s="69"/>
      <c r="B325" s="32"/>
      <c r="C325" s="9" t="s">
        <v>621</v>
      </c>
      <c r="D325" s="12"/>
      <c r="E325" s="13">
        <v>0</v>
      </c>
      <c r="F325" s="70">
        <f t="shared" si="6"/>
        <v>0</v>
      </c>
    </row>
    <row r="326" spans="1:6" hidden="1" x14ac:dyDescent="0.2">
      <c r="A326" s="69" t="s">
        <v>691</v>
      </c>
      <c r="B326" s="32" t="s">
        <v>278</v>
      </c>
      <c r="C326" s="17" t="s">
        <v>623</v>
      </c>
      <c r="D326" s="12"/>
      <c r="E326" s="13">
        <v>1</v>
      </c>
      <c r="F326" s="70">
        <v>0</v>
      </c>
    </row>
    <row r="327" spans="1:6" hidden="1" x14ac:dyDescent="0.2">
      <c r="A327" s="69"/>
      <c r="B327" s="32"/>
      <c r="C327" s="17" t="s">
        <v>314</v>
      </c>
      <c r="D327" s="12"/>
      <c r="E327" s="13">
        <v>1</v>
      </c>
      <c r="F327" s="70">
        <v>0</v>
      </c>
    </row>
    <row r="328" spans="1:6" hidden="1" x14ac:dyDescent="0.2">
      <c r="A328" s="69" t="s">
        <v>356</v>
      </c>
      <c r="B328" s="32" t="s">
        <v>299</v>
      </c>
      <c r="C328" s="9" t="s">
        <v>625</v>
      </c>
      <c r="D328" s="12"/>
      <c r="E328" s="13">
        <v>1</v>
      </c>
      <c r="F328" s="70">
        <f>+D328*E328</f>
        <v>0</v>
      </c>
    </row>
    <row r="329" spans="1:6" hidden="1" x14ac:dyDescent="0.2">
      <c r="A329" s="69"/>
      <c r="B329" s="32"/>
      <c r="C329" s="9" t="s">
        <v>626</v>
      </c>
      <c r="D329" s="12"/>
      <c r="E329" s="13">
        <v>1</v>
      </c>
      <c r="F329" s="70"/>
    </row>
    <row r="330" spans="1:6" hidden="1" x14ac:dyDescent="0.2">
      <c r="A330" s="69" t="s">
        <v>693</v>
      </c>
      <c r="B330" s="32" t="s">
        <v>298</v>
      </c>
      <c r="C330" s="15" t="s">
        <v>217</v>
      </c>
      <c r="D330" s="12"/>
      <c r="E330" s="13">
        <v>1</v>
      </c>
      <c r="F330" s="70">
        <f>+D330*E330</f>
        <v>0</v>
      </c>
    </row>
    <row r="331" spans="1:6" hidden="1" x14ac:dyDescent="0.2">
      <c r="A331" s="69"/>
      <c r="B331" s="32"/>
      <c r="C331" s="15" t="s">
        <v>719</v>
      </c>
      <c r="D331" s="12"/>
      <c r="E331" s="13">
        <v>1</v>
      </c>
      <c r="F331" s="70"/>
    </row>
    <row r="332" spans="1:6" hidden="1" x14ac:dyDescent="0.2">
      <c r="A332" s="69" t="s">
        <v>373</v>
      </c>
      <c r="B332" s="32" t="s">
        <v>219</v>
      </c>
      <c r="C332" s="9" t="s">
        <v>125</v>
      </c>
      <c r="D332" s="12"/>
      <c r="E332" s="13">
        <v>1</v>
      </c>
      <c r="F332" s="70">
        <f t="shared" ref="F332:F342" si="7">+D332*E332</f>
        <v>0</v>
      </c>
    </row>
    <row r="333" spans="1:6" hidden="1" x14ac:dyDescent="0.2">
      <c r="A333" s="69" t="s">
        <v>374</v>
      </c>
      <c r="B333" s="32" t="s">
        <v>58</v>
      </c>
      <c r="C333" s="9" t="s">
        <v>594</v>
      </c>
      <c r="D333" s="12"/>
      <c r="E333" s="13">
        <v>0</v>
      </c>
      <c r="F333" s="70">
        <f t="shared" si="7"/>
        <v>0</v>
      </c>
    </row>
    <row r="334" spans="1:6" hidden="1" x14ac:dyDescent="0.2">
      <c r="A334" s="69"/>
      <c r="B334" s="32"/>
      <c r="C334" s="9" t="s">
        <v>169</v>
      </c>
      <c r="D334" s="12"/>
      <c r="E334" s="13">
        <v>0</v>
      </c>
      <c r="F334" s="70">
        <f t="shared" si="7"/>
        <v>0</v>
      </c>
    </row>
    <row r="335" spans="1:6" hidden="1" x14ac:dyDescent="0.2">
      <c r="A335" s="69" t="s">
        <v>631</v>
      </c>
      <c r="B335" s="74" t="s">
        <v>220</v>
      </c>
      <c r="C335" s="17" t="s">
        <v>306</v>
      </c>
      <c r="D335" s="12"/>
      <c r="E335" s="13">
        <v>0</v>
      </c>
      <c r="F335" s="70">
        <f t="shared" si="7"/>
        <v>0</v>
      </c>
    </row>
    <row r="336" spans="1:6" hidden="1" x14ac:dyDescent="0.2">
      <c r="A336" s="69"/>
      <c r="B336" s="74"/>
      <c r="C336" s="17" t="s">
        <v>308</v>
      </c>
      <c r="D336" s="12"/>
      <c r="E336" s="13">
        <v>0</v>
      </c>
      <c r="F336" s="70">
        <f t="shared" si="7"/>
        <v>0</v>
      </c>
    </row>
    <row r="337" spans="1:6" hidden="1" x14ac:dyDescent="0.2">
      <c r="A337" s="69"/>
      <c r="B337" s="33"/>
      <c r="C337" s="15"/>
      <c r="D337" s="12"/>
      <c r="E337" s="13"/>
      <c r="F337" s="70">
        <f t="shared" si="7"/>
        <v>0</v>
      </c>
    </row>
    <row r="338" spans="1:6" hidden="1" x14ac:dyDescent="0.2">
      <c r="A338" s="69">
        <v>113802</v>
      </c>
      <c r="B338" s="33" t="s">
        <v>632</v>
      </c>
      <c r="C338" s="15" t="s">
        <v>633</v>
      </c>
      <c r="D338" s="12">
        <f>SUM(D339:D353)</f>
        <v>0</v>
      </c>
      <c r="E338" s="13"/>
      <c r="F338" s="70">
        <f t="shared" si="7"/>
        <v>0</v>
      </c>
    </row>
    <row r="339" spans="1:6" hidden="1" x14ac:dyDescent="0.2">
      <c r="A339" s="69" t="s">
        <v>634</v>
      </c>
      <c r="B339" s="32" t="s">
        <v>33</v>
      </c>
      <c r="C339" s="9" t="s">
        <v>418</v>
      </c>
      <c r="D339" s="12"/>
      <c r="E339" s="13">
        <v>0</v>
      </c>
      <c r="F339" s="70">
        <f t="shared" si="7"/>
        <v>0</v>
      </c>
    </row>
    <row r="340" spans="1:6" hidden="1" x14ac:dyDescent="0.2">
      <c r="A340" s="69"/>
      <c r="B340" s="32"/>
      <c r="C340" s="15" t="s">
        <v>118</v>
      </c>
      <c r="D340" s="12"/>
      <c r="E340" s="13">
        <v>0</v>
      </c>
      <c r="F340" s="70">
        <f t="shared" si="7"/>
        <v>0</v>
      </c>
    </row>
    <row r="341" spans="1:6" hidden="1" x14ac:dyDescent="0.2">
      <c r="A341" s="69" t="s">
        <v>635</v>
      </c>
      <c r="B341" s="32" t="s">
        <v>34</v>
      </c>
      <c r="C341" s="9" t="s">
        <v>620</v>
      </c>
      <c r="D341" s="12"/>
      <c r="E341" s="13">
        <v>0</v>
      </c>
      <c r="F341" s="70">
        <f t="shared" si="7"/>
        <v>0</v>
      </c>
    </row>
    <row r="342" spans="1:6" hidden="1" x14ac:dyDescent="0.2">
      <c r="A342" s="69"/>
      <c r="B342" s="32"/>
      <c r="C342" s="9" t="s">
        <v>621</v>
      </c>
      <c r="D342" s="12"/>
      <c r="E342" s="13">
        <v>0</v>
      </c>
      <c r="F342" s="70">
        <f t="shared" si="7"/>
        <v>0</v>
      </c>
    </row>
    <row r="343" spans="1:6" hidden="1" x14ac:dyDescent="0.2">
      <c r="A343" s="69" t="s">
        <v>636</v>
      </c>
      <c r="B343" s="32" t="s">
        <v>278</v>
      </c>
      <c r="C343" s="17" t="s">
        <v>623</v>
      </c>
      <c r="D343" s="12"/>
      <c r="E343" s="13">
        <v>1</v>
      </c>
      <c r="F343" s="70">
        <v>0</v>
      </c>
    </row>
    <row r="344" spans="1:6" hidden="1" x14ac:dyDescent="0.2">
      <c r="A344" s="69"/>
      <c r="B344" s="32"/>
      <c r="C344" s="17" t="s">
        <v>314</v>
      </c>
      <c r="D344" s="12"/>
      <c r="E344" s="13">
        <v>1</v>
      </c>
      <c r="F344" s="70">
        <v>0</v>
      </c>
    </row>
    <row r="345" spans="1:6" hidden="1" x14ac:dyDescent="0.2">
      <c r="A345" s="69" t="s">
        <v>751</v>
      </c>
      <c r="B345" s="32" t="s">
        <v>299</v>
      </c>
      <c r="C345" s="9" t="s">
        <v>625</v>
      </c>
      <c r="D345" s="12"/>
      <c r="E345" s="13">
        <v>1</v>
      </c>
      <c r="F345" s="70">
        <f>+D345*E345</f>
        <v>0</v>
      </c>
    </row>
    <row r="346" spans="1:6" hidden="1" x14ac:dyDescent="0.2">
      <c r="A346" s="69"/>
      <c r="B346" s="32"/>
      <c r="C346" s="9" t="s">
        <v>626</v>
      </c>
      <c r="D346" s="12"/>
      <c r="E346" s="13">
        <v>1</v>
      </c>
      <c r="F346" s="70"/>
    </row>
    <row r="347" spans="1:6" hidden="1" x14ac:dyDescent="0.2">
      <c r="A347" s="69" t="s">
        <v>752</v>
      </c>
      <c r="B347" s="32" t="s">
        <v>298</v>
      </c>
      <c r="C347" s="15" t="s">
        <v>217</v>
      </c>
      <c r="D347" s="12"/>
      <c r="E347" s="13">
        <v>1</v>
      </c>
      <c r="F347" s="70">
        <f>+D347*E347</f>
        <v>0</v>
      </c>
    </row>
    <row r="348" spans="1:6" hidden="1" x14ac:dyDescent="0.2">
      <c r="A348" s="69"/>
      <c r="B348" s="32"/>
      <c r="C348" s="15" t="s">
        <v>719</v>
      </c>
      <c r="D348" s="12"/>
      <c r="E348" s="13">
        <v>1</v>
      </c>
      <c r="F348" s="70"/>
    </row>
    <row r="349" spans="1:6" hidden="1" x14ac:dyDescent="0.2">
      <c r="A349" s="69" t="s">
        <v>56</v>
      </c>
      <c r="B349" s="32" t="s">
        <v>219</v>
      </c>
      <c r="C349" s="9" t="s">
        <v>125</v>
      </c>
      <c r="D349" s="12"/>
      <c r="E349" s="13">
        <v>1</v>
      </c>
      <c r="F349" s="70">
        <f t="shared" ref="F349:F359" si="8">+D349*E349</f>
        <v>0</v>
      </c>
    </row>
    <row r="350" spans="1:6" hidden="1" x14ac:dyDescent="0.2">
      <c r="A350" s="69" t="s">
        <v>57</v>
      </c>
      <c r="B350" s="32" t="s">
        <v>58</v>
      </c>
      <c r="C350" s="9" t="s">
        <v>594</v>
      </c>
      <c r="D350" s="12"/>
      <c r="E350" s="13">
        <v>0</v>
      </c>
      <c r="F350" s="70">
        <f t="shared" si="8"/>
        <v>0</v>
      </c>
    </row>
    <row r="351" spans="1:6" hidden="1" x14ac:dyDescent="0.2">
      <c r="A351" s="69"/>
      <c r="B351" s="32"/>
      <c r="C351" s="9" t="s">
        <v>169</v>
      </c>
      <c r="D351" s="12"/>
      <c r="E351" s="13">
        <v>0</v>
      </c>
      <c r="F351" s="70">
        <f t="shared" si="8"/>
        <v>0</v>
      </c>
    </row>
    <row r="352" spans="1:6" hidden="1" x14ac:dyDescent="0.2">
      <c r="A352" s="69" t="s">
        <v>419</v>
      </c>
      <c r="B352" s="74" t="s">
        <v>220</v>
      </c>
      <c r="C352" s="17" t="s">
        <v>306</v>
      </c>
      <c r="D352" s="12"/>
      <c r="E352" s="13">
        <v>0</v>
      </c>
      <c r="F352" s="70">
        <f t="shared" si="8"/>
        <v>0</v>
      </c>
    </row>
    <row r="353" spans="1:6" hidden="1" x14ac:dyDescent="0.2">
      <c r="A353" s="69"/>
      <c r="B353" s="74"/>
      <c r="C353" s="17" t="s">
        <v>308</v>
      </c>
      <c r="D353" s="12"/>
      <c r="E353" s="13">
        <v>0</v>
      </c>
      <c r="F353" s="70">
        <f t="shared" si="8"/>
        <v>0</v>
      </c>
    </row>
    <row r="354" spans="1:6" hidden="1" x14ac:dyDescent="0.2">
      <c r="A354" s="69"/>
      <c r="B354" s="33"/>
      <c r="C354" s="15"/>
      <c r="D354" s="12"/>
      <c r="E354" s="13"/>
      <c r="F354" s="70">
        <f t="shared" si="8"/>
        <v>0</v>
      </c>
    </row>
    <row r="355" spans="1:6" hidden="1" x14ac:dyDescent="0.2">
      <c r="A355" s="69">
        <v>113803</v>
      </c>
      <c r="B355" s="33" t="s">
        <v>420</v>
      </c>
      <c r="C355" s="15" t="s">
        <v>421</v>
      </c>
      <c r="D355" s="12">
        <f>SUM(D356:D370)</f>
        <v>0</v>
      </c>
      <c r="E355" s="13"/>
      <c r="F355" s="70">
        <f t="shared" si="8"/>
        <v>0</v>
      </c>
    </row>
    <row r="356" spans="1:6" hidden="1" x14ac:dyDescent="0.2">
      <c r="A356" s="69" t="s">
        <v>422</v>
      </c>
      <c r="B356" s="32" t="s">
        <v>33</v>
      </c>
      <c r="C356" s="9" t="s">
        <v>418</v>
      </c>
      <c r="D356" s="12"/>
      <c r="E356" s="13">
        <v>0</v>
      </c>
      <c r="F356" s="70">
        <f t="shared" si="8"/>
        <v>0</v>
      </c>
    </row>
    <row r="357" spans="1:6" hidden="1" x14ac:dyDescent="0.2">
      <c r="A357" s="69"/>
      <c r="B357" s="32"/>
      <c r="C357" s="15" t="s">
        <v>118</v>
      </c>
      <c r="D357" s="12"/>
      <c r="E357" s="13">
        <v>0</v>
      </c>
      <c r="F357" s="70">
        <f t="shared" si="8"/>
        <v>0</v>
      </c>
    </row>
    <row r="358" spans="1:6" hidden="1" x14ac:dyDescent="0.2">
      <c r="A358" s="69" t="s">
        <v>423</v>
      </c>
      <c r="B358" s="32" t="s">
        <v>34</v>
      </c>
      <c r="C358" s="9" t="s">
        <v>620</v>
      </c>
      <c r="D358" s="12"/>
      <c r="E358" s="13">
        <v>0</v>
      </c>
      <c r="F358" s="70">
        <f t="shared" si="8"/>
        <v>0</v>
      </c>
    </row>
    <row r="359" spans="1:6" hidden="1" x14ac:dyDescent="0.2">
      <c r="A359" s="69"/>
      <c r="B359" s="32"/>
      <c r="C359" s="9" t="s">
        <v>621</v>
      </c>
      <c r="D359" s="12"/>
      <c r="E359" s="13">
        <v>0</v>
      </c>
      <c r="F359" s="70">
        <f t="shared" si="8"/>
        <v>0</v>
      </c>
    </row>
    <row r="360" spans="1:6" hidden="1" x14ac:dyDescent="0.2">
      <c r="A360" s="69" t="s">
        <v>424</v>
      </c>
      <c r="B360" s="32" t="s">
        <v>278</v>
      </c>
      <c r="C360" s="17" t="s">
        <v>623</v>
      </c>
      <c r="D360" s="12"/>
      <c r="E360" s="13">
        <v>1</v>
      </c>
      <c r="F360" s="70">
        <v>0</v>
      </c>
    </row>
    <row r="361" spans="1:6" hidden="1" x14ac:dyDescent="0.2">
      <c r="A361" s="69"/>
      <c r="B361" s="32"/>
      <c r="C361" s="17" t="s">
        <v>314</v>
      </c>
      <c r="D361" s="12"/>
      <c r="E361" s="13">
        <v>1</v>
      </c>
      <c r="F361" s="70">
        <v>0</v>
      </c>
    </row>
    <row r="362" spans="1:6" hidden="1" x14ac:dyDescent="0.2">
      <c r="A362" s="69" t="s">
        <v>425</v>
      </c>
      <c r="B362" s="32" t="s">
        <v>299</v>
      </c>
      <c r="C362" s="9" t="s">
        <v>625</v>
      </c>
      <c r="D362" s="12"/>
      <c r="E362" s="13">
        <v>1</v>
      </c>
      <c r="F362" s="70">
        <f>+D362*E362</f>
        <v>0</v>
      </c>
    </row>
    <row r="363" spans="1:6" hidden="1" x14ac:dyDescent="0.2">
      <c r="A363" s="69"/>
      <c r="B363" s="32"/>
      <c r="C363" s="9" t="s">
        <v>626</v>
      </c>
      <c r="D363" s="12"/>
      <c r="E363" s="13">
        <v>1</v>
      </c>
      <c r="F363" s="70"/>
    </row>
    <row r="364" spans="1:6" hidden="1" x14ac:dyDescent="0.2">
      <c r="A364" s="69" t="s">
        <v>666</v>
      </c>
      <c r="B364" s="32" t="s">
        <v>298</v>
      </c>
      <c r="C364" s="15" t="s">
        <v>217</v>
      </c>
      <c r="D364" s="12"/>
      <c r="E364" s="13">
        <v>1</v>
      </c>
      <c r="F364" s="70">
        <f>+D364*E364</f>
        <v>0</v>
      </c>
    </row>
    <row r="365" spans="1:6" hidden="1" x14ac:dyDescent="0.2">
      <c r="A365" s="69"/>
      <c r="B365" s="32"/>
      <c r="C365" s="15" t="s">
        <v>719</v>
      </c>
      <c r="D365" s="12"/>
      <c r="E365" s="13">
        <v>1</v>
      </c>
      <c r="F365" s="70"/>
    </row>
    <row r="366" spans="1:6" hidden="1" x14ac:dyDescent="0.2">
      <c r="A366" s="69" t="s">
        <v>667</v>
      </c>
      <c r="B366" s="32" t="s">
        <v>219</v>
      </c>
      <c r="C366" s="9" t="s">
        <v>125</v>
      </c>
      <c r="D366" s="12"/>
      <c r="E366" s="13">
        <v>1</v>
      </c>
      <c r="F366" s="70">
        <f>+D366*E366</f>
        <v>0</v>
      </c>
    </row>
    <row r="367" spans="1:6" hidden="1" x14ac:dyDescent="0.2">
      <c r="A367" s="69" t="s">
        <v>668</v>
      </c>
      <c r="B367" s="32" t="s">
        <v>58</v>
      </c>
      <c r="C367" s="9" t="s">
        <v>594</v>
      </c>
      <c r="D367" s="12"/>
      <c r="E367" s="13">
        <v>0</v>
      </c>
      <c r="F367" s="70">
        <f>+D367*E367</f>
        <v>0</v>
      </c>
    </row>
    <row r="368" spans="1:6" hidden="1" x14ac:dyDescent="0.2">
      <c r="A368" s="69"/>
      <c r="B368" s="32"/>
      <c r="C368" s="9" t="s">
        <v>169</v>
      </c>
      <c r="D368" s="12"/>
      <c r="E368" s="13">
        <v>0</v>
      </c>
      <c r="F368" s="70">
        <f>+D368*E368</f>
        <v>0</v>
      </c>
    </row>
    <row r="369" spans="1:6" hidden="1" x14ac:dyDescent="0.2">
      <c r="A369" s="69" t="s">
        <v>575</v>
      </c>
      <c r="B369" s="74" t="s">
        <v>220</v>
      </c>
      <c r="C369" s="17" t="s">
        <v>306</v>
      </c>
      <c r="D369" s="12"/>
      <c r="E369" s="13">
        <v>0</v>
      </c>
      <c r="F369" s="70">
        <f>+D369*E369</f>
        <v>0</v>
      </c>
    </row>
    <row r="370" spans="1:6" hidden="1" x14ac:dyDescent="0.2">
      <c r="A370" s="69"/>
      <c r="B370" s="74"/>
      <c r="C370" s="17" t="s">
        <v>308</v>
      </c>
      <c r="D370" s="12"/>
      <c r="E370" s="13">
        <v>0</v>
      </c>
      <c r="F370" s="70">
        <f>+D370*E370</f>
        <v>0</v>
      </c>
    </row>
    <row r="371" spans="1:6" hidden="1" x14ac:dyDescent="0.2">
      <c r="A371" s="69"/>
      <c r="B371" s="33"/>
      <c r="C371" s="15"/>
      <c r="D371" s="12"/>
      <c r="E371" s="13"/>
      <c r="F371" s="70"/>
    </row>
    <row r="372" spans="1:6" x14ac:dyDescent="0.2">
      <c r="A372" s="69">
        <v>1139</v>
      </c>
      <c r="B372" s="33">
        <v>1139</v>
      </c>
      <c r="C372" s="16" t="s">
        <v>777</v>
      </c>
      <c r="D372" s="12">
        <f>SUM(D373)</f>
        <v>0</v>
      </c>
      <c r="E372" s="13">
        <v>0</v>
      </c>
      <c r="F372" s="70">
        <v>0</v>
      </c>
    </row>
    <row r="373" spans="1:6" x14ac:dyDescent="0.2">
      <c r="A373" s="69" t="s">
        <v>576</v>
      </c>
      <c r="B373" s="31" t="s">
        <v>77</v>
      </c>
      <c r="C373" s="19" t="s">
        <v>777</v>
      </c>
      <c r="D373" s="12">
        <f>SUM(D374)</f>
        <v>0</v>
      </c>
      <c r="E373" s="13">
        <v>0</v>
      </c>
      <c r="F373" s="70">
        <v>0</v>
      </c>
    </row>
    <row r="374" spans="1:6" x14ac:dyDescent="0.2">
      <c r="A374" s="69" t="s">
        <v>577</v>
      </c>
      <c r="B374" s="33"/>
      <c r="C374" s="19" t="s">
        <v>777</v>
      </c>
      <c r="D374" s="12">
        <f>SUM(D375:D378)</f>
        <v>0</v>
      </c>
      <c r="E374" s="13">
        <v>0</v>
      </c>
      <c r="F374" s="70">
        <v>0</v>
      </c>
    </row>
    <row r="375" spans="1:6" x14ac:dyDescent="0.2">
      <c r="A375" s="69" t="s">
        <v>172</v>
      </c>
      <c r="B375" s="31" t="s">
        <v>77</v>
      </c>
      <c r="C375" s="19" t="s">
        <v>721</v>
      </c>
      <c r="D375" s="12">
        <v>0</v>
      </c>
      <c r="E375" s="13">
        <v>0</v>
      </c>
      <c r="F375" s="70">
        <v>0</v>
      </c>
    </row>
    <row r="376" spans="1:6" x14ac:dyDescent="0.2">
      <c r="A376" s="71" t="s">
        <v>173</v>
      </c>
      <c r="B376" s="31" t="s">
        <v>24</v>
      </c>
      <c r="C376" s="19" t="s">
        <v>146</v>
      </c>
      <c r="D376" s="12">
        <v>0</v>
      </c>
      <c r="E376" s="13">
        <v>0</v>
      </c>
      <c r="F376" s="70">
        <v>0</v>
      </c>
    </row>
    <row r="377" spans="1:6" hidden="1" x14ac:dyDescent="0.2">
      <c r="A377" s="71" t="s">
        <v>174</v>
      </c>
      <c r="B377" s="31" t="s">
        <v>382</v>
      </c>
      <c r="C377" s="18" t="s">
        <v>62</v>
      </c>
      <c r="D377" s="12"/>
      <c r="E377" s="13">
        <v>1</v>
      </c>
      <c r="F377" s="70">
        <f>+D377*E377</f>
        <v>0</v>
      </c>
    </row>
    <row r="378" spans="1:6" hidden="1" x14ac:dyDescent="0.2">
      <c r="A378" s="71" t="s">
        <v>696</v>
      </c>
      <c r="B378" s="31" t="s">
        <v>297</v>
      </c>
      <c r="C378" s="19" t="s">
        <v>1</v>
      </c>
      <c r="D378" s="12"/>
      <c r="E378" s="13">
        <v>1</v>
      </c>
      <c r="F378" s="70">
        <f>+D378*E378</f>
        <v>0</v>
      </c>
    </row>
    <row r="379" spans="1:6" x14ac:dyDescent="0.2">
      <c r="A379" s="71"/>
      <c r="B379" s="31"/>
      <c r="C379" s="19"/>
      <c r="D379" s="12"/>
      <c r="E379" s="13"/>
      <c r="F379" s="70"/>
    </row>
    <row r="380" spans="1:6" x14ac:dyDescent="0.2">
      <c r="A380" s="69">
        <v>1141</v>
      </c>
      <c r="B380" s="32">
        <v>1141</v>
      </c>
      <c r="C380" s="11" t="s">
        <v>462</v>
      </c>
      <c r="D380" s="12">
        <f>SUM(D381+D389+D397+D405+D414+D422+D430)</f>
        <v>0</v>
      </c>
      <c r="E380" s="13">
        <v>0</v>
      </c>
      <c r="F380" s="70">
        <v>0</v>
      </c>
    </row>
    <row r="381" spans="1:6" x14ac:dyDescent="0.2">
      <c r="A381" s="69">
        <v>114102</v>
      </c>
      <c r="B381" s="31" t="s">
        <v>382</v>
      </c>
      <c r="C381" s="9" t="s">
        <v>175</v>
      </c>
      <c r="D381" s="12">
        <v>0</v>
      </c>
      <c r="E381" s="13">
        <v>1</v>
      </c>
      <c r="F381" s="70">
        <f>+D381*E381</f>
        <v>0</v>
      </c>
    </row>
    <row r="382" spans="1:6" hidden="1" x14ac:dyDescent="0.2">
      <c r="A382" s="69" t="s">
        <v>463</v>
      </c>
      <c r="B382" s="32" t="s">
        <v>33</v>
      </c>
      <c r="C382" s="9" t="s">
        <v>551</v>
      </c>
      <c r="D382" s="12">
        <v>13117.83538</v>
      </c>
      <c r="E382" s="13">
        <v>0</v>
      </c>
      <c r="F382" s="70">
        <v>0</v>
      </c>
    </row>
    <row r="383" spans="1:6" hidden="1" x14ac:dyDescent="0.2">
      <c r="A383" s="69"/>
      <c r="B383" s="32"/>
      <c r="C383" s="9" t="s">
        <v>552</v>
      </c>
      <c r="D383" s="12">
        <v>0</v>
      </c>
      <c r="E383" s="13">
        <v>0</v>
      </c>
      <c r="F383" s="70">
        <v>0</v>
      </c>
    </row>
    <row r="384" spans="1:6" hidden="1" x14ac:dyDescent="0.2">
      <c r="A384" s="69" t="s">
        <v>553</v>
      </c>
      <c r="B384" s="32" t="s">
        <v>34</v>
      </c>
      <c r="C384" s="9" t="s">
        <v>334</v>
      </c>
      <c r="D384" s="12"/>
      <c r="E384" s="13">
        <v>0</v>
      </c>
      <c r="F384" s="70"/>
    </row>
    <row r="385" spans="1:6" hidden="1" x14ac:dyDescent="0.2">
      <c r="A385" s="69"/>
      <c r="B385" s="32"/>
      <c r="C385" s="9" t="s">
        <v>335</v>
      </c>
      <c r="D385" s="12"/>
      <c r="E385" s="13">
        <v>0</v>
      </c>
      <c r="F385" s="70">
        <f>+D385*E385</f>
        <v>0</v>
      </c>
    </row>
    <row r="386" spans="1:6" hidden="1" x14ac:dyDescent="0.2">
      <c r="A386" s="69" t="s">
        <v>336</v>
      </c>
      <c r="B386" s="74" t="s">
        <v>220</v>
      </c>
      <c r="C386" s="17" t="s">
        <v>337</v>
      </c>
      <c r="D386" s="12">
        <v>38.440159999999999</v>
      </c>
      <c r="E386" s="13">
        <v>0</v>
      </c>
      <c r="F386" s="70">
        <v>0</v>
      </c>
    </row>
    <row r="387" spans="1:6" hidden="1" x14ac:dyDescent="0.2">
      <c r="A387" s="69"/>
      <c r="B387" s="74"/>
      <c r="C387" s="17" t="s">
        <v>159</v>
      </c>
      <c r="D387" s="12">
        <v>0</v>
      </c>
      <c r="E387" s="13">
        <v>0</v>
      </c>
      <c r="F387" s="70">
        <v>0</v>
      </c>
    </row>
    <row r="388" spans="1:6" x14ac:dyDescent="0.2">
      <c r="A388" s="69"/>
      <c r="B388" s="31"/>
      <c r="C388" s="15"/>
      <c r="D388" s="12"/>
      <c r="E388" s="13"/>
      <c r="F388" s="70"/>
    </row>
    <row r="389" spans="1:6" x14ac:dyDescent="0.2">
      <c r="A389" s="69">
        <v>114103</v>
      </c>
      <c r="B389" s="31" t="s">
        <v>297</v>
      </c>
      <c r="C389" s="9" t="s">
        <v>341</v>
      </c>
      <c r="D389" s="12">
        <v>0</v>
      </c>
      <c r="E389" s="13">
        <v>1</v>
      </c>
      <c r="F389" s="70">
        <f>+D389*E389</f>
        <v>0</v>
      </c>
    </row>
    <row r="390" spans="1:6" hidden="1" x14ac:dyDescent="0.2">
      <c r="A390" s="69" t="s">
        <v>160</v>
      </c>
      <c r="B390" s="32" t="s">
        <v>33</v>
      </c>
      <c r="C390" s="9" t="s">
        <v>551</v>
      </c>
      <c r="D390" s="12">
        <v>170674.6888</v>
      </c>
      <c r="E390" s="13">
        <v>0</v>
      </c>
      <c r="F390" s="70">
        <v>0</v>
      </c>
    </row>
    <row r="391" spans="1:6" hidden="1" x14ac:dyDescent="0.2">
      <c r="A391" s="69"/>
      <c r="B391" s="32"/>
      <c r="C391" s="9" t="s">
        <v>552</v>
      </c>
      <c r="D391" s="12">
        <v>688045.23814000003</v>
      </c>
      <c r="E391" s="13">
        <v>0</v>
      </c>
      <c r="F391" s="70">
        <v>0</v>
      </c>
    </row>
    <row r="392" spans="1:6" hidden="1" x14ac:dyDescent="0.2">
      <c r="A392" s="69" t="s">
        <v>161</v>
      </c>
      <c r="B392" s="32" t="s">
        <v>34</v>
      </c>
      <c r="C392" s="9" t="s">
        <v>334</v>
      </c>
      <c r="D392" s="12">
        <v>188.29191</v>
      </c>
      <c r="E392" s="13">
        <v>0</v>
      </c>
      <c r="F392" s="70">
        <v>0</v>
      </c>
    </row>
    <row r="393" spans="1:6" hidden="1" x14ac:dyDescent="0.2">
      <c r="A393" s="69"/>
      <c r="B393" s="32"/>
      <c r="C393" s="9" t="s">
        <v>335</v>
      </c>
      <c r="D393" s="12"/>
      <c r="E393" s="13">
        <v>0</v>
      </c>
      <c r="F393" s="70">
        <f>+D393*E393</f>
        <v>0</v>
      </c>
    </row>
    <row r="394" spans="1:6" hidden="1" x14ac:dyDescent="0.2">
      <c r="A394" s="69" t="s">
        <v>162</v>
      </c>
      <c r="B394" s="74" t="s">
        <v>220</v>
      </c>
      <c r="C394" s="17" t="s">
        <v>337</v>
      </c>
      <c r="D394" s="12">
        <v>728.49833999999998</v>
      </c>
      <c r="E394" s="13">
        <v>0</v>
      </c>
      <c r="F394" s="70">
        <v>0</v>
      </c>
    </row>
    <row r="395" spans="1:6" hidden="1" x14ac:dyDescent="0.2">
      <c r="A395" s="69"/>
      <c r="B395" s="74"/>
      <c r="C395" s="17" t="s">
        <v>159</v>
      </c>
      <c r="D395" s="12">
        <v>1034.42833</v>
      </c>
      <c r="E395" s="13">
        <v>0</v>
      </c>
      <c r="F395" s="70">
        <v>0</v>
      </c>
    </row>
    <row r="396" spans="1:6" x14ac:dyDescent="0.2">
      <c r="A396" s="69"/>
      <c r="B396" s="73"/>
      <c r="C396" s="17"/>
      <c r="D396" s="12"/>
      <c r="E396" s="13"/>
      <c r="F396" s="70"/>
    </row>
    <row r="397" spans="1:6" hidden="1" x14ac:dyDescent="0.2">
      <c r="A397" s="69">
        <v>114104</v>
      </c>
      <c r="B397" s="31" t="s">
        <v>406</v>
      </c>
      <c r="C397" s="9" t="s">
        <v>571</v>
      </c>
      <c r="D397" s="12">
        <v>0</v>
      </c>
      <c r="E397" s="13">
        <v>1</v>
      </c>
      <c r="F397" s="70">
        <f>+D397*E397</f>
        <v>0</v>
      </c>
    </row>
    <row r="398" spans="1:6" hidden="1" x14ac:dyDescent="0.2">
      <c r="A398" s="69" t="s">
        <v>163</v>
      </c>
      <c r="B398" s="32" t="s">
        <v>33</v>
      </c>
      <c r="C398" s="9" t="s">
        <v>551</v>
      </c>
      <c r="D398" s="12">
        <v>14339.833839999999</v>
      </c>
      <c r="E398" s="13">
        <v>0</v>
      </c>
      <c r="F398" s="70">
        <v>0</v>
      </c>
    </row>
    <row r="399" spans="1:6" hidden="1" x14ac:dyDescent="0.2">
      <c r="A399" s="69"/>
      <c r="B399" s="32"/>
      <c r="C399" s="9" t="s">
        <v>552</v>
      </c>
      <c r="D399" s="12">
        <v>8337.74028</v>
      </c>
      <c r="E399" s="13">
        <v>0</v>
      </c>
      <c r="F399" s="70">
        <v>0</v>
      </c>
    </row>
    <row r="400" spans="1:6" hidden="1" x14ac:dyDescent="0.2">
      <c r="A400" s="69" t="s">
        <v>59</v>
      </c>
      <c r="B400" s="32" t="s">
        <v>34</v>
      </c>
      <c r="C400" s="9" t="s">
        <v>334</v>
      </c>
      <c r="D400" s="12">
        <v>3.8778700000000002</v>
      </c>
      <c r="E400" s="13">
        <v>0</v>
      </c>
      <c r="F400" s="70">
        <v>0</v>
      </c>
    </row>
    <row r="401" spans="1:6" hidden="1" x14ac:dyDescent="0.2">
      <c r="A401" s="69"/>
      <c r="B401" s="32"/>
      <c r="C401" s="9" t="s">
        <v>335</v>
      </c>
      <c r="D401" s="12"/>
      <c r="E401" s="13">
        <v>0</v>
      </c>
      <c r="F401" s="70">
        <f>+D401*E401</f>
        <v>0</v>
      </c>
    </row>
    <row r="402" spans="1:6" hidden="1" x14ac:dyDescent="0.2">
      <c r="A402" s="69" t="s">
        <v>60</v>
      </c>
      <c r="B402" s="74" t="s">
        <v>220</v>
      </c>
      <c r="C402" s="17" t="s">
        <v>337</v>
      </c>
      <c r="D402" s="12">
        <v>63.216990000000003</v>
      </c>
      <c r="E402" s="13">
        <v>0</v>
      </c>
      <c r="F402" s="70">
        <v>0</v>
      </c>
    </row>
    <row r="403" spans="1:6" hidden="1" x14ac:dyDescent="0.2">
      <c r="A403" s="69"/>
      <c r="B403" s="74"/>
      <c r="C403" s="17" t="s">
        <v>159</v>
      </c>
      <c r="D403" s="12">
        <v>29.627790000000001</v>
      </c>
      <c r="E403" s="13">
        <v>0</v>
      </c>
      <c r="F403" s="70">
        <v>0</v>
      </c>
    </row>
    <row r="404" spans="1:6" x14ac:dyDescent="0.2">
      <c r="A404" s="69"/>
      <c r="B404" s="74"/>
      <c r="C404" s="17"/>
      <c r="D404" s="12"/>
      <c r="E404" s="13"/>
      <c r="F404" s="70"/>
    </row>
    <row r="405" spans="1:6" x14ac:dyDescent="0.2">
      <c r="A405" s="69">
        <v>114105</v>
      </c>
      <c r="B405" s="31" t="s">
        <v>131</v>
      </c>
      <c r="C405" s="9" t="s">
        <v>570</v>
      </c>
      <c r="D405" s="12">
        <f>SUM(D406:D410)</f>
        <v>0</v>
      </c>
      <c r="E405" s="13">
        <v>0</v>
      </c>
      <c r="F405" s="70">
        <v>0</v>
      </c>
    </row>
    <row r="406" spans="1:6" x14ac:dyDescent="0.2">
      <c r="A406" s="69" t="s">
        <v>61</v>
      </c>
      <c r="B406" s="32" t="s">
        <v>33</v>
      </c>
      <c r="C406" s="9" t="s">
        <v>494</v>
      </c>
      <c r="D406" s="12">
        <v>0</v>
      </c>
      <c r="E406" s="13">
        <v>0.5</v>
      </c>
      <c r="F406" s="70">
        <f>+D406*E406</f>
        <v>0</v>
      </c>
    </row>
    <row r="407" spans="1:6" hidden="1" x14ac:dyDescent="0.2">
      <c r="A407" s="69"/>
      <c r="B407" s="32"/>
      <c r="C407" s="9" t="s">
        <v>275</v>
      </c>
      <c r="D407" s="12">
        <v>0</v>
      </c>
      <c r="E407" s="13">
        <v>0.5</v>
      </c>
      <c r="F407" s="70">
        <v>0</v>
      </c>
    </row>
    <row r="408" spans="1:6" hidden="1" x14ac:dyDescent="0.2">
      <c r="A408" s="69" t="s">
        <v>445</v>
      </c>
      <c r="B408" s="32" t="s">
        <v>278</v>
      </c>
      <c r="C408" s="9" t="s">
        <v>446</v>
      </c>
      <c r="D408" s="12"/>
      <c r="E408" s="13">
        <v>1</v>
      </c>
      <c r="F408" s="70">
        <f>+D408*E408</f>
        <v>0</v>
      </c>
    </row>
    <row r="409" spans="1:6" hidden="1" x14ac:dyDescent="0.2">
      <c r="A409" s="69"/>
      <c r="B409" s="32"/>
      <c r="C409" s="9" t="s">
        <v>447</v>
      </c>
      <c r="D409" s="12"/>
      <c r="E409" s="13">
        <v>1</v>
      </c>
      <c r="F409" s="70"/>
    </row>
    <row r="410" spans="1:6" hidden="1" x14ac:dyDescent="0.2">
      <c r="A410" s="69" t="s">
        <v>448</v>
      </c>
      <c r="B410" s="32" t="s">
        <v>220</v>
      </c>
      <c r="C410" s="9" t="s">
        <v>337</v>
      </c>
      <c r="D410" s="12"/>
      <c r="E410" s="13">
        <v>0</v>
      </c>
      <c r="F410" s="70">
        <v>0</v>
      </c>
    </row>
    <row r="411" spans="1:6" hidden="1" x14ac:dyDescent="0.2">
      <c r="A411" s="69"/>
      <c r="B411" s="32"/>
      <c r="C411" s="9" t="s">
        <v>159</v>
      </c>
      <c r="D411" s="12"/>
      <c r="E411" s="13">
        <v>0</v>
      </c>
      <c r="F411" s="70"/>
    </row>
    <row r="412" spans="1:6" x14ac:dyDescent="0.2">
      <c r="A412" s="69"/>
      <c r="B412" s="33"/>
      <c r="C412" s="9"/>
      <c r="D412" s="12"/>
      <c r="E412" s="13"/>
      <c r="F412" s="70"/>
    </row>
    <row r="413" spans="1:6" x14ac:dyDescent="0.2">
      <c r="A413" s="69"/>
      <c r="B413" s="33"/>
      <c r="C413" s="9"/>
      <c r="D413" s="12"/>
      <c r="E413" s="13"/>
      <c r="F413" s="70"/>
    </row>
    <row r="414" spans="1:6" x14ac:dyDescent="0.2">
      <c r="A414" s="69">
        <v>114106</v>
      </c>
      <c r="B414" s="31" t="s">
        <v>407</v>
      </c>
      <c r="C414" s="9" t="s">
        <v>449</v>
      </c>
      <c r="D414" s="12">
        <v>0</v>
      </c>
      <c r="E414" s="13">
        <v>1</v>
      </c>
      <c r="F414" s="70">
        <f>+D414*E414</f>
        <v>0</v>
      </c>
    </row>
    <row r="415" spans="1:6" hidden="1" x14ac:dyDescent="0.2">
      <c r="A415" s="69" t="s">
        <v>450</v>
      </c>
      <c r="B415" s="303" t="s">
        <v>33</v>
      </c>
      <c r="C415" s="9" t="s">
        <v>551</v>
      </c>
      <c r="D415" s="12">
        <v>99.533019999999993</v>
      </c>
      <c r="E415" s="13">
        <v>0</v>
      </c>
      <c r="F415" s="70">
        <v>0</v>
      </c>
    </row>
    <row r="416" spans="1:6" hidden="1" x14ac:dyDescent="0.2">
      <c r="A416" s="69"/>
      <c r="B416" s="303"/>
      <c r="C416" s="9" t="s">
        <v>552</v>
      </c>
      <c r="D416" s="12">
        <v>0</v>
      </c>
      <c r="E416" s="13">
        <v>0</v>
      </c>
      <c r="F416" s="70">
        <v>0</v>
      </c>
    </row>
    <row r="417" spans="1:6" hidden="1" x14ac:dyDescent="0.2">
      <c r="A417" s="69" t="s">
        <v>451</v>
      </c>
      <c r="B417" s="303" t="s">
        <v>34</v>
      </c>
      <c r="C417" s="9" t="s">
        <v>334</v>
      </c>
      <c r="D417" s="12"/>
      <c r="E417" s="13">
        <v>0</v>
      </c>
      <c r="F417" s="70"/>
    </row>
    <row r="418" spans="1:6" hidden="1" x14ac:dyDescent="0.2">
      <c r="A418" s="69"/>
      <c r="B418" s="303"/>
      <c r="C418" s="9" t="s">
        <v>335</v>
      </c>
      <c r="D418" s="12"/>
      <c r="E418" s="13">
        <v>0</v>
      </c>
      <c r="F418" s="70">
        <f>+D418*E418</f>
        <v>0</v>
      </c>
    </row>
    <row r="419" spans="1:6" hidden="1" x14ac:dyDescent="0.2">
      <c r="A419" s="69" t="s">
        <v>452</v>
      </c>
      <c r="B419" s="74" t="s">
        <v>220</v>
      </c>
      <c r="C419" s="17" t="s">
        <v>337</v>
      </c>
      <c r="D419" s="12">
        <v>7.7799999999999994E-2</v>
      </c>
      <c r="E419" s="13">
        <v>0</v>
      </c>
      <c r="F419" s="70">
        <v>0</v>
      </c>
    </row>
    <row r="420" spans="1:6" hidden="1" x14ac:dyDescent="0.2">
      <c r="A420" s="69"/>
      <c r="B420" s="74"/>
      <c r="C420" s="17" t="s">
        <v>159</v>
      </c>
      <c r="D420" s="12">
        <v>0</v>
      </c>
      <c r="E420" s="13">
        <v>0</v>
      </c>
      <c r="F420" s="70">
        <v>0</v>
      </c>
    </row>
    <row r="421" spans="1:6" x14ac:dyDescent="0.2">
      <c r="A421" s="69"/>
      <c r="B421" s="74"/>
      <c r="C421" s="17"/>
      <c r="D421" s="12"/>
      <c r="E421" s="13"/>
      <c r="F421" s="70"/>
    </row>
    <row r="422" spans="1:6" x14ac:dyDescent="0.2">
      <c r="A422" s="69">
        <v>114108</v>
      </c>
      <c r="B422" s="31" t="s">
        <v>453</v>
      </c>
      <c r="C422" s="9" t="s">
        <v>470</v>
      </c>
      <c r="D422" s="12">
        <v>0</v>
      </c>
      <c r="E422" s="13">
        <v>1</v>
      </c>
      <c r="F422" s="70">
        <f>+D422*E422</f>
        <v>0</v>
      </c>
    </row>
    <row r="423" spans="1:6" hidden="1" x14ac:dyDescent="0.2">
      <c r="A423" s="69" t="s">
        <v>454</v>
      </c>
      <c r="B423" s="303" t="s">
        <v>33</v>
      </c>
      <c r="C423" s="9" t="s">
        <v>551</v>
      </c>
      <c r="D423" s="12">
        <v>43289.169560000002</v>
      </c>
      <c r="E423" s="13">
        <v>0</v>
      </c>
      <c r="F423" s="70">
        <v>0</v>
      </c>
    </row>
    <row r="424" spans="1:6" hidden="1" x14ac:dyDescent="0.2">
      <c r="A424" s="69"/>
      <c r="B424" s="303"/>
      <c r="C424" s="9" t="s">
        <v>552</v>
      </c>
      <c r="D424" s="12">
        <v>0</v>
      </c>
      <c r="E424" s="13">
        <v>0</v>
      </c>
      <c r="F424" s="70">
        <v>0</v>
      </c>
    </row>
    <row r="425" spans="1:6" hidden="1" x14ac:dyDescent="0.2">
      <c r="A425" s="69" t="s">
        <v>455</v>
      </c>
      <c r="B425" s="303" t="s">
        <v>34</v>
      </c>
      <c r="C425" s="9" t="s">
        <v>334</v>
      </c>
      <c r="D425" s="12">
        <v>0</v>
      </c>
      <c r="E425" s="13">
        <v>0</v>
      </c>
      <c r="F425" s="70">
        <v>0</v>
      </c>
    </row>
    <row r="426" spans="1:6" hidden="1" x14ac:dyDescent="0.2">
      <c r="A426" s="69"/>
      <c r="B426" s="303"/>
      <c r="C426" s="9" t="s">
        <v>335</v>
      </c>
      <c r="D426" s="12">
        <v>0</v>
      </c>
      <c r="E426" s="13">
        <v>0</v>
      </c>
      <c r="F426" s="70">
        <v>0</v>
      </c>
    </row>
    <row r="427" spans="1:6" hidden="1" x14ac:dyDescent="0.2">
      <c r="A427" s="69" t="s">
        <v>456</v>
      </c>
      <c r="B427" s="74" t="s">
        <v>220</v>
      </c>
      <c r="C427" s="17" t="s">
        <v>337</v>
      </c>
      <c r="D427" s="12">
        <v>65.852119999999999</v>
      </c>
      <c r="E427" s="13">
        <v>0</v>
      </c>
      <c r="F427" s="70">
        <v>0</v>
      </c>
    </row>
    <row r="428" spans="1:6" hidden="1" x14ac:dyDescent="0.2">
      <c r="A428" s="69"/>
      <c r="B428" s="74"/>
      <c r="C428" s="17" t="s">
        <v>159</v>
      </c>
      <c r="D428" s="12">
        <v>0</v>
      </c>
      <c r="E428" s="13">
        <v>0</v>
      </c>
      <c r="F428" s="70">
        <v>0</v>
      </c>
    </row>
    <row r="429" spans="1:6" x14ac:dyDescent="0.2">
      <c r="A429" s="69"/>
      <c r="B429" s="33"/>
      <c r="C429" s="9"/>
      <c r="D429" s="12"/>
      <c r="E429" s="13"/>
      <c r="F429" s="70"/>
    </row>
    <row r="430" spans="1:6" x14ac:dyDescent="0.2">
      <c r="A430" s="69">
        <v>114199</v>
      </c>
      <c r="B430" s="31" t="s">
        <v>94</v>
      </c>
      <c r="C430" s="9" t="s">
        <v>340</v>
      </c>
      <c r="D430" s="12">
        <v>0</v>
      </c>
      <c r="E430" s="13">
        <v>1</v>
      </c>
      <c r="F430" s="70">
        <f>+D430*E430</f>
        <v>0</v>
      </c>
    </row>
    <row r="431" spans="1:6" hidden="1" x14ac:dyDescent="0.2">
      <c r="A431" s="69" t="s">
        <v>471</v>
      </c>
      <c r="B431" s="290" t="s">
        <v>33</v>
      </c>
      <c r="C431" s="9" t="s">
        <v>472</v>
      </c>
      <c r="D431" s="12">
        <v>396.76105000000001</v>
      </c>
      <c r="E431" s="13">
        <v>0</v>
      </c>
      <c r="F431" s="70">
        <v>0</v>
      </c>
    </row>
    <row r="432" spans="1:6" hidden="1" x14ac:dyDescent="0.2">
      <c r="A432" s="69"/>
      <c r="B432" s="290"/>
      <c r="C432" s="9" t="s">
        <v>473</v>
      </c>
      <c r="D432" s="12">
        <v>0</v>
      </c>
      <c r="E432" s="13">
        <v>0</v>
      </c>
      <c r="F432" s="70">
        <v>0</v>
      </c>
    </row>
    <row r="433" spans="1:6" hidden="1" x14ac:dyDescent="0.2">
      <c r="A433" s="69" t="s">
        <v>474</v>
      </c>
      <c r="B433" s="290" t="s">
        <v>34</v>
      </c>
      <c r="C433" s="9" t="s">
        <v>91</v>
      </c>
      <c r="D433" s="12">
        <v>-41.650010000000002</v>
      </c>
      <c r="E433" s="13">
        <v>0</v>
      </c>
      <c r="F433" s="70">
        <v>0</v>
      </c>
    </row>
    <row r="434" spans="1:6" hidden="1" x14ac:dyDescent="0.2">
      <c r="A434" s="69"/>
      <c r="B434" s="290"/>
      <c r="C434" s="9" t="s">
        <v>92</v>
      </c>
      <c r="D434" s="12">
        <v>0</v>
      </c>
      <c r="E434" s="13">
        <v>0</v>
      </c>
      <c r="F434" s="70">
        <v>0</v>
      </c>
    </row>
    <row r="435" spans="1:6" x14ac:dyDescent="0.2">
      <c r="A435" s="69"/>
      <c r="B435" s="33"/>
      <c r="C435" s="9"/>
      <c r="D435" s="12"/>
      <c r="E435" s="13"/>
      <c r="F435" s="70"/>
    </row>
    <row r="436" spans="1:6" x14ac:dyDescent="0.2">
      <c r="A436" s="69">
        <v>1142</v>
      </c>
      <c r="B436" s="34">
        <v>1142</v>
      </c>
      <c r="C436" s="19" t="s">
        <v>93</v>
      </c>
      <c r="D436" s="12" t="e">
        <f>+#REF!</f>
        <v>#REF!</v>
      </c>
      <c r="E436" s="13">
        <v>1</v>
      </c>
      <c r="F436" s="70" t="e">
        <f>+D436*E436</f>
        <v>#REF!</v>
      </c>
    </row>
    <row r="437" spans="1:6" hidden="1" x14ac:dyDescent="0.2">
      <c r="A437" s="69"/>
      <c r="B437" s="33"/>
      <c r="C437" s="20"/>
      <c r="D437" s="12"/>
      <c r="E437" s="13"/>
      <c r="F437" s="70"/>
    </row>
    <row r="438" spans="1:6" hidden="1" x14ac:dyDescent="0.2">
      <c r="A438" s="69" t="s">
        <v>497</v>
      </c>
      <c r="B438" s="72" t="s">
        <v>497</v>
      </c>
      <c r="C438" s="17" t="s">
        <v>319</v>
      </c>
      <c r="D438" s="12"/>
      <c r="E438" s="13">
        <v>-1</v>
      </c>
      <c r="F438" s="70"/>
    </row>
    <row r="439" spans="1:6" hidden="1" x14ac:dyDescent="0.2">
      <c r="A439" s="69"/>
      <c r="B439" s="72"/>
      <c r="C439" s="17" t="s">
        <v>585</v>
      </c>
      <c r="D439" s="12"/>
      <c r="E439" s="13">
        <v>-1</v>
      </c>
      <c r="F439" s="70"/>
    </row>
    <row r="440" spans="1:6" hidden="1" x14ac:dyDescent="0.2">
      <c r="A440" s="69" t="s">
        <v>68</v>
      </c>
      <c r="B440" s="72" t="s">
        <v>68</v>
      </c>
      <c r="C440" s="17" t="s">
        <v>754</v>
      </c>
      <c r="D440" s="12"/>
      <c r="E440" s="13">
        <v>-1</v>
      </c>
      <c r="F440" s="70"/>
    </row>
    <row r="441" spans="1:6" x14ac:dyDescent="0.2">
      <c r="A441" s="69"/>
      <c r="B441" s="72"/>
      <c r="C441" s="17"/>
      <c r="D441" s="12"/>
      <c r="E441" s="13"/>
      <c r="F441" s="70"/>
    </row>
    <row r="442" spans="1:6" ht="13.5" thickBot="1" x14ac:dyDescent="0.25">
      <c r="A442" s="90">
        <v>1148</v>
      </c>
      <c r="B442" s="304" t="s">
        <v>755</v>
      </c>
      <c r="C442" s="305" t="s">
        <v>414</v>
      </c>
      <c r="D442" s="92" t="e">
        <f>+#REF!</f>
        <v>#REF!</v>
      </c>
      <c r="E442" s="89">
        <v>1</v>
      </c>
      <c r="F442" s="93" t="e">
        <f>+D442*E442</f>
        <v>#REF!</v>
      </c>
    </row>
    <row r="443" spans="1:6" hidden="1" x14ac:dyDescent="0.2">
      <c r="A443" s="69" t="s">
        <v>756</v>
      </c>
      <c r="B443" s="290" t="s">
        <v>756</v>
      </c>
      <c r="C443" s="15" t="s">
        <v>491</v>
      </c>
      <c r="D443" s="12"/>
      <c r="E443" s="13">
        <v>-1</v>
      </c>
      <c r="F443" s="70">
        <f>+D443*E443</f>
        <v>0</v>
      </c>
    </row>
    <row r="444" spans="1:6" x14ac:dyDescent="0.2">
      <c r="A444" s="69"/>
      <c r="B444" s="290"/>
      <c r="C444" s="20"/>
      <c r="D444" s="12"/>
      <c r="E444" s="13"/>
      <c r="F444" s="70"/>
    </row>
    <row r="445" spans="1:6" x14ac:dyDescent="0.2">
      <c r="A445" s="69"/>
      <c r="B445" s="34" t="s">
        <v>492</v>
      </c>
      <c r="C445" s="18" t="s">
        <v>694</v>
      </c>
      <c r="D445" s="12" t="e">
        <f>SUM(D446:D447)</f>
        <v>#REF!</v>
      </c>
      <c r="E445" s="13">
        <v>1</v>
      </c>
      <c r="F445" s="70" t="e">
        <f>+D445*E445</f>
        <v>#REF!</v>
      </c>
    </row>
    <row r="446" spans="1:6" x14ac:dyDescent="0.2">
      <c r="A446" s="69" t="s">
        <v>493</v>
      </c>
      <c r="B446" s="72" t="s">
        <v>493</v>
      </c>
      <c r="C446" s="17" t="s">
        <v>486</v>
      </c>
      <c r="D446" s="12" t="e">
        <f>+#REF!</f>
        <v>#REF!</v>
      </c>
      <c r="E446" s="13">
        <v>0</v>
      </c>
      <c r="F446" s="70">
        <v>0</v>
      </c>
    </row>
    <row r="447" spans="1:6" x14ac:dyDescent="0.2">
      <c r="A447" s="69" t="s">
        <v>487</v>
      </c>
      <c r="B447" s="72" t="s">
        <v>487</v>
      </c>
      <c r="C447" s="17" t="s">
        <v>488</v>
      </c>
      <c r="D447" s="12">
        <v>0</v>
      </c>
      <c r="E447" s="13">
        <v>0</v>
      </c>
      <c r="F447" s="70">
        <v>0</v>
      </c>
    </row>
    <row r="448" spans="1:6" x14ac:dyDescent="0.2">
      <c r="A448" s="69"/>
      <c r="B448" s="31"/>
      <c r="C448" s="10"/>
      <c r="D448" s="12"/>
      <c r="E448" s="13"/>
      <c r="F448" s="70"/>
    </row>
    <row r="449" spans="1:6" x14ac:dyDescent="0.2">
      <c r="A449" s="69"/>
      <c r="B449" s="31"/>
      <c r="C449" s="11" t="s">
        <v>489</v>
      </c>
      <c r="D449" s="12"/>
      <c r="E449" s="13">
        <v>0.8</v>
      </c>
      <c r="F449" s="70">
        <f>+D449*E449</f>
        <v>0</v>
      </c>
    </row>
    <row r="450" spans="1:6" x14ac:dyDescent="0.2">
      <c r="A450" s="69"/>
      <c r="B450" s="31"/>
      <c r="C450" s="20"/>
      <c r="D450" s="12"/>
      <c r="E450" s="13"/>
      <c r="F450" s="70"/>
    </row>
    <row r="451" spans="1:6" x14ac:dyDescent="0.2">
      <c r="A451" s="69"/>
      <c r="B451" s="31"/>
      <c r="C451" s="11" t="s">
        <v>692</v>
      </c>
      <c r="D451" s="12"/>
      <c r="E451" s="13"/>
      <c r="F451" s="70"/>
    </row>
    <row r="452" spans="1:6" x14ac:dyDescent="0.2">
      <c r="A452" s="69"/>
      <c r="B452" s="31"/>
      <c r="C452" s="11" t="s">
        <v>496</v>
      </c>
      <c r="D452" s="12">
        <v>0</v>
      </c>
      <c r="E452" s="13">
        <v>0.5</v>
      </c>
      <c r="F452" s="70">
        <f>+D452*E452</f>
        <v>0</v>
      </c>
    </row>
    <row r="453" spans="1:6" x14ac:dyDescent="0.2">
      <c r="A453" s="69"/>
      <c r="B453" s="31"/>
      <c r="C453" s="11"/>
      <c r="D453" s="12"/>
      <c r="E453" s="13"/>
      <c r="F453" s="70"/>
    </row>
    <row r="454" spans="1:6" ht="51" x14ac:dyDescent="0.2">
      <c r="A454" s="69"/>
      <c r="B454" s="34"/>
      <c r="C454" s="21" t="s">
        <v>610</v>
      </c>
      <c r="D454" s="12"/>
      <c r="E454" s="13">
        <v>-0.5</v>
      </c>
      <c r="F454" s="70">
        <f>+D454*E454</f>
        <v>0</v>
      </c>
    </row>
    <row r="455" spans="1:6" x14ac:dyDescent="0.2">
      <c r="A455" s="69"/>
      <c r="B455" s="34"/>
      <c r="C455" s="19"/>
      <c r="D455" s="12"/>
      <c r="E455" s="13"/>
      <c r="F455" s="70"/>
    </row>
    <row r="456" spans="1:6" x14ac:dyDescent="0.2">
      <c r="A456" s="69"/>
      <c r="B456" s="34">
        <v>1220</v>
      </c>
      <c r="C456" s="11" t="s">
        <v>695</v>
      </c>
      <c r="D456" s="12" t="e">
        <f>+#REF!-#REF!</f>
        <v>#REF!</v>
      </c>
      <c r="E456" s="13">
        <v>1</v>
      </c>
      <c r="F456" s="70" t="e">
        <f>+D456*E456</f>
        <v>#REF!</v>
      </c>
    </row>
    <row r="457" spans="1:6" hidden="1" x14ac:dyDescent="0.2">
      <c r="A457" s="69">
        <v>122001</v>
      </c>
      <c r="B457" s="290" t="s">
        <v>611</v>
      </c>
      <c r="C457" s="20"/>
      <c r="D457" s="12">
        <v>63343.559070000003</v>
      </c>
      <c r="E457" s="13">
        <v>0</v>
      </c>
      <c r="F457" s="70">
        <v>0</v>
      </c>
    </row>
    <row r="458" spans="1:6" hidden="1" x14ac:dyDescent="0.2">
      <c r="A458" s="69">
        <v>122002</v>
      </c>
      <c r="B458" s="290" t="s">
        <v>612</v>
      </c>
      <c r="C458" s="20"/>
      <c r="D458" s="12">
        <v>5.3123100000000001</v>
      </c>
      <c r="E458" s="13">
        <v>0</v>
      </c>
      <c r="F458" s="70">
        <v>0</v>
      </c>
    </row>
    <row r="459" spans="1:6" hidden="1" x14ac:dyDescent="0.2">
      <c r="A459" s="69">
        <v>122003</v>
      </c>
      <c r="B459" s="290" t="s">
        <v>595</v>
      </c>
      <c r="C459" s="20"/>
      <c r="D459" s="12">
        <v>2953.1142799999998</v>
      </c>
      <c r="E459" s="13">
        <v>0</v>
      </c>
      <c r="F459" s="70">
        <v>0</v>
      </c>
    </row>
    <row r="460" spans="1:6" hidden="1" x14ac:dyDescent="0.2">
      <c r="A460" s="69">
        <v>122004</v>
      </c>
      <c r="B460" s="290" t="s">
        <v>596</v>
      </c>
      <c r="C460" s="20"/>
      <c r="D460" s="12">
        <v>0</v>
      </c>
      <c r="E460" s="13"/>
      <c r="F460" s="70">
        <v>0</v>
      </c>
    </row>
    <row r="461" spans="1:6" hidden="1" x14ac:dyDescent="0.2">
      <c r="A461" s="69" t="s">
        <v>379</v>
      </c>
      <c r="B461" s="74" t="s">
        <v>379</v>
      </c>
      <c r="C461" s="20"/>
      <c r="D461" s="12">
        <v>-911.63660000000004</v>
      </c>
      <c r="E461" s="13">
        <v>0</v>
      </c>
      <c r="F461" s="70">
        <v>0</v>
      </c>
    </row>
    <row r="462" spans="1:6" x14ac:dyDescent="0.2">
      <c r="A462" s="69"/>
      <c r="B462" s="31"/>
      <c r="C462" s="20"/>
      <c r="D462" s="12"/>
      <c r="E462" s="13"/>
      <c r="F462" s="70"/>
    </row>
    <row r="463" spans="1:6" hidden="1" x14ac:dyDescent="0.2">
      <c r="A463" s="69"/>
      <c r="B463" s="290">
        <v>1229</v>
      </c>
      <c r="C463" s="11" t="s">
        <v>322</v>
      </c>
      <c r="D463" s="12"/>
      <c r="E463" s="13">
        <v>1</v>
      </c>
      <c r="F463" s="70">
        <f>+D463*E463</f>
        <v>0</v>
      </c>
    </row>
    <row r="464" spans="1:6" hidden="1" x14ac:dyDescent="0.2">
      <c r="A464" s="69" t="s">
        <v>323</v>
      </c>
      <c r="B464" s="290" t="str">
        <f>A464</f>
        <v>122900</v>
      </c>
      <c r="C464" s="20"/>
      <c r="D464" s="12">
        <v>0</v>
      </c>
      <c r="E464" s="13">
        <v>0</v>
      </c>
      <c r="F464" s="70">
        <v>0</v>
      </c>
    </row>
    <row r="465" spans="1:6" hidden="1" x14ac:dyDescent="0.2">
      <c r="A465" s="69"/>
      <c r="B465" s="290"/>
      <c r="C465" s="20"/>
      <c r="D465" s="12"/>
      <c r="E465" s="13"/>
      <c r="F465" s="70"/>
    </row>
    <row r="466" spans="1:6" x14ac:dyDescent="0.2">
      <c r="A466" s="69"/>
      <c r="B466" s="290">
        <v>1230</v>
      </c>
      <c r="C466" s="11" t="s">
        <v>649</v>
      </c>
      <c r="D466" s="12" t="e">
        <f>+#REF!</f>
        <v>#REF!</v>
      </c>
      <c r="E466" s="13">
        <v>1</v>
      </c>
      <c r="F466" s="70" t="e">
        <f>+D466*E466</f>
        <v>#REF!</v>
      </c>
    </row>
    <row r="467" spans="1:6" hidden="1" x14ac:dyDescent="0.2">
      <c r="A467" s="69">
        <v>123001</v>
      </c>
      <c r="B467" s="290">
        <f>A467</f>
        <v>123001</v>
      </c>
      <c r="C467" s="20"/>
      <c r="D467" s="12">
        <v>46.253390000000003</v>
      </c>
      <c r="E467" s="13">
        <v>0</v>
      </c>
      <c r="F467" s="70">
        <v>0</v>
      </c>
    </row>
    <row r="468" spans="1:6" hidden="1" x14ac:dyDescent="0.2">
      <c r="A468" s="69">
        <v>123002</v>
      </c>
      <c r="B468" s="290">
        <f>A468</f>
        <v>123002</v>
      </c>
      <c r="C468" s="20"/>
      <c r="D468" s="12">
        <v>240.82997</v>
      </c>
      <c r="E468" s="13">
        <v>0</v>
      </c>
      <c r="F468" s="70">
        <v>0</v>
      </c>
    </row>
    <row r="469" spans="1:6" x14ac:dyDescent="0.2">
      <c r="A469" s="69"/>
      <c r="B469" s="290"/>
      <c r="C469" s="20"/>
      <c r="D469" s="12"/>
      <c r="E469" s="13"/>
      <c r="F469" s="70"/>
    </row>
    <row r="470" spans="1:6" x14ac:dyDescent="0.2">
      <c r="A470" s="69"/>
      <c r="B470" s="290">
        <v>1240</v>
      </c>
      <c r="C470" s="19" t="s">
        <v>316</v>
      </c>
      <c r="D470" s="12" t="e">
        <f>+#REF!</f>
        <v>#REF!</v>
      </c>
      <c r="E470" s="13">
        <v>1</v>
      </c>
      <c r="F470" s="70" t="e">
        <f>+D470*E470</f>
        <v>#REF!</v>
      </c>
    </row>
    <row r="471" spans="1:6" hidden="1" x14ac:dyDescent="0.2">
      <c r="A471" s="69">
        <v>124001</v>
      </c>
      <c r="B471" s="290">
        <f>A471</f>
        <v>124001</v>
      </c>
      <c r="C471" s="10"/>
      <c r="D471" s="12">
        <v>1130.1502700000001</v>
      </c>
      <c r="E471" s="13">
        <v>0</v>
      </c>
      <c r="F471" s="70">
        <v>0</v>
      </c>
    </row>
    <row r="472" spans="1:6" hidden="1" x14ac:dyDescent="0.2">
      <c r="A472" s="69">
        <v>124002</v>
      </c>
      <c r="B472" s="290">
        <f>A472</f>
        <v>124002</v>
      </c>
      <c r="C472" s="10"/>
      <c r="D472" s="12">
        <v>0</v>
      </c>
      <c r="E472" s="13">
        <v>0</v>
      </c>
      <c r="F472" s="70">
        <v>0</v>
      </c>
    </row>
    <row r="473" spans="1:6" hidden="1" x14ac:dyDescent="0.2">
      <c r="A473" s="69">
        <v>124003</v>
      </c>
      <c r="B473" s="290">
        <f>A473</f>
        <v>124003</v>
      </c>
      <c r="C473" s="10"/>
      <c r="D473" s="12"/>
      <c r="E473" s="13"/>
      <c r="F473" s="70"/>
    </row>
    <row r="474" spans="1:6" hidden="1" x14ac:dyDescent="0.2">
      <c r="A474" s="69">
        <v>124004</v>
      </c>
      <c r="B474" s="290">
        <f>A474</f>
        <v>124004</v>
      </c>
      <c r="C474" s="10"/>
      <c r="D474" s="12">
        <v>1005.3498</v>
      </c>
      <c r="E474" s="13">
        <v>0</v>
      </c>
      <c r="F474" s="70">
        <v>0</v>
      </c>
    </row>
    <row r="475" spans="1:6" hidden="1" x14ac:dyDescent="0.2">
      <c r="A475" s="69" t="s">
        <v>324</v>
      </c>
      <c r="B475" s="290" t="s">
        <v>324</v>
      </c>
      <c r="C475" s="10"/>
      <c r="D475" s="12">
        <v>1814.86779</v>
      </c>
      <c r="E475" s="13">
        <v>0</v>
      </c>
      <c r="F475" s="70">
        <v>0</v>
      </c>
    </row>
    <row r="476" spans="1:6" hidden="1" x14ac:dyDescent="0.2">
      <c r="A476" s="69">
        <v>124098</v>
      </c>
      <c r="B476" s="290">
        <f>A476</f>
        <v>124098</v>
      </c>
      <c r="C476" s="10"/>
      <c r="D476" s="12">
        <v>6577.0144600000003</v>
      </c>
      <c r="E476" s="13">
        <v>0</v>
      </c>
      <c r="F476" s="70">
        <v>0</v>
      </c>
    </row>
    <row r="477" spans="1:6" hidden="1" x14ac:dyDescent="0.2">
      <c r="A477" s="69">
        <v>124099</v>
      </c>
      <c r="B477" s="290">
        <f>A477</f>
        <v>124099</v>
      </c>
      <c r="C477" s="10"/>
      <c r="D477" s="12">
        <v>3127.9571999999998</v>
      </c>
      <c r="E477" s="13">
        <v>0</v>
      </c>
      <c r="F477" s="70">
        <v>0</v>
      </c>
    </row>
    <row r="478" spans="1:6" x14ac:dyDescent="0.2">
      <c r="A478" s="69"/>
      <c r="B478" s="290"/>
      <c r="C478" s="10"/>
      <c r="D478" s="12"/>
      <c r="E478" s="13"/>
      <c r="F478" s="70"/>
    </row>
    <row r="479" spans="1:6" x14ac:dyDescent="0.2">
      <c r="A479" s="69"/>
      <c r="B479" s="290">
        <v>1250</v>
      </c>
      <c r="C479" s="11" t="s">
        <v>730</v>
      </c>
      <c r="D479" s="12" t="e">
        <f>+#REF!</f>
        <v>#REF!</v>
      </c>
      <c r="E479" s="13">
        <v>1</v>
      </c>
      <c r="F479" s="70" t="e">
        <f>+D479*E479</f>
        <v>#REF!</v>
      </c>
    </row>
    <row r="480" spans="1:6" hidden="1" x14ac:dyDescent="0.2">
      <c r="A480" s="77">
        <v>125001</v>
      </c>
      <c r="B480" s="290">
        <f>A480</f>
        <v>125001</v>
      </c>
      <c r="C480" s="20"/>
      <c r="D480" s="12">
        <v>0</v>
      </c>
      <c r="E480" s="13">
        <v>0</v>
      </c>
      <c r="F480" s="70">
        <v>0</v>
      </c>
    </row>
    <row r="481" spans="1:6" hidden="1" x14ac:dyDescent="0.2">
      <c r="A481" s="77">
        <v>125002</v>
      </c>
      <c r="B481" s="290">
        <f>A481</f>
        <v>125002</v>
      </c>
      <c r="C481" s="20"/>
      <c r="D481" s="12">
        <v>1118.5936400000001</v>
      </c>
      <c r="E481" s="13">
        <v>0</v>
      </c>
      <c r="F481" s="70">
        <v>0</v>
      </c>
    </row>
    <row r="482" spans="1:6" hidden="1" x14ac:dyDescent="0.2">
      <c r="A482" s="77">
        <v>125003</v>
      </c>
      <c r="B482" s="290">
        <f>A482</f>
        <v>125003</v>
      </c>
      <c r="C482" s="20"/>
      <c r="D482" s="12">
        <v>40.002119999999998</v>
      </c>
      <c r="E482" s="13">
        <v>0</v>
      </c>
      <c r="F482" s="70">
        <v>0</v>
      </c>
    </row>
    <row r="483" spans="1:6" hidden="1" x14ac:dyDescent="0.2">
      <c r="A483" s="77">
        <v>125004</v>
      </c>
      <c r="B483" s="290">
        <f>A483</f>
        <v>125004</v>
      </c>
      <c r="C483" s="20"/>
      <c r="D483" s="12">
        <v>2740.6747099999998</v>
      </c>
      <c r="E483" s="13">
        <v>0</v>
      </c>
      <c r="F483" s="70">
        <v>0</v>
      </c>
    </row>
    <row r="484" spans="1:6" hidden="1" x14ac:dyDescent="0.2">
      <c r="A484" s="69">
        <v>125099</v>
      </c>
      <c r="B484" s="290">
        <f>A484</f>
        <v>125099</v>
      </c>
      <c r="C484" s="20"/>
      <c r="D484" s="12">
        <v>2667.9361100000001</v>
      </c>
      <c r="E484" s="13">
        <v>0</v>
      </c>
      <c r="F484" s="70">
        <v>0</v>
      </c>
    </row>
    <row r="485" spans="1:6" x14ac:dyDescent="0.2">
      <c r="A485" s="69"/>
      <c r="B485" s="290"/>
      <c r="C485" s="20"/>
      <c r="D485" s="12"/>
      <c r="E485" s="13"/>
      <c r="F485" s="70"/>
    </row>
    <row r="486" spans="1:6" x14ac:dyDescent="0.2">
      <c r="A486" s="69"/>
      <c r="B486" s="290">
        <v>1259</v>
      </c>
      <c r="C486" s="11" t="s">
        <v>325</v>
      </c>
      <c r="D486" s="12">
        <v>0</v>
      </c>
      <c r="E486" s="13">
        <v>1</v>
      </c>
      <c r="F486" s="70">
        <f>+D486*E486</f>
        <v>0</v>
      </c>
    </row>
    <row r="487" spans="1:6" hidden="1" x14ac:dyDescent="0.2">
      <c r="A487" s="69" t="s">
        <v>326</v>
      </c>
      <c r="B487" s="290" t="str">
        <f>A487</f>
        <v>125900</v>
      </c>
      <c r="C487" s="20"/>
      <c r="D487" s="12">
        <v>-412.19314000000003</v>
      </c>
      <c r="E487" s="13">
        <v>0</v>
      </c>
      <c r="F487" s="70">
        <v>0</v>
      </c>
    </row>
    <row r="488" spans="1:6" x14ac:dyDescent="0.2">
      <c r="A488" s="69"/>
      <c r="B488" s="290"/>
      <c r="C488" s="20"/>
      <c r="D488" s="12"/>
      <c r="E488" s="13"/>
      <c r="F488" s="70"/>
    </row>
    <row r="489" spans="1:6" x14ac:dyDescent="0.2">
      <c r="A489" s="69"/>
      <c r="B489" s="290">
        <v>1260</v>
      </c>
      <c r="C489" s="11" t="s">
        <v>135</v>
      </c>
      <c r="D489" s="12" t="e">
        <f>SUM(D490:D491)</f>
        <v>#REF!</v>
      </c>
      <c r="E489" s="13">
        <v>0</v>
      </c>
      <c r="F489" s="70" t="e">
        <f>+D489*E489</f>
        <v>#REF!</v>
      </c>
    </row>
    <row r="490" spans="1:6" x14ac:dyDescent="0.2">
      <c r="A490" s="295" t="s">
        <v>799</v>
      </c>
      <c r="B490" s="31"/>
      <c r="C490" s="9" t="s">
        <v>136</v>
      </c>
      <c r="D490" s="12" t="e">
        <f>+#REF!</f>
        <v>#REF!</v>
      </c>
      <c r="E490" s="13">
        <v>0</v>
      </c>
      <c r="F490" s="70">
        <v>0</v>
      </c>
    </row>
    <row r="491" spans="1:6" x14ac:dyDescent="0.2">
      <c r="A491" s="69">
        <v>126003</v>
      </c>
      <c r="B491" s="31"/>
      <c r="C491" s="9" t="s">
        <v>573</v>
      </c>
      <c r="D491" s="12"/>
      <c r="E491" s="13">
        <v>1</v>
      </c>
      <c r="F491" s="70">
        <f>+D491*E491</f>
        <v>0</v>
      </c>
    </row>
    <row r="492" spans="1:6" x14ac:dyDescent="0.2">
      <c r="A492" s="69"/>
      <c r="B492" s="290"/>
      <c r="C492" s="9"/>
      <c r="D492" s="12"/>
      <c r="E492" s="13"/>
      <c r="F492" s="70"/>
    </row>
    <row r="493" spans="1:6" x14ac:dyDescent="0.2">
      <c r="A493" s="69"/>
      <c r="B493" s="290">
        <v>1310</v>
      </c>
      <c r="C493" s="18" t="s">
        <v>574</v>
      </c>
      <c r="D493" s="12">
        <v>0</v>
      </c>
      <c r="E493" s="13">
        <v>1</v>
      </c>
      <c r="F493" s="70">
        <f>+D493*E493</f>
        <v>0</v>
      </c>
    </row>
    <row r="494" spans="1:6" hidden="1" x14ac:dyDescent="0.2">
      <c r="A494" s="69">
        <v>131001</v>
      </c>
      <c r="B494" s="290">
        <v>131001</v>
      </c>
      <c r="C494" s="10"/>
      <c r="D494" s="12">
        <v>24817.466850000001</v>
      </c>
      <c r="E494" s="13">
        <v>0</v>
      </c>
      <c r="F494" s="70">
        <v>0</v>
      </c>
    </row>
    <row r="495" spans="1:6" hidden="1" x14ac:dyDescent="0.2">
      <c r="A495" s="69">
        <v>131002</v>
      </c>
      <c r="B495" s="290">
        <v>131002</v>
      </c>
      <c r="C495" s="10"/>
      <c r="D495" s="12">
        <v>520.05085999999994</v>
      </c>
      <c r="E495" s="13">
        <v>0</v>
      </c>
      <c r="F495" s="70">
        <v>0</v>
      </c>
    </row>
    <row r="496" spans="1:6" hidden="1" x14ac:dyDescent="0.2">
      <c r="A496" s="69">
        <v>131003</v>
      </c>
      <c r="B496" s="290">
        <v>131003</v>
      </c>
      <c r="C496" s="10"/>
      <c r="D496" s="12">
        <v>3.3081499999999999</v>
      </c>
      <c r="E496" s="13">
        <v>0</v>
      </c>
      <c r="F496" s="70">
        <v>0</v>
      </c>
    </row>
    <row r="497" spans="1:6" x14ac:dyDescent="0.2">
      <c r="A497" s="69"/>
      <c r="B497" s="290"/>
      <c r="C497" s="20"/>
      <c r="D497" s="12"/>
      <c r="E497" s="13"/>
      <c r="F497" s="70"/>
    </row>
    <row r="498" spans="1:6" x14ac:dyDescent="0.2">
      <c r="A498" s="69"/>
      <c r="B498" s="290">
        <v>1320</v>
      </c>
      <c r="C498" s="11" t="s">
        <v>327</v>
      </c>
      <c r="D498" s="12" t="e">
        <f>+#REF!</f>
        <v>#REF!</v>
      </c>
      <c r="E498" s="13">
        <v>1</v>
      </c>
      <c r="F498" s="70" t="e">
        <f>+D498*E498</f>
        <v>#REF!</v>
      </c>
    </row>
    <row r="499" spans="1:6" hidden="1" x14ac:dyDescent="0.2">
      <c r="A499" s="69">
        <v>132001</v>
      </c>
      <c r="B499" s="290">
        <f t="shared" ref="B499:B505" si="9">A499</f>
        <v>132001</v>
      </c>
      <c r="C499" s="20"/>
      <c r="D499" s="12">
        <v>35667.88652</v>
      </c>
      <c r="E499" s="13">
        <v>0</v>
      </c>
      <c r="F499" s="70">
        <v>0</v>
      </c>
    </row>
    <row r="500" spans="1:6" hidden="1" x14ac:dyDescent="0.2">
      <c r="A500" s="69">
        <v>132002</v>
      </c>
      <c r="B500" s="290">
        <f t="shared" si="9"/>
        <v>132002</v>
      </c>
      <c r="C500" s="20"/>
      <c r="D500" s="12">
        <v>14131.823340000001</v>
      </c>
      <c r="E500" s="13">
        <v>0</v>
      </c>
      <c r="F500" s="70">
        <v>0</v>
      </c>
    </row>
    <row r="501" spans="1:6" hidden="1" x14ac:dyDescent="0.2">
      <c r="A501" s="69">
        <v>132003</v>
      </c>
      <c r="B501" s="290">
        <f t="shared" si="9"/>
        <v>132003</v>
      </c>
      <c r="C501" s="20"/>
      <c r="D501" s="12">
        <v>3453.7941999999998</v>
      </c>
      <c r="E501" s="13">
        <v>0</v>
      </c>
      <c r="F501" s="70">
        <v>0</v>
      </c>
    </row>
    <row r="502" spans="1:6" hidden="1" x14ac:dyDescent="0.2">
      <c r="A502" s="69">
        <v>132004</v>
      </c>
      <c r="B502" s="290">
        <f t="shared" si="9"/>
        <v>132004</v>
      </c>
      <c r="C502" s="20"/>
      <c r="D502" s="12">
        <v>3953.27421</v>
      </c>
      <c r="E502" s="13">
        <v>0</v>
      </c>
      <c r="F502" s="70">
        <v>0</v>
      </c>
    </row>
    <row r="503" spans="1:6" hidden="1" x14ac:dyDescent="0.2">
      <c r="A503" s="69">
        <v>132005</v>
      </c>
      <c r="B503" s="290">
        <f t="shared" si="9"/>
        <v>132005</v>
      </c>
      <c r="C503" s="20"/>
      <c r="D503" s="12">
        <v>1340.0930800000001</v>
      </c>
      <c r="E503" s="13">
        <v>0</v>
      </c>
      <c r="F503" s="70">
        <v>0</v>
      </c>
    </row>
    <row r="504" spans="1:6" hidden="1" x14ac:dyDescent="0.2">
      <c r="A504" s="69">
        <v>132006</v>
      </c>
      <c r="B504" s="290">
        <f t="shared" si="9"/>
        <v>132006</v>
      </c>
      <c r="C504" s="20"/>
      <c r="D504" s="12">
        <v>8286.3507800000007</v>
      </c>
      <c r="E504" s="13">
        <v>0</v>
      </c>
      <c r="F504" s="70">
        <v>0</v>
      </c>
    </row>
    <row r="505" spans="1:6" hidden="1" x14ac:dyDescent="0.2">
      <c r="A505" s="69">
        <v>132099</v>
      </c>
      <c r="B505" s="290">
        <f t="shared" si="9"/>
        <v>132099</v>
      </c>
      <c r="C505" s="20"/>
      <c r="D505" s="12">
        <v>34.159579999999998</v>
      </c>
      <c r="E505" s="13">
        <v>0</v>
      </c>
      <c r="F505" s="70">
        <v>0</v>
      </c>
    </row>
    <row r="506" spans="1:6" x14ac:dyDescent="0.2">
      <c r="A506" s="69"/>
      <c r="B506" s="290"/>
      <c r="C506" s="20"/>
      <c r="D506" s="12"/>
      <c r="E506" s="13"/>
      <c r="F506" s="70"/>
    </row>
    <row r="507" spans="1:6" x14ac:dyDescent="0.2">
      <c r="A507" s="69"/>
      <c r="B507" s="290">
        <v>1329</v>
      </c>
      <c r="C507" s="11" t="s">
        <v>346</v>
      </c>
      <c r="D507" s="12" t="e">
        <f>+#REF!</f>
        <v>#REF!</v>
      </c>
      <c r="E507" s="13">
        <v>1</v>
      </c>
      <c r="F507" s="70" t="e">
        <f>+D507*E507</f>
        <v>#REF!</v>
      </c>
    </row>
    <row r="508" spans="1:6" hidden="1" x14ac:dyDescent="0.2">
      <c r="A508" s="69" t="s">
        <v>328</v>
      </c>
      <c r="B508" s="290" t="str">
        <f>A508</f>
        <v>132900</v>
      </c>
      <c r="C508" s="20"/>
      <c r="D508" s="12">
        <v>-31029.636450000002</v>
      </c>
      <c r="E508" s="13">
        <v>0</v>
      </c>
      <c r="F508" s="70">
        <v>0</v>
      </c>
    </row>
    <row r="509" spans="1:6" x14ac:dyDescent="0.2">
      <c r="A509" s="69"/>
      <c r="B509" s="290"/>
      <c r="C509" s="20"/>
      <c r="D509" s="12"/>
      <c r="E509" s="13"/>
      <c r="F509" s="70"/>
    </row>
    <row r="510" spans="1:6" x14ac:dyDescent="0.2">
      <c r="A510" s="69"/>
      <c r="B510" s="290">
        <v>1330</v>
      </c>
      <c r="C510" s="11" t="s">
        <v>329</v>
      </c>
      <c r="D510" s="12" t="e">
        <f>+#REF!</f>
        <v>#REF!</v>
      </c>
      <c r="E510" s="13">
        <v>1</v>
      </c>
      <c r="F510" s="70" t="e">
        <f>+D510*E510</f>
        <v>#REF!</v>
      </c>
    </row>
    <row r="511" spans="1:6" hidden="1" x14ac:dyDescent="0.2">
      <c r="A511" s="69">
        <v>133001</v>
      </c>
      <c r="B511" s="290">
        <f>A511</f>
        <v>133001</v>
      </c>
      <c r="C511" s="20"/>
      <c r="D511" s="12">
        <v>470.59697999999997</v>
      </c>
      <c r="E511" s="13">
        <v>0</v>
      </c>
      <c r="F511" s="70">
        <v>0</v>
      </c>
    </row>
    <row r="512" spans="1:6" hidden="1" x14ac:dyDescent="0.2">
      <c r="A512" s="69">
        <v>133002</v>
      </c>
      <c r="B512" s="290">
        <f>A512</f>
        <v>133002</v>
      </c>
      <c r="C512" s="20"/>
      <c r="D512" s="12">
        <v>2045.3924300000001</v>
      </c>
      <c r="E512" s="13">
        <v>0</v>
      </c>
      <c r="F512" s="70">
        <v>0</v>
      </c>
    </row>
    <row r="513" spans="1:6" hidden="1" x14ac:dyDescent="0.2">
      <c r="A513" s="69">
        <v>133003</v>
      </c>
      <c r="B513" s="290">
        <f>A513</f>
        <v>133003</v>
      </c>
      <c r="C513" s="20"/>
      <c r="D513" s="12">
        <v>0</v>
      </c>
      <c r="E513" s="13">
        <v>0</v>
      </c>
      <c r="F513" s="70">
        <v>0</v>
      </c>
    </row>
    <row r="514" spans="1:6" hidden="1" x14ac:dyDescent="0.2">
      <c r="A514" s="69">
        <v>133099</v>
      </c>
      <c r="B514" s="290">
        <f>A514</f>
        <v>133099</v>
      </c>
      <c r="C514" s="20"/>
      <c r="D514" s="12">
        <v>39.126130000000003</v>
      </c>
      <c r="E514" s="13">
        <v>0</v>
      </c>
      <c r="F514" s="70">
        <v>0</v>
      </c>
    </row>
    <row r="515" spans="1:6" x14ac:dyDescent="0.2">
      <c r="A515" s="69"/>
      <c r="B515" s="290"/>
      <c r="C515" s="20"/>
      <c r="D515" s="12"/>
      <c r="E515" s="13"/>
      <c r="F515" s="70"/>
    </row>
    <row r="516" spans="1:6" hidden="1" x14ac:dyDescent="0.2">
      <c r="A516" s="69">
        <v>211203</v>
      </c>
      <c r="B516" s="290">
        <v>211203</v>
      </c>
      <c r="C516" s="18" t="s">
        <v>330</v>
      </c>
      <c r="D516" s="12"/>
      <c r="E516" s="13">
        <v>0.5</v>
      </c>
      <c r="F516" s="70">
        <f>+D516*E516</f>
        <v>0</v>
      </c>
    </row>
    <row r="517" spans="1:6" hidden="1" x14ac:dyDescent="0.2">
      <c r="A517" s="69"/>
      <c r="B517" s="34"/>
      <c r="C517" s="15"/>
      <c r="D517" s="12"/>
      <c r="E517" s="13"/>
      <c r="F517" s="70"/>
    </row>
    <row r="518" spans="1:6" x14ac:dyDescent="0.2">
      <c r="A518" s="69"/>
      <c r="B518" s="290">
        <v>4110</v>
      </c>
      <c r="C518" s="11" t="s">
        <v>380</v>
      </c>
      <c r="D518" s="12" t="e">
        <f>+#REF!</f>
        <v>#REF!</v>
      </c>
      <c r="E518" s="13">
        <v>0.5</v>
      </c>
      <c r="F518" s="70" t="e">
        <f>+D518*E518</f>
        <v>#REF!</v>
      </c>
    </row>
    <row r="519" spans="1:6" hidden="1" x14ac:dyDescent="0.2">
      <c r="A519" s="69">
        <v>411001</v>
      </c>
      <c r="B519" s="290">
        <f>A519</f>
        <v>411001</v>
      </c>
      <c r="C519" s="20"/>
      <c r="D519" s="12">
        <v>22918.60959</v>
      </c>
      <c r="E519" s="13">
        <v>0</v>
      </c>
      <c r="F519" s="70">
        <v>0</v>
      </c>
    </row>
    <row r="520" spans="1:6" hidden="1" x14ac:dyDescent="0.2">
      <c r="A520" s="69">
        <v>411002</v>
      </c>
      <c r="B520" s="290">
        <f>A520</f>
        <v>411002</v>
      </c>
      <c r="C520" s="20"/>
      <c r="D520" s="12">
        <v>21106.94298</v>
      </c>
      <c r="E520" s="13">
        <v>0</v>
      </c>
      <c r="F520" s="70">
        <v>0</v>
      </c>
    </row>
    <row r="521" spans="1:6" hidden="1" x14ac:dyDescent="0.2">
      <c r="A521" s="69" t="s">
        <v>331</v>
      </c>
      <c r="B521" s="290" t="str">
        <f>A521</f>
        <v>411003</v>
      </c>
      <c r="C521" s="20"/>
      <c r="D521" s="12">
        <v>36.686639999999997</v>
      </c>
      <c r="E521" s="13">
        <v>0</v>
      </c>
      <c r="F521" s="70">
        <v>0</v>
      </c>
    </row>
    <row r="522" spans="1:6" hidden="1" x14ac:dyDescent="0.2">
      <c r="A522" s="69" t="s">
        <v>332</v>
      </c>
      <c r="B522" s="290" t="str">
        <f>A522</f>
        <v>411004</v>
      </c>
      <c r="C522" s="20"/>
      <c r="D522" s="12"/>
      <c r="E522" s="13"/>
      <c r="F522" s="70"/>
    </row>
    <row r="523" spans="1:6" hidden="1" x14ac:dyDescent="0.2">
      <c r="A523" s="69" t="s">
        <v>333</v>
      </c>
      <c r="B523" s="290" t="str">
        <f>A523</f>
        <v>411005</v>
      </c>
      <c r="C523" s="20"/>
      <c r="D523" s="12">
        <v>0</v>
      </c>
      <c r="E523" s="13"/>
      <c r="F523" s="70">
        <v>0</v>
      </c>
    </row>
    <row r="524" spans="1:6" x14ac:dyDescent="0.2">
      <c r="A524" s="69"/>
      <c r="B524" s="290"/>
      <c r="C524" s="20"/>
      <c r="D524" s="12"/>
      <c r="E524" s="13"/>
      <c r="F524" s="70"/>
    </row>
    <row r="525" spans="1:6" ht="13.5" customHeight="1" x14ac:dyDescent="0.2">
      <c r="A525" s="69"/>
      <c r="B525" s="290">
        <v>4119</v>
      </c>
      <c r="C525" s="11" t="s">
        <v>728</v>
      </c>
      <c r="D525" s="12" t="e">
        <f>+#REF!</f>
        <v>#REF!</v>
      </c>
      <c r="E525" s="13">
        <v>0.5</v>
      </c>
      <c r="F525" s="70" t="e">
        <f>+D525*E525</f>
        <v>#REF!</v>
      </c>
    </row>
    <row r="526" spans="1:6" ht="12.75" hidden="1" customHeight="1" x14ac:dyDescent="0.2">
      <c r="A526" s="69">
        <v>411900</v>
      </c>
      <c r="B526" s="290">
        <v>411900</v>
      </c>
      <c r="C526" s="20"/>
      <c r="D526" s="12">
        <v>-89.761030000000005</v>
      </c>
      <c r="E526" s="13">
        <v>0</v>
      </c>
      <c r="F526" s="70">
        <v>0</v>
      </c>
    </row>
    <row r="527" spans="1:6" x14ac:dyDescent="0.2">
      <c r="A527" s="69"/>
      <c r="B527" s="290"/>
      <c r="C527" s="20"/>
      <c r="D527" s="12"/>
      <c r="E527" s="13"/>
      <c r="F527" s="70"/>
    </row>
    <row r="528" spans="1:6" x14ac:dyDescent="0.2">
      <c r="A528" s="69"/>
      <c r="B528" s="290">
        <v>4120</v>
      </c>
      <c r="C528" s="11" t="s">
        <v>401</v>
      </c>
      <c r="D528" s="12" t="e">
        <f>+#REF!</f>
        <v>#REF!</v>
      </c>
      <c r="E528" s="13">
        <v>0.5</v>
      </c>
      <c r="F528" s="70" t="e">
        <f>+D528*E528</f>
        <v>#REF!</v>
      </c>
    </row>
    <row r="529" spans="1:6" ht="17.25" hidden="1" customHeight="1" x14ac:dyDescent="0.2">
      <c r="A529" s="69">
        <v>412001</v>
      </c>
      <c r="B529" s="290">
        <v>412001</v>
      </c>
      <c r="C529" s="20"/>
      <c r="D529" s="12">
        <v>318.49</v>
      </c>
      <c r="E529" s="13">
        <v>0</v>
      </c>
      <c r="F529" s="70">
        <v>0</v>
      </c>
    </row>
    <row r="530" spans="1:6" ht="18" hidden="1" customHeight="1" x14ac:dyDescent="0.2">
      <c r="A530" s="69">
        <v>412002</v>
      </c>
      <c r="B530" s="290">
        <v>412002</v>
      </c>
      <c r="C530" s="20"/>
      <c r="D530" s="12">
        <v>60187.424249999996</v>
      </c>
      <c r="E530" s="13">
        <v>0</v>
      </c>
      <c r="F530" s="70">
        <v>0</v>
      </c>
    </row>
    <row r="531" spans="1:6" ht="14.25" hidden="1" customHeight="1" x14ac:dyDescent="0.2">
      <c r="A531" s="69" t="s">
        <v>246</v>
      </c>
      <c r="B531" s="290" t="s">
        <v>246</v>
      </c>
      <c r="C531" s="20"/>
      <c r="D531" s="12"/>
      <c r="E531" s="13"/>
      <c r="F531" s="70"/>
    </row>
    <row r="532" spans="1:6" ht="14.25" hidden="1" customHeight="1" x14ac:dyDescent="0.2">
      <c r="A532" s="69" t="s">
        <v>247</v>
      </c>
      <c r="B532" s="290" t="s">
        <v>247</v>
      </c>
      <c r="C532" s="20"/>
      <c r="D532" s="12">
        <v>117807.33132</v>
      </c>
      <c r="E532" s="13">
        <v>0</v>
      </c>
      <c r="F532" s="70">
        <v>0</v>
      </c>
    </row>
    <row r="533" spans="1:6" ht="14.25" hidden="1" customHeight="1" x14ac:dyDescent="0.2">
      <c r="A533" s="69" t="s">
        <v>248</v>
      </c>
      <c r="B533" s="290" t="s">
        <v>248</v>
      </c>
      <c r="C533" s="11" t="s">
        <v>249</v>
      </c>
      <c r="D533" s="12"/>
      <c r="E533" s="13">
        <v>0</v>
      </c>
      <c r="F533" s="70">
        <v>0</v>
      </c>
    </row>
    <row r="534" spans="1:6" ht="1.5" hidden="1" customHeight="1" x14ac:dyDescent="0.2">
      <c r="A534" s="69" t="s">
        <v>250</v>
      </c>
      <c r="B534" s="34" t="str">
        <f>A534</f>
        <v>4120010502</v>
      </c>
      <c r="C534" s="15"/>
      <c r="D534" s="12"/>
      <c r="E534" s="13"/>
      <c r="F534" s="70"/>
    </row>
    <row r="535" spans="1:6" ht="14.25" hidden="1" customHeight="1" x14ac:dyDescent="0.2">
      <c r="A535" s="69" t="s">
        <v>251</v>
      </c>
      <c r="B535" s="34" t="str">
        <f>A535</f>
        <v>4120020502</v>
      </c>
      <c r="C535" s="15"/>
      <c r="D535" s="12"/>
      <c r="E535" s="13"/>
      <c r="F535" s="70"/>
    </row>
    <row r="536" spans="1:6" ht="15.75" hidden="1" customHeight="1" x14ac:dyDescent="0.2">
      <c r="A536" s="71" t="s">
        <v>252</v>
      </c>
      <c r="B536" s="34" t="str">
        <f>A536</f>
        <v>4120030502</v>
      </c>
      <c r="C536" s="15"/>
      <c r="D536" s="12"/>
      <c r="E536" s="13"/>
      <c r="F536" s="70"/>
    </row>
    <row r="537" spans="1:6" ht="18" hidden="1" customHeight="1" x14ac:dyDescent="0.2">
      <c r="A537" s="71" t="s">
        <v>253</v>
      </c>
      <c r="B537" s="34" t="str">
        <f>A537</f>
        <v>4120040502</v>
      </c>
      <c r="C537" s="15"/>
      <c r="D537" s="12"/>
      <c r="E537" s="13"/>
      <c r="F537" s="70"/>
    </row>
    <row r="538" spans="1:6" x14ac:dyDescent="0.2">
      <c r="A538" s="69"/>
      <c r="B538" s="34"/>
      <c r="C538" s="15"/>
      <c r="D538" s="12"/>
      <c r="E538" s="13"/>
      <c r="F538" s="70"/>
    </row>
    <row r="539" spans="1:6" x14ac:dyDescent="0.2">
      <c r="A539" s="69"/>
      <c r="B539" s="290">
        <v>4129</v>
      </c>
      <c r="C539" s="11" t="s">
        <v>728</v>
      </c>
      <c r="D539" s="12" t="e">
        <f>+#REF!</f>
        <v>#REF!</v>
      </c>
      <c r="E539" s="13">
        <v>0.5</v>
      </c>
      <c r="F539" s="70" t="e">
        <f>+D539*E539</f>
        <v>#REF!</v>
      </c>
    </row>
    <row r="540" spans="1:6" hidden="1" x14ac:dyDescent="0.2">
      <c r="A540" s="69">
        <v>412900</v>
      </c>
      <c r="B540" s="290">
        <v>412900</v>
      </c>
      <c r="C540" s="20"/>
      <c r="D540" s="12">
        <v>-6145.2737500000003</v>
      </c>
      <c r="E540" s="13">
        <v>0</v>
      </c>
      <c r="F540" s="70">
        <v>0</v>
      </c>
    </row>
    <row r="541" spans="1:6" x14ac:dyDescent="0.2">
      <c r="A541" s="69"/>
      <c r="B541" s="290"/>
      <c r="C541" s="20"/>
      <c r="D541" s="12"/>
      <c r="E541" s="13"/>
      <c r="F541" s="70"/>
    </row>
    <row r="542" spans="1:6" x14ac:dyDescent="0.2">
      <c r="A542" s="69"/>
      <c r="B542" s="290">
        <v>9120</v>
      </c>
      <c r="C542" s="11" t="s">
        <v>701</v>
      </c>
      <c r="D542" s="22" t="e">
        <f>+#REF!</f>
        <v>#REF!</v>
      </c>
      <c r="E542" s="13">
        <v>0.2</v>
      </c>
      <c r="F542" s="78" t="e">
        <f>+D542*E542</f>
        <v>#REF!</v>
      </c>
    </row>
    <row r="543" spans="1:6" hidden="1" x14ac:dyDescent="0.2">
      <c r="A543" s="69">
        <v>912001</v>
      </c>
      <c r="B543" s="290">
        <v>912001</v>
      </c>
      <c r="C543" s="11" t="s">
        <v>701</v>
      </c>
      <c r="D543" s="12">
        <v>49899.660089999998</v>
      </c>
      <c r="E543" s="13">
        <v>0</v>
      </c>
      <c r="F543" s="70">
        <v>0</v>
      </c>
    </row>
    <row r="544" spans="1:6" x14ac:dyDescent="0.2">
      <c r="A544" s="69"/>
      <c r="B544" s="31"/>
      <c r="C544" s="20"/>
      <c r="D544" s="12"/>
      <c r="E544" s="13"/>
      <c r="F544" s="70"/>
    </row>
    <row r="545" spans="1:12" hidden="1" x14ac:dyDescent="0.2">
      <c r="A545" s="69"/>
      <c r="B545" s="31"/>
      <c r="C545" s="20"/>
      <c r="D545" s="12"/>
      <c r="E545" s="13"/>
      <c r="F545" s="70"/>
    </row>
    <row r="546" spans="1:12" ht="13.5" thickBot="1" x14ac:dyDescent="0.25">
      <c r="A546" s="69"/>
      <c r="B546" s="36" t="s">
        <v>140</v>
      </c>
      <c r="C546" s="20" t="s">
        <v>141</v>
      </c>
      <c r="D546" s="24" t="e">
        <f>SUM(D15+D222+D251+D284+D302+D320+D372+D380+D436+D442+D443+D445+D449+D452+D456+D463+D466+D470+D479+D486+D489+D493+D498+D507+D510+D516+D518+D525+D528+D533+D539+D542)</f>
        <v>#REF!</v>
      </c>
      <c r="E546" s="13"/>
      <c r="F546" s="79" t="e">
        <f>SUM(F15:F542)</f>
        <v>#REF!</v>
      </c>
      <c r="I546" s="27">
        <v>111</v>
      </c>
      <c r="J546" s="113"/>
      <c r="K546" s="113"/>
      <c r="L546" s="113"/>
    </row>
    <row r="547" spans="1:12" ht="13.5" thickTop="1" x14ac:dyDescent="0.2">
      <c r="A547" s="69"/>
      <c r="B547" s="37"/>
      <c r="C547" s="9"/>
      <c r="D547" s="12"/>
      <c r="E547" s="13"/>
      <c r="F547" s="70"/>
      <c r="K547" s="113"/>
      <c r="L547" s="113"/>
    </row>
    <row r="548" spans="1:12" ht="13.5" thickBot="1" x14ac:dyDescent="0.25">
      <c r="A548" s="69"/>
      <c r="B548" s="36" t="s">
        <v>142</v>
      </c>
      <c r="C548" s="10" t="s">
        <v>143</v>
      </c>
      <c r="D548" s="12"/>
      <c r="E548" s="13"/>
      <c r="F548" s="79" t="e">
        <f>+F546*12/100</f>
        <v>#REF!</v>
      </c>
      <c r="I548" s="27">
        <v>12</v>
      </c>
      <c r="L548" s="113"/>
    </row>
    <row r="549" spans="1:12" ht="13.5" thickTop="1" x14ac:dyDescent="0.2">
      <c r="A549" s="69"/>
      <c r="B549" s="31"/>
      <c r="C549" s="9"/>
      <c r="D549" s="12"/>
      <c r="E549" s="13"/>
      <c r="F549" s="70"/>
      <c r="K549" s="113"/>
    </row>
    <row r="550" spans="1:12" x14ac:dyDescent="0.2">
      <c r="A550" s="69"/>
      <c r="B550" s="31"/>
      <c r="C550" s="20" t="s">
        <v>144</v>
      </c>
      <c r="D550" s="12"/>
      <c r="E550" s="13"/>
      <c r="F550" s="70"/>
    </row>
    <row r="551" spans="1:12" x14ac:dyDescent="0.2">
      <c r="A551" s="69"/>
      <c r="B551" s="31"/>
      <c r="C551" s="20"/>
      <c r="D551" s="12"/>
      <c r="E551" s="13"/>
      <c r="F551" s="70"/>
    </row>
    <row r="552" spans="1:12" x14ac:dyDescent="0.2">
      <c r="A552" s="69"/>
      <c r="B552" s="31"/>
      <c r="C552" s="20" t="s">
        <v>145</v>
      </c>
      <c r="D552" s="12"/>
      <c r="E552" s="13"/>
      <c r="F552" s="70"/>
    </row>
    <row r="553" spans="1:12" x14ac:dyDescent="0.2">
      <c r="A553" s="80"/>
      <c r="B553" s="290">
        <v>3110</v>
      </c>
      <c r="C553" s="9" t="s">
        <v>579</v>
      </c>
      <c r="D553" s="12" t="e">
        <f>+#REF!</f>
        <v>#REF!</v>
      </c>
      <c r="E553" s="13">
        <v>1</v>
      </c>
      <c r="F553" s="70" t="e">
        <f>+D553*E553</f>
        <v>#REF!</v>
      </c>
    </row>
    <row r="554" spans="1:12" hidden="1" x14ac:dyDescent="0.2">
      <c r="A554" s="69">
        <v>311001</v>
      </c>
      <c r="B554" s="290">
        <f>A554</f>
        <v>311001</v>
      </c>
      <c r="C554" s="9"/>
      <c r="D554" s="12">
        <v>-90000</v>
      </c>
      <c r="E554" s="13">
        <v>0</v>
      </c>
      <c r="F554" s="70">
        <v>0</v>
      </c>
    </row>
    <row r="555" spans="1:12" hidden="1" x14ac:dyDescent="0.2">
      <c r="A555" s="69">
        <v>311002</v>
      </c>
      <c r="B555" s="290">
        <f>A555</f>
        <v>311002</v>
      </c>
      <c r="C555" s="9"/>
      <c r="D555" s="12">
        <v>0</v>
      </c>
      <c r="E555" s="13"/>
      <c r="F555" s="70">
        <v>0</v>
      </c>
    </row>
    <row r="556" spans="1:12" hidden="1" x14ac:dyDescent="0.2">
      <c r="A556" s="69">
        <v>311003</v>
      </c>
      <c r="B556" s="290">
        <f>A556</f>
        <v>311003</v>
      </c>
      <c r="C556" s="9"/>
      <c r="D556" s="12">
        <v>0</v>
      </c>
      <c r="E556" s="13"/>
      <c r="F556" s="70">
        <v>0</v>
      </c>
    </row>
    <row r="557" spans="1:12" x14ac:dyDescent="0.2">
      <c r="A557" s="69"/>
      <c r="B557" s="290">
        <v>3120</v>
      </c>
      <c r="C557" s="9" t="s">
        <v>182</v>
      </c>
      <c r="D557" s="12">
        <v>0</v>
      </c>
      <c r="E557" s="13">
        <f>E558</f>
        <v>1</v>
      </c>
      <c r="F557" s="70">
        <f>+D557*E557</f>
        <v>0</v>
      </c>
    </row>
    <row r="558" spans="1:12" hidden="1" x14ac:dyDescent="0.2">
      <c r="A558" s="69">
        <v>312000</v>
      </c>
      <c r="B558" s="38">
        <v>312000</v>
      </c>
      <c r="C558" s="9"/>
      <c r="D558" s="12">
        <v>0</v>
      </c>
      <c r="E558" s="13">
        <v>1</v>
      </c>
      <c r="F558" s="70">
        <v>0</v>
      </c>
    </row>
    <row r="559" spans="1:12" x14ac:dyDescent="0.2">
      <c r="A559" s="80"/>
      <c r="B559" s="290">
        <v>3130</v>
      </c>
      <c r="C559" s="9" t="s">
        <v>580</v>
      </c>
      <c r="D559" s="22" t="e">
        <f>+#REF!</f>
        <v>#REF!</v>
      </c>
      <c r="E559" s="13">
        <v>1</v>
      </c>
      <c r="F559" s="78" t="e">
        <f>+D559*E559</f>
        <v>#REF!</v>
      </c>
    </row>
    <row r="560" spans="1:12" hidden="1" x14ac:dyDescent="0.2">
      <c r="A560" s="69" t="s">
        <v>183</v>
      </c>
      <c r="B560" s="290" t="str">
        <f>A560</f>
        <v>3130000100</v>
      </c>
      <c r="C560" s="9" t="s">
        <v>706</v>
      </c>
      <c r="D560" s="12">
        <v>-16125.332350000001</v>
      </c>
      <c r="E560" s="13">
        <v>0</v>
      </c>
      <c r="F560" s="81">
        <v>0</v>
      </c>
    </row>
    <row r="561" spans="1:9" hidden="1" x14ac:dyDescent="0.2">
      <c r="A561" s="82" t="s">
        <v>184</v>
      </c>
      <c r="B561" s="290" t="str">
        <f>A561</f>
        <v>3130000200</v>
      </c>
      <c r="C561" s="9" t="s">
        <v>185</v>
      </c>
      <c r="D561" s="12">
        <v>0</v>
      </c>
      <c r="E561" s="13">
        <v>0</v>
      </c>
      <c r="F561" s="70">
        <v>0</v>
      </c>
    </row>
    <row r="562" spans="1:9" hidden="1" x14ac:dyDescent="0.2">
      <c r="A562" s="82" t="s">
        <v>186</v>
      </c>
      <c r="B562" s="290" t="str">
        <f>A562</f>
        <v>3130000300</v>
      </c>
      <c r="C562" s="9" t="s">
        <v>171</v>
      </c>
      <c r="D562" s="12">
        <v>-21303.392479999999</v>
      </c>
      <c r="E562" s="13">
        <v>0</v>
      </c>
      <c r="F562" s="70">
        <v>0</v>
      </c>
    </row>
    <row r="563" spans="1:9" x14ac:dyDescent="0.2">
      <c r="A563" s="69"/>
      <c r="B563" s="290"/>
      <c r="C563" s="10" t="s">
        <v>187</v>
      </c>
      <c r="D563" s="12" t="e">
        <f>SUM(D553+D557+D559)</f>
        <v>#REF!</v>
      </c>
      <c r="E563" s="13"/>
      <c r="F563" s="81" t="e">
        <f>SUM(F553+F557+F559)</f>
        <v>#REF!</v>
      </c>
      <c r="I563" s="27">
        <v>311</v>
      </c>
    </row>
    <row r="564" spans="1:9" x14ac:dyDescent="0.2">
      <c r="A564" s="69"/>
      <c r="B564" s="290"/>
      <c r="C564" s="20" t="s">
        <v>188</v>
      </c>
      <c r="D564" s="12"/>
      <c r="E564" s="13"/>
      <c r="F564" s="70"/>
    </row>
    <row r="565" spans="1:9" x14ac:dyDescent="0.2">
      <c r="A565" s="69"/>
      <c r="B565" s="290"/>
      <c r="C565" s="20"/>
      <c r="D565" s="12"/>
      <c r="E565" s="13"/>
      <c r="F565" s="70"/>
    </row>
    <row r="566" spans="1:9" x14ac:dyDescent="0.2">
      <c r="A566" s="69"/>
      <c r="B566" s="290"/>
      <c r="C566" s="20" t="s">
        <v>189</v>
      </c>
      <c r="D566" s="12"/>
      <c r="E566" s="13"/>
      <c r="F566" s="70"/>
    </row>
    <row r="567" spans="1:9" x14ac:dyDescent="0.2">
      <c r="A567" s="69"/>
      <c r="B567" s="290">
        <v>3140</v>
      </c>
      <c r="C567" s="9" t="s">
        <v>581</v>
      </c>
      <c r="D567" s="12"/>
      <c r="E567" s="13"/>
      <c r="F567" s="70"/>
    </row>
    <row r="568" spans="1:9" x14ac:dyDescent="0.2">
      <c r="A568" s="69"/>
      <c r="B568" s="33" t="s">
        <v>687</v>
      </c>
      <c r="C568" s="9" t="s">
        <v>669</v>
      </c>
      <c r="D568" s="12" t="e">
        <f>+#REF!</f>
        <v>#REF!</v>
      </c>
      <c r="E568" s="13">
        <v>1</v>
      </c>
      <c r="F568" s="70" t="e">
        <f>+D568*E568</f>
        <v>#REF!</v>
      </c>
    </row>
    <row r="569" spans="1:9" hidden="1" x14ac:dyDescent="0.2">
      <c r="A569" s="69">
        <v>314001</v>
      </c>
      <c r="B569" s="34">
        <f>A569</f>
        <v>314001</v>
      </c>
      <c r="C569" s="9"/>
      <c r="D569" s="12">
        <v>0</v>
      </c>
      <c r="E569" s="13">
        <v>0</v>
      </c>
      <c r="F569" s="70">
        <v>0</v>
      </c>
    </row>
    <row r="570" spans="1:9" ht="12.75" customHeight="1" x14ac:dyDescent="0.2">
      <c r="A570" s="69"/>
      <c r="B570" s="33" t="s">
        <v>632</v>
      </c>
      <c r="C570" s="15" t="s">
        <v>729</v>
      </c>
      <c r="D570" s="12" t="e">
        <f>+#REF!</f>
        <v>#REF!</v>
      </c>
      <c r="E570" s="254" t="e">
        <f>IF(D570&gt;0,0.5,1)</f>
        <v>#REF!</v>
      </c>
      <c r="F570" s="70" t="e">
        <f>+D570*E570</f>
        <v>#REF!</v>
      </c>
    </row>
    <row r="571" spans="1:9" ht="12.75" hidden="1" customHeight="1" x14ac:dyDescent="0.2">
      <c r="A571" s="69">
        <v>314002</v>
      </c>
      <c r="B571" s="34">
        <f t="shared" ref="B571:B626" si="10">A571</f>
        <v>314002</v>
      </c>
      <c r="C571" s="15"/>
      <c r="D571" s="12">
        <v>0</v>
      </c>
      <c r="E571" s="13">
        <v>0</v>
      </c>
      <c r="F571" s="70">
        <v>0</v>
      </c>
    </row>
    <row r="572" spans="1:9" ht="12.75" hidden="1" customHeight="1" x14ac:dyDescent="0.2">
      <c r="A572" s="69">
        <v>611001</v>
      </c>
      <c r="B572" s="34">
        <f t="shared" si="10"/>
        <v>611001</v>
      </c>
      <c r="C572" s="15"/>
      <c r="D572" s="12">
        <v>-89733.469450000004</v>
      </c>
      <c r="E572" s="13">
        <v>0</v>
      </c>
      <c r="F572" s="70">
        <v>0</v>
      </c>
    </row>
    <row r="573" spans="1:9" ht="12.75" hidden="1" customHeight="1" x14ac:dyDescent="0.2">
      <c r="A573" s="69">
        <v>611002</v>
      </c>
      <c r="B573" s="34">
        <f t="shared" si="10"/>
        <v>611002</v>
      </c>
      <c r="C573" s="15"/>
      <c r="D573" s="12">
        <v>-26319.83772</v>
      </c>
      <c r="E573" s="13">
        <v>0</v>
      </c>
      <c r="F573" s="70">
        <v>0</v>
      </c>
    </row>
    <row r="574" spans="1:9" hidden="1" x14ac:dyDescent="0.2">
      <c r="A574" s="69">
        <v>611003</v>
      </c>
      <c r="B574" s="34">
        <f t="shared" si="10"/>
        <v>611003</v>
      </c>
      <c r="C574" s="15"/>
      <c r="D574" s="12">
        <v>0</v>
      </c>
      <c r="E574" s="13"/>
      <c r="F574" s="70">
        <v>0</v>
      </c>
    </row>
    <row r="575" spans="1:9" hidden="1" x14ac:dyDescent="0.2">
      <c r="A575" s="69">
        <v>611004</v>
      </c>
      <c r="B575" s="34">
        <f t="shared" si="10"/>
        <v>611004</v>
      </c>
      <c r="C575" s="15"/>
      <c r="D575" s="12">
        <v>-2825.9997100000001</v>
      </c>
      <c r="E575" s="13">
        <v>0</v>
      </c>
      <c r="F575" s="70">
        <v>0</v>
      </c>
    </row>
    <row r="576" spans="1:9" hidden="1" x14ac:dyDescent="0.2">
      <c r="A576" s="69">
        <v>621001</v>
      </c>
      <c r="B576" s="34">
        <f t="shared" si="10"/>
        <v>621001</v>
      </c>
      <c r="C576" s="15"/>
      <c r="D576" s="12">
        <v>-551.26125999999999</v>
      </c>
      <c r="E576" s="13">
        <v>0</v>
      </c>
      <c r="F576" s="70">
        <v>0</v>
      </c>
    </row>
    <row r="577" spans="1:6" hidden="1" x14ac:dyDescent="0.2">
      <c r="A577" s="69">
        <v>621002</v>
      </c>
      <c r="B577" s="34">
        <f t="shared" si="10"/>
        <v>621002</v>
      </c>
      <c r="C577" s="15"/>
      <c r="D577" s="12">
        <v>-607.95741999999996</v>
      </c>
      <c r="E577" s="13">
        <v>0</v>
      </c>
      <c r="F577" s="70">
        <v>0</v>
      </c>
    </row>
    <row r="578" spans="1:6" hidden="1" x14ac:dyDescent="0.2">
      <c r="A578" s="69">
        <v>621003</v>
      </c>
      <c r="B578" s="34">
        <f t="shared" si="10"/>
        <v>621003</v>
      </c>
      <c r="C578" s="15"/>
      <c r="D578" s="12">
        <v>-352.57817</v>
      </c>
      <c r="E578" s="13">
        <v>0</v>
      </c>
      <c r="F578" s="70">
        <v>0</v>
      </c>
    </row>
    <row r="579" spans="1:6" hidden="1" x14ac:dyDescent="0.2">
      <c r="A579" s="69">
        <v>621004</v>
      </c>
      <c r="B579" s="34">
        <f t="shared" si="10"/>
        <v>621004</v>
      </c>
      <c r="C579" s="15"/>
      <c r="D579" s="12">
        <v>-6759.3560799999996</v>
      </c>
      <c r="E579" s="13">
        <v>0</v>
      </c>
      <c r="F579" s="70">
        <v>0</v>
      </c>
    </row>
    <row r="580" spans="1:6" hidden="1" x14ac:dyDescent="0.2">
      <c r="A580" s="69">
        <v>631001</v>
      </c>
      <c r="B580" s="34">
        <f t="shared" si="10"/>
        <v>631001</v>
      </c>
      <c r="C580" s="15"/>
      <c r="D580" s="12">
        <v>-7192.7735300000004</v>
      </c>
      <c r="E580" s="13">
        <v>0</v>
      </c>
      <c r="F580" s="70">
        <v>0</v>
      </c>
    </row>
    <row r="581" spans="1:6" hidden="1" x14ac:dyDescent="0.2">
      <c r="A581" s="69">
        <v>631002</v>
      </c>
      <c r="B581" s="34">
        <f t="shared" si="10"/>
        <v>631002</v>
      </c>
      <c r="C581" s="15"/>
      <c r="D581" s="12">
        <v>-176.93625</v>
      </c>
      <c r="E581" s="13">
        <v>0</v>
      </c>
      <c r="F581" s="70">
        <v>0</v>
      </c>
    </row>
    <row r="582" spans="1:6" hidden="1" x14ac:dyDescent="0.2">
      <c r="A582" s="69">
        <v>631003</v>
      </c>
      <c r="B582" s="34">
        <f t="shared" si="10"/>
        <v>631003</v>
      </c>
      <c r="C582" s="15"/>
      <c r="D582" s="12">
        <v>-50.417029999999997</v>
      </c>
      <c r="E582" s="13">
        <v>0</v>
      </c>
      <c r="F582" s="70">
        <v>0</v>
      </c>
    </row>
    <row r="583" spans="1:6" hidden="1" x14ac:dyDescent="0.2">
      <c r="A583" s="69">
        <v>631004</v>
      </c>
      <c r="B583" s="34">
        <f t="shared" si="10"/>
        <v>631004</v>
      </c>
      <c r="C583" s="15"/>
      <c r="D583" s="12">
        <v>-4148.2724799999996</v>
      </c>
      <c r="E583" s="13">
        <v>0</v>
      </c>
      <c r="F583" s="70">
        <v>0</v>
      </c>
    </row>
    <row r="584" spans="1:6" hidden="1" x14ac:dyDescent="0.2">
      <c r="A584" s="69" t="s">
        <v>524</v>
      </c>
      <c r="B584" s="34" t="str">
        <f t="shared" si="10"/>
        <v>631099</v>
      </c>
      <c r="C584" s="15"/>
      <c r="D584" s="12">
        <v>-700.80817000000002</v>
      </c>
      <c r="E584" s="13">
        <v>0</v>
      </c>
      <c r="F584" s="70">
        <v>0</v>
      </c>
    </row>
    <row r="585" spans="1:6" hidden="1" x14ac:dyDescent="0.2">
      <c r="A585" s="69">
        <v>711001</v>
      </c>
      <c r="B585" s="34">
        <f t="shared" si="10"/>
        <v>711001</v>
      </c>
      <c r="C585" s="15"/>
      <c r="D585" s="12">
        <v>26665.308799999999</v>
      </c>
      <c r="E585" s="13">
        <v>0</v>
      </c>
      <c r="F585" s="70">
        <v>0</v>
      </c>
    </row>
    <row r="586" spans="1:6" hidden="1" x14ac:dyDescent="0.2">
      <c r="A586" s="69">
        <v>711002</v>
      </c>
      <c r="B586" s="34">
        <f t="shared" si="10"/>
        <v>711002</v>
      </c>
      <c r="C586" s="15"/>
      <c r="D586" s="12">
        <v>11445.86166</v>
      </c>
      <c r="E586" s="13">
        <v>0</v>
      </c>
      <c r="F586" s="70">
        <v>0</v>
      </c>
    </row>
    <row r="587" spans="1:6" hidden="1" x14ac:dyDescent="0.2">
      <c r="A587" s="69">
        <v>711003</v>
      </c>
      <c r="B587" s="34">
        <f t="shared" si="10"/>
        <v>711003</v>
      </c>
      <c r="C587" s="15"/>
      <c r="D587" s="12">
        <v>2.2465799999999998</v>
      </c>
      <c r="E587" s="13">
        <v>0</v>
      </c>
      <c r="F587" s="70">
        <v>0</v>
      </c>
    </row>
    <row r="588" spans="1:6" hidden="1" x14ac:dyDescent="0.2">
      <c r="A588" s="69">
        <v>711004</v>
      </c>
      <c r="B588" s="34">
        <f t="shared" si="10"/>
        <v>711004</v>
      </c>
      <c r="C588" s="15"/>
      <c r="D588" s="12">
        <v>2780.5795800000001</v>
      </c>
      <c r="E588" s="13">
        <v>0</v>
      </c>
      <c r="F588" s="70">
        <v>0</v>
      </c>
    </row>
    <row r="589" spans="1:6" hidden="1" x14ac:dyDescent="0.2">
      <c r="A589" s="69">
        <v>711005</v>
      </c>
      <c r="B589" s="34">
        <f t="shared" si="10"/>
        <v>711005</v>
      </c>
      <c r="C589" s="15"/>
      <c r="D589" s="12">
        <v>158.17737</v>
      </c>
      <c r="E589" s="13">
        <v>0</v>
      </c>
      <c r="F589" s="70">
        <v>0</v>
      </c>
    </row>
    <row r="590" spans="1:6" hidden="1" x14ac:dyDescent="0.2">
      <c r="A590" s="69">
        <v>711006</v>
      </c>
      <c r="B590" s="34">
        <f t="shared" si="10"/>
        <v>711006</v>
      </c>
      <c r="C590" s="15"/>
      <c r="D590" s="12">
        <v>0</v>
      </c>
      <c r="E590" s="13"/>
      <c r="F590" s="70">
        <v>0</v>
      </c>
    </row>
    <row r="591" spans="1:6" hidden="1" x14ac:dyDescent="0.2">
      <c r="A591" s="69">
        <v>711007</v>
      </c>
      <c r="B591" s="34">
        <f t="shared" si="10"/>
        <v>711007</v>
      </c>
      <c r="C591" s="15"/>
      <c r="D591" s="12">
        <v>1210.21426</v>
      </c>
      <c r="E591" s="13">
        <v>0</v>
      </c>
      <c r="F591" s="70">
        <v>0</v>
      </c>
    </row>
    <row r="592" spans="1:6" hidden="1" x14ac:dyDescent="0.2">
      <c r="A592" s="69" t="s">
        <v>525</v>
      </c>
      <c r="B592" s="34" t="str">
        <f t="shared" si="10"/>
        <v>712000</v>
      </c>
      <c r="C592" s="15"/>
      <c r="D592" s="12">
        <v>15170.33747</v>
      </c>
      <c r="E592" s="13">
        <v>0</v>
      </c>
      <c r="F592" s="70">
        <v>0</v>
      </c>
    </row>
    <row r="593" spans="1:6" hidden="1" x14ac:dyDescent="0.2">
      <c r="A593" s="69" t="s">
        <v>526</v>
      </c>
      <c r="B593" s="34" t="str">
        <f t="shared" si="10"/>
        <v>713000</v>
      </c>
      <c r="C593" s="15"/>
      <c r="D593" s="12">
        <v>68.842709999999997</v>
      </c>
      <c r="E593" s="13">
        <v>0</v>
      </c>
      <c r="F593" s="70">
        <v>0</v>
      </c>
    </row>
    <row r="594" spans="1:6" hidden="1" x14ac:dyDescent="0.2">
      <c r="A594" s="69" t="s">
        <v>527</v>
      </c>
      <c r="B594" s="34" t="str">
        <f t="shared" si="10"/>
        <v>721000</v>
      </c>
      <c r="C594" s="15"/>
      <c r="D594" s="12">
        <v>193.29494</v>
      </c>
      <c r="E594" s="13">
        <v>0</v>
      </c>
      <c r="F594" s="70">
        <v>0</v>
      </c>
    </row>
    <row r="595" spans="1:6" hidden="1" x14ac:dyDescent="0.2">
      <c r="A595" s="69" t="s">
        <v>528</v>
      </c>
      <c r="B595" s="34" t="str">
        <f t="shared" si="10"/>
        <v>722000</v>
      </c>
      <c r="C595" s="15"/>
      <c r="D595" s="12">
        <v>0</v>
      </c>
      <c r="E595" s="13">
        <v>0</v>
      </c>
      <c r="F595" s="70">
        <v>0</v>
      </c>
    </row>
    <row r="596" spans="1:6" hidden="1" x14ac:dyDescent="0.2">
      <c r="A596" s="69" t="s">
        <v>529</v>
      </c>
      <c r="B596" s="34" t="str">
        <f t="shared" si="10"/>
        <v>723000</v>
      </c>
      <c r="C596" s="15"/>
      <c r="D596" s="12">
        <v>0</v>
      </c>
      <c r="E596" s="13">
        <v>0</v>
      </c>
      <c r="F596" s="70">
        <v>0</v>
      </c>
    </row>
    <row r="597" spans="1:6" hidden="1" x14ac:dyDescent="0.2">
      <c r="A597" s="69" t="s">
        <v>530</v>
      </c>
      <c r="B597" s="34" t="str">
        <f t="shared" si="10"/>
        <v>724000</v>
      </c>
      <c r="C597" s="15"/>
      <c r="D597" s="12">
        <v>7679.3259699999999</v>
      </c>
      <c r="E597" s="13">
        <v>0</v>
      </c>
      <c r="F597" s="70">
        <v>0</v>
      </c>
    </row>
    <row r="598" spans="1:6" hidden="1" x14ac:dyDescent="0.2">
      <c r="A598" s="69" t="s">
        <v>531</v>
      </c>
      <c r="B598" s="34" t="str">
        <f t="shared" si="10"/>
        <v>725000</v>
      </c>
      <c r="C598" s="15"/>
      <c r="D598" s="12">
        <v>46.21264</v>
      </c>
      <c r="E598" s="13">
        <v>0</v>
      </c>
      <c r="F598" s="70">
        <v>0</v>
      </c>
    </row>
    <row r="599" spans="1:6" hidden="1" x14ac:dyDescent="0.2">
      <c r="A599" s="69" t="s">
        <v>532</v>
      </c>
      <c r="B599" s="34" t="str">
        <f t="shared" si="10"/>
        <v>726000</v>
      </c>
      <c r="C599" s="15"/>
      <c r="D599" s="12">
        <v>0</v>
      </c>
      <c r="E599" s="13"/>
      <c r="F599" s="70">
        <v>0</v>
      </c>
    </row>
    <row r="600" spans="1:6" hidden="1" x14ac:dyDescent="0.2">
      <c r="A600" s="69">
        <v>811001</v>
      </c>
      <c r="B600" s="34">
        <f t="shared" si="10"/>
        <v>811001</v>
      </c>
      <c r="C600" s="15"/>
      <c r="D600" s="12">
        <v>12176.691440000001</v>
      </c>
      <c r="E600" s="13">
        <v>0</v>
      </c>
      <c r="F600" s="70">
        <v>0</v>
      </c>
    </row>
    <row r="601" spans="1:6" hidden="1" x14ac:dyDescent="0.2">
      <c r="A601" s="69">
        <v>811002</v>
      </c>
      <c r="B601" s="34">
        <f t="shared" si="10"/>
        <v>811002</v>
      </c>
      <c r="C601" s="15"/>
      <c r="D601" s="12">
        <v>9523.97876</v>
      </c>
      <c r="E601" s="13">
        <v>0</v>
      </c>
      <c r="F601" s="70">
        <v>0</v>
      </c>
    </row>
    <row r="602" spans="1:6" hidden="1" x14ac:dyDescent="0.2">
      <c r="A602" s="69">
        <v>811003</v>
      </c>
      <c r="B602" s="34">
        <f t="shared" si="10"/>
        <v>811003</v>
      </c>
      <c r="C602" s="15"/>
      <c r="D602" s="12">
        <v>619.84592999999995</v>
      </c>
      <c r="E602" s="13">
        <v>0</v>
      </c>
      <c r="F602" s="70">
        <v>0</v>
      </c>
    </row>
    <row r="603" spans="1:6" hidden="1" x14ac:dyDescent="0.2">
      <c r="A603" s="69">
        <v>811004</v>
      </c>
      <c r="B603" s="34">
        <f t="shared" si="10"/>
        <v>811004</v>
      </c>
      <c r="C603" s="15"/>
      <c r="D603" s="12">
        <v>122.84994</v>
      </c>
      <c r="E603" s="13">
        <v>0</v>
      </c>
      <c r="F603" s="70">
        <v>0</v>
      </c>
    </row>
    <row r="604" spans="1:6" hidden="1" x14ac:dyDescent="0.2">
      <c r="A604" s="69">
        <v>811005</v>
      </c>
      <c r="B604" s="34">
        <f t="shared" si="10"/>
        <v>811005</v>
      </c>
      <c r="C604" s="15"/>
      <c r="D604" s="12">
        <v>458.70056</v>
      </c>
      <c r="E604" s="13">
        <v>0</v>
      </c>
      <c r="F604" s="70">
        <v>0</v>
      </c>
    </row>
    <row r="605" spans="1:6" hidden="1" x14ac:dyDescent="0.2">
      <c r="A605" s="69">
        <v>811006</v>
      </c>
      <c r="B605" s="34">
        <f t="shared" si="10"/>
        <v>811006</v>
      </c>
      <c r="C605" s="15"/>
      <c r="D605" s="12">
        <v>47.448</v>
      </c>
      <c r="E605" s="13">
        <v>0</v>
      </c>
      <c r="F605" s="70">
        <v>0</v>
      </c>
    </row>
    <row r="606" spans="1:6" hidden="1" x14ac:dyDescent="0.2">
      <c r="A606" s="69">
        <v>812001</v>
      </c>
      <c r="B606" s="34">
        <f t="shared" si="10"/>
        <v>812001</v>
      </c>
      <c r="C606" s="15"/>
      <c r="D606" s="12">
        <v>672.44092999999998</v>
      </c>
      <c r="E606" s="13">
        <v>0</v>
      </c>
      <c r="F606" s="70">
        <v>0</v>
      </c>
    </row>
    <row r="607" spans="1:6" hidden="1" x14ac:dyDescent="0.2">
      <c r="A607" s="69">
        <v>812002</v>
      </c>
      <c r="B607" s="34">
        <f t="shared" si="10"/>
        <v>812002</v>
      </c>
      <c r="C607" s="15"/>
      <c r="D607" s="12">
        <v>1376.4565700000001</v>
      </c>
      <c r="E607" s="13">
        <v>0</v>
      </c>
      <c r="F607" s="70">
        <v>0</v>
      </c>
    </row>
    <row r="608" spans="1:6" hidden="1" x14ac:dyDescent="0.2">
      <c r="A608" s="69">
        <v>812003</v>
      </c>
      <c r="B608" s="34">
        <f t="shared" si="10"/>
        <v>812003</v>
      </c>
      <c r="C608" s="15"/>
      <c r="D608" s="12">
        <v>3278.3503300000002</v>
      </c>
      <c r="E608" s="13">
        <v>0</v>
      </c>
      <c r="F608" s="70">
        <v>0</v>
      </c>
    </row>
    <row r="609" spans="1:6" hidden="1" x14ac:dyDescent="0.2">
      <c r="A609" s="69">
        <v>812004</v>
      </c>
      <c r="B609" s="34">
        <f t="shared" si="10"/>
        <v>812004</v>
      </c>
      <c r="C609" s="15"/>
      <c r="D609" s="12">
        <v>1995.3538100000001</v>
      </c>
      <c r="E609" s="13">
        <v>0</v>
      </c>
      <c r="F609" s="70">
        <v>0</v>
      </c>
    </row>
    <row r="610" spans="1:6" hidden="1" x14ac:dyDescent="0.2">
      <c r="A610" s="69">
        <v>812005</v>
      </c>
      <c r="B610" s="34">
        <f t="shared" si="10"/>
        <v>812005</v>
      </c>
      <c r="C610" s="15"/>
      <c r="D610" s="12">
        <v>1014.81934</v>
      </c>
      <c r="E610" s="13">
        <v>0</v>
      </c>
      <c r="F610" s="70">
        <v>0</v>
      </c>
    </row>
    <row r="611" spans="1:6" hidden="1" x14ac:dyDescent="0.2">
      <c r="A611" s="69">
        <v>812006</v>
      </c>
      <c r="B611" s="34">
        <f t="shared" si="10"/>
        <v>812006</v>
      </c>
      <c r="C611" s="15"/>
      <c r="D611" s="12">
        <v>670.61027999999999</v>
      </c>
      <c r="E611" s="13">
        <v>0</v>
      </c>
      <c r="F611" s="70">
        <v>0</v>
      </c>
    </row>
    <row r="612" spans="1:6" hidden="1" x14ac:dyDescent="0.2">
      <c r="A612" s="69">
        <v>812007</v>
      </c>
      <c r="B612" s="34">
        <f t="shared" si="10"/>
        <v>812007</v>
      </c>
      <c r="C612" s="15"/>
      <c r="D612" s="12">
        <v>2285.06999</v>
      </c>
      <c r="E612" s="13">
        <v>0</v>
      </c>
      <c r="F612" s="70">
        <v>0</v>
      </c>
    </row>
    <row r="613" spans="1:6" hidden="1" x14ac:dyDescent="0.2">
      <c r="A613" s="69">
        <v>812008</v>
      </c>
      <c r="B613" s="34">
        <f t="shared" si="10"/>
        <v>812008</v>
      </c>
      <c r="C613" s="15"/>
      <c r="D613" s="12">
        <v>715.27588000000003</v>
      </c>
      <c r="E613" s="13">
        <v>0</v>
      </c>
      <c r="F613" s="70">
        <v>0</v>
      </c>
    </row>
    <row r="614" spans="1:6" hidden="1" x14ac:dyDescent="0.2">
      <c r="A614" s="69" t="s">
        <v>533</v>
      </c>
      <c r="B614" s="34" t="str">
        <f t="shared" si="10"/>
        <v>812009</v>
      </c>
      <c r="C614" s="15"/>
      <c r="D614" s="12"/>
      <c r="E614" s="13"/>
      <c r="F614" s="70"/>
    </row>
    <row r="615" spans="1:6" hidden="1" x14ac:dyDescent="0.2">
      <c r="A615" s="69">
        <v>812099</v>
      </c>
      <c r="B615" s="34">
        <f t="shared" si="10"/>
        <v>812099</v>
      </c>
      <c r="C615" s="15"/>
      <c r="D615" s="12">
        <v>1747.2249099999999</v>
      </c>
      <c r="E615" s="13">
        <v>0</v>
      </c>
      <c r="F615" s="70">
        <v>0</v>
      </c>
    </row>
    <row r="616" spans="1:6" hidden="1" x14ac:dyDescent="0.2">
      <c r="A616" s="69">
        <v>813001</v>
      </c>
      <c r="B616" s="34">
        <f t="shared" si="10"/>
        <v>813001</v>
      </c>
      <c r="C616" s="15"/>
      <c r="D616" s="12">
        <v>2869.76152</v>
      </c>
      <c r="E616" s="13">
        <v>0</v>
      </c>
      <c r="F616" s="70">
        <v>0</v>
      </c>
    </row>
    <row r="617" spans="1:6" ht="15" hidden="1" customHeight="1" x14ac:dyDescent="0.2">
      <c r="A617" s="69">
        <v>813002</v>
      </c>
      <c r="B617" s="34">
        <f t="shared" si="10"/>
        <v>813002</v>
      </c>
      <c r="C617" s="15"/>
      <c r="D617" s="12">
        <v>2065.5692100000001</v>
      </c>
      <c r="E617" s="13">
        <v>0</v>
      </c>
      <c r="F617" s="70">
        <v>0</v>
      </c>
    </row>
    <row r="618" spans="1:6" ht="11.25" hidden="1" customHeight="1" x14ac:dyDescent="0.2">
      <c r="A618" s="69">
        <v>821001</v>
      </c>
      <c r="B618" s="34">
        <f t="shared" si="10"/>
        <v>821001</v>
      </c>
      <c r="C618" s="15"/>
      <c r="D618" s="12">
        <v>6.3746299999999998</v>
      </c>
      <c r="E618" s="13">
        <v>0</v>
      </c>
      <c r="F618" s="70">
        <v>0</v>
      </c>
    </row>
    <row r="619" spans="1:6" ht="12" hidden="1" customHeight="1" x14ac:dyDescent="0.2">
      <c r="A619" s="69">
        <v>821002</v>
      </c>
      <c r="B619" s="34">
        <f t="shared" si="10"/>
        <v>821002</v>
      </c>
      <c r="C619" s="15"/>
      <c r="D619" s="12">
        <v>0.28147</v>
      </c>
      <c r="E619" s="13">
        <v>0</v>
      </c>
      <c r="F619" s="70">
        <v>0</v>
      </c>
    </row>
    <row r="620" spans="1:6" hidden="1" x14ac:dyDescent="0.2">
      <c r="A620" s="69">
        <v>821003</v>
      </c>
      <c r="B620" s="34">
        <f t="shared" si="10"/>
        <v>821003</v>
      </c>
      <c r="C620" s="15"/>
      <c r="D620" s="12">
        <v>590.63949000000002</v>
      </c>
      <c r="E620" s="13">
        <v>0</v>
      </c>
      <c r="F620" s="70">
        <v>0</v>
      </c>
    </row>
    <row r="621" spans="1:6" hidden="1" x14ac:dyDescent="0.2">
      <c r="A621" s="69">
        <v>822001</v>
      </c>
      <c r="B621" s="34">
        <f t="shared" si="10"/>
        <v>822001</v>
      </c>
      <c r="C621" s="15"/>
      <c r="D621" s="12">
        <v>422.06288000000001</v>
      </c>
      <c r="E621" s="13">
        <v>0</v>
      </c>
      <c r="F621" s="70">
        <v>0</v>
      </c>
    </row>
    <row r="622" spans="1:6" ht="18.75" hidden="1" customHeight="1" x14ac:dyDescent="0.2">
      <c r="A622" s="69">
        <v>822002</v>
      </c>
      <c r="B622" s="34">
        <f t="shared" si="10"/>
        <v>822002</v>
      </c>
      <c r="C622" s="15"/>
      <c r="D622" s="12">
        <v>7120.2650000000003</v>
      </c>
      <c r="E622" s="13">
        <v>0</v>
      </c>
      <c r="F622" s="70">
        <v>0</v>
      </c>
    </row>
    <row r="623" spans="1:6" hidden="1" x14ac:dyDescent="0.2">
      <c r="A623" s="69">
        <v>823001</v>
      </c>
      <c r="B623" s="34">
        <f t="shared" si="10"/>
        <v>823001</v>
      </c>
      <c r="C623" s="15"/>
      <c r="D623" s="12">
        <v>0</v>
      </c>
      <c r="E623" s="13">
        <v>0</v>
      </c>
      <c r="F623" s="70">
        <v>0</v>
      </c>
    </row>
    <row r="624" spans="1:6" hidden="1" x14ac:dyDescent="0.2">
      <c r="A624" s="69">
        <v>823002</v>
      </c>
      <c r="B624" s="34">
        <f t="shared" si="10"/>
        <v>823002</v>
      </c>
      <c r="C624" s="15"/>
      <c r="D624" s="12">
        <v>771.77304000000004</v>
      </c>
      <c r="E624" s="13">
        <v>0</v>
      </c>
      <c r="F624" s="70">
        <v>0</v>
      </c>
    </row>
    <row r="625" spans="1:6" hidden="1" x14ac:dyDescent="0.2">
      <c r="A625" s="69" t="s">
        <v>534</v>
      </c>
      <c r="B625" s="34" t="str">
        <f t="shared" si="10"/>
        <v>824000</v>
      </c>
      <c r="C625" s="15"/>
      <c r="D625" s="12">
        <v>5950.4856900000004</v>
      </c>
      <c r="E625" s="13">
        <v>0</v>
      </c>
      <c r="F625" s="70">
        <v>0</v>
      </c>
    </row>
    <row r="626" spans="1:6" hidden="1" x14ac:dyDescent="0.2">
      <c r="A626" s="69">
        <v>825000</v>
      </c>
      <c r="B626" s="34">
        <f t="shared" si="10"/>
        <v>825000</v>
      </c>
      <c r="C626" s="15"/>
      <c r="D626" s="12">
        <v>0</v>
      </c>
      <c r="E626" s="13">
        <v>0</v>
      </c>
      <c r="F626" s="70">
        <v>0</v>
      </c>
    </row>
    <row r="627" spans="1:6" hidden="1" x14ac:dyDescent="0.2">
      <c r="A627" s="69" t="s">
        <v>535</v>
      </c>
      <c r="B627" s="74" t="s">
        <v>535</v>
      </c>
      <c r="C627" s="15"/>
      <c r="D627" s="12">
        <v>383.72370999999998</v>
      </c>
      <c r="E627" s="13">
        <v>0</v>
      </c>
      <c r="F627" s="70">
        <v>0</v>
      </c>
    </row>
    <row r="628" spans="1:6" hidden="1" x14ac:dyDescent="0.2">
      <c r="A628" s="69">
        <v>831000</v>
      </c>
      <c r="B628" s="34">
        <f>A628</f>
        <v>831000</v>
      </c>
      <c r="C628" s="15"/>
      <c r="D628" s="12">
        <v>0</v>
      </c>
      <c r="E628" s="13">
        <v>0</v>
      </c>
      <c r="F628" s="70">
        <v>0</v>
      </c>
    </row>
    <row r="629" spans="1:6" x14ac:dyDescent="0.2">
      <c r="A629" s="69"/>
      <c r="B629" s="290">
        <v>3210</v>
      </c>
      <c r="C629" s="9" t="s">
        <v>707</v>
      </c>
      <c r="D629" s="12">
        <v>0</v>
      </c>
      <c r="E629" s="13">
        <v>1</v>
      </c>
      <c r="F629" s="70">
        <f>+D629*E629</f>
        <v>0</v>
      </c>
    </row>
    <row r="630" spans="1:6" hidden="1" x14ac:dyDescent="0.2">
      <c r="A630" s="69">
        <v>321000</v>
      </c>
      <c r="B630" s="290">
        <v>321000</v>
      </c>
      <c r="C630" s="9"/>
      <c r="D630" s="12">
        <v>-19336.121340000002</v>
      </c>
      <c r="E630" s="13">
        <v>0</v>
      </c>
      <c r="F630" s="70">
        <v>0</v>
      </c>
    </row>
    <row r="631" spans="1:6" x14ac:dyDescent="0.2">
      <c r="A631" s="69"/>
      <c r="B631" s="290">
        <v>3220</v>
      </c>
      <c r="C631" s="15" t="s">
        <v>166</v>
      </c>
      <c r="D631" s="12">
        <v>0</v>
      </c>
      <c r="E631" s="13">
        <v>0.75</v>
      </c>
      <c r="F631" s="70">
        <f>+D631*E631</f>
        <v>0</v>
      </c>
    </row>
    <row r="632" spans="1:6" hidden="1" x14ac:dyDescent="0.2">
      <c r="A632" s="69" t="s">
        <v>444</v>
      </c>
      <c r="B632" s="290" t="str">
        <f>A632</f>
        <v>322000</v>
      </c>
      <c r="C632" s="15"/>
      <c r="D632" s="12">
        <v>-11398.28795</v>
      </c>
      <c r="E632" s="13">
        <v>0</v>
      </c>
      <c r="F632" s="70">
        <v>0</v>
      </c>
    </row>
    <row r="633" spans="1:6" hidden="1" x14ac:dyDescent="0.2">
      <c r="A633" s="80"/>
      <c r="B633" s="34" t="s">
        <v>218</v>
      </c>
      <c r="C633" s="15" t="s">
        <v>720</v>
      </c>
      <c r="D633" s="12">
        <v>0</v>
      </c>
      <c r="E633" s="13">
        <v>0.5</v>
      </c>
      <c r="F633" s="70">
        <f>+D633*E633</f>
        <v>0</v>
      </c>
    </row>
    <row r="634" spans="1:6" hidden="1" x14ac:dyDescent="0.2">
      <c r="A634" s="71" t="s">
        <v>233</v>
      </c>
      <c r="B634" s="290" t="str">
        <f>A634</f>
        <v>114901030111</v>
      </c>
      <c r="C634" s="9"/>
      <c r="D634" s="12">
        <v>-14579.501979999999</v>
      </c>
      <c r="E634" s="13">
        <v>0</v>
      </c>
      <c r="F634" s="70">
        <v>0</v>
      </c>
    </row>
    <row r="635" spans="1:6" hidden="1" x14ac:dyDescent="0.2">
      <c r="A635" s="69"/>
      <c r="B635" s="34"/>
      <c r="C635" s="15"/>
      <c r="D635" s="12"/>
      <c r="E635" s="13"/>
      <c r="F635" s="70"/>
    </row>
    <row r="636" spans="1:6" hidden="1" x14ac:dyDescent="0.2">
      <c r="A636" s="69">
        <v>2311</v>
      </c>
      <c r="B636" s="290">
        <v>2311</v>
      </c>
      <c r="C636" s="9" t="s">
        <v>234</v>
      </c>
      <c r="D636" s="12"/>
      <c r="E636" s="13">
        <v>1</v>
      </c>
      <c r="F636" s="70">
        <f>+D636*E636</f>
        <v>0</v>
      </c>
    </row>
    <row r="637" spans="1:6" x14ac:dyDescent="0.2">
      <c r="A637" s="69"/>
      <c r="B637" s="34" t="s">
        <v>235</v>
      </c>
      <c r="C637" s="9" t="s">
        <v>236</v>
      </c>
      <c r="D637" s="12">
        <v>0</v>
      </c>
      <c r="E637" s="13">
        <v>1</v>
      </c>
      <c r="F637" s="70">
        <f>+D637*E637</f>
        <v>0</v>
      </c>
    </row>
    <row r="638" spans="1:6" ht="11.25" hidden="1" customHeight="1" x14ac:dyDescent="0.2">
      <c r="A638" s="83" t="s">
        <v>237</v>
      </c>
      <c r="B638" s="84" t="s">
        <v>237</v>
      </c>
      <c r="C638" s="9"/>
      <c r="D638" s="12">
        <v>-10000</v>
      </c>
      <c r="E638" s="13">
        <v>0</v>
      </c>
      <c r="F638" s="70">
        <v>0</v>
      </c>
    </row>
    <row r="639" spans="1:6" ht="13.5" customHeight="1" x14ac:dyDescent="0.2">
      <c r="A639" s="69"/>
      <c r="B639" s="31"/>
      <c r="C639" s="20" t="s">
        <v>238</v>
      </c>
      <c r="D639" s="12"/>
      <c r="E639" s="13"/>
      <c r="F639" s="70"/>
    </row>
    <row r="640" spans="1:6" x14ac:dyDescent="0.2">
      <c r="A640" s="69"/>
      <c r="B640" s="31"/>
      <c r="C640" s="9" t="s">
        <v>239</v>
      </c>
      <c r="D640" s="22"/>
      <c r="E640" s="13">
        <v>1</v>
      </c>
      <c r="F640" s="78">
        <f>+D640*E640</f>
        <v>0</v>
      </c>
    </row>
    <row r="641" spans="1:12" ht="14.25" customHeight="1" x14ac:dyDescent="0.2">
      <c r="A641" s="69"/>
      <c r="B641" s="31"/>
      <c r="C641" s="20" t="s">
        <v>245</v>
      </c>
      <c r="D641" s="12" t="e">
        <f>SUM(D568+D570+D629+D631+D633+D636-D640+D635+D637)</f>
        <v>#REF!</v>
      </c>
      <c r="E641" s="13"/>
      <c r="F641" s="81" t="e">
        <f>SUM(F568+F570+F629+F631+F633+F636-F640+F635+F637)</f>
        <v>#REF!</v>
      </c>
      <c r="I641" s="27">
        <v>312</v>
      </c>
    </row>
    <row r="642" spans="1:12" x14ac:dyDescent="0.2">
      <c r="A642" s="69"/>
      <c r="B642" s="31"/>
      <c r="C642" s="15" t="s">
        <v>778</v>
      </c>
      <c r="D642" s="12"/>
      <c r="E642" s="13"/>
      <c r="F642" s="70"/>
      <c r="J642" s="116"/>
      <c r="K642" s="116"/>
      <c r="L642" s="116"/>
    </row>
    <row r="643" spans="1:12" x14ac:dyDescent="0.2">
      <c r="A643" s="69"/>
      <c r="B643" s="31"/>
      <c r="C643" s="9"/>
      <c r="D643" s="22"/>
      <c r="E643" s="13"/>
      <c r="F643" s="78"/>
      <c r="J643" s="116"/>
      <c r="K643" s="116"/>
      <c r="L643" s="116"/>
    </row>
    <row r="644" spans="1:12" x14ac:dyDescent="0.2">
      <c r="A644" s="69"/>
      <c r="B644" s="31"/>
      <c r="C644" s="20" t="s">
        <v>702</v>
      </c>
      <c r="D644" s="12" t="e">
        <f>SUM(D563+D641)</f>
        <v>#REF!</v>
      </c>
      <c r="E644" s="13"/>
      <c r="F644" s="81" t="e">
        <f>SUM(F563+F641)</f>
        <v>#REF!</v>
      </c>
      <c r="J644" s="116" t="e">
        <f>+D644*1000</f>
        <v>#REF!</v>
      </c>
      <c r="K644" s="116">
        <v>3450148.57</v>
      </c>
      <c r="L644" s="116"/>
    </row>
    <row r="645" spans="1:12" x14ac:dyDescent="0.2">
      <c r="A645" s="69"/>
      <c r="B645" s="31"/>
      <c r="C645" s="20"/>
      <c r="D645" s="12"/>
      <c r="E645" s="13"/>
      <c r="F645" s="81"/>
      <c r="J645" s="116"/>
      <c r="K645" s="116">
        <v>690029.72</v>
      </c>
      <c r="L645" s="116"/>
    </row>
    <row r="646" spans="1:12" x14ac:dyDescent="0.2">
      <c r="A646" s="69"/>
      <c r="B646" s="31"/>
      <c r="C646" s="20"/>
      <c r="D646" s="12"/>
      <c r="E646" s="13"/>
      <c r="F646" s="81"/>
      <c r="J646" s="116"/>
      <c r="K646" s="116"/>
      <c r="L646" s="116"/>
    </row>
    <row r="647" spans="1:12" x14ac:dyDescent="0.2">
      <c r="A647" s="69"/>
      <c r="B647" s="31"/>
      <c r="C647" s="306"/>
      <c r="D647" s="12"/>
      <c r="E647" s="13"/>
      <c r="F647" s="70"/>
      <c r="J647" s="116"/>
      <c r="K647" s="116">
        <v>636813.99</v>
      </c>
      <c r="L647" s="116"/>
    </row>
    <row r="648" spans="1:12" hidden="1" x14ac:dyDescent="0.2">
      <c r="A648" s="69" t="s">
        <v>250</v>
      </c>
      <c r="B648" s="303" t="s">
        <v>250</v>
      </c>
      <c r="C648" s="15" t="s">
        <v>300</v>
      </c>
      <c r="D648" s="12">
        <v>0</v>
      </c>
      <c r="E648" s="13">
        <v>1</v>
      </c>
      <c r="F648" s="70">
        <f>+D648*E648</f>
        <v>0</v>
      </c>
      <c r="J648" s="116"/>
      <c r="K648" s="116"/>
      <c r="L648" s="116"/>
    </row>
    <row r="649" spans="1:12" ht="15" hidden="1" customHeight="1" x14ac:dyDescent="0.2">
      <c r="A649" s="71" t="s">
        <v>251</v>
      </c>
      <c r="B649" s="34" t="s">
        <v>251</v>
      </c>
      <c r="C649" s="15" t="s">
        <v>300</v>
      </c>
      <c r="D649" s="12"/>
      <c r="E649" s="13"/>
      <c r="F649" s="70"/>
      <c r="J649" s="116"/>
      <c r="K649" s="116"/>
      <c r="L649" s="116"/>
    </row>
    <row r="650" spans="1:12" ht="15" hidden="1" customHeight="1" x14ac:dyDescent="0.2">
      <c r="A650" s="71" t="s">
        <v>252</v>
      </c>
      <c r="B650" s="34" t="s">
        <v>252</v>
      </c>
      <c r="C650" s="15" t="s">
        <v>300</v>
      </c>
      <c r="D650" s="12"/>
      <c r="E650" s="13"/>
      <c r="F650" s="70"/>
      <c r="J650" s="116"/>
      <c r="K650" s="116"/>
      <c r="L650" s="116"/>
    </row>
    <row r="651" spans="1:12" ht="15" hidden="1" customHeight="1" x14ac:dyDescent="0.2">
      <c r="A651" s="71" t="s">
        <v>253</v>
      </c>
      <c r="B651" s="34" t="s">
        <v>253</v>
      </c>
      <c r="C651" s="15" t="s">
        <v>300</v>
      </c>
      <c r="D651" s="12"/>
      <c r="E651" s="13"/>
      <c r="F651" s="70"/>
      <c r="J651" s="116"/>
      <c r="K651" s="116"/>
      <c r="L651" s="116"/>
    </row>
    <row r="652" spans="1:12" ht="15" customHeight="1" x14ac:dyDescent="0.2">
      <c r="A652" s="69"/>
      <c r="B652" s="303"/>
      <c r="C652" s="20" t="s">
        <v>238</v>
      </c>
      <c r="D652" s="12"/>
      <c r="E652" s="13"/>
      <c r="F652" s="70"/>
      <c r="J652" s="116"/>
      <c r="K652" s="116">
        <f>SUM(K644:K651)</f>
        <v>4776992.28</v>
      </c>
      <c r="L652" s="116"/>
    </row>
    <row r="653" spans="1:12" ht="15" hidden="1" customHeight="1" x14ac:dyDescent="0.2">
      <c r="A653" s="69" t="s">
        <v>301</v>
      </c>
      <c r="B653" s="290" t="s">
        <v>301</v>
      </c>
      <c r="C653" s="15" t="s">
        <v>302</v>
      </c>
      <c r="D653" s="12">
        <v>0</v>
      </c>
      <c r="E653" s="13">
        <v>1</v>
      </c>
      <c r="F653" s="70">
        <v>0</v>
      </c>
      <c r="J653" s="116"/>
      <c r="K653" s="116"/>
      <c r="L653" s="116"/>
    </row>
    <row r="654" spans="1:12" ht="15" hidden="1" customHeight="1" x14ac:dyDescent="0.2">
      <c r="A654" s="69"/>
      <c r="B654" s="290"/>
      <c r="C654" s="9"/>
      <c r="D654" s="12"/>
      <c r="E654" s="13"/>
      <c r="F654" s="70"/>
      <c r="J654" s="116"/>
      <c r="K654" s="116"/>
      <c r="L654" s="116"/>
    </row>
    <row r="655" spans="1:12" ht="14.25" hidden="1" customHeight="1" x14ac:dyDescent="0.2">
      <c r="A655" s="69" t="s">
        <v>132</v>
      </c>
      <c r="B655" s="290" t="s">
        <v>132</v>
      </c>
      <c r="C655" s="15" t="s">
        <v>302</v>
      </c>
      <c r="D655" s="12">
        <v>0</v>
      </c>
      <c r="E655" s="13"/>
      <c r="F655" s="70">
        <v>0</v>
      </c>
      <c r="J655" s="116"/>
      <c r="K655" s="116"/>
      <c r="L655" s="116"/>
    </row>
    <row r="656" spans="1:12" ht="13.5" hidden="1" customHeight="1" x14ac:dyDescent="0.2">
      <c r="A656" s="69"/>
      <c r="B656" s="290"/>
      <c r="C656" s="9" t="s">
        <v>133</v>
      </c>
      <c r="D656" s="12">
        <v>0</v>
      </c>
      <c r="E656" s="13">
        <v>1</v>
      </c>
      <c r="F656" s="70">
        <f>+D656*E656</f>
        <v>0</v>
      </c>
      <c r="J656" s="116"/>
      <c r="K656" s="116"/>
      <c r="L656" s="116"/>
    </row>
    <row r="657" spans="1:12" ht="15" hidden="1" customHeight="1" x14ac:dyDescent="0.2">
      <c r="A657" s="69" t="s">
        <v>756</v>
      </c>
      <c r="B657" s="290" t="s">
        <v>756</v>
      </c>
      <c r="C657" s="15" t="s">
        <v>302</v>
      </c>
      <c r="D657" s="12">
        <v>0</v>
      </c>
      <c r="E657" s="13">
        <v>1</v>
      </c>
      <c r="F657" s="70">
        <f>+D657*E657</f>
        <v>0</v>
      </c>
      <c r="J657" s="116"/>
      <c r="K657" s="116"/>
      <c r="L657" s="116"/>
    </row>
    <row r="658" spans="1:12" ht="16.5" hidden="1" customHeight="1" x14ac:dyDescent="0.2">
      <c r="A658" s="69"/>
      <c r="B658" s="31"/>
      <c r="C658" s="9"/>
      <c r="D658" s="12">
        <v>0</v>
      </c>
      <c r="E658" s="13">
        <v>1</v>
      </c>
      <c r="F658" s="70">
        <f>+D658*E658</f>
        <v>0</v>
      </c>
      <c r="J658" s="116"/>
      <c r="K658" s="116"/>
      <c r="L658" s="116"/>
    </row>
    <row r="659" spans="1:12" hidden="1" x14ac:dyDescent="0.2">
      <c r="A659" s="69"/>
      <c r="B659" s="31"/>
      <c r="C659" s="9"/>
      <c r="D659" s="12"/>
      <c r="E659" s="13"/>
      <c r="F659" s="70"/>
      <c r="J659" s="116"/>
      <c r="K659" s="116"/>
      <c r="L659" s="116"/>
    </row>
    <row r="660" spans="1:12" ht="14.25" hidden="1" customHeight="1" x14ac:dyDescent="0.2">
      <c r="A660" s="69">
        <v>121000</v>
      </c>
      <c r="B660" s="290">
        <v>121000</v>
      </c>
      <c r="C660" s="20" t="s">
        <v>134</v>
      </c>
      <c r="D660" s="12">
        <v>0</v>
      </c>
      <c r="E660" s="13"/>
      <c r="F660" s="70">
        <v>0</v>
      </c>
      <c r="H660" s="39" t="s">
        <v>538</v>
      </c>
      <c r="J660" s="116"/>
      <c r="K660" s="116"/>
      <c r="L660" s="116"/>
    </row>
    <row r="661" spans="1:12" ht="14.25" hidden="1" customHeight="1" x14ac:dyDescent="0.2">
      <c r="A661" s="69"/>
      <c r="B661" s="34"/>
      <c r="C661" s="9" t="s">
        <v>539</v>
      </c>
      <c r="D661" s="12"/>
      <c r="E661" s="13"/>
      <c r="F661" s="70"/>
      <c r="J661" s="116"/>
      <c r="K661" s="116"/>
      <c r="L661" s="116"/>
    </row>
    <row r="662" spans="1:12" ht="14.25" hidden="1" customHeight="1" x14ac:dyDescent="0.2">
      <c r="A662" s="69"/>
      <c r="B662" s="34"/>
      <c r="C662" s="9" t="s">
        <v>540</v>
      </c>
      <c r="D662" s="12"/>
      <c r="E662" s="13"/>
      <c r="F662" s="70"/>
      <c r="J662" s="116"/>
      <c r="K662" s="116"/>
      <c r="L662" s="116"/>
    </row>
    <row r="663" spans="1:12" ht="12" hidden="1" customHeight="1" x14ac:dyDescent="0.2">
      <c r="A663" s="69"/>
      <c r="B663" s="34"/>
      <c r="C663" s="9" t="s">
        <v>541</v>
      </c>
      <c r="D663" s="12"/>
      <c r="E663" s="13"/>
      <c r="F663" s="70"/>
      <c r="H663" s="40"/>
      <c r="J663" s="116"/>
      <c r="K663" s="116"/>
      <c r="L663" s="116"/>
    </row>
    <row r="664" spans="1:12" hidden="1" x14ac:dyDescent="0.2">
      <c r="A664" s="69"/>
      <c r="B664" s="34"/>
      <c r="C664" s="9" t="s">
        <v>554</v>
      </c>
      <c r="D664" s="12"/>
      <c r="E664" s="13"/>
      <c r="F664" s="70"/>
      <c r="J664" s="116"/>
      <c r="K664" s="116"/>
      <c r="L664" s="116"/>
    </row>
    <row r="665" spans="1:12" hidden="1" x14ac:dyDescent="0.2">
      <c r="A665" s="69"/>
      <c r="B665" s="290"/>
      <c r="C665" s="9"/>
      <c r="D665" s="12"/>
      <c r="E665" s="13"/>
      <c r="F665" s="70"/>
      <c r="J665" s="116"/>
      <c r="K665" s="116"/>
      <c r="L665" s="116"/>
    </row>
    <row r="666" spans="1:12" hidden="1" x14ac:dyDescent="0.2">
      <c r="A666" s="69"/>
      <c r="B666" s="290"/>
      <c r="C666" s="9" t="s">
        <v>730</v>
      </c>
      <c r="D666" s="12">
        <v>0</v>
      </c>
      <c r="E666" s="13">
        <v>1</v>
      </c>
      <c r="F666" s="70">
        <f>+D666*E666</f>
        <v>0</v>
      </c>
      <c r="J666" s="116"/>
      <c r="K666" s="116"/>
      <c r="L666" s="116"/>
    </row>
    <row r="667" spans="1:12" hidden="1" x14ac:dyDescent="0.2">
      <c r="A667" s="69"/>
      <c r="B667" s="290"/>
      <c r="C667" s="9"/>
      <c r="D667" s="12"/>
      <c r="E667" s="13"/>
      <c r="F667" s="70"/>
      <c r="J667" s="116"/>
      <c r="K667" s="116"/>
      <c r="L667" s="116"/>
    </row>
    <row r="668" spans="1:12" x14ac:dyDescent="0.2">
      <c r="A668" s="69"/>
      <c r="B668" s="290"/>
      <c r="C668" s="9"/>
      <c r="D668" s="12"/>
      <c r="E668" s="13"/>
      <c r="F668" s="70"/>
      <c r="J668" s="116"/>
      <c r="K668" s="116" t="e">
        <f>+J644-K652</f>
        <v>#REF!</v>
      </c>
      <c r="L668" s="116"/>
    </row>
    <row r="669" spans="1:12" x14ac:dyDescent="0.2">
      <c r="A669" s="69">
        <v>1260</v>
      </c>
      <c r="B669" s="290">
        <v>1260</v>
      </c>
      <c r="C669" s="20" t="s">
        <v>135</v>
      </c>
      <c r="D669" s="12" t="e">
        <f>SUM(D670:D673)</f>
        <v>#REF!</v>
      </c>
      <c r="E669" s="13">
        <v>0</v>
      </c>
      <c r="F669" s="70">
        <v>0</v>
      </c>
      <c r="J669" s="116"/>
      <c r="K669" s="116"/>
      <c r="L669" s="116"/>
    </row>
    <row r="670" spans="1:12" x14ac:dyDescent="0.2">
      <c r="A670" s="69">
        <v>126001</v>
      </c>
      <c r="B670" s="31" t="s">
        <v>24</v>
      </c>
      <c r="C670" s="9" t="s">
        <v>136</v>
      </c>
      <c r="D670" s="12" t="e">
        <f>+#REF!</f>
        <v>#REF!</v>
      </c>
      <c r="E670" s="13">
        <v>1</v>
      </c>
      <c r="F670" s="70" t="e">
        <f>+D670*E670</f>
        <v>#REF!</v>
      </c>
      <c r="J670" s="116"/>
      <c r="K670" s="116"/>
      <c r="L670" s="116"/>
    </row>
    <row r="671" spans="1:12" x14ac:dyDescent="0.2">
      <c r="A671" s="69">
        <v>126002</v>
      </c>
      <c r="B671" s="31" t="s">
        <v>382</v>
      </c>
      <c r="C671" s="9" t="s">
        <v>137</v>
      </c>
      <c r="D671" s="12">
        <v>0</v>
      </c>
      <c r="E671" s="13">
        <v>1</v>
      </c>
      <c r="F671" s="70">
        <f>+D671*E671</f>
        <v>0</v>
      </c>
      <c r="J671" s="116"/>
      <c r="K671" s="116"/>
      <c r="L671" s="116"/>
    </row>
    <row r="672" spans="1:12" hidden="1" x14ac:dyDescent="0.2">
      <c r="A672" s="69">
        <v>126004</v>
      </c>
      <c r="B672" s="33" t="s">
        <v>555</v>
      </c>
      <c r="C672" s="9" t="s">
        <v>556</v>
      </c>
      <c r="D672" s="12"/>
      <c r="E672" s="13"/>
      <c r="F672" s="70">
        <v>0</v>
      </c>
      <c r="J672" s="116"/>
      <c r="K672" s="116"/>
      <c r="L672" s="116"/>
    </row>
    <row r="673" spans="1:12" hidden="1" x14ac:dyDescent="0.2">
      <c r="A673" s="69">
        <v>126005</v>
      </c>
      <c r="B673" s="33" t="s">
        <v>557</v>
      </c>
      <c r="C673" s="15" t="s">
        <v>558</v>
      </c>
      <c r="D673" s="12"/>
      <c r="E673" s="13"/>
      <c r="F673" s="70">
        <v>0</v>
      </c>
      <c r="J673" s="116"/>
      <c r="K673" s="116"/>
      <c r="L673" s="116"/>
    </row>
    <row r="674" spans="1:12" ht="10.5" hidden="1" customHeight="1" x14ac:dyDescent="0.2">
      <c r="A674" s="69"/>
      <c r="B674" s="31"/>
      <c r="C674" s="20"/>
      <c r="D674" s="23" t="e">
        <f>SUM(D670+D671+D666)*-1</f>
        <v>#REF!</v>
      </c>
      <c r="E674" s="13"/>
      <c r="F674" s="78" t="e">
        <f>SUM(F666:F673)*-1</f>
        <v>#REF!</v>
      </c>
      <c r="I674" s="27">
        <v>313</v>
      </c>
      <c r="J674" s="116"/>
      <c r="K674" s="116"/>
      <c r="L674" s="116"/>
    </row>
    <row r="675" spans="1:12" x14ac:dyDescent="0.2">
      <c r="A675" s="69"/>
      <c r="B675" s="31"/>
      <c r="C675" s="20"/>
      <c r="D675" s="12"/>
      <c r="E675" s="13"/>
      <c r="F675" s="70"/>
      <c r="J675" s="116"/>
      <c r="K675" s="116"/>
      <c r="L675" s="116"/>
    </row>
    <row r="676" spans="1:12" ht="13.5" customHeight="1" thickBot="1" x14ac:dyDescent="0.25">
      <c r="A676" s="69"/>
      <c r="B676" s="36" t="s">
        <v>559</v>
      </c>
      <c r="C676" s="10" t="s">
        <v>564</v>
      </c>
      <c r="D676" s="24" t="e">
        <f>SUM(D644-D648-D653-D655-D657-D660-D669-D666)</f>
        <v>#REF!</v>
      </c>
      <c r="E676" s="13"/>
      <c r="F676" s="85" t="e">
        <f>SUM(F644-F648-F653-F655-F657-F660-F666-F670-F671-F672-F673)</f>
        <v>#REF!</v>
      </c>
      <c r="I676" s="27">
        <v>33</v>
      </c>
      <c r="J676" s="116"/>
      <c r="K676" s="116"/>
      <c r="L676" s="116"/>
    </row>
    <row r="677" spans="1:12" ht="13.5" customHeight="1" thickTop="1" thickBot="1" x14ac:dyDescent="0.25">
      <c r="A677" s="90"/>
      <c r="B677" s="307"/>
      <c r="C677" s="308"/>
      <c r="D677" s="92"/>
      <c r="E677" s="89"/>
      <c r="F677" s="93"/>
      <c r="J677" s="116"/>
      <c r="K677" s="116"/>
      <c r="L677" s="116"/>
    </row>
    <row r="678" spans="1:12" ht="13.5" customHeight="1" thickBot="1" x14ac:dyDescent="0.25">
      <c r="A678" s="69"/>
      <c r="B678" s="36" t="s">
        <v>565</v>
      </c>
      <c r="C678" s="16" t="s">
        <v>566</v>
      </c>
      <c r="D678" s="12"/>
      <c r="E678" s="13"/>
      <c r="F678" s="79" t="e">
        <f>+F676-F548</f>
        <v>#REF!</v>
      </c>
      <c r="I678" s="27">
        <v>13</v>
      </c>
    </row>
    <row r="679" spans="1:12" ht="13.5" thickTop="1" x14ac:dyDescent="0.2">
      <c r="A679" s="69"/>
      <c r="B679" s="36"/>
      <c r="C679" s="16"/>
      <c r="D679" s="12"/>
      <c r="E679" s="13"/>
      <c r="F679" s="70"/>
    </row>
    <row r="680" spans="1:12" ht="13.5" thickBot="1" x14ac:dyDescent="0.25">
      <c r="A680" s="69"/>
      <c r="B680" s="36" t="s">
        <v>567</v>
      </c>
      <c r="C680" s="10" t="s">
        <v>568</v>
      </c>
      <c r="D680" s="12"/>
      <c r="E680" s="13"/>
      <c r="F680" s="86" t="e">
        <f>+F676/F546</f>
        <v>#REF!</v>
      </c>
      <c r="I680" s="27">
        <v>14</v>
      </c>
    </row>
    <row r="681" spans="1:12" ht="13.5" thickTop="1" x14ac:dyDescent="0.2">
      <c r="A681" s="69"/>
      <c r="B681" s="36"/>
      <c r="C681" s="10"/>
      <c r="D681" s="12"/>
      <c r="E681" s="13"/>
      <c r="F681" s="70"/>
    </row>
    <row r="682" spans="1:12" x14ac:dyDescent="0.2">
      <c r="A682" s="69"/>
      <c r="B682" s="37" t="s">
        <v>388</v>
      </c>
      <c r="C682" s="16"/>
      <c r="D682" s="12"/>
      <c r="E682" s="13"/>
      <c r="F682" s="70"/>
    </row>
    <row r="683" spans="1:12" x14ac:dyDescent="0.2">
      <c r="A683" s="69"/>
      <c r="B683" s="36"/>
      <c r="C683" s="10"/>
      <c r="D683" s="12"/>
      <c r="E683" s="13"/>
      <c r="F683" s="70"/>
    </row>
    <row r="684" spans="1:12" x14ac:dyDescent="0.2">
      <c r="A684" s="69"/>
      <c r="B684" s="33">
        <v>211</v>
      </c>
      <c r="C684" s="17" t="s">
        <v>130</v>
      </c>
      <c r="D684" s="12">
        <v>0</v>
      </c>
      <c r="E684" s="13">
        <v>7.0000000000000007E-2</v>
      </c>
      <c r="F684" s="70">
        <f>+D684*E684</f>
        <v>0</v>
      </c>
    </row>
    <row r="685" spans="1:12" hidden="1" x14ac:dyDescent="0.2">
      <c r="A685" s="69">
        <v>211001</v>
      </c>
      <c r="B685" s="33">
        <f t="shared" ref="B685:B708" si="11">A685</f>
        <v>211001</v>
      </c>
      <c r="C685" s="17"/>
      <c r="D685" s="12">
        <v>-235899.04949</v>
      </c>
      <c r="E685" s="13">
        <v>0</v>
      </c>
      <c r="F685" s="70">
        <v>0</v>
      </c>
    </row>
    <row r="686" spans="1:12" hidden="1" x14ac:dyDescent="0.2">
      <c r="A686" s="69">
        <v>211002</v>
      </c>
      <c r="B686" s="33">
        <f t="shared" si="11"/>
        <v>211002</v>
      </c>
      <c r="C686" s="17"/>
      <c r="D686" s="12">
        <v>-408495.81789000001</v>
      </c>
      <c r="E686" s="13">
        <v>0</v>
      </c>
      <c r="F686" s="70">
        <v>0</v>
      </c>
    </row>
    <row r="687" spans="1:12" hidden="1" x14ac:dyDescent="0.2">
      <c r="A687" s="69">
        <v>211101</v>
      </c>
      <c r="B687" s="33">
        <f t="shared" si="11"/>
        <v>211101</v>
      </c>
      <c r="C687" s="17"/>
      <c r="D687" s="12">
        <v>-854.62049999999999</v>
      </c>
      <c r="E687" s="13">
        <v>0</v>
      </c>
      <c r="F687" s="70">
        <v>0</v>
      </c>
    </row>
    <row r="688" spans="1:12" hidden="1" x14ac:dyDescent="0.2">
      <c r="A688" s="69">
        <v>211102</v>
      </c>
      <c r="B688" s="33">
        <f t="shared" si="11"/>
        <v>211102</v>
      </c>
      <c r="C688" s="17"/>
      <c r="D688" s="12">
        <v>-124610.00053</v>
      </c>
      <c r="E688" s="13">
        <v>0</v>
      </c>
      <c r="F688" s="70">
        <v>0</v>
      </c>
    </row>
    <row r="689" spans="1:6" hidden="1" x14ac:dyDescent="0.2">
      <c r="A689" s="69">
        <v>211103</v>
      </c>
      <c r="B689" s="33">
        <f t="shared" si="11"/>
        <v>211103</v>
      </c>
      <c r="C689" s="17"/>
      <c r="D689" s="12">
        <v>-36800.537239999998</v>
      </c>
      <c r="E689" s="13">
        <v>0</v>
      </c>
      <c r="F689" s="70">
        <v>0</v>
      </c>
    </row>
    <row r="690" spans="1:6" hidden="1" x14ac:dyDescent="0.2">
      <c r="A690" s="69">
        <v>211104</v>
      </c>
      <c r="B690" s="33">
        <f t="shared" si="11"/>
        <v>211104</v>
      </c>
      <c r="C690" s="17"/>
      <c r="D690" s="12">
        <v>-71923.38897</v>
      </c>
      <c r="E690" s="13">
        <v>0</v>
      </c>
      <c r="F690" s="70">
        <v>0</v>
      </c>
    </row>
    <row r="691" spans="1:6" hidden="1" x14ac:dyDescent="0.2">
      <c r="A691" s="69">
        <v>211105</v>
      </c>
      <c r="B691" s="33">
        <f t="shared" si="11"/>
        <v>211105</v>
      </c>
      <c r="C691" s="17"/>
      <c r="D691" s="12">
        <v>-15758.64955</v>
      </c>
      <c r="E691" s="13">
        <v>0</v>
      </c>
      <c r="F691" s="70">
        <v>0</v>
      </c>
    </row>
    <row r="692" spans="1:6" hidden="1" x14ac:dyDescent="0.2">
      <c r="A692" s="69">
        <v>211106</v>
      </c>
      <c r="B692" s="33">
        <f t="shared" si="11"/>
        <v>211106</v>
      </c>
      <c r="C692" s="17"/>
      <c r="D692" s="12">
        <v>-2406.9058399999999</v>
      </c>
      <c r="E692" s="13">
        <v>0</v>
      </c>
      <c r="F692" s="70">
        <v>0</v>
      </c>
    </row>
    <row r="693" spans="1:6" hidden="1" x14ac:dyDescent="0.2">
      <c r="A693" s="69">
        <v>211107</v>
      </c>
      <c r="B693" s="33">
        <f t="shared" si="11"/>
        <v>211107</v>
      </c>
      <c r="C693" s="17"/>
      <c r="D693" s="12">
        <v>-282379.64945999999</v>
      </c>
      <c r="E693" s="13">
        <v>0</v>
      </c>
      <c r="F693" s="70">
        <v>0</v>
      </c>
    </row>
    <row r="694" spans="1:6" hidden="1" x14ac:dyDescent="0.2">
      <c r="A694" s="69" t="s">
        <v>389</v>
      </c>
      <c r="B694" s="33" t="str">
        <f t="shared" si="11"/>
        <v>211108</v>
      </c>
      <c r="C694" s="17"/>
      <c r="D694" s="12">
        <v>-456.33064999999999</v>
      </c>
      <c r="E694" s="13">
        <v>0</v>
      </c>
      <c r="F694" s="70">
        <v>0</v>
      </c>
    </row>
    <row r="695" spans="1:6" hidden="1" x14ac:dyDescent="0.2">
      <c r="A695" s="69">
        <v>211113</v>
      </c>
      <c r="B695" s="33">
        <f t="shared" si="11"/>
        <v>211113</v>
      </c>
      <c r="C695" s="17"/>
      <c r="D695" s="12">
        <v>-187198.64060000001</v>
      </c>
      <c r="E695" s="13">
        <v>0</v>
      </c>
      <c r="F695" s="70">
        <v>0</v>
      </c>
    </row>
    <row r="696" spans="1:6" hidden="1" x14ac:dyDescent="0.2">
      <c r="A696" s="69">
        <v>211114</v>
      </c>
      <c r="B696" s="33">
        <f t="shared" si="11"/>
        <v>211114</v>
      </c>
      <c r="C696" s="17"/>
      <c r="D696" s="12">
        <v>0</v>
      </c>
      <c r="E696" s="13">
        <v>0</v>
      </c>
      <c r="F696" s="70">
        <v>0</v>
      </c>
    </row>
    <row r="697" spans="1:6" hidden="1" x14ac:dyDescent="0.2">
      <c r="A697" s="69">
        <v>211199</v>
      </c>
      <c r="B697" s="33">
        <f t="shared" si="11"/>
        <v>211199</v>
      </c>
      <c r="C697" s="17"/>
      <c r="D697" s="12">
        <v>-390.20073000000002</v>
      </c>
      <c r="E697" s="13">
        <v>0</v>
      </c>
      <c r="F697" s="70">
        <v>0</v>
      </c>
    </row>
    <row r="698" spans="1:6" hidden="1" x14ac:dyDescent="0.2">
      <c r="A698" s="69">
        <v>211201</v>
      </c>
      <c r="B698" s="33">
        <f t="shared" si="11"/>
        <v>211201</v>
      </c>
      <c r="C698" s="17"/>
      <c r="D698" s="12">
        <v>-2711.4753000000001</v>
      </c>
      <c r="E698" s="13">
        <v>0</v>
      </c>
      <c r="F698" s="70">
        <v>0</v>
      </c>
    </row>
    <row r="699" spans="1:6" hidden="1" x14ac:dyDescent="0.2">
      <c r="A699" s="69">
        <v>211202</v>
      </c>
      <c r="B699" s="33">
        <f t="shared" si="11"/>
        <v>211202</v>
      </c>
      <c r="C699" s="17"/>
      <c r="D699" s="12">
        <v>-20577.756229999999</v>
      </c>
      <c r="E699" s="13">
        <v>0</v>
      </c>
      <c r="F699" s="70">
        <v>0</v>
      </c>
    </row>
    <row r="700" spans="1:6" hidden="1" x14ac:dyDescent="0.2">
      <c r="A700" s="69">
        <v>211203</v>
      </c>
      <c r="B700" s="33">
        <f t="shared" si="11"/>
        <v>211203</v>
      </c>
      <c r="C700" s="17"/>
      <c r="D700" s="12"/>
      <c r="E700" s="13"/>
      <c r="F700" s="70"/>
    </row>
    <row r="701" spans="1:6" hidden="1" x14ac:dyDescent="0.2">
      <c r="A701" s="69">
        <v>211204</v>
      </c>
      <c r="B701" s="33">
        <f t="shared" si="11"/>
        <v>211204</v>
      </c>
      <c r="C701" s="17"/>
      <c r="D701" s="12">
        <v>0</v>
      </c>
      <c r="E701" s="13">
        <v>0</v>
      </c>
      <c r="F701" s="70">
        <v>0</v>
      </c>
    </row>
    <row r="702" spans="1:6" hidden="1" x14ac:dyDescent="0.2">
      <c r="A702" s="69" t="s">
        <v>390</v>
      </c>
      <c r="B702" s="33" t="str">
        <f t="shared" si="11"/>
        <v>211401</v>
      </c>
      <c r="C702" s="17"/>
      <c r="D702" s="12">
        <v>0</v>
      </c>
      <c r="E702" s="13">
        <v>0</v>
      </c>
      <c r="F702" s="70">
        <v>0</v>
      </c>
    </row>
    <row r="703" spans="1:6" hidden="1" x14ac:dyDescent="0.2">
      <c r="A703" s="69" t="s">
        <v>391</v>
      </c>
      <c r="B703" s="33" t="str">
        <f t="shared" si="11"/>
        <v>211402</v>
      </c>
      <c r="C703" s="17"/>
      <c r="D703" s="12">
        <v>-15802.95336</v>
      </c>
      <c r="E703" s="13">
        <v>0</v>
      </c>
      <c r="F703" s="70">
        <v>0</v>
      </c>
    </row>
    <row r="704" spans="1:6" hidden="1" x14ac:dyDescent="0.2">
      <c r="A704" s="69" t="s">
        <v>392</v>
      </c>
      <c r="B704" s="33" t="str">
        <f t="shared" si="11"/>
        <v>211403</v>
      </c>
      <c r="C704" s="17"/>
      <c r="D704" s="12">
        <v>-338.4821</v>
      </c>
      <c r="E704" s="13">
        <v>0</v>
      </c>
      <c r="F704" s="70">
        <v>0</v>
      </c>
    </row>
    <row r="705" spans="1:6" hidden="1" x14ac:dyDescent="0.2">
      <c r="A705" s="69" t="s">
        <v>769</v>
      </c>
      <c r="B705" s="33" t="str">
        <f t="shared" si="11"/>
        <v>211404</v>
      </c>
      <c r="C705" s="17"/>
      <c r="D705" s="12">
        <v>-70.615669999999994</v>
      </c>
      <c r="E705" s="13">
        <v>0</v>
      </c>
      <c r="F705" s="70">
        <v>0</v>
      </c>
    </row>
    <row r="706" spans="1:6" hidden="1" x14ac:dyDescent="0.2">
      <c r="A706" s="69" t="s">
        <v>770</v>
      </c>
      <c r="B706" s="33" t="str">
        <f t="shared" si="11"/>
        <v>211405</v>
      </c>
      <c r="C706" s="17"/>
      <c r="D706" s="12">
        <v>-65.128600000000006</v>
      </c>
      <c r="E706" s="13">
        <v>0</v>
      </c>
      <c r="F706" s="70">
        <v>0</v>
      </c>
    </row>
    <row r="707" spans="1:6" hidden="1" x14ac:dyDescent="0.2">
      <c r="A707" s="69" t="s">
        <v>771</v>
      </c>
      <c r="B707" s="33" t="str">
        <f t="shared" si="11"/>
        <v>211406</v>
      </c>
      <c r="C707" s="17"/>
      <c r="D707" s="12">
        <v>-3408.7192700000001</v>
      </c>
      <c r="E707" s="13">
        <v>0</v>
      </c>
      <c r="F707" s="70">
        <v>0</v>
      </c>
    </row>
    <row r="708" spans="1:6" hidden="1" x14ac:dyDescent="0.2">
      <c r="A708" s="69" t="s">
        <v>772</v>
      </c>
      <c r="B708" s="33" t="str">
        <f t="shared" si="11"/>
        <v>211407</v>
      </c>
      <c r="C708" s="17"/>
      <c r="D708" s="12">
        <v>-8218.2510299999994</v>
      </c>
      <c r="E708" s="13">
        <v>0</v>
      </c>
      <c r="F708" s="70">
        <v>0</v>
      </c>
    </row>
    <row r="709" spans="1:6" x14ac:dyDescent="0.2">
      <c r="A709" s="69"/>
      <c r="B709" s="33">
        <v>212</v>
      </c>
      <c r="C709" s="17" t="s">
        <v>178</v>
      </c>
      <c r="D709" s="12" t="e">
        <f>+#REF!</f>
        <v>#REF!</v>
      </c>
      <c r="E709" s="13">
        <v>7.0000000000000007E-2</v>
      </c>
      <c r="F709" s="70" t="e">
        <f>+D709*E709</f>
        <v>#REF!</v>
      </c>
    </row>
    <row r="710" spans="1:6" hidden="1" x14ac:dyDescent="0.2">
      <c r="A710" s="69">
        <v>212101</v>
      </c>
      <c r="B710" s="33">
        <f t="shared" ref="B710:B726" si="12">A710</f>
        <v>212101</v>
      </c>
      <c r="C710" s="17"/>
      <c r="D710" s="12">
        <v>0</v>
      </c>
      <c r="E710" s="13">
        <v>0</v>
      </c>
      <c r="F710" s="70">
        <v>0</v>
      </c>
    </row>
    <row r="711" spans="1:6" hidden="1" x14ac:dyDescent="0.2">
      <c r="A711" s="69">
        <v>212102</v>
      </c>
      <c r="B711" s="33">
        <f t="shared" si="12"/>
        <v>212102</v>
      </c>
      <c r="C711" s="17"/>
      <c r="D711" s="12">
        <v>0</v>
      </c>
      <c r="E711" s="13">
        <v>0</v>
      </c>
      <c r="F711" s="70">
        <v>0</v>
      </c>
    </row>
    <row r="712" spans="1:6" hidden="1" x14ac:dyDescent="0.2">
      <c r="A712" s="69" t="s">
        <v>773</v>
      </c>
      <c r="B712" s="33" t="str">
        <f t="shared" si="12"/>
        <v>212103</v>
      </c>
      <c r="C712" s="17"/>
      <c r="D712" s="12">
        <v>0</v>
      </c>
      <c r="E712" s="13">
        <v>0</v>
      </c>
      <c r="F712" s="70">
        <v>0</v>
      </c>
    </row>
    <row r="713" spans="1:6" hidden="1" x14ac:dyDescent="0.2">
      <c r="A713" s="69">
        <v>212105</v>
      </c>
      <c r="B713" s="33">
        <f t="shared" si="12"/>
        <v>212105</v>
      </c>
      <c r="C713" s="17"/>
      <c r="D713" s="12">
        <v>0</v>
      </c>
      <c r="E713" s="13">
        <v>0</v>
      </c>
      <c r="F713" s="70">
        <v>0</v>
      </c>
    </row>
    <row r="714" spans="1:6" hidden="1" x14ac:dyDescent="0.2">
      <c r="A714" s="69">
        <v>212106</v>
      </c>
      <c r="B714" s="33">
        <f t="shared" si="12"/>
        <v>212106</v>
      </c>
      <c r="C714" s="17"/>
      <c r="D714" s="12">
        <v>0</v>
      </c>
      <c r="E714" s="13">
        <v>0</v>
      </c>
      <c r="F714" s="70">
        <v>0</v>
      </c>
    </row>
    <row r="715" spans="1:6" hidden="1" x14ac:dyDescent="0.2">
      <c r="A715" s="69" t="s">
        <v>774</v>
      </c>
      <c r="B715" s="33" t="str">
        <f t="shared" si="12"/>
        <v>212107</v>
      </c>
      <c r="C715" s="17"/>
      <c r="D715" s="12">
        <v>0</v>
      </c>
      <c r="E715" s="13">
        <v>0</v>
      </c>
      <c r="F715" s="70">
        <v>0</v>
      </c>
    </row>
    <row r="716" spans="1:6" hidden="1" x14ac:dyDescent="0.2">
      <c r="A716" s="69" t="s">
        <v>775</v>
      </c>
      <c r="B716" s="33" t="str">
        <f t="shared" si="12"/>
        <v>212108</v>
      </c>
      <c r="C716" s="17"/>
      <c r="D716" s="12">
        <v>-208776.04358999999</v>
      </c>
      <c r="E716" s="13">
        <v>0</v>
      </c>
      <c r="F716" s="70">
        <v>0</v>
      </c>
    </row>
    <row r="717" spans="1:6" hidden="1" x14ac:dyDescent="0.2">
      <c r="A717" s="69" t="s">
        <v>776</v>
      </c>
      <c r="B717" s="33" t="str">
        <f t="shared" si="12"/>
        <v>212109</v>
      </c>
      <c r="C717" s="17"/>
      <c r="D717" s="12"/>
      <c r="E717" s="13"/>
      <c r="F717" s="70"/>
    </row>
    <row r="718" spans="1:6" hidden="1" x14ac:dyDescent="0.2">
      <c r="A718" s="69">
        <v>212201</v>
      </c>
      <c r="B718" s="33">
        <f t="shared" si="12"/>
        <v>212201</v>
      </c>
      <c r="C718" s="17"/>
      <c r="D718" s="12"/>
      <c r="E718" s="13"/>
      <c r="F718" s="70"/>
    </row>
    <row r="719" spans="1:6" hidden="1" x14ac:dyDescent="0.2">
      <c r="A719" s="69">
        <v>212202</v>
      </c>
      <c r="B719" s="33">
        <f t="shared" si="12"/>
        <v>212202</v>
      </c>
      <c r="C719" s="17"/>
      <c r="D719" s="12">
        <v>0</v>
      </c>
      <c r="E719" s="13">
        <v>0</v>
      </c>
      <c r="F719" s="70">
        <v>0</v>
      </c>
    </row>
    <row r="720" spans="1:6" hidden="1" x14ac:dyDescent="0.2">
      <c r="A720" s="69" t="s">
        <v>498</v>
      </c>
      <c r="B720" s="33" t="str">
        <f t="shared" si="12"/>
        <v>212203</v>
      </c>
      <c r="C720" s="17"/>
      <c r="D720" s="12">
        <v>0</v>
      </c>
      <c r="E720" s="13">
        <v>0</v>
      </c>
      <c r="F720" s="70">
        <v>0</v>
      </c>
    </row>
    <row r="721" spans="1:6" ht="20.25" hidden="1" customHeight="1" x14ac:dyDescent="0.2">
      <c r="A721" s="69">
        <v>212206</v>
      </c>
      <c r="B721" s="33">
        <f t="shared" si="12"/>
        <v>212206</v>
      </c>
      <c r="C721" s="17"/>
      <c r="D721" s="12">
        <v>-2355.8333600000001</v>
      </c>
      <c r="E721" s="13">
        <v>0</v>
      </c>
      <c r="F721" s="70">
        <v>0</v>
      </c>
    </row>
    <row r="722" spans="1:6" ht="18.75" hidden="1" customHeight="1" x14ac:dyDescent="0.2">
      <c r="A722" s="69" t="s">
        <v>499</v>
      </c>
      <c r="B722" s="33" t="str">
        <f t="shared" si="12"/>
        <v>212207</v>
      </c>
      <c r="C722" s="17"/>
      <c r="D722" s="12">
        <v>-43135.146979999998</v>
      </c>
      <c r="E722" s="13">
        <v>0</v>
      </c>
      <c r="F722" s="70">
        <v>0</v>
      </c>
    </row>
    <row r="723" spans="1:6" ht="17.25" hidden="1" customHeight="1" x14ac:dyDescent="0.2">
      <c r="A723" s="69" t="s">
        <v>500</v>
      </c>
      <c r="B723" s="33" t="str">
        <f t="shared" si="12"/>
        <v>212208</v>
      </c>
      <c r="C723" s="17"/>
      <c r="D723" s="12">
        <v>-3457.5586199999998</v>
      </c>
      <c r="E723" s="13">
        <v>0</v>
      </c>
      <c r="F723" s="70">
        <v>0</v>
      </c>
    </row>
    <row r="724" spans="1:6" ht="18" hidden="1" customHeight="1" x14ac:dyDescent="0.2">
      <c r="A724" s="69" t="s">
        <v>501</v>
      </c>
      <c r="B724" s="33" t="str">
        <f t="shared" si="12"/>
        <v>212209</v>
      </c>
      <c r="C724" s="17"/>
      <c r="D724" s="12"/>
      <c r="E724" s="13"/>
      <c r="F724" s="70"/>
    </row>
    <row r="725" spans="1:6" ht="15.75" hidden="1" customHeight="1" x14ac:dyDescent="0.2">
      <c r="A725" s="69" t="s">
        <v>502</v>
      </c>
      <c r="B725" s="33" t="str">
        <f t="shared" si="12"/>
        <v>212308</v>
      </c>
      <c r="C725" s="17"/>
      <c r="D725" s="12">
        <v>-133196.52882000001</v>
      </c>
      <c r="E725" s="13">
        <v>0</v>
      </c>
      <c r="F725" s="70">
        <v>0</v>
      </c>
    </row>
    <row r="726" spans="1:6" ht="47.25" hidden="1" customHeight="1" x14ac:dyDescent="0.2">
      <c r="A726" s="69" t="s">
        <v>536</v>
      </c>
      <c r="B726" s="33" t="str">
        <f t="shared" si="12"/>
        <v>212309</v>
      </c>
      <c r="C726" s="17"/>
      <c r="D726" s="12"/>
      <c r="E726" s="13"/>
      <c r="F726" s="70"/>
    </row>
    <row r="727" spans="1:6" x14ac:dyDescent="0.2">
      <c r="A727" s="69"/>
      <c r="B727" s="33">
        <v>213</v>
      </c>
      <c r="C727" s="17" t="s">
        <v>347</v>
      </c>
      <c r="D727" s="12">
        <v>0</v>
      </c>
      <c r="E727" s="13">
        <v>7.0000000000000007E-2</v>
      </c>
      <c r="F727" s="70">
        <f>+D727*E727</f>
        <v>0</v>
      </c>
    </row>
    <row r="728" spans="1:6" hidden="1" x14ac:dyDescent="0.2">
      <c r="A728" s="69">
        <v>213001</v>
      </c>
      <c r="B728" s="33">
        <f>A728</f>
        <v>213001</v>
      </c>
      <c r="C728" s="17"/>
      <c r="D728" s="12">
        <v>-14820.946910000001</v>
      </c>
      <c r="E728" s="13">
        <v>0</v>
      </c>
      <c r="F728" s="70">
        <v>0</v>
      </c>
    </row>
    <row r="729" spans="1:6" hidden="1" x14ac:dyDescent="0.2">
      <c r="A729" s="69">
        <v>213002</v>
      </c>
      <c r="B729" s="33">
        <f>A729</f>
        <v>213002</v>
      </c>
      <c r="C729" s="17"/>
      <c r="D729" s="12">
        <v>0</v>
      </c>
      <c r="E729" s="13">
        <v>0</v>
      </c>
      <c r="F729" s="70">
        <v>0</v>
      </c>
    </row>
    <row r="730" spans="1:6" hidden="1" x14ac:dyDescent="0.2">
      <c r="A730" s="69">
        <v>213003</v>
      </c>
      <c r="B730" s="33">
        <f>A730</f>
        <v>213003</v>
      </c>
      <c r="C730" s="17"/>
      <c r="D730" s="12">
        <v>0</v>
      </c>
      <c r="E730" s="13">
        <v>0</v>
      </c>
      <c r="F730" s="70">
        <v>0</v>
      </c>
    </row>
    <row r="731" spans="1:6" hidden="1" x14ac:dyDescent="0.2">
      <c r="A731" s="69">
        <v>213004</v>
      </c>
      <c r="B731" s="33">
        <f>A731</f>
        <v>213004</v>
      </c>
      <c r="C731" s="17"/>
      <c r="D731" s="12">
        <v>-65.135289999999998</v>
      </c>
      <c r="E731" s="13">
        <v>0</v>
      </c>
      <c r="F731" s="70">
        <v>0</v>
      </c>
    </row>
    <row r="732" spans="1:6" hidden="1" x14ac:dyDescent="0.2">
      <c r="A732" s="69">
        <v>213005</v>
      </c>
      <c r="B732" s="33">
        <f>A732</f>
        <v>213005</v>
      </c>
      <c r="C732" s="17"/>
      <c r="D732" s="12">
        <v>-6741.3574399999998</v>
      </c>
      <c r="E732" s="13">
        <v>0</v>
      </c>
      <c r="F732" s="70">
        <v>0</v>
      </c>
    </row>
    <row r="733" spans="1:6" x14ac:dyDescent="0.2">
      <c r="A733" s="69"/>
      <c r="B733" s="33">
        <v>214</v>
      </c>
      <c r="C733" s="17" t="s">
        <v>627</v>
      </c>
      <c r="D733" s="12">
        <v>0</v>
      </c>
      <c r="E733" s="13">
        <v>7.0000000000000007E-2</v>
      </c>
      <c r="F733" s="70">
        <f>+D733*E733</f>
        <v>0</v>
      </c>
    </row>
    <row r="734" spans="1:6" hidden="1" x14ac:dyDescent="0.2">
      <c r="A734" s="69">
        <v>214100</v>
      </c>
      <c r="B734" s="33">
        <f>A734</f>
        <v>214100</v>
      </c>
      <c r="C734" s="17"/>
      <c r="D734" s="12">
        <v>0</v>
      </c>
      <c r="E734" s="13">
        <v>0</v>
      </c>
      <c r="F734" s="70">
        <v>0</v>
      </c>
    </row>
    <row r="735" spans="1:6" hidden="1" x14ac:dyDescent="0.2">
      <c r="A735" s="69" t="s">
        <v>757</v>
      </c>
      <c r="B735" s="33" t="str">
        <f>A735</f>
        <v>214201</v>
      </c>
      <c r="C735" s="17"/>
      <c r="D735" s="12">
        <v>0</v>
      </c>
      <c r="E735" s="13">
        <v>0</v>
      </c>
      <c r="F735" s="70">
        <v>0</v>
      </c>
    </row>
    <row r="736" spans="1:6" hidden="1" x14ac:dyDescent="0.2">
      <c r="A736" s="69" t="s">
        <v>758</v>
      </c>
      <c r="B736" s="33" t="str">
        <f>A736</f>
        <v>214202</v>
      </c>
      <c r="C736" s="17"/>
      <c r="D736" s="12">
        <v>-62966.521769999999</v>
      </c>
      <c r="E736" s="13">
        <v>0</v>
      </c>
      <c r="F736" s="70">
        <v>0</v>
      </c>
    </row>
    <row r="737" spans="1:6" x14ac:dyDescent="0.2">
      <c r="A737" s="69"/>
      <c r="B737" s="33">
        <v>215</v>
      </c>
      <c r="C737" s="17" t="s">
        <v>759</v>
      </c>
      <c r="D737" s="12">
        <v>0</v>
      </c>
      <c r="E737" s="13">
        <v>7.0000000000000007E-2</v>
      </c>
      <c r="F737" s="70">
        <f>+D737*E737</f>
        <v>0</v>
      </c>
    </row>
    <row r="738" spans="1:6" hidden="1" x14ac:dyDescent="0.2">
      <c r="A738" s="69">
        <v>215101</v>
      </c>
      <c r="B738" s="33">
        <f t="shared" ref="B738:B744" si="13">A738</f>
        <v>215101</v>
      </c>
      <c r="C738" s="17"/>
      <c r="D738" s="12"/>
      <c r="E738" s="13">
        <v>0</v>
      </c>
      <c r="F738" s="70">
        <v>0</v>
      </c>
    </row>
    <row r="739" spans="1:6" hidden="1" x14ac:dyDescent="0.2">
      <c r="A739" s="69">
        <v>215102</v>
      </c>
      <c r="B739" s="33">
        <f t="shared" si="13"/>
        <v>215102</v>
      </c>
      <c r="C739" s="17"/>
      <c r="D739" s="12"/>
      <c r="E739" s="13">
        <v>0</v>
      </c>
      <c r="F739" s="70">
        <v>0</v>
      </c>
    </row>
    <row r="740" spans="1:6" hidden="1" x14ac:dyDescent="0.2">
      <c r="A740" s="69">
        <v>215103</v>
      </c>
      <c r="B740" s="33">
        <f t="shared" si="13"/>
        <v>215103</v>
      </c>
      <c r="C740" s="17"/>
      <c r="D740" s="12">
        <v>0</v>
      </c>
      <c r="E740" s="13">
        <v>0</v>
      </c>
      <c r="F740" s="70">
        <v>0</v>
      </c>
    </row>
    <row r="741" spans="1:6" hidden="1" x14ac:dyDescent="0.2">
      <c r="A741" s="69">
        <v>215104</v>
      </c>
      <c r="B741" s="33">
        <f t="shared" si="13"/>
        <v>215104</v>
      </c>
      <c r="C741" s="17"/>
      <c r="D741" s="12"/>
      <c r="E741" s="13"/>
      <c r="F741" s="70"/>
    </row>
    <row r="742" spans="1:6" hidden="1" x14ac:dyDescent="0.2">
      <c r="A742" s="69" t="s">
        <v>760</v>
      </c>
      <c r="B742" s="33" t="str">
        <f t="shared" si="13"/>
        <v>215105</v>
      </c>
      <c r="C742" s="17"/>
      <c r="D742" s="12"/>
      <c r="E742" s="13"/>
      <c r="F742" s="70"/>
    </row>
    <row r="743" spans="1:6" hidden="1" x14ac:dyDescent="0.2">
      <c r="A743" s="69" t="s">
        <v>761</v>
      </c>
      <c r="B743" s="33" t="str">
        <f t="shared" si="13"/>
        <v>215106</v>
      </c>
      <c r="C743" s="17"/>
      <c r="D743" s="12"/>
      <c r="E743" s="13"/>
      <c r="F743" s="70"/>
    </row>
    <row r="744" spans="1:6" hidden="1" x14ac:dyDescent="0.2">
      <c r="A744" s="69" t="s">
        <v>762</v>
      </c>
      <c r="B744" s="33" t="str">
        <f t="shared" si="13"/>
        <v>215107</v>
      </c>
      <c r="C744" s="17"/>
      <c r="D744" s="12">
        <v>0</v>
      </c>
      <c r="E744" s="13">
        <v>0</v>
      </c>
      <c r="F744" s="70">
        <v>0</v>
      </c>
    </row>
    <row r="745" spans="1:6" hidden="1" x14ac:dyDescent="0.2">
      <c r="A745" s="69"/>
      <c r="B745" s="31" t="s">
        <v>763</v>
      </c>
      <c r="C745" s="17" t="s">
        <v>741</v>
      </c>
      <c r="D745" s="12">
        <f>SUM(D746:D747)</f>
        <v>0</v>
      </c>
      <c r="E745" s="13"/>
      <c r="F745" s="70"/>
    </row>
    <row r="746" spans="1:6" hidden="1" x14ac:dyDescent="0.2">
      <c r="A746" s="69" t="s">
        <v>742</v>
      </c>
      <c r="B746" s="33" t="str">
        <f>A746</f>
        <v>216001</v>
      </c>
      <c r="C746" s="17"/>
      <c r="D746" s="12"/>
      <c r="E746" s="13"/>
      <c r="F746" s="70"/>
    </row>
    <row r="747" spans="1:6" hidden="1" x14ac:dyDescent="0.2">
      <c r="A747" s="69" t="s">
        <v>743</v>
      </c>
      <c r="B747" s="33" t="str">
        <f>A747</f>
        <v>216002</v>
      </c>
      <c r="C747" s="17"/>
      <c r="D747" s="12"/>
      <c r="E747" s="13"/>
      <c r="F747" s="70"/>
    </row>
    <row r="748" spans="1:6" hidden="1" x14ac:dyDescent="0.2">
      <c r="A748" s="69"/>
      <c r="B748" s="33">
        <v>2210</v>
      </c>
      <c r="C748" s="17" t="s">
        <v>134</v>
      </c>
      <c r="D748" s="12"/>
      <c r="E748" s="13">
        <v>0.06</v>
      </c>
      <c r="F748" s="70">
        <f>+D748*E748</f>
        <v>0</v>
      </c>
    </row>
    <row r="749" spans="1:6" hidden="1" x14ac:dyDescent="0.2">
      <c r="A749" s="69">
        <v>221000</v>
      </c>
      <c r="B749" s="33">
        <v>221000</v>
      </c>
      <c r="C749" s="17"/>
      <c r="D749" s="12"/>
      <c r="E749" s="13"/>
      <c r="F749" s="70"/>
    </row>
    <row r="750" spans="1:6" x14ac:dyDescent="0.2">
      <c r="A750" s="69"/>
      <c r="B750" s="33">
        <v>2220</v>
      </c>
      <c r="C750" s="17" t="s">
        <v>165</v>
      </c>
      <c r="D750" s="12" t="e">
        <f>+#REF!</f>
        <v>#REF!</v>
      </c>
      <c r="E750" s="13">
        <v>7.0000000000000007E-2</v>
      </c>
      <c r="F750" s="70" t="e">
        <f>+D750*E750</f>
        <v>#REF!</v>
      </c>
    </row>
    <row r="751" spans="1:6" hidden="1" x14ac:dyDescent="0.2">
      <c r="A751" s="69">
        <v>222001</v>
      </c>
      <c r="B751" s="33">
        <f t="shared" ref="B751:B756" si="14">A751</f>
        <v>222001</v>
      </c>
      <c r="C751" s="17"/>
      <c r="D751" s="12">
        <v>-185.15191999999999</v>
      </c>
      <c r="E751" s="13">
        <v>0</v>
      </c>
      <c r="F751" s="70">
        <v>0</v>
      </c>
    </row>
    <row r="752" spans="1:6" hidden="1" x14ac:dyDescent="0.2">
      <c r="A752" s="69" t="s">
        <v>744</v>
      </c>
      <c r="B752" s="33" t="str">
        <f t="shared" si="14"/>
        <v>222002</v>
      </c>
      <c r="C752" s="17"/>
      <c r="D752" s="12">
        <v>-1401.97308</v>
      </c>
      <c r="E752" s="13">
        <v>0</v>
      </c>
      <c r="F752" s="70">
        <v>0</v>
      </c>
    </row>
    <row r="753" spans="1:6" hidden="1" x14ac:dyDescent="0.2">
      <c r="A753" s="69">
        <v>222003</v>
      </c>
      <c r="B753" s="33">
        <f t="shared" si="14"/>
        <v>222003</v>
      </c>
      <c r="C753" s="17"/>
      <c r="D753" s="12">
        <v>-4784.7186199999996</v>
      </c>
      <c r="E753" s="13">
        <v>0</v>
      </c>
      <c r="F753" s="70">
        <v>0</v>
      </c>
    </row>
    <row r="754" spans="1:6" hidden="1" x14ac:dyDescent="0.2">
      <c r="A754" s="69">
        <v>222004</v>
      </c>
      <c r="B754" s="33">
        <f t="shared" si="14"/>
        <v>222004</v>
      </c>
      <c r="C754" s="17"/>
      <c r="D754" s="12">
        <v>0</v>
      </c>
      <c r="E754" s="13">
        <v>0</v>
      </c>
      <c r="F754" s="70">
        <v>0</v>
      </c>
    </row>
    <row r="755" spans="1:6" hidden="1" x14ac:dyDescent="0.2">
      <c r="A755" s="69">
        <v>222005</v>
      </c>
      <c r="B755" s="33">
        <f t="shared" si="14"/>
        <v>222005</v>
      </c>
      <c r="C755" s="17"/>
      <c r="D755" s="12">
        <v>-97.733019999999996</v>
      </c>
      <c r="E755" s="13">
        <v>0</v>
      </c>
      <c r="F755" s="70">
        <v>0</v>
      </c>
    </row>
    <row r="756" spans="1:6" ht="0.75" hidden="1" customHeight="1" x14ac:dyDescent="0.2">
      <c r="A756" s="69">
        <v>222099</v>
      </c>
      <c r="B756" s="33">
        <f t="shared" si="14"/>
        <v>222099</v>
      </c>
      <c r="C756" s="17"/>
      <c r="D756" s="12">
        <v>-288.07213999999999</v>
      </c>
      <c r="E756" s="13">
        <v>0</v>
      </c>
      <c r="F756" s="70">
        <v>0</v>
      </c>
    </row>
    <row r="757" spans="1:6" x14ac:dyDescent="0.2">
      <c r="A757" s="69"/>
      <c r="B757" s="33">
        <v>2230</v>
      </c>
      <c r="C757" s="17" t="s">
        <v>674</v>
      </c>
      <c r="D757" s="12" t="e">
        <f>+#REF!</f>
        <v>#REF!</v>
      </c>
      <c r="E757" s="13">
        <v>7.0000000000000007E-2</v>
      </c>
      <c r="F757" s="70" t="e">
        <f>+D757*E757</f>
        <v>#REF!</v>
      </c>
    </row>
    <row r="758" spans="1:6" hidden="1" x14ac:dyDescent="0.2">
      <c r="A758" s="69" t="s">
        <v>745</v>
      </c>
      <c r="B758" s="33" t="str">
        <f>A758</f>
        <v>223000</v>
      </c>
      <c r="C758" s="17"/>
      <c r="D758" s="12">
        <v>221.9102</v>
      </c>
      <c r="E758" s="13">
        <v>0</v>
      </c>
      <c r="F758" s="70">
        <v>0</v>
      </c>
    </row>
    <row r="759" spans="1:6" ht="14.25" customHeight="1" x14ac:dyDescent="0.2">
      <c r="A759" s="69"/>
      <c r="B759" s="33">
        <v>2240</v>
      </c>
      <c r="C759" s="17" t="s">
        <v>675</v>
      </c>
      <c r="D759" s="12" t="e">
        <f>+#REF!</f>
        <v>#REF!</v>
      </c>
      <c r="E759" s="13">
        <v>7.0000000000000007E-2</v>
      </c>
      <c r="F759" s="70" t="e">
        <f>+D759*E759</f>
        <v>#REF!</v>
      </c>
    </row>
    <row r="760" spans="1:6" hidden="1" x14ac:dyDescent="0.2">
      <c r="A760" s="69" t="s">
        <v>379</v>
      </c>
      <c r="B760" s="31" t="s">
        <v>379</v>
      </c>
      <c r="C760" s="17" t="s">
        <v>746</v>
      </c>
      <c r="D760" s="12" t="e">
        <f>+#REF!</f>
        <v>#REF!</v>
      </c>
      <c r="E760" s="13"/>
      <c r="F760" s="70"/>
    </row>
    <row r="761" spans="1:6" x14ac:dyDescent="0.2">
      <c r="A761" s="69"/>
      <c r="B761" s="33">
        <v>2250</v>
      </c>
      <c r="C761" s="17" t="s">
        <v>65</v>
      </c>
      <c r="D761" s="12" t="e">
        <f>+#REF!</f>
        <v>#REF!</v>
      </c>
      <c r="E761" s="13">
        <v>7.0000000000000007E-2</v>
      </c>
      <c r="F761" s="70" t="e">
        <f>+D761*E761</f>
        <v>#REF!</v>
      </c>
    </row>
    <row r="762" spans="1:6" hidden="1" x14ac:dyDescent="0.2">
      <c r="A762" s="69">
        <v>225001</v>
      </c>
      <c r="B762" s="33">
        <f>A762</f>
        <v>225001</v>
      </c>
      <c r="C762" s="17"/>
      <c r="D762" s="12">
        <v>-724.20531000000005</v>
      </c>
      <c r="E762" s="13">
        <v>0</v>
      </c>
      <c r="F762" s="70">
        <v>0</v>
      </c>
    </row>
    <row r="763" spans="1:6" hidden="1" x14ac:dyDescent="0.2">
      <c r="A763" s="69">
        <v>225002</v>
      </c>
      <c r="B763" s="33">
        <f>A763</f>
        <v>225002</v>
      </c>
      <c r="C763" s="17"/>
      <c r="D763" s="12"/>
      <c r="E763" s="13"/>
      <c r="F763" s="70"/>
    </row>
    <row r="764" spans="1:6" hidden="1" x14ac:dyDescent="0.2">
      <c r="A764" s="69">
        <v>225003</v>
      </c>
      <c r="B764" s="33">
        <f>A764</f>
        <v>225003</v>
      </c>
      <c r="C764" s="17"/>
      <c r="D764" s="12"/>
      <c r="E764" s="13"/>
      <c r="F764" s="70"/>
    </row>
    <row r="765" spans="1:6" hidden="1" x14ac:dyDescent="0.2">
      <c r="A765" s="69">
        <v>225004</v>
      </c>
      <c r="B765" s="33">
        <f>A765</f>
        <v>225004</v>
      </c>
      <c r="C765" s="17"/>
      <c r="D765" s="12">
        <v>-2927.5963400000001</v>
      </c>
      <c r="E765" s="13">
        <v>0</v>
      </c>
      <c r="F765" s="70">
        <v>0</v>
      </c>
    </row>
    <row r="766" spans="1:6" hidden="1" x14ac:dyDescent="0.2">
      <c r="A766" s="69"/>
      <c r="B766" s="33">
        <v>23</v>
      </c>
      <c r="C766" s="17" t="s">
        <v>747</v>
      </c>
      <c r="D766" s="12"/>
      <c r="E766" s="13">
        <v>0.06</v>
      </c>
      <c r="F766" s="70">
        <f>+D766*E766</f>
        <v>0</v>
      </c>
    </row>
    <row r="767" spans="1:6" hidden="1" x14ac:dyDescent="0.2">
      <c r="A767" s="69">
        <v>231100</v>
      </c>
      <c r="B767" s="33">
        <f>A767</f>
        <v>231100</v>
      </c>
      <c r="C767" s="17"/>
      <c r="D767" s="12"/>
      <c r="E767" s="13"/>
      <c r="F767" s="70"/>
    </row>
    <row r="768" spans="1:6" hidden="1" x14ac:dyDescent="0.2">
      <c r="A768" s="69">
        <v>232100</v>
      </c>
      <c r="B768" s="33">
        <f>A768</f>
        <v>232100</v>
      </c>
      <c r="C768" s="17"/>
      <c r="D768" s="12"/>
      <c r="E768" s="13"/>
      <c r="F768" s="70"/>
    </row>
    <row r="769" spans="1:11" hidden="1" x14ac:dyDescent="0.2">
      <c r="A769" s="69">
        <v>232200</v>
      </c>
      <c r="B769" s="33">
        <f>A769</f>
        <v>232200</v>
      </c>
      <c r="C769" s="17"/>
      <c r="D769" s="12"/>
      <c r="E769" s="13"/>
      <c r="F769" s="70"/>
    </row>
    <row r="770" spans="1:11" ht="15" customHeight="1" x14ac:dyDescent="0.2">
      <c r="A770" s="69"/>
      <c r="B770" s="84">
        <v>2413</v>
      </c>
      <c r="C770" s="17" t="s">
        <v>748</v>
      </c>
      <c r="D770" s="12" t="e">
        <f>+#REF!</f>
        <v>#REF!</v>
      </c>
      <c r="E770" s="13">
        <v>7.0000000000000007E-2</v>
      </c>
      <c r="F770" s="70" t="e">
        <f>+D770*E770</f>
        <v>#REF!</v>
      </c>
    </row>
    <row r="771" spans="1:11" ht="12" hidden="1" customHeight="1" x14ac:dyDescent="0.2">
      <c r="A771" s="83">
        <v>2413</v>
      </c>
      <c r="B771" s="84">
        <v>2413</v>
      </c>
      <c r="C771" s="17" t="s">
        <v>749</v>
      </c>
      <c r="D771" s="12">
        <v>-10183.653130000001</v>
      </c>
      <c r="E771" s="13">
        <v>0</v>
      </c>
      <c r="F771" s="70">
        <v>0</v>
      </c>
    </row>
    <row r="772" spans="1:11" ht="14.25" customHeight="1" x14ac:dyDescent="0.2">
      <c r="A772" s="69"/>
      <c r="B772" s="33">
        <v>51</v>
      </c>
      <c r="C772" s="17" t="s">
        <v>266</v>
      </c>
      <c r="D772" s="12" t="e">
        <f>+#REF!</f>
        <v>#REF!</v>
      </c>
      <c r="E772" s="13">
        <v>7.0000000000000007E-2</v>
      </c>
      <c r="F772" s="70" t="e">
        <f>+D772*E772</f>
        <v>#REF!</v>
      </c>
    </row>
    <row r="773" spans="1:11" hidden="1" x14ac:dyDescent="0.2">
      <c r="A773" s="69">
        <v>511001</v>
      </c>
      <c r="B773" s="33">
        <f t="shared" ref="B773:B780" si="15">A773</f>
        <v>511001</v>
      </c>
      <c r="C773" s="17" t="s">
        <v>266</v>
      </c>
      <c r="D773" s="12">
        <v>-44025.55257</v>
      </c>
      <c r="E773" s="13">
        <v>0</v>
      </c>
      <c r="F773" s="70">
        <v>0</v>
      </c>
    </row>
    <row r="774" spans="1:11" hidden="1" x14ac:dyDescent="0.2">
      <c r="A774" s="69">
        <v>511002</v>
      </c>
      <c r="B774" s="33">
        <f t="shared" si="15"/>
        <v>511002</v>
      </c>
      <c r="C774" s="17" t="s">
        <v>266</v>
      </c>
      <c r="D774" s="12">
        <v>-36.686639999999997</v>
      </c>
      <c r="E774" s="13">
        <v>0</v>
      </c>
      <c r="F774" s="70">
        <v>0</v>
      </c>
    </row>
    <row r="775" spans="1:11" hidden="1" x14ac:dyDescent="0.2">
      <c r="A775" s="69" t="s">
        <v>267</v>
      </c>
      <c r="B775" s="33" t="str">
        <f t="shared" si="15"/>
        <v>511003</v>
      </c>
      <c r="C775" s="17" t="s">
        <v>266</v>
      </c>
      <c r="D775" s="12"/>
      <c r="E775" s="13"/>
      <c r="F775" s="70"/>
    </row>
    <row r="776" spans="1:11" hidden="1" x14ac:dyDescent="0.2">
      <c r="A776" s="69" t="s">
        <v>268</v>
      </c>
      <c r="B776" s="33" t="str">
        <f t="shared" si="15"/>
        <v>511004</v>
      </c>
      <c r="C776" s="17" t="s">
        <v>266</v>
      </c>
      <c r="D776" s="12"/>
      <c r="E776" s="13"/>
      <c r="F776" s="70"/>
    </row>
    <row r="777" spans="1:11" hidden="1" x14ac:dyDescent="0.2">
      <c r="A777" s="69">
        <v>512001</v>
      </c>
      <c r="B777" s="33">
        <f t="shared" si="15"/>
        <v>512001</v>
      </c>
      <c r="C777" s="17" t="s">
        <v>266</v>
      </c>
      <c r="D777" s="12">
        <v>-318.49</v>
      </c>
      <c r="E777" s="13">
        <v>0</v>
      </c>
      <c r="F777" s="70">
        <v>0</v>
      </c>
    </row>
    <row r="778" spans="1:11" hidden="1" x14ac:dyDescent="0.2">
      <c r="A778" s="69">
        <v>512002</v>
      </c>
      <c r="B778" s="33">
        <f t="shared" si="15"/>
        <v>512002</v>
      </c>
      <c r="C778" s="17" t="s">
        <v>266</v>
      </c>
      <c r="D778" s="12">
        <v>-60187.424249999996</v>
      </c>
      <c r="E778" s="13">
        <v>0</v>
      </c>
      <c r="F778" s="70">
        <v>0</v>
      </c>
    </row>
    <row r="779" spans="1:11" hidden="1" x14ac:dyDescent="0.2">
      <c r="A779" s="69" t="s">
        <v>269</v>
      </c>
      <c r="B779" s="33" t="str">
        <f t="shared" si="15"/>
        <v>512003</v>
      </c>
      <c r="C779" s="17" t="s">
        <v>266</v>
      </c>
      <c r="D779" s="12">
        <v>0</v>
      </c>
      <c r="E779" s="13"/>
      <c r="F779" s="70">
        <v>0</v>
      </c>
    </row>
    <row r="780" spans="1:11" hidden="1" x14ac:dyDescent="0.2">
      <c r="A780" s="71" t="s">
        <v>270</v>
      </c>
      <c r="B780" s="33" t="str">
        <f t="shared" si="15"/>
        <v>512004000100</v>
      </c>
      <c r="C780" s="17" t="s">
        <v>266</v>
      </c>
      <c r="D780" s="12">
        <v>-60776.308519999999</v>
      </c>
      <c r="E780" s="13">
        <v>0</v>
      </c>
      <c r="F780" s="70">
        <v>0</v>
      </c>
    </row>
    <row r="781" spans="1:11" ht="13.5" hidden="1" customHeight="1" x14ac:dyDescent="0.2">
      <c r="A781" s="71"/>
      <c r="B781" s="73"/>
      <c r="C781" s="17" t="s">
        <v>266</v>
      </c>
      <c r="D781" s="12"/>
      <c r="E781" s="13">
        <v>0</v>
      </c>
      <c r="F781" s="70">
        <v>0</v>
      </c>
    </row>
    <row r="782" spans="1:11" ht="0.75" hidden="1" customHeight="1" x14ac:dyDescent="0.2">
      <c r="A782" s="71" t="s">
        <v>271</v>
      </c>
      <c r="B782" s="73" t="s">
        <v>271</v>
      </c>
      <c r="C782" s="17"/>
      <c r="D782" s="12">
        <v>-57031.022799999999</v>
      </c>
      <c r="E782" s="13">
        <v>0</v>
      </c>
      <c r="F782" s="70">
        <v>0</v>
      </c>
    </row>
    <row r="783" spans="1:11" ht="13.5" thickBot="1" x14ac:dyDescent="0.25">
      <c r="A783" s="69"/>
      <c r="B783" s="37" t="s">
        <v>272</v>
      </c>
      <c r="C783" s="19" t="s">
        <v>273</v>
      </c>
      <c r="D783" s="25" t="e">
        <f>SUM(D684+D709+D727+D733+D737+D748+D750+D757+D759+D761+D766+D772+D770+D781)</f>
        <v>#REF!</v>
      </c>
      <c r="E783" s="13"/>
      <c r="F783" s="87" t="e">
        <f>SUM(F684+F709+F727+F733+F737+F748+F750+F757+F759+F761+F766+F772+F770)</f>
        <v>#REF!</v>
      </c>
      <c r="I783" s="27">
        <v>222</v>
      </c>
      <c r="J783" s="113"/>
      <c r="K783" s="113"/>
    </row>
    <row r="784" spans="1:11" ht="13.5" thickTop="1" x14ac:dyDescent="0.2">
      <c r="A784" s="69"/>
      <c r="B784" s="33"/>
      <c r="C784" s="10"/>
      <c r="D784" s="12"/>
      <c r="E784" s="13"/>
      <c r="F784" s="70"/>
    </row>
    <row r="785" spans="1:9" ht="13.5" thickBot="1" x14ac:dyDescent="0.25">
      <c r="A785" s="69"/>
      <c r="B785" s="37" t="s">
        <v>274</v>
      </c>
      <c r="C785" s="16" t="s">
        <v>348</v>
      </c>
      <c r="D785" s="12"/>
      <c r="E785" s="13"/>
      <c r="F785" s="79" t="e">
        <f>(D783-D781)*0.07</f>
        <v>#REF!</v>
      </c>
      <c r="I785" s="27">
        <v>21</v>
      </c>
    </row>
    <row r="786" spans="1:9" ht="13.5" thickTop="1" x14ac:dyDescent="0.2">
      <c r="A786" s="69"/>
      <c r="B786" s="33"/>
      <c r="C786" s="10"/>
      <c r="D786" s="12"/>
      <c r="E786" s="13"/>
      <c r="F786" s="70"/>
    </row>
    <row r="787" spans="1:9" ht="13.5" thickBot="1" x14ac:dyDescent="0.25">
      <c r="A787" s="69"/>
      <c r="B787" s="41" t="s">
        <v>349</v>
      </c>
      <c r="C787" s="10" t="s">
        <v>350</v>
      </c>
      <c r="D787" s="12"/>
      <c r="E787" s="13"/>
      <c r="F787" s="79" t="e">
        <f>+F676-F785</f>
        <v>#REF!</v>
      </c>
      <c r="I787" s="27">
        <v>22</v>
      </c>
    </row>
    <row r="788" spans="1:9" ht="13.5" thickTop="1" x14ac:dyDescent="0.2">
      <c r="A788" s="69"/>
      <c r="B788" s="42"/>
      <c r="C788" s="9"/>
      <c r="D788" s="12"/>
      <c r="E788" s="13"/>
      <c r="F788" s="70"/>
    </row>
    <row r="789" spans="1:9" ht="13.5" thickBot="1" x14ac:dyDescent="0.25">
      <c r="A789" s="69"/>
      <c r="B789" s="41" t="s">
        <v>351</v>
      </c>
      <c r="C789" s="20" t="s">
        <v>352</v>
      </c>
      <c r="D789" s="12"/>
      <c r="E789" s="13"/>
      <c r="F789" s="86" t="e">
        <f>+F676/D783</f>
        <v>#REF!</v>
      </c>
    </row>
    <row r="790" spans="1:9" ht="14.25" thickTop="1" thickBot="1" x14ac:dyDescent="0.25">
      <c r="A790" s="90"/>
      <c r="B790" s="91"/>
      <c r="C790" s="45"/>
      <c r="D790" s="92"/>
      <c r="E790" s="89"/>
      <c r="F790" s="93"/>
    </row>
    <row r="791" spans="1:9" x14ac:dyDescent="0.2">
      <c r="A791" s="94"/>
      <c r="B791" s="95" t="s">
        <v>353</v>
      </c>
      <c r="C791" s="66"/>
      <c r="D791" s="96"/>
      <c r="E791" s="67"/>
      <c r="F791" s="97"/>
    </row>
    <row r="792" spans="1:9" x14ac:dyDescent="0.2">
      <c r="A792" s="77"/>
      <c r="B792" s="42"/>
      <c r="C792" s="12"/>
      <c r="D792" s="26"/>
      <c r="E792" s="13"/>
      <c r="F792" s="88"/>
    </row>
    <row r="793" spans="1:9" x14ac:dyDescent="0.2">
      <c r="A793" s="77"/>
      <c r="B793" s="42"/>
      <c r="C793" s="12"/>
      <c r="D793" s="26"/>
      <c r="E793" s="13"/>
      <c r="F793" s="88"/>
    </row>
    <row r="794" spans="1:9" x14ac:dyDescent="0.2">
      <c r="A794" s="77"/>
      <c r="B794" s="42"/>
      <c r="C794" s="114" t="s">
        <v>738</v>
      </c>
      <c r="D794" s="114" t="s">
        <v>739</v>
      </c>
      <c r="E794" s="13"/>
      <c r="F794" s="88"/>
    </row>
    <row r="795" spans="1:9" x14ac:dyDescent="0.2">
      <c r="A795" s="77"/>
      <c r="B795" s="42"/>
      <c r="C795" s="43" t="str">
        <f>'Balance General SSF'!D124</f>
        <v>Shearlene Márquez</v>
      </c>
      <c r="D795" s="293" t="str">
        <f>'Balance General SSF'!E124</f>
        <v>Jesy Yanira Quijada</v>
      </c>
      <c r="E795" s="13"/>
      <c r="F795" s="88"/>
    </row>
    <row r="796" spans="1:9" x14ac:dyDescent="0.2">
      <c r="A796" s="77"/>
      <c r="B796" s="42"/>
      <c r="C796" s="43" t="s">
        <v>740</v>
      </c>
      <c r="D796" s="43" t="str">
        <f>'Balance General SSF'!E125</f>
        <v xml:space="preserve"> Jefe de Contraloría</v>
      </c>
      <c r="E796" s="13"/>
      <c r="F796" s="88"/>
    </row>
    <row r="797" spans="1:9" x14ac:dyDescent="0.2">
      <c r="A797" s="77"/>
      <c r="B797" s="42"/>
      <c r="C797" s="12"/>
      <c r="F797" s="88"/>
    </row>
    <row r="798" spans="1:9" ht="12" customHeight="1" x14ac:dyDescent="0.2">
      <c r="A798" s="970"/>
      <c r="B798" s="971"/>
      <c r="C798" s="971"/>
      <c r="D798" s="971"/>
      <c r="E798" s="971"/>
      <c r="F798" s="972"/>
    </row>
    <row r="799" spans="1:9" x14ac:dyDescent="0.2">
      <c r="A799" s="77"/>
      <c r="B799" s="42"/>
      <c r="C799" s="12"/>
      <c r="D799" s="26"/>
      <c r="E799" s="13"/>
      <c r="F799" s="88"/>
    </row>
    <row r="800" spans="1:9" ht="16.5" thickBot="1" x14ac:dyDescent="0.3">
      <c r="A800" s="967"/>
      <c r="B800" s="968"/>
      <c r="C800" s="968"/>
      <c r="D800" s="968"/>
      <c r="E800" s="968"/>
      <c r="F800" s="969"/>
    </row>
    <row r="801" spans="1:8" x14ac:dyDescent="0.2">
      <c r="A801" s="31"/>
      <c r="B801" s="36"/>
      <c r="C801" s="27"/>
      <c r="D801" s="26"/>
      <c r="E801" s="13"/>
    </row>
    <row r="802" spans="1:8" x14ac:dyDescent="0.2">
      <c r="A802" s="30"/>
      <c r="B802" s="35"/>
    </row>
    <row r="803" spans="1:8" ht="20.25" hidden="1" x14ac:dyDescent="0.3">
      <c r="A803" s="30"/>
      <c r="B803" s="35"/>
      <c r="C803" s="99" t="s">
        <v>79</v>
      </c>
      <c r="D803" s="100" t="e">
        <f>+D546</f>
        <v>#REF!</v>
      </c>
      <c r="E803" s="101" t="s">
        <v>80</v>
      </c>
    </row>
    <row r="804" spans="1:8" ht="20.25" hidden="1" x14ac:dyDescent="0.3">
      <c r="A804" s="30"/>
      <c r="B804" s="35"/>
      <c r="C804" s="102" t="s">
        <v>81</v>
      </c>
      <c r="D804" s="103" t="e">
        <f>+D669</f>
        <v>#REF!</v>
      </c>
      <c r="E804" s="104" t="s">
        <v>80</v>
      </c>
    </row>
    <row r="805" spans="1:8" ht="20.25" hidden="1" x14ac:dyDescent="0.3">
      <c r="A805" s="30"/>
      <c r="B805" s="35"/>
      <c r="C805" s="102" t="s">
        <v>82</v>
      </c>
      <c r="D805" s="103">
        <v>0</v>
      </c>
      <c r="E805" s="104" t="s">
        <v>80</v>
      </c>
    </row>
    <row r="806" spans="1:8" ht="20.25" hidden="1" x14ac:dyDescent="0.3">
      <c r="A806" s="30"/>
      <c r="B806" s="35"/>
      <c r="C806" s="102" t="s">
        <v>83</v>
      </c>
      <c r="D806" s="105"/>
      <c r="E806" s="104" t="s">
        <v>80</v>
      </c>
      <c r="H806" s="14"/>
    </row>
    <row r="807" spans="1:8" ht="20.25" hidden="1" x14ac:dyDescent="0.3">
      <c r="A807" s="30"/>
      <c r="B807" s="35"/>
      <c r="C807" s="102" t="s">
        <v>84</v>
      </c>
      <c r="D807" s="103">
        <v>0</v>
      </c>
      <c r="E807" s="104" t="s">
        <v>85</v>
      </c>
    </row>
    <row r="808" spans="1:8" ht="20.25" hidden="1" x14ac:dyDescent="0.3">
      <c r="A808" s="30"/>
      <c r="B808" s="35"/>
      <c r="C808" s="102" t="s">
        <v>701</v>
      </c>
      <c r="D808" s="103">
        <v>0</v>
      </c>
      <c r="E808" s="104" t="s">
        <v>85</v>
      </c>
    </row>
    <row r="809" spans="1:8" ht="20.25" hidden="1" x14ac:dyDescent="0.3">
      <c r="A809" s="30"/>
      <c r="B809" s="35"/>
      <c r="C809" s="102" t="s">
        <v>171</v>
      </c>
      <c r="D809" s="103">
        <v>0</v>
      </c>
      <c r="E809" s="104" t="s">
        <v>86</v>
      </c>
    </row>
    <row r="810" spans="1:8" ht="20.25" hidden="1" x14ac:dyDescent="0.3">
      <c r="A810" s="30"/>
      <c r="B810" s="35"/>
      <c r="C810" s="102" t="s">
        <v>87</v>
      </c>
      <c r="D810" s="103" t="e">
        <f>SUM(D803:D809)</f>
        <v>#REF!</v>
      </c>
      <c r="E810" s="104"/>
    </row>
    <row r="811" spans="1:8" ht="20.25" hidden="1" x14ac:dyDescent="0.3">
      <c r="A811" s="30"/>
      <c r="B811" s="35"/>
      <c r="C811" s="102" t="s">
        <v>88</v>
      </c>
      <c r="D811" s="103" t="e">
        <f>+#REF!/1000</f>
        <v>#REF!</v>
      </c>
      <c r="E811" s="104"/>
    </row>
    <row r="812" spans="1:8" ht="13.5" hidden="1" thickBot="1" x14ac:dyDescent="0.25">
      <c r="A812" s="30"/>
      <c r="B812" s="35"/>
      <c r="C812" s="106" t="s">
        <v>753</v>
      </c>
      <c r="D812" s="107" t="e">
        <f>D810-D811</f>
        <v>#REF!</v>
      </c>
      <c r="E812" s="108"/>
    </row>
    <row r="813" spans="1:8" hidden="1" x14ac:dyDescent="0.2">
      <c r="A813" s="30"/>
      <c r="B813" s="35"/>
    </row>
    <row r="814" spans="1:8" ht="13.5" hidden="1" thickBot="1" x14ac:dyDescent="0.25">
      <c r="A814" s="30"/>
      <c r="B814" s="35"/>
    </row>
    <row r="815" spans="1:8" ht="20.25" hidden="1" x14ac:dyDescent="0.3">
      <c r="A815" s="30"/>
      <c r="B815" s="35"/>
      <c r="C815" s="109" t="s">
        <v>89</v>
      </c>
      <c r="D815" s="100" t="e">
        <f>+D783</f>
        <v>#REF!</v>
      </c>
      <c r="E815" s="101" t="s">
        <v>80</v>
      </c>
    </row>
    <row r="816" spans="1:8" ht="20.25" hidden="1" x14ac:dyDescent="0.3">
      <c r="A816" s="30"/>
      <c r="B816" s="35"/>
      <c r="C816" s="110" t="s">
        <v>90</v>
      </c>
      <c r="D816" s="103" t="e">
        <f>+#REF!/1000</f>
        <v>#REF!</v>
      </c>
      <c r="E816" s="104" t="s">
        <v>80</v>
      </c>
    </row>
    <row r="817" spans="1:5" ht="20.25" hidden="1" x14ac:dyDescent="0.3">
      <c r="A817" s="30"/>
      <c r="B817" s="35"/>
      <c r="C817" s="110" t="s">
        <v>477</v>
      </c>
      <c r="D817" s="105"/>
      <c r="E817" s="104"/>
    </row>
    <row r="818" spans="1:5" ht="20.25" hidden="1" x14ac:dyDescent="0.3">
      <c r="A818" s="30"/>
      <c r="B818" s="35"/>
      <c r="C818" s="110" t="s">
        <v>478</v>
      </c>
      <c r="D818" s="103" t="e">
        <f>SUM(D815:D817)</f>
        <v>#REF!</v>
      </c>
      <c r="E818" s="104"/>
    </row>
    <row r="819" spans="1:5" ht="20.25" hidden="1" x14ac:dyDescent="0.3">
      <c r="A819" s="30"/>
      <c r="B819" s="35"/>
      <c r="C819" s="102" t="s">
        <v>88</v>
      </c>
      <c r="D819" s="103" t="e">
        <f>+#REF!/1000</f>
        <v>#REF!</v>
      </c>
      <c r="E819" s="104"/>
    </row>
    <row r="820" spans="1:5" ht="21" hidden="1" thickBot="1" x14ac:dyDescent="0.35">
      <c r="A820" s="30"/>
      <c r="B820" s="35"/>
      <c r="C820" s="106" t="s">
        <v>753</v>
      </c>
      <c r="D820" s="107" t="e">
        <f>D818-D819</f>
        <v>#REF!</v>
      </c>
      <c r="E820" s="111" t="s">
        <v>86</v>
      </c>
    </row>
    <row r="821" spans="1:5" x14ac:dyDescent="0.2">
      <c r="A821" s="30"/>
      <c r="B821" s="35"/>
    </row>
    <row r="822" spans="1:5" x14ac:dyDescent="0.2">
      <c r="A822" s="30"/>
      <c r="B822" s="35"/>
    </row>
    <row r="823" spans="1:5" x14ac:dyDescent="0.2">
      <c r="A823" s="30"/>
      <c r="B823" s="35"/>
    </row>
    <row r="824" spans="1:5" x14ac:dyDescent="0.2">
      <c r="A824" s="30"/>
      <c r="B824" s="35"/>
    </row>
    <row r="825" spans="1:5" x14ac:dyDescent="0.2">
      <c r="A825" s="30"/>
      <c r="B825" s="35"/>
    </row>
    <row r="826" spans="1:5" x14ac:dyDescent="0.2">
      <c r="A826" s="30"/>
      <c r="B826" s="35"/>
    </row>
    <row r="827" spans="1:5" x14ac:dyDescent="0.2">
      <c r="A827" s="30"/>
      <c r="B827" s="35"/>
    </row>
    <row r="828" spans="1:5" x14ac:dyDescent="0.2">
      <c r="A828" s="30"/>
      <c r="B828" s="35"/>
    </row>
    <row r="829" spans="1:5" x14ac:dyDescent="0.2">
      <c r="A829" s="30"/>
      <c r="B829" s="35"/>
    </row>
    <row r="830" spans="1:5" x14ac:dyDescent="0.2">
      <c r="A830" s="30"/>
      <c r="B830" s="35"/>
    </row>
    <row r="831" spans="1:5" x14ac:dyDescent="0.2">
      <c r="A831" s="30"/>
      <c r="B831" s="35"/>
    </row>
    <row r="832" spans="1:5" x14ac:dyDescent="0.2">
      <c r="A832" s="30"/>
      <c r="B832" s="35"/>
    </row>
    <row r="833" spans="1:2" x14ac:dyDescent="0.2">
      <c r="A833" s="30"/>
      <c r="B833" s="35"/>
    </row>
    <row r="834" spans="1:2" x14ac:dyDescent="0.2">
      <c r="A834" s="30"/>
      <c r="B834" s="35"/>
    </row>
    <row r="835" spans="1:2" x14ac:dyDescent="0.2">
      <c r="A835" s="30"/>
      <c r="B835" s="35"/>
    </row>
    <row r="836" spans="1:2" x14ac:dyDescent="0.2">
      <c r="A836" s="30"/>
      <c r="B836" s="35"/>
    </row>
    <row r="837" spans="1:2" x14ac:dyDescent="0.2">
      <c r="A837" s="30"/>
      <c r="B837" s="35"/>
    </row>
    <row r="838" spans="1:2" x14ac:dyDescent="0.2">
      <c r="A838" s="30"/>
      <c r="B838" s="35"/>
    </row>
    <row r="839" spans="1:2" x14ac:dyDescent="0.2">
      <c r="A839" s="30"/>
      <c r="B839" s="35"/>
    </row>
    <row r="840" spans="1:2" x14ac:dyDescent="0.2">
      <c r="A840" s="30"/>
      <c r="B840" s="35"/>
    </row>
    <row r="841" spans="1:2" x14ac:dyDescent="0.2">
      <c r="A841" s="30"/>
      <c r="B841" s="35"/>
    </row>
    <row r="842" spans="1:2" x14ac:dyDescent="0.2">
      <c r="A842" s="30"/>
      <c r="B842" s="35"/>
    </row>
    <row r="843" spans="1:2" x14ac:dyDescent="0.2">
      <c r="A843" s="30"/>
      <c r="B843" s="35"/>
    </row>
    <row r="844" spans="1:2" x14ac:dyDescent="0.2">
      <c r="A844" s="30"/>
      <c r="B844" s="35"/>
    </row>
    <row r="845" spans="1:2" x14ac:dyDescent="0.2">
      <c r="A845" s="30"/>
      <c r="B845" s="35"/>
    </row>
    <row r="846" spans="1:2" x14ac:dyDescent="0.2">
      <c r="A846" s="30"/>
      <c r="B846" s="35"/>
    </row>
    <row r="847" spans="1:2" x14ac:dyDescent="0.2">
      <c r="A847" s="30"/>
      <c r="B847" s="35"/>
    </row>
    <row r="848" spans="1:2" x14ac:dyDescent="0.2">
      <c r="A848" s="30"/>
      <c r="B848" s="35"/>
    </row>
    <row r="849" spans="1:2" x14ac:dyDescent="0.2">
      <c r="A849" s="30"/>
      <c r="B849" s="35"/>
    </row>
    <row r="850" spans="1:2" x14ac:dyDescent="0.2">
      <c r="A850" s="30"/>
      <c r="B850" s="35"/>
    </row>
    <row r="851" spans="1:2" x14ac:dyDescent="0.2">
      <c r="A851" s="30"/>
      <c r="B851" s="35"/>
    </row>
    <row r="852" spans="1:2" x14ac:dyDescent="0.2">
      <c r="A852" s="30"/>
      <c r="B852" s="35"/>
    </row>
    <row r="853" spans="1:2" x14ac:dyDescent="0.2">
      <c r="A853" s="30"/>
      <c r="B853" s="35"/>
    </row>
    <row r="854" spans="1:2" x14ac:dyDescent="0.2">
      <c r="A854" s="30"/>
      <c r="B854" s="35"/>
    </row>
    <row r="855" spans="1:2" x14ac:dyDescent="0.2">
      <c r="A855" s="30"/>
      <c r="B855" s="35"/>
    </row>
    <row r="856" spans="1:2" x14ac:dyDescent="0.2">
      <c r="A856" s="30"/>
      <c r="B856" s="35"/>
    </row>
    <row r="857" spans="1:2" x14ac:dyDescent="0.2">
      <c r="A857" s="30"/>
      <c r="B857" s="35"/>
    </row>
    <row r="858" spans="1:2" x14ac:dyDescent="0.2">
      <c r="A858" s="30"/>
      <c r="B858" s="35"/>
    </row>
    <row r="859" spans="1:2" x14ac:dyDescent="0.2">
      <c r="A859" s="30"/>
      <c r="B859" s="35"/>
    </row>
    <row r="860" spans="1:2" x14ac:dyDescent="0.2">
      <c r="A860" s="30"/>
      <c r="B860" s="35"/>
    </row>
    <row r="861" spans="1:2" x14ac:dyDescent="0.2">
      <c r="A861" s="30"/>
      <c r="B861" s="35"/>
    </row>
    <row r="862" spans="1:2" x14ac:dyDescent="0.2">
      <c r="A862" s="30"/>
      <c r="B862" s="35"/>
    </row>
    <row r="863" spans="1:2" x14ac:dyDescent="0.2">
      <c r="A863" s="30"/>
      <c r="B863" s="35"/>
    </row>
    <row r="864" spans="1:2" x14ac:dyDescent="0.2">
      <c r="A864" s="30"/>
      <c r="B864" s="35"/>
    </row>
    <row r="865" spans="1:7" x14ac:dyDescent="0.2">
      <c r="A865" s="30"/>
      <c r="B865" s="35"/>
    </row>
    <row r="866" spans="1:7" x14ac:dyDescent="0.2">
      <c r="A866" s="30"/>
      <c r="B866" s="35"/>
    </row>
    <row r="867" spans="1:7" x14ac:dyDescent="0.2">
      <c r="A867" s="30"/>
      <c r="B867" s="35"/>
    </row>
    <row r="868" spans="1:7" x14ac:dyDescent="0.2">
      <c r="A868" s="30"/>
      <c r="B868" s="35"/>
    </row>
    <row r="869" spans="1:7" x14ac:dyDescent="0.2">
      <c r="A869" s="30"/>
      <c r="B869" s="35"/>
    </row>
    <row r="870" spans="1:7" x14ac:dyDescent="0.2">
      <c r="A870" s="30"/>
      <c r="B870" s="35"/>
    </row>
    <row r="871" spans="1:7" x14ac:dyDescent="0.2">
      <c r="A871" s="30"/>
      <c r="B871" s="35"/>
    </row>
    <row r="872" spans="1:7" hidden="1" x14ac:dyDescent="0.2">
      <c r="A872" s="30"/>
      <c r="B872" s="35"/>
      <c r="G872" s="6" t="s">
        <v>295</v>
      </c>
    </row>
    <row r="873" spans="1:7" hidden="1" x14ac:dyDescent="0.2">
      <c r="A873" s="30"/>
      <c r="B873" s="35"/>
    </row>
    <row r="874" spans="1:7" hidden="1" x14ac:dyDescent="0.2">
      <c r="A874" s="30"/>
      <c r="B874" s="35"/>
    </row>
    <row r="875" spans="1:7" hidden="1" x14ac:dyDescent="0.2">
      <c r="A875" s="30"/>
      <c r="B875" s="35"/>
    </row>
    <row r="877" spans="1:7" hidden="1" x14ac:dyDescent="0.2"/>
    <row r="878" spans="1:7" hidden="1" x14ac:dyDescent="0.2"/>
    <row r="879" spans="1:7" hidden="1" x14ac:dyDescent="0.2"/>
    <row r="880" spans="1:7" ht="15" hidden="1" customHeight="1" x14ac:dyDescent="0.2"/>
    <row r="881" hidden="1" x14ac:dyDescent="0.2"/>
    <row r="882" hidden="1" x14ac:dyDescent="0.2"/>
    <row r="883" hidden="1" x14ac:dyDescent="0.2"/>
    <row r="884" ht="12.75" hidden="1" customHeight="1" x14ac:dyDescent="0.2"/>
    <row r="885" ht="12.75" hidden="1" customHeight="1" x14ac:dyDescent="0.2"/>
    <row r="886" ht="0.75" hidden="1" customHeight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</sheetData>
  <mergeCells count="2">
    <mergeCell ref="A800:F800"/>
    <mergeCell ref="A798:F798"/>
  </mergeCells>
  <phoneticPr fontId="136" type="noConversion"/>
  <printOptions horizontalCentered="1"/>
  <pageMargins left="0.75" right="0.75" top="1" bottom="0.9" header="0" footer="0"/>
  <pageSetup scale="5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2:K25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19" customWidth="1"/>
    <col min="2" max="2" width="5.7109375" customWidth="1"/>
    <col min="3" max="3" width="13.140625" customWidth="1"/>
    <col min="4" max="4" width="45.85546875" customWidth="1"/>
    <col min="5" max="5" width="13.28515625" style="309" customWidth="1"/>
    <col min="7" max="7" width="13.5703125" style="309" customWidth="1"/>
    <col min="8" max="8" width="7.5703125" customWidth="1"/>
    <col min="9" max="9" width="42.7109375" customWidth="1"/>
  </cols>
  <sheetData>
    <row r="2" spans="1:11" x14ac:dyDescent="0.2">
      <c r="A2" s="253" t="s">
        <v>619</v>
      </c>
    </row>
    <row r="3" spans="1:11" x14ac:dyDescent="0.2">
      <c r="A3" s="253" t="s">
        <v>1287</v>
      </c>
    </row>
    <row r="4" spans="1:11" x14ac:dyDescent="0.2">
      <c r="A4" s="253"/>
    </row>
    <row r="5" spans="1:11" s="199" customFormat="1" ht="10.5" x14ac:dyDescent="0.15">
      <c r="A5" s="197" t="s">
        <v>385</v>
      </c>
      <c r="B5" s="197" t="s">
        <v>386</v>
      </c>
      <c r="C5" s="197" t="s">
        <v>676</v>
      </c>
      <c r="D5" s="203" t="s">
        <v>120</v>
      </c>
      <c r="E5" s="310" t="s">
        <v>677</v>
      </c>
      <c r="F5" s="197" t="s">
        <v>679</v>
      </c>
      <c r="G5" s="310" t="s">
        <v>680</v>
      </c>
      <c r="H5" s="198" t="s">
        <v>681</v>
      </c>
      <c r="I5" s="197" t="s">
        <v>682</v>
      </c>
    </row>
    <row r="6" spans="1:11" s="202" customFormat="1" ht="10.5" customHeight="1" x14ac:dyDescent="0.2">
      <c r="A6" s="200" t="s">
        <v>181</v>
      </c>
      <c r="B6" s="200" t="s">
        <v>685</v>
      </c>
      <c r="C6" s="314">
        <v>11100000400</v>
      </c>
      <c r="D6" s="2" t="e">
        <f>VLOOKUP(C6,#REF!,2,FALSE)</f>
        <v>#REF!</v>
      </c>
      <c r="E6" s="315" t="e">
        <f>-VLOOKUP(C6,#REF!,3,FALSE)</f>
        <v>#REF!</v>
      </c>
      <c r="F6" s="200">
        <v>1</v>
      </c>
      <c r="G6" s="313" t="e">
        <f t="shared" ref="G6:G11" si="0">+E6</f>
        <v>#REF!</v>
      </c>
      <c r="H6" s="202">
        <v>0</v>
      </c>
      <c r="I6" s="272" t="s">
        <v>835</v>
      </c>
    </row>
    <row r="7" spans="1:11" s="202" customFormat="1" ht="11.25" x14ac:dyDescent="0.2">
      <c r="A7" s="200" t="s">
        <v>181</v>
      </c>
      <c r="B7" s="200" t="s">
        <v>685</v>
      </c>
      <c r="C7" s="301">
        <v>11100000401</v>
      </c>
      <c r="D7" s="2" t="e">
        <f>VLOOKUP(C7,#REF!,2,FALSE)</f>
        <v>#REF!</v>
      </c>
      <c r="E7" s="315" t="e">
        <f>-VLOOKUP(C7,#REF!,3,FALSE)</f>
        <v>#REF!</v>
      </c>
      <c r="F7" s="200">
        <v>1</v>
      </c>
      <c r="G7" s="313" t="e">
        <f t="shared" si="0"/>
        <v>#REF!</v>
      </c>
      <c r="H7" s="202">
        <v>0</v>
      </c>
      <c r="I7" s="272" t="s">
        <v>835</v>
      </c>
    </row>
    <row r="8" spans="1:11" s="202" customFormat="1" ht="11.25" x14ac:dyDescent="0.2">
      <c r="A8" s="200" t="s">
        <v>181</v>
      </c>
      <c r="B8" s="200" t="s">
        <v>685</v>
      </c>
      <c r="C8" s="301">
        <v>11100000402</v>
      </c>
      <c r="D8" s="2" t="e">
        <f>VLOOKUP(C8,#REF!,2,FALSE)</f>
        <v>#REF!</v>
      </c>
      <c r="E8" s="315" t="e">
        <f>-VLOOKUP(C8,#REF!,3,FALSE)</f>
        <v>#REF!</v>
      </c>
      <c r="F8" s="200">
        <v>1</v>
      </c>
      <c r="G8" s="313" t="e">
        <f t="shared" si="0"/>
        <v>#REF!</v>
      </c>
      <c r="H8" s="202">
        <v>0</v>
      </c>
      <c r="I8" s="272" t="s">
        <v>835</v>
      </c>
    </row>
    <row r="9" spans="1:11" s="202" customFormat="1" ht="11.25" x14ac:dyDescent="0.2">
      <c r="A9" s="200" t="s">
        <v>181</v>
      </c>
      <c r="B9" s="200" t="s">
        <v>685</v>
      </c>
      <c r="C9" s="301">
        <v>11100000403</v>
      </c>
      <c r="D9" s="2" t="e">
        <f>VLOOKUP(C9,#REF!,2,FALSE)</f>
        <v>#REF!</v>
      </c>
      <c r="E9" s="315" t="e">
        <f>-VLOOKUP(C9,#REF!,3,FALSE)</f>
        <v>#REF!</v>
      </c>
      <c r="F9" s="200">
        <v>1</v>
      </c>
      <c r="G9" s="313" t="e">
        <f t="shared" si="0"/>
        <v>#REF!</v>
      </c>
      <c r="H9" s="202">
        <v>0</v>
      </c>
      <c r="I9" s="272" t="s">
        <v>835</v>
      </c>
    </row>
    <row r="10" spans="1:11" s="202" customFormat="1" ht="11.25" x14ac:dyDescent="0.2">
      <c r="A10" s="200" t="s">
        <v>181</v>
      </c>
      <c r="B10" s="200" t="s">
        <v>685</v>
      </c>
      <c r="C10" s="301">
        <v>11100100401</v>
      </c>
      <c r="D10" s="2" t="e">
        <f>VLOOKUP(C10,#REF!,2,FALSE)</f>
        <v>#REF!</v>
      </c>
      <c r="E10" s="315" t="e">
        <f>-VLOOKUP(C10,#REF!,3,FALSE)</f>
        <v>#REF!</v>
      </c>
      <c r="F10" s="200">
        <v>1</v>
      </c>
      <c r="G10" s="313" t="e">
        <f t="shared" si="0"/>
        <v>#REF!</v>
      </c>
      <c r="H10" s="202">
        <v>0</v>
      </c>
      <c r="I10" s="272" t="s">
        <v>835</v>
      </c>
      <c r="K10" s="311"/>
    </row>
    <row r="11" spans="1:11" s="202" customFormat="1" ht="11.25" x14ac:dyDescent="0.2">
      <c r="A11" s="200" t="s">
        <v>181</v>
      </c>
      <c r="B11" s="200" t="s">
        <v>685</v>
      </c>
      <c r="C11" s="301">
        <v>11100100402</v>
      </c>
      <c r="D11" s="2" t="e">
        <f>VLOOKUP(C11,#REF!,2,FALSE)</f>
        <v>#REF!</v>
      </c>
      <c r="E11" s="315" t="e">
        <f>-VLOOKUP(C11,#REF!,3,FALSE)</f>
        <v>#REF!</v>
      </c>
      <c r="F11" s="200">
        <v>1</v>
      </c>
      <c r="G11" s="313" t="e">
        <f t="shared" si="0"/>
        <v>#REF!</v>
      </c>
      <c r="H11" s="202">
        <v>0</v>
      </c>
      <c r="I11" s="272" t="s">
        <v>835</v>
      </c>
    </row>
    <row r="12" spans="1:11" s="202" customFormat="1" ht="10.5" customHeight="1" x14ac:dyDescent="0.2">
      <c r="A12" s="200" t="s">
        <v>181</v>
      </c>
      <c r="B12" s="200" t="s">
        <v>685</v>
      </c>
      <c r="C12" s="301">
        <v>11520200001</v>
      </c>
      <c r="D12" s="2" t="e">
        <f>VLOOKUP(C12,#REF!,2,FALSE)</f>
        <v>#REF!</v>
      </c>
      <c r="E12" s="315" t="e">
        <f>-VLOOKUP(C12,#REF!,3,FALSE)</f>
        <v>#REF!</v>
      </c>
      <c r="F12" s="200">
        <v>1</v>
      </c>
      <c r="G12" s="313" t="e">
        <f>+E12</f>
        <v>#REF!</v>
      </c>
      <c r="H12" s="202">
        <v>0</v>
      </c>
      <c r="I12" s="202" t="s">
        <v>561</v>
      </c>
    </row>
    <row r="13" spans="1:11" s="202" customFormat="1" ht="10.5" customHeight="1" x14ac:dyDescent="0.2">
      <c r="A13" s="200" t="s">
        <v>181</v>
      </c>
      <c r="B13" s="200" t="s">
        <v>685</v>
      </c>
      <c r="C13" s="301">
        <v>11520200004</v>
      </c>
      <c r="D13" s="2" t="e">
        <f>VLOOKUP(C13,#REF!,2,FALSE)</f>
        <v>#REF!</v>
      </c>
      <c r="E13" s="315" t="e">
        <f>-VLOOKUP(C13,#REF!,3,FALSE)</f>
        <v>#REF!</v>
      </c>
      <c r="F13" s="200">
        <v>1</v>
      </c>
      <c r="G13" s="313" t="e">
        <f>+E13</f>
        <v>#REF!</v>
      </c>
      <c r="H13" s="202">
        <v>0</v>
      </c>
      <c r="I13" s="202" t="s">
        <v>412</v>
      </c>
    </row>
    <row r="14" spans="1:11" s="202" customFormat="1" ht="10.5" customHeight="1" x14ac:dyDescent="0.2">
      <c r="A14" s="200" t="s">
        <v>181</v>
      </c>
      <c r="B14" s="200" t="s">
        <v>685</v>
      </c>
      <c r="C14" s="301">
        <v>11520200101</v>
      </c>
      <c r="D14" s="2" t="e">
        <f>VLOOKUP(C14,#REF!,2,FALSE)</f>
        <v>#REF!</v>
      </c>
      <c r="E14" s="315" t="e">
        <f>-VLOOKUP(C14,#REF!,3,FALSE)</f>
        <v>#REF!</v>
      </c>
      <c r="F14" s="200">
        <v>1</v>
      </c>
      <c r="G14" s="313" t="e">
        <f>+E14</f>
        <v>#REF!</v>
      </c>
      <c r="H14" s="202">
        <v>0</v>
      </c>
      <c r="I14" s="272" t="s">
        <v>835</v>
      </c>
    </row>
    <row r="15" spans="1:11" s="202" customFormat="1" ht="10.5" customHeight="1" x14ac:dyDescent="0.2">
      <c r="A15" s="200" t="s">
        <v>181</v>
      </c>
      <c r="B15" s="200" t="s">
        <v>685</v>
      </c>
      <c r="C15" s="301">
        <v>11520200201</v>
      </c>
      <c r="D15" s="2" t="e">
        <f>VLOOKUP(C15,#REF!,2,FALSE)</f>
        <v>#REF!</v>
      </c>
      <c r="E15" s="315" t="e">
        <f>-VLOOKUP(C15,#REF!,3,FALSE)</f>
        <v>#REF!</v>
      </c>
      <c r="F15" s="200">
        <v>1</v>
      </c>
      <c r="G15" s="313" t="e">
        <f>+E15</f>
        <v>#REF!</v>
      </c>
      <c r="H15" s="202">
        <v>0</v>
      </c>
      <c r="I15" s="272" t="s">
        <v>835</v>
      </c>
    </row>
    <row r="16" spans="1:11" s="202" customFormat="1" ht="11.25" x14ac:dyDescent="0.2">
      <c r="A16" s="200" t="s">
        <v>181</v>
      </c>
      <c r="B16" s="200" t="s">
        <v>685</v>
      </c>
      <c r="C16" s="301">
        <v>11520200301</v>
      </c>
      <c r="D16" s="2" t="e">
        <f>VLOOKUP(C16,#REF!,2,FALSE)</f>
        <v>#REF!</v>
      </c>
      <c r="E16" s="315" t="e">
        <f>-VLOOKUP(C16,#REF!,3,FALSE)</f>
        <v>#REF!</v>
      </c>
      <c r="F16" s="200">
        <v>1</v>
      </c>
      <c r="G16" s="313" t="e">
        <f>+E16</f>
        <v>#REF!</v>
      </c>
      <c r="H16" s="202">
        <v>0</v>
      </c>
      <c r="I16" s="272" t="s">
        <v>853</v>
      </c>
    </row>
    <row r="17" spans="1:7" s="202" customFormat="1" ht="11.25" x14ac:dyDescent="0.2">
      <c r="A17" s="200"/>
      <c r="B17" s="200"/>
      <c r="C17" s="301"/>
      <c r="D17" s="2"/>
      <c r="E17" s="315"/>
      <c r="F17" s="200"/>
      <c r="G17" s="313"/>
    </row>
    <row r="18" spans="1:7" s="202" customFormat="1" ht="11.25" x14ac:dyDescent="0.2">
      <c r="A18" s="200"/>
      <c r="B18" s="200"/>
      <c r="C18" s="263"/>
      <c r="D18" s="316"/>
      <c r="E18" s="315"/>
      <c r="F18" s="200"/>
      <c r="G18" s="313"/>
    </row>
    <row r="19" spans="1:7" s="202" customFormat="1" ht="10.5" x14ac:dyDescent="0.15">
      <c r="E19" s="311"/>
      <c r="G19" s="311"/>
    </row>
    <row r="20" spans="1:7" s="199" customFormat="1" ht="10.5" x14ac:dyDescent="0.15">
      <c r="E20" s="312"/>
      <c r="G20" s="312"/>
    </row>
    <row r="25" spans="1:7" x14ac:dyDescent="0.2">
      <c r="E25" s="477"/>
    </row>
  </sheetData>
  <autoFilter ref="A5:I5"/>
  <phoneticPr fontId="136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0000"/>
  </sheetPr>
  <dimension ref="A2:IM81"/>
  <sheetViews>
    <sheetView zoomScaleNormal="100" workbookViewId="0">
      <selection activeCell="A5" sqref="A5"/>
    </sheetView>
  </sheetViews>
  <sheetFormatPr baseColWidth="10" defaultColWidth="11.42578125" defaultRowHeight="11.25" x14ac:dyDescent="0.2"/>
  <cols>
    <col min="1" max="1" width="19.5703125" style="274" customWidth="1"/>
    <col min="2" max="2" width="5.140625" style="274" bestFit="1" customWidth="1"/>
    <col min="3" max="3" width="16.140625" style="282" customWidth="1"/>
    <col min="4" max="4" width="32.5703125" style="1" customWidth="1"/>
    <col min="5" max="5" width="16.5703125" style="274" customWidth="1"/>
    <col min="6" max="6" width="9.85546875" style="274" hidden="1" customWidth="1"/>
    <col min="7" max="7" width="9.5703125" style="274" hidden="1" customWidth="1"/>
    <col min="8" max="9" width="0" style="274" hidden="1" customWidth="1"/>
    <col min="10" max="10" width="33.140625" style="274" bestFit="1" customWidth="1"/>
    <col min="11" max="11" width="0" style="2" hidden="1" customWidth="1"/>
    <col min="12" max="12" width="5.140625" style="2" hidden="1" customWidth="1"/>
    <col min="13" max="13" width="8" style="2" hidden="1" customWidth="1"/>
    <col min="14" max="14" width="50.85546875" style="2" customWidth="1"/>
    <col min="15" max="17" width="2.140625" style="2" customWidth="1"/>
    <col min="18" max="18" width="1.7109375" style="2" customWidth="1"/>
    <col min="19" max="19" width="13.140625" style="2" customWidth="1"/>
    <col min="20" max="20" width="12" style="2" bestFit="1" customWidth="1"/>
    <col min="21" max="21" width="44.7109375" style="2" bestFit="1" customWidth="1"/>
    <col min="22" max="248" width="11.42578125" style="2"/>
    <col min="249" max="249" width="17.7109375" style="2" bestFit="1" customWidth="1"/>
    <col min="250" max="250" width="4.5703125" style="2" customWidth="1"/>
    <col min="251" max="251" width="12.42578125" style="2" customWidth="1"/>
    <col min="252" max="252" width="32.5703125" style="2" customWidth="1"/>
    <col min="253" max="253" width="10.140625" style="2" customWidth="1"/>
    <col min="254" max="254" width="9.85546875" style="2" customWidth="1"/>
    <col min="255" max="255" width="9.5703125" style="2" customWidth="1"/>
    <col min="256" max="257" width="11.42578125" style="2"/>
    <col min="258" max="258" width="28" style="2" bestFit="1" customWidth="1"/>
    <col min="259" max="259" width="11.42578125" style="2"/>
    <col min="260" max="260" width="5.140625" style="2" customWidth="1"/>
    <col min="261" max="261" width="8" style="2" customWidth="1"/>
    <col min="262" max="504" width="11.42578125" style="2"/>
    <col min="505" max="505" width="17.7109375" style="2" bestFit="1" customWidth="1"/>
    <col min="506" max="506" width="4.5703125" style="2" customWidth="1"/>
    <col min="507" max="507" width="12.42578125" style="2" customWidth="1"/>
    <col min="508" max="508" width="32.5703125" style="2" customWidth="1"/>
    <col min="509" max="509" width="10.140625" style="2" customWidth="1"/>
    <col min="510" max="510" width="9.85546875" style="2" customWidth="1"/>
    <col min="511" max="511" width="9.5703125" style="2" customWidth="1"/>
    <col min="512" max="513" width="11.42578125" style="2"/>
    <col min="514" max="514" width="28" style="2" bestFit="1" customWidth="1"/>
    <col min="515" max="515" width="11.42578125" style="2"/>
    <col min="516" max="516" width="5.140625" style="2" customWidth="1"/>
    <col min="517" max="517" width="8" style="2" customWidth="1"/>
    <col min="518" max="760" width="11.42578125" style="2"/>
    <col min="761" max="761" width="17.7109375" style="2" bestFit="1" customWidth="1"/>
    <col min="762" max="762" width="4.5703125" style="2" customWidth="1"/>
    <col min="763" max="763" width="12.42578125" style="2" customWidth="1"/>
    <col min="764" max="764" width="32.5703125" style="2" customWidth="1"/>
    <col min="765" max="765" width="10.140625" style="2" customWidth="1"/>
    <col min="766" max="766" width="9.85546875" style="2" customWidth="1"/>
    <col min="767" max="767" width="9.5703125" style="2" customWidth="1"/>
    <col min="768" max="769" width="11.42578125" style="2"/>
    <col min="770" max="770" width="28" style="2" bestFit="1" customWidth="1"/>
    <col min="771" max="771" width="11.42578125" style="2"/>
    <col min="772" max="772" width="5.140625" style="2" customWidth="1"/>
    <col min="773" max="773" width="8" style="2" customWidth="1"/>
    <col min="774" max="1016" width="11.42578125" style="2"/>
    <col min="1017" max="1017" width="17.7109375" style="2" bestFit="1" customWidth="1"/>
    <col min="1018" max="1018" width="4.5703125" style="2" customWidth="1"/>
    <col min="1019" max="1019" width="12.42578125" style="2" customWidth="1"/>
    <col min="1020" max="1020" width="32.5703125" style="2" customWidth="1"/>
    <col min="1021" max="1021" width="10.140625" style="2" customWidth="1"/>
    <col min="1022" max="1022" width="9.85546875" style="2" customWidth="1"/>
    <col min="1023" max="1023" width="9.5703125" style="2" customWidth="1"/>
    <col min="1024" max="1025" width="11.42578125" style="2"/>
    <col min="1026" max="1026" width="28" style="2" bestFit="1" customWidth="1"/>
    <col min="1027" max="1027" width="11.42578125" style="2"/>
    <col min="1028" max="1028" width="5.140625" style="2" customWidth="1"/>
    <col min="1029" max="1029" width="8" style="2" customWidth="1"/>
    <col min="1030" max="1272" width="11.42578125" style="2"/>
    <col min="1273" max="1273" width="17.7109375" style="2" bestFit="1" customWidth="1"/>
    <col min="1274" max="1274" width="4.5703125" style="2" customWidth="1"/>
    <col min="1275" max="1275" width="12.42578125" style="2" customWidth="1"/>
    <col min="1276" max="1276" width="32.5703125" style="2" customWidth="1"/>
    <col min="1277" max="1277" width="10.140625" style="2" customWidth="1"/>
    <col min="1278" max="1278" width="9.85546875" style="2" customWidth="1"/>
    <col min="1279" max="1279" width="9.5703125" style="2" customWidth="1"/>
    <col min="1280" max="1281" width="11.42578125" style="2"/>
    <col min="1282" max="1282" width="28" style="2" bestFit="1" customWidth="1"/>
    <col min="1283" max="1283" width="11.42578125" style="2"/>
    <col min="1284" max="1284" width="5.140625" style="2" customWidth="1"/>
    <col min="1285" max="1285" width="8" style="2" customWidth="1"/>
    <col min="1286" max="1528" width="11.42578125" style="2"/>
    <col min="1529" max="1529" width="17.7109375" style="2" bestFit="1" customWidth="1"/>
    <col min="1530" max="1530" width="4.5703125" style="2" customWidth="1"/>
    <col min="1531" max="1531" width="12.42578125" style="2" customWidth="1"/>
    <col min="1532" max="1532" width="32.5703125" style="2" customWidth="1"/>
    <col min="1533" max="1533" width="10.140625" style="2" customWidth="1"/>
    <col min="1534" max="1534" width="9.85546875" style="2" customWidth="1"/>
    <col min="1535" max="1535" width="9.5703125" style="2" customWidth="1"/>
    <col min="1536" max="1537" width="11.42578125" style="2"/>
    <col min="1538" max="1538" width="28" style="2" bestFit="1" customWidth="1"/>
    <col min="1539" max="1539" width="11.42578125" style="2"/>
    <col min="1540" max="1540" width="5.140625" style="2" customWidth="1"/>
    <col min="1541" max="1541" width="8" style="2" customWidth="1"/>
    <col min="1542" max="1784" width="11.42578125" style="2"/>
    <col min="1785" max="1785" width="17.7109375" style="2" bestFit="1" customWidth="1"/>
    <col min="1786" max="1786" width="4.5703125" style="2" customWidth="1"/>
    <col min="1787" max="1787" width="12.42578125" style="2" customWidth="1"/>
    <col min="1788" max="1788" width="32.5703125" style="2" customWidth="1"/>
    <col min="1789" max="1789" width="10.140625" style="2" customWidth="1"/>
    <col min="1790" max="1790" width="9.85546875" style="2" customWidth="1"/>
    <col min="1791" max="1791" width="9.5703125" style="2" customWidth="1"/>
    <col min="1792" max="1793" width="11.42578125" style="2"/>
    <col min="1794" max="1794" width="28" style="2" bestFit="1" customWidth="1"/>
    <col min="1795" max="1795" width="11.42578125" style="2"/>
    <col min="1796" max="1796" width="5.140625" style="2" customWidth="1"/>
    <col min="1797" max="1797" width="8" style="2" customWidth="1"/>
    <col min="1798" max="2040" width="11.42578125" style="2"/>
    <col min="2041" max="2041" width="17.7109375" style="2" bestFit="1" customWidth="1"/>
    <col min="2042" max="2042" width="4.5703125" style="2" customWidth="1"/>
    <col min="2043" max="2043" width="12.42578125" style="2" customWidth="1"/>
    <col min="2044" max="2044" width="32.5703125" style="2" customWidth="1"/>
    <col min="2045" max="2045" width="10.140625" style="2" customWidth="1"/>
    <col min="2046" max="2046" width="9.85546875" style="2" customWidth="1"/>
    <col min="2047" max="2047" width="9.5703125" style="2" customWidth="1"/>
    <col min="2048" max="2049" width="11.42578125" style="2"/>
    <col min="2050" max="2050" width="28" style="2" bestFit="1" customWidth="1"/>
    <col min="2051" max="2051" width="11.42578125" style="2"/>
    <col min="2052" max="2052" width="5.140625" style="2" customWidth="1"/>
    <col min="2053" max="2053" width="8" style="2" customWidth="1"/>
    <col min="2054" max="2296" width="11.42578125" style="2"/>
    <col min="2297" max="2297" width="17.7109375" style="2" bestFit="1" customWidth="1"/>
    <col min="2298" max="2298" width="4.5703125" style="2" customWidth="1"/>
    <col min="2299" max="2299" width="12.42578125" style="2" customWidth="1"/>
    <col min="2300" max="2300" width="32.5703125" style="2" customWidth="1"/>
    <col min="2301" max="2301" width="10.140625" style="2" customWidth="1"/>
    <col min="2302" max="2302" width="9.85546875" style="2" customWidth="1"/>
    <col min="2303" max="2303" width="9.5703125" style="2" customWidth="1"/>
    <col min="2304" max="2305" width="11.42578125" style="2"/>
    <col min="2306" max="2306" width="28" style="2" bestFit="1" customWidth="1"/>
    <col min="2307" max="2307" width="11.42578125" style="2"/>
    <col min="2308" max="2308" width="5.140625" style="2" customWidth="1"/>
    <col min="2309" max="2309" width="8" style="2" customWidth="1"/>
    <col min="2310" max="2552" width="11.42578125" style="2"/>
    <col min="2553" max="2553" width="17.7109375" style="2" bestFit="1" customWidth="1"/>
    <col min="2554" max="2554" width="4.5703125" style="2" customWidth="1"/>
    <col min="2555" max="2555" width="12.42578125" style="2" customWidth="1"/>
    <col min="2556" max="2556" width="32.5703125" style="2" customWidth="1"/>
    <col min="2557" max="2557" width="10.140625" style="2" customWidth="1"/>
    <col min="2558" max="2558" width="9.85546875" style="2" customWidth="1"/>
    <col min="2559" max="2559" width="9.5703125" style="2" customWidth="1"/>
    <col min="2560" max="2561" width="11.42578125" style="2"/>
    <col min="2562" max="2562" width="28" style="2" bestFit="1" customWidth="1"/>
    <col min="2563" max="2563" width="11.42578125" style="2"/>
    <col min="2564" max="2564" width="5.140625" style="2" customWidth="1"/>
    <col min="2565" max="2565" width="8" style="2" customWidth="1"/>
    <col min="2566" max="2808" width="11.42578125" style="2"/>
    <col min="2809" max="2809" width="17.7109375" style="2" bestFit="1" customWidth="1"/>
    <col min="2810" max="2810" width="4.5703125" style="2" customWidth="1"/>
    <col min="2811" max="2811" width="12.42578125" style="2" customWidth="1"/>
    <col min="2812" max="2812" width="32.5703125" style="2" customWidth="1"/>
    <col min="2813" max="2813" width="10.140625" style="2" customWidth="1"/>
    <col min="2814" max="2814" width="9.85546875" style="2" customWidth="1"/>
    <col min="2815" max="2815" width="9.5703125" style="2" customWidth="1"/>
    <col min="2816" max="2817" width="11.42578125" style="2"/>
    <col min="2818" max="2818" width="28" style="2" bestFit="1" customWidth="1"/>
    <col min="2819" max="2819" width="11.42578125" style="2"/>
    <col min="2820" max="2820" width="5.140625" style="2" customWidth="1"/>
    <col min="2821" max="2821" width="8" style="2" customWidth="1"/>
    <col min="2822" max="3064" width="11.42578125" style="2"/>
    <col min="3065" max="3065" width="17.7109375" style="2" bestFit="1" customWidth="1"/>
    <col min="3066" max="3066" width="4.5703125" style="2" customWidth="1"/>
    <col min="3067" max="3067" width="12.42578125" style="2" customWidth="1"/>
    <col min="3068" max="3068" width="32.5703125" style="2" customWidth="1"/>
    <col min="3069" max="3069" width="10.140625" style="2" customWidth="1"/>
    <col min="3070" max="3070" width="9.85546875" style="2" customWidth="1"/>
    <col min="3071" max="3071" width="9.5703125" style="2" customWidth="1"/>
    <col min="3072" max="3073" width="11.42578125" style="2"/>
    <col min="3074" max="3074" width="28" style="2" bestFit="1" customWidth="1"/>
    <col min="3075" max="3075" width="11.42578125" style="2"/>
    <col min="3076" max="3076" width="5.140625" style="2" customWidth="1"/>
    <col min="3077" max="3077" width="8" style="2" customWidth="1"/>
    <col min="3078" max="3320" width="11.42578125" style="2"/>
    <col min="3321" max="3321" width="17.7109375" style="2" bestFit="1" customWidth="1"/>
    <col min="3322" max="3322" width="4.5703125" style="2" customWidth="1"/>
    <col min="3323" max="3323" width="12.42578125" style="2" customWidth="1"/>
    <col min="3324" max="3324" width="32.5703125" style="2" customWidth="1"/>
    <col min="3325" max="3325" width="10.140625" style="2" customWidth="1"/>
    <col min="3326" max="3326" width="9.85546875" style="2" customWidth="1"/>
    <col min="3327" max="3327" width="9.5703125" style="2" customWidth="1"/>
    <col min="3328" max="3329" width="11.42578125" style="2"/>
    <col min="3330" max="3330" width="28" style="2" bestFit="1" customWidth="1"/>
    <col min="3331" max="3331" width="11.42578125" style="2"/>
    <col min="3332" max="3332" width="5.140625" style="2" customWidth="1"/>
    <col min="3333" max="3333" width="8" style="2" customWidth="1"/>
    <col min="3334" max="3576" width="11.42578125" style="2"/>
    <col min="3577" max="3577" width="17.7109375" style="2" bestFit="1" customWidth="1"/>
    <col min="3578" max="3578" width="4.5703125" style="2" customWidth="1"/>
    <col min="3579" max="3579" width="12.42578125" style="2" customWidth="1"/>
    <col min="3580" max="3580" width="32.5703125" style="2" customWidth="1"/>
    <col min="3581" max="3581" width="10.140625" style="2" customWidth="1"/>
    <col min="3582" max="3582" width="9.85546875" style="2" customWidth="1"/>
    <col min="3583" max="3583" width="9.5703125" style="2" customWidth="1"/>
    <col min="3584" max="3585" width="11.42578125" style="2"/>
    <col min="3586" max="3586" width="28" style="2" bestFit="1" customWidth="1"/>
    <col min="3587" max="3587" width="11.42578125" style="2"/>
    <col min="3588" max="3588" width="5.140625" style="2" customWidth="1"/>
    <col min="3589" max="3589" width="8" style="2" customWidth="1"/>
    <col min="3590" max="3832" width="11.42578125" style="2"/>
    <col min="3833" max="3833" width="17.7109375" style="2" bestFit="1" customWidth="1"/>
    <col min="3834" max="3834" width="4.5703125" style="2" customWidth="1"/>
    <col min="3835" max="3835" width="12.42578125" style="2" customWidth="1"/>
    <col min="3836" max="3836" width="32.5703125" style="2" customWidth="1"/>
    <col min="3837" max="3837" width="10.140625" style="2" customWidth="1"/>
    <col min="3838" max="3838" width="9.85546875" style="2" customWidth="1"/>
    <col min="3839" max="3839" width="9.5703125" style="2" customWidth="1"/>
    <col min="3840" max="3841" width="11.42578125" style="2"/>
    <col min="3842" max="3842" width="28" style="2" bestFit="1" customWidth="1"/>
    <col min="3843" max="3843" width="11.42578125" style="2"/>
    <col min="3844" max="3844" width="5.140625" style="2" customWidth="1"/>
    <col min="3845" max="3845" width="8" style="2" customWidth="1"/>
    <col min="3846" max="4088" width="11.42578125" style="2"/>
    <col min="4089" max="4089" width="17.7109375" style="2" bestFit="1" customWidth="1"/>
    <col min="4090" max="4090" width="4.5703125" style="2" customWidth="1"/>
    <col min="4091" max="4091" width="12.42578125" style="2" customWidth="1"/>
    <col min="4092" max="4092" width="32.5703125" style="2" customWidth="1"/>
    <col min="4093" max="4093" width="10.140625" style="2" customWidth="1"/>
    <col min="4094" max="4094" width="9.85546875" style="2" customWidth="1"/>
    <col min="4095" max="4095" width="9.5703125" style="2" customWidth="1"/>
    <col min="4096" max="4097" width="11.42578125" style="2"/>
    <col min="4098" max="4098" width="28" style="2" bestFit="1" customWidth="1"/>
    <col min="4099" max="4099" width="11.42578125" style="2"/>
    <col min="4100" max="4100" width="5.140625" style="2" customWidth="1"/>
    <col min="4101" max="4101" width="8" style="2" customWidth="1"/>
    <col min="4102" max="4344" width="11.42578125" style="2"/>
    <col min="4345" max="4345" width="17.7109375" style="2" bestFit="1" customWidth="1"/>
    <col min="4346" max="4346" width="4.5703125" style="2" customWidth="1"/>
    <col min="4347" max="4347" width="12.42578125" style="2" customWidth="1"/>
    <col min="4348" max="4348" width="32.5703125" style="2" customWidth="1"/>
    <col min="4349" max="4349" width="10.140625" style="2" customWidth="1"/>
    <col min="4350" max="4350" width="9.85546875" style="2" customWidth="1"/>
    <col min="4351" max="4351" width="9.5703125" style="2" customWidth="1"/>
    <col min="4352" max="4353" width="11.42578125" style="2"/>
    <col min="4354" max="4354" width="28" style="2" bestFit="1" customWidth="1"/>
    <col min="4355" max="4355" width="11.42578125" style="2"/>
    <col min="4356" max="4356" width="5.140625" style="2" customWidth="1"/>
    <col min="4357" max="4357" width="8" style="2" customWidth="1"/>
    <col min="4358" max="4600" width="11.42578125" style="2"/>
    <col min="4601" max="4601" width="17.7109375" style="2" bestFit="1" customWidth="1"/>
    <col min="4602" max="4602" width="4.5703125" style="2" customWidth="1"/>
    <col min="4603" max="4603" width="12.42578125" style="2" customWidth="1"/>
    <col min="4604" max="4604" width="32.5703125" style="2" customWidth="1"/>
    <col min="4605" max="4605" width="10.140625" style="2" customWidth="1"/>
    <col min="4606" max="4606" width="9.85546875" style="2" customWidth="1"/>
    <col min="4607" max="4607" width="9.5703125" style="2" customWidth="1"/>
    <col min="4608" max="4609" width="11.42578125" style="2"/>
    <col min="4610" max="4610" width="28" style="2" bestFit="1" customWidth="1"/>
    <col min="4611" max="4611" width="11.42578125" style="2"/>
    <col min="4612" max="4612" width="5.140625" style="2" customWidth="1"/>
    <col min="4613" max="4613" width="8" style="2" customWidth="1"/>
    <col min="4614" max="4856" width="11.42578125" style="2"/>
    <col min="4857" max="4857" width="17.7109375" style="2" bestFit="1" customWidth="1"/>
    <col min="4858" max="4858" width="4.5703125" style="2" customWidth="1"/>
    <col min="4859" max="4859" width="12.42578125" style="2" customWidth="1"/>
    <col min="4860" max="4860" width="32.5703125" style="2" customWidth="1"/>
    <col min="4861" max="4861" width="10.140625" style="2" customWidth="1"/>
    <col min="4862" max="4862" width="9.85546875" style="2" customWidth="1"/>
    <col min="4863" max="4863" width="9.5703125" style="2" customWidth="1"/>
    <col min="4864" max="4865" width="11.42578125" style="2"/>
    <col min="4866" max="4866" width="28" style="2" bestFit="1" customWidth="1"/>
    <col min="4867" max="4867" width="11.42578125" style="2"/>
    <col min="4868" max="4868" width="5.140625" style="2" customWidth="1"/>
    <col min="4869" max="4869" width="8" style="2" customWidth="1"/>
    <col min="4870" max="5112" width="11.42578125" style="2"/>
    <col min="5113" max="5113" width="17.7109375" style="2" bestFit="1" customWidth="1"/>
    <col min="5114" max="5114" width="4.5703125" style="2" customWidth="1"/>
    <col min="5115" max="5115" width="12.42578125" style="2" customWidth="1"/>
    <col min="5116" max="5116" width="32.5703125" style="2" customWidth="1"/>
    <col min="5117" max="5117" width="10.140625" style="2" customWidth="1"/>
    <col min="5118" max="5118" width="9.85546875" style="2" customWidth="1"/>
    <col min="5119" max="5119" width="9.5703125" style="2" customWidth="1"/>
    <col min="5120" max="5121" width="11.42578125" style="2"/>
    <col min="5122" max="5122" width="28" style="2" bestFit="1" customWidth="1"/>
    <col min="5123" max="5123" width="11.42578125" style="2"/>
    <col min="5124" max="5124" width="5.140625" style="2" customWidth="1"/>
    <col min="5125" max="5125" width="8" style="2" customWidth="1"/>
    <col min="5126" max="5368" width="11.42578125" style="2"/>
    <col min="5369" max="5369" width="17.7109375" style="2" bestFit="1" customWidth="1"/>
    <col min="5370" max="5370" width="4.5703125" style="2" customWidth="1"/>
    <col min="5371" max="5371" width="12.42578125" style="2" customWidth="1"/>
    <col min="5372" max="5372" width="32.5703125" style="2" customWidth="1"/>
    <col min="5373" max="5373" width="10.140625" style="2" customWidth="1"/>
    <col min="5374" max="5374" width="9.85546875" style="2" customWidth="1"/>
    <col min="5375" max="5375" width="9.5703125" style="2" customWidth="1"/>
    <col min="5376" max="5377" width="11.42578125" style="2"/>
    <col min="5378" max="5378" width="28" style="2" bestFit="1" customWidth="1"/>
    <col min="5379" max="5379" width="11.42578125" style="2"/>
    <col min="5380" max="5380" width="5.140625" style="2" customWidth="1"/>
    <col min="5381" max="5381" width="8" style="2" customWidth="1"/>
    <col min="5382" max="5624" width="11.42578125" style="2"/>
    <col min="5625" max="5625" width="17.7109375" style="2" bestFit="1" customWidth="1"/>
    <col min="5626" max="5626" width="4.5703125" style="2" customWidth="1"/>
    <col min="5627" max="5627" width="12.42578125" style="2" customWidth="1"/>
    <col min="5628" max="5628" width="32.5703125" style="2" customWidth="1"/>
    <col min="5629" max="5629" width="10.140625" style="2" customWidth="1"/>
    <col min="5630" max="5630" width="9.85546875" style="2" customWidth="1"/>
    <col min="5631" max="5631" width="9.5703125" style="2" customWidth="1"/>
    <col min="5632" max="5633" width="11.42578125" style="2"/>
    <col min="5634" max="5634" width="28" style="2" bestFit="1" customWidth="1"/>
    <col min="5635" max="5635" width="11.42578125" style="2"/>
    <col min="5636" max="5636" width="5.140625" style="2" customWidth="1"/>
    <col min="5637" max="5637" width="8" style="2" customWidth="1"/>
    <col min="5638" max="5880" width="11.42578125" style="2"/>
    <col min="5881" max="5881" width="17.7109375" style="2" bestFit="1" customWidth="1"/>
    <col min="5882" max="5882" width="4.5703125" style="2" customWidth="1"/>
    <col min="5883" max="5883" width="12.42578125" style="2" customWidth="1"/>
    <col min="5884" max="5884" width="32.5703125" style="2" customWidth="1"/>
    <col min="5885" max="5885" width="10.140625" style="2" customWidth="1"/>
    <col min="5886" max="5886" width="9.85546875" style="2" customWidth="1"/>
    <col min="5887" max="5887" width="9.5703125" style="2" customWidth="1"/>
    <col min="5888" max="5889" width="11.42578125" style="2"/>
    <col min="5890" max="5890" width="28" style="2" bestFit="1" customWidth="1"/>
    <col min="5891" max="5891" width="11.42578125" style="2"/>
    <col min="5892" max="5892" width="5.140625" style="2" customWidth="1"/>
    <col min="5893" max="5893" width="8" style="2" customWidth="1"/>
    <col min="5894" max="6136" width="11.42578125" style="2"/>
    <col min="6137" max="6137" width="17.7109375" style="2" bestFit="1" customWidth="1"/>
    <col min="6138" max="6138" width="4.5703125" style="2" customWidth="1"/>
    <col min="6139" max="6139" width="12.42578125" style="2" customWidth="1"/>
    <col min="6140" max="6140" width="32.5703125" style="2" customWidth="1"/>
    <col min="6141" max="6141" width="10.140625" style="2" customWidth="1"/>
    <col min="6142" max="6142" width="9.85546875" style="2" customWidth="1"/>
    <col min="6143" max="6143" width="9.5703125" style="2" customWidth="1"/>
    <col min="6144" max="6145" width="11.42578125" style="2"/>
    <col min="6146" max="6146" width="28" style="2" bestFit="1" customWidth="1"/>
    <col min="6147" max="6147" width="11.42578125" style="2"/>
    <col min="6148" max="6148" width="5.140625" style="2" customWidth="1"/>
    <col min="6149" max="6149" width="8" style="2" customWidth="1"/>
    <col min="6150" max="6392" width="11.42578125" style="2"/>
    <col min="6393" max="6393" width="17.7109375" style="2" bestFit="1" customWidth="1"/>
    <col min="6394" max="6394" width="4.5703125" style="2" customWidth="1"/>
    <col min="6395" max="6395" width="12.42578125" style="2" customWidth="1"/>
    <col min="6396" max="6396" width="32.5703125" style="2" customWidth="1"/>
    <col min="6397" max="6397" width="10.140625" style="2" customWidth="1"/>
    <col min="6398" max="6398" width="9.85546875" style="2" customWidth="1"/>
    <col min="6399" max="6399" width="9.5703125" style="2" customWidth="1"/>
    <col min="6400" max="6401" width="11.42578125" style="2"/>
    <col min="6402" max="6402" width="28" style="2" bestFit="1" customWidth="1"/>
    <col min="6403" max="6403" width="11.42578125" style="2"/>
    <col min="6404" max="6404" width="5.140625" style="2" customWidth="1"/>
    <col min="6405" max="6405" width="8" style="2" customWidth="1"/>
    <col min="6406" max="6648" width="11.42578125" style="2"/>
    <col min="6649" max="6649" width="17.7109375" style="2" bestFit="1" customWidth="1"/>
    <col min="6650" max="6650" width="4.5703125" style="2" customWidth="1"/>
    <col min="6651" max="6651" width="12.42578125" style="2" customWidth="1"/>
    <col min="6652" max="6652" width="32.5703125" style="2" customWidth="1"/>
    <col min="6653" max="6653" width="10.140625" style="2" customWidth="1"/>
    <col min="6654" max="6654" width="9.85546875" style="2" customWidth="1"/>
    <col min="6655" max="6655" width="9.5703125" style="2" customWidth="1"/>
    <col min="6656" max="6657" width="11.42578125" style="2"/>
    <col min="6658" max="6658" width="28" style="2" bestFit="1" customWidth="1"/>
    <col min="6659" max="6659" width="11.42578125" style="2"/>
    <col min="6660" max="6660" width="5.140625" style="2" customWidth="1"/>
    <col min="6661" max="6661" width="8" style="2" customWidth="1"/>
    <col min="6662" max="6904" width="11.42578125" style="2"/>
    <col min="6905" max="6905" width="17.7109375" style="2" bestFit="1" customWidth="1"/>
    <col min="6906" max="6906" width="4.5703125" style="2" customWidth="1"/>
    <col min="6907" max="6907" width="12.42578125" style="2" customWidth="1"/>
    <col min="6908" max="6908" width="32.5703125" style="2" customWidth="1"/>
    <col min="6909" max="6909" width="10.140625" style="2" customWidth="1"/>
    <col min="6910" max="6910" width="9.85546875" style="2" customWidth="1"/>
    <col min="6911" max="6911" width="9.5703125" style="2" customWidth="1"/>
    <col min="6912" max="6913" width="11.42578125" style="2"/>
    <col min="6914" max="6914" width="28" style="2" bestFit="1" customWidth="1"/>
    <col min="6915" max="6915" width="11.42578125" style="2"/>
    <col min="6916" max="6916" width="5.140625" style="2" customWidth="1"/>
    <col min="6917" max="6917" width="8" style="2" customWidth="1"/>
    <col min="6918" max="7160" width="11.42578125" style="2"/>
    <col min="7161" max="7161" width="17.7109375" style="2" bestFit="1" customWidth="1"/>
    <col min="7162" max="7162" width="4.5703125" style="2" customWidth="1"/>
    <col min="7163" max="7163" width="12.42578125" style="2" customWidth="1"/>
    <col min="7164" max="7164" width="32.5703125" style="2" customWidth="1"/>
    <col min="7165" max="7165" width="10.140625" style="2" customWidth="1"/>
    <col min="7166" max="7166" width="9.85546875" style="2" customWidth="1"/>
    <col min="7167" max="7167" width="9.5703125" style="2" customWidth="1"/>
    <col min="7168" max="7169" width="11.42578125" style="2"/>
    <col min="7170" max="7170" width="28" style="2" bestFit="1" customWidth="1"/>
    <col min="7171" max="7171" width="11.42578125" style="2"/>
    <col min="7172" max="7172" width="5.140625" style="2" customWidth="1"/>
    <col min="7173" max="7173" width="8" style="2" customWidth="1"/>
    <col min="7174" max="7416" width="11.42578125" style="2"/>
    <col min="7417" max="7417" width="17.7109375" style="2" bestFit="1" customWidth="1"/>
    <col min="7418" max="7418" width="4.5703125" style="2" customWidth="1"/>
    <col min="7419" max="7419" width="12.42578125" style="2" customWidth="1"/>
    <col min="7420" max="7420" width="32.5703125" style="2" customWidth="1"/>
    <col min="7421" max="7421" width="10.140625" style="2" customWidth="1"/>
    <col min="7422" max="7422" width="9.85546875" style="2" customWidth="1"/>
    <col min="7423" max="7423" width="9.5703125" style="2" customWidth="1"/>
    <col min="7424" max="7425" width="11.42578125" style="2"/>
    <col min="7426" max="7426" width="28" style="2" bestFit="1" customWidth="1"/>
    <col min="7427" max="7427" width="11.42578125" style="2"/>
    <col min="7428" max="7428" width="5.140625" style="2" customWidth="1"/>
    <col min="7429" max="7429" width="8" style="2" customWidth="1"/>
    <col min="7430" max="7672" width="11.42578125" style="2"/>
    <col min="7673" max="7673" width="17.7109375" style="2" bestFit="1" customWidth="1"/>
    <col min="7674" max="7674" width="4.5703125" style="2" customWidth="1"/>
    <col min="7675" max="7675" width="12.42578125" style="2" customWidth="1"/>
    <col min="7676" max="7676" width="32.5703125" style="2" customWidth="1"/>
    <col min="7677" max="7677" width="10.140625" style="2" customWidth="1"/>
    <col min="7678" max="7678" width="9.85546875" style="2" customWidth="1"/>
    <col min="7679" max="7679" width="9.5703125" style="2" customWidth="1"/>
    <col min="7680" max="7681" width="11.42578125" style="2"/>
    <col min="7682" max="7682" width="28" style="2" bestFit="1" customWidth="1"/>
    <col min="7683" max="7683" width="11.42578125" style="2"/>
    <col min="7684" max="7684" width="5.140625" style="2" customWidth="1"/>
    <col min="7685" max="7685" width="8" style="2" customWidth="1"/>
    <col min="7686" max="7928" width="11.42578125" style="2"/>
    <col min="7929" max="7929" width="17.7109375" style="2" bestFit="1" customWidth="1"/>
    <col min="7930" max="7930" width="4.5703125" style="2" customWidth="1"/>
    <col min="7931" max="7931" width="12.42578125" style="2" customWidth="1"/>
    <col min="7932" max="7932" width="32.5703125" style="2" customWidth="1"/>
    <col min="7933" max="7933" width="10.140625" style="2" customWidth="1"/>
    <col min="7934" max="7934" width="9.85546875" style="2" customWidth="1"/>
    <col min="7935" max="7935" width="9.5703125" style="2" customWidth="1"/>
    <col min="7936" max="7937" width="11.42578125" style="2"/>
    <col min="7938" max="7938" width="28" style="2" bestFit="1" customWidth="1"/>
    <col min="7939" max="7939" width="11.42578125" style="2"/>
    <col min="7940" max="7940" width="5.140625" style="2" customWidth="1"/>
    <col min="7941" max="7941" width="8" style="2" customWidth="1"/>
    <col min="7942" max="8184" width="11.42578125" style="2"/>
    <col min="8185" max="8185" width="17.7109375" style="2" bestFit="1" customWidth="1"/>
    <col min="8186" max="8186" width="4.5703125" style="2" customWidth="1"/>
    <col min="8187" max="8187" width="12.42578125" style="2" customWidth="1"/>
    <col min="8188" max="8188" width="32.5703125" style="2" customWidth="1"/>
    <col min="8189" max="8189" width="10.140625" style="2" customWidth="1"/>
    <col min="8190" max="8190" width="9.85546875" style="2" customWidth="1"/>
    <col min="8191" max="8191" width="9.5703125" style="2" customWidth="1"/>
    <col min="8192" max="8193" width="11.42578125" style="2"/>
    <col min="8194" max="8194" width="28" style="2" bestFit="1" customWidth="1"/>
    <col min="8195" max="8195" width="11.42578125" style="2"/>
    <col min="8196" max="8196" width="5.140625" style="2" customWidth="1"/>
    <col min="8197" max="8197" width="8" style="2" customWidth="1"/>
    <col min="8198" max="8440" width="11.42578125" style="2"/>
    <col min="8441" max="8441" width="17.7109375" style="2" bestFit="1" customWidth="1"/>
    <col min="8442" max="8442" width="4.5703125" style="2" customWidth="1"/>
    <col min="8443" max="8443" width="12.42578125" style="2" customWidth="1"/>
    <col min="8444" max="8444" width="32.5703125" style="2" customWidth="1"/>
    <col min="8445" max="8445" width="10.140625" style="2" customWidth="1"/>
    <col min="8446" max="8446" width="9.85546875" style="2" customWidth="1"/>
    <col min="8447" max="8447" width="9.5703125" style="2" customWidth="1"/>
    <col min="8448" max="8449" width="11.42578125" style="2"/>
    <col min="8450" max="8450" width="28" style="2" bestFit="1" customWidth="1"/>
    <col min="8451" max="8451" width="11.42578125" style="2"/>
    <col min="8452" max="8452" width="5.140625" style="2" customWidth="1"/>
    <col min="8453" max="8453" width="8" style="2" customWidth="1"/>
    <col min="8454" max="8696" width="11.42578125" style="2"/>
    <col min="8697" max="8697" width="17.7109375" style="2" bestFit="1" customWidth="1"/>
    <col min="8698" max="8698" width="4.5703125" style="2" customWidth="1"/>
    <col min="8699" max="8699" width="12.42578125" style="2" customWidth="1"/>
    <col min="8700" max="8700" width="32.5703125" style="2" customWidth="1"/>
    <col min="8701" max="8701" width="10.140625" style="2" customWidth="1"/>
    <col min="8702" max="8702" width="9.85546875" style="2" customWidth="1"/>
    <col min="8703" max="8703" width="9.5703125" style="2" customWidth="1"/>
    <col min="8704" max="8705" width="11.42578125" style="2"/>
    <col min="8706" max="8706" width="28" style="2" bestFit="1" customWidth="1"/>
    <col min="8707" max="8707" width="11.42578125" style="2"/>
    <col min="8708" max="8708" width="5.140625" style="2" customWidth="1"/>
    <col min="8709" max="8709" width="8" style="2" customWidth="1"/>
    <col min="8710" max="8952" width="11.42578125" style="2"/>
    <col min="8953" max="8953" width="17.7109375" style="2" bestFit="1" customWidth="1"/>
    <col min="8954" max="8954" width="4.5703125" style="2" customWidth="1"/>
    <col min="8955" max="8955" width="12.42578125" style="2" customWidth="1"/>
    <col min="8956" max="8956" width="32.5703125" style="2" customWidth="1"/>
    <col min="8957" max="8957" width="10.140625" style="2" customWidth="1"/>
    <col min="8958" max="8958" width="9.85546875" style="2" customWidth="1"/>
    <col min="8959" max="8959" width="9.5703125" style="2" customWidth="1"/>
    <col min="8960" max="8961" width="11.42578125" style="2"/>
    <col min="8962" max="8962" width="28" style="2" bestFit="1" customWidth="1"/>
    <col min="8963" max="8963" width="11.42578125" style="2"/>
    <col min="8964" max="8964" width="5.140625" style="2" customWidth="1"/>
    <col min="8965" max="8965" width="8" style="2" customWidth="1"/>
    <col min="8966" max="9208" width="11.42578125" style="2"/>
    <col min="9209" max="9209" width="17.7109375" style="2" bestFit="1" customWidth="1"/>
    <col min="9210" max="9210" width="4.5703125" style="2" customWidth="1"/>
    <col min="9211" max="9211" width="12.42578125" style="2" customWidth="1"/>
    <col min="9212" max="9212" width="32.5703125" style="2" customWidth="1"/>
    <col min="9213" max="9213" width="10.140625" style="2" customWidth="1"/>
    <col min="9214" max="9214" width="9.85546875" style="2" customWidth="1"/>
    <col min="9215" max="9215" width="9.5703125" style="2" customWidth="1"/>
    <col min="9216" max="9217" width="11.42578125" style="2"/>
    <col min="9218" max="9218" width="28" style="2" bestFit="1" customWidth="1"/>
    <col min="9219" max="9219" width="11.42578125" style="2"/>
    <col min="9220" max="9220" width="5.140625" style="2" customWidth="1"/>
    <col min="9221" max="9221" width="8" style="2" customWidth="1"/>
    <col min="9222" max="9464" width="11.42578125" style="2"/>
    <col min="9465" max="9465" width="17.7109375" style="2" bestFit="1" customWidth="1"/>
    <col min="9466" max="9466" width="4.5703125" style="2" customWidth="1"/>
    <col min="9467" max="9467" width="12.42578125" style="2" customWidth="1"/>
    <col min="9468" max="9468" width="32.5703125" style="2" customWidth="1"/>
    <col min="9469" max="9469" width="10.140625" style="2" customWidth="1"/>
    <col min="9470" max="9470" width="9.85546875" style="2" customWidth="1"/>
    <col min="9471" max="9471" width="9.5703125" style="2" customWidth="1"/>
    <col min="9472" max="9473" width="11.42578125" style="2"/>
    <col min="9474" max="9474" width="28" style="2" bestFit="1" customWidth="1"/>
    <col min="9475" max="9475" width="11.42578125" style="2"/>
    <col min="9476" max="9476" width="5.140625" style="2" customWidth="1"/>
    <col min="9477" max="9477" width="8" style="2" customWidth="1"/>
    <col min="9478" max="9720" width="11.42578125" style="2"/>
    <col min="9721" max="9721" width="17.7109375" style="2" bestFit="1" customWidth="1"/>
    <col min="9722" max="9722" width="4.5703125" style="2" customWidth="1"/>
    <col min="9723" max="9723" width="12.42578125" style="2" customWidth="1"/>
    <col min="9724" max="9724" width="32.5703125" style="2" customWidth="1"/>
    <col min="9725" max="9725" width="10.140625" style="2" customWidth="1"/>
    <col min="9726" max="9726" width="9.85546875" style="2" customWidth="1"/>
    <col min="9727" max="9727" width="9.5703125" style="2" customWidth="1"/>
    <col min="9728" max="9729" width="11.42578125" style="2"/>
    <col min="9730" max="9730" width="28" style="2" bestFit="1" customWidth="1"/>
    <col min="9731" max="9731" width="11.42578125" style="2"/>
    <col min="9732" max="9732" width="5.140625" style="2" customWidth="1"/>
    <col min="9733" max="9733" width="8" style="2" customWidth="1"/>
    <col min="9734" max="9976" width="11.42578125" style="2"/>
    <col min="9977" max="9977" width="17.7109375" style="2" bestFit="1" customWidth="1"/>
    <col min="9978" max="9978" width="4.5703125" style="2" customWidth="1"/>
    <col min="9979" max="9979" width="12.42578125" style="2" customWidth="1"/>
    <col min="9980" max="9980" width="32.5703125" style="2" customWidth="1"/>
    <col min="9981" max="9981" width="10.140625" style="2" customWidth="1"/>
    <col min="9982" max="9982" width="9.85546875" style="2" customWidth="1"/>
    <col min="9983" max="9983" width="9.5703125" style="2" customWidth="1"/>
    <col min="9984" max="9985" width="11.42578125" style="2"/>
    <col min="9986" max="9986" width="28" style="2" bestFit="1" customWidth="1"/>
    <col min="9987" max="9987" width="11.42578125" style="2"/>
    <col min="9988" max="9988" width="5.140625" style="2" customWidth="1"/>
    <col min="9989" max="9989" width="8" style="2" customWidth="1"/>
    <col min="9990" max="10232" width="11.42578125" style="2"/>
    <col min="10233" max="10233" width="17.7109375" style="2" bestFit="1" customWidth="1"/>
    <col min="10234" max="10234" width="4.5703125" style="2" customWidth="1"/>
    <col min="10235" max="10235" width="12.42578125" style="2" customWidth="1"/>
    <col min="10236" max="10236" width="32.5703125" style="2" customWidth="1"/>
    <col min="10237" max="10237" width="10.140625" style="2" customWidth="1"/>
    <col min="10238" max="10238" width="9.85546875" style="2" customWidth="1"/>
    <col min="10239" max="10239" width="9.5703125" style="2" customWidth="1"/>
    <col min="10240" max="10241" width="11.42578125" style="2"/>
    <col min="10242" max="10242" width="28" style="2" bestFit="1" customWidth="1"/>
    <col min="10243" max="10243" width="11.42578125" style="2"/>
    <col min="10244" max="10244" width="5.140625" style="2" customWidth="1"/>
    <col min="10245" max="10245" width="8" style="2" customWidth="1"/>
    <col min="10246" max="10488" width="11.42578125" style="2"/>
    <col min="10489" max="10489" width="17.7109375" style="2" bestFit="1" customWidth="1"/>
    <col min="10490" max="10490" width="4.5703125" style="2" customWidth="1"/>
    <col min="10491" max="10491" width="12.42578125" style="2" customWidth="1"/>
    <col min="10492" max="10492" width="32.5703125" style="2" customWidth="1"/>
    <col min="10493" max="10493" width="10.140625" style="2" customWidth="1"/>
    <col min="10494" max="10494" width="9.85546875" style="2" customWidth="1"/>
    <col min="10495" max="10495" width="9.5703125" style="2" customWidth="1"/>
    <col min="10496" max="10497" width="11.42578125" style="2"/>
    <col min="10498" max="10498" width="28" style="2" bestFit="1" customWidth="1"/>
    <col min="10499" max="10499" width="11.42578125" style="2"/>
    <col min="10500" max="10500" width="5.140625" style="2" customWidth="1"/>
    <col min="10501" max="10501" width="8" style="2" customWidth="1"/>
    <col min="10502" max="10744" width="11.42578125" style="2"/>
    <col min="10745" max="10745" width="17.7109375" style="2" bestFit="1" customWidth="1"/>
    <col min="10746" max="10746" width="4.5703125" style="2" customWidth="1"/>
    <col min="10747" max="10747" width="12.42578125" style="2" customWidth="1"/>
    <col min="10748" max="10748" width="32.5703125" style="2" customWidth="1"/>
    <col min="10749" max="10749" width="10.140625" style="2" customWidth="1"/>
    <col min="10750" max="10750" width="9.85546875" style="2" customWidth="1"/>
    <col min="10751" max="10751" width="9.5703125" style="2" customWidth="1"/>
    <col min="10752" max="10753" width="11.42578125" style="2"/>
    <col min="10754" max="10754" width="28" style="2" bestFit="1" customWidth="1"/>
    <col min="10755" max="10755" width="11.42578125" style="2"/>
    <col min="10756" max="10756" width="5.140625" style="2" customWidth="1"/>
    <col min="10757" max="10757" width="8" style="2" customWidth="1"/>
    <col min="10758" max="11000" width="11.42578125" style="2"/>
    <col min="11001" max="11001" width="17.7109375" style="2" bestFit="1" customWidth="1"/>
    <col min="11002" max="11002" width="4.5703125" style="2" customWidth="1"/>
    <col min="11003" max="11003" width="12.42578125" style="2" customWidth="1"/>
    <col min="11004" max="11004" width="32.5703125" style="2" customWidth="1"/>
    <col min="11005" max="11005" width="10.140625" style="2" customWidth="1"/>
    <col min="11006" max="11006" width="9.85546875" style="2" customWidth="1"/>
    <col min="11007" max="11007" width="9.5703125" style="2" customWidth="1"/>
    <col min="11008" max="11009" width="11.42578125" style="2"/>
    <col min="11010" max="11010" width="28" style="2" bestFit="1" customWidth="1"/>
    <col min="11011" max="11011" width="11.42578125" style="2"/>
    <col min="11012" max="11012" width="5.140625" style="2" customWidth="1"/>
    <col min="11013" max="11013" width="8" style="2" customWidth="1"/>
    <col min="11014" max="11256" width="11.42578125" style="2"/>
    <col min="11257" max="11257" width="17.7109375" style="2" bestFit="1" customWidth="1"/>
    <col min="11258" max="11258" width="4.5703125" style="2" customWidth="1"/>
    <col min="11259" max="11259" width="12.42578125" style="2" customWidth="1"/>
    <col min="11260" max="11260" width="32.5703125" style="2" customWidth="1"/>
    <col min="11261" max="11261" width="10.140625" style="2" customWidth="1"/>
    <col min="11262" max="11262" width="9.85546875" style="2" customWidth="1"/>
    <col min="11263" max="11263" width="9.5703125" style="2" customWidth="1"/>
    <col min="11264" max="11265" width="11.42578125" style="2"/>
    <col min="11266" max="11266" width="28" style="2" bestFit="1" customWidth="1"/>
    <col min="11267" max="11267" width="11.42578125" style="2"/>
    <col min="11268" max="11268" width="5.140625" style="2" customWidth="1"/>
    <col min="11269" max="11269" width="8" style="2" customWidth="1"/>
    <col min="11270" max="11512" width="11.42578125" style="2"/>
    <col min="11513" max="11513" width="17.7109375" style="2" bestFit="1" customWidth="1"/>
    <col min="11514" max="11514" width="4.5703125" style="2" customWidth="1"/>
    <col min="11515" max="11515" width="12.42578125" style="2" customWidth="1"/>
    <col min="11516" max="11516" width="32.5703125" style="2" customWidth="1"/>
    <col min="11517" max="11517" width="10.140625" style="2" customWidth="1"/>
    <col min="11518" max="11518" width="9.85546875" style="2" customWidth="1"/>
    <col min="11519" max="11519" width="9.5703125" style="2" customWidth="1"/>
    <col min="11520" max="11521" width="11.42578125" style="2"/>
    <col min="11522" max="11522" width="28" style="2" bestFit="1" customWidth="1"/>
    <col min="11523" max="11523" width="11.42578125" style="2"/>
    <col min="11524" max="11524" width="5.140625" style="2" customWidth="1"/>
    <col min="11525" max="11525" width="8" style="2" customWidth="1"/>
    <col min="11526" max="11768" width="11.42578125" style="2"/>
    <col min="11769" max="11769" width="17.7109375" style="2" bestFit="1" customWidth="1"/>
    <col min="11770" max="11770" width="4.5703125" style="2" customWidth="1"/>
    <col min="11771" max="11771" width="12.42578125" style="2" customWidth="1"/>
    <col min="11772" max="11772" width="32.5703125" style="2" customWidth="1"/>
    <col min="11773" max="11773" width="10.140625" style="2" customWidth="1"/>
    <col min="11774" max="11774" width="9.85546875" style="2" customWidth="1"/>
    <col min="11775" max="11775" width="9.5703125" style="2" customWidth="1"/>
    <col min="11776" max="11777" width="11.42578125" style="2"/>
    <col min="11778" max="11778" width="28" style="2" bestFit="1" customWidth="1"/>
    <col min="11779" max="11779" width="11.42578125" style="2"/>
    <col min="11780" max="11780" width="5.140625" style="2" customWidth="1"/>
    <col min="11781" max="11781" width="8" style="2" customWidth="1"/>
    <col min="11782" max="12024" width="11.42578125" style="2"/>
    <col min="12025" max="12025" width="17.7109375" style="2" bestFit="1" customWidth="1"/>
    <col min="12026" max="12026" width="4.5703125" style="2" customWidth="1"/>
    <col min="12027" max="12027" width="12.42578125" style="2" customWidth="1"/>
    <col min="12028" max="12028" width="32.5703125" style="2" customWidth="1"/>
    <col min="12029" max="12029" width="10.140625" style="2" customWidth="1"/>
    <col min="12030" max="12030" width="9.85546875" style="2" customWidth="1"/>
    <col min="12031" max="12031" width="9.5703125" style="2" customWidth="1"/>
    <col min="12032" max="12033" width="11.42578125" style="2"/>
    <col min="12034" max="12034" width="28" style="2" bestFit="1" customWidth="1"/>
    <col min="12035" max="12035" width="11.42578125" style="2"/>
    <col min="12036" max="12036" width="5.140625" style="2" customWidth="1"/>
    <col min="12037" max="12037" width="8" style="2" customWidth="1"/>
    <col min="12038" max="12280" width="11.42578125" style="2"/>
    <col min="12281" max="12281" width="17.7109375" style="2" bestFit="1" customWidth="1"/>
    <col min="12282" max="12282" width="4.5703125" style="2" customWidth="1"/>
    <col min="12283" max="12283" width="12.42578125" style="2" customWidth="1"/>
    <col min="12284" max="12284" width="32.5703125" style="2" customWidth="1"/>
    <col min="12285" max="12285" width="10.140625" style="2" customWidth="1"/>
    <col min="12286" max="12286" width="9.85546875" style="2" customWidth="1"/>
    <col min="12287" max="12287" width="9.5703125" style="2" customWidth="1"/>
    <col min="12288" max="12289" width="11.42578125" style="2"/>
    <col min="12290" max="12290" width="28" style="2" bestFit="1" customWidth="1"/>
    <col min="12291" max="12291" width="11.42578125" style="2"/>
    <col min="12292" max="12292" width="5.140625" style="2" customWidth="1"/>
    <col min="12293" max="12293" width="8" style="2" customWidth="1"/>
    <col min="12294" max="12536" width="11.42578125" style="2"/>
    <col min="12537" max="12537" width="17.7109375" style="2" bestFit="1" customWidth="1"/>
    <col min="12538" max="12538" width="4.5703125" style="2" customWidth="1"/>
    <col min="12539" max="12539" width="12.42578125" style="2" customWidth="1"/>
    <col min="12540" max="12540" width="32.5703125" style="2" customWidth="1"/>
    <col min="12541" max="12541" width="10.140625" style="2" customWidth="1"/>
    <col min="12542" max="12542" width="9.85546875" style="2" customWidth="1"/>
    <col min="12543" max="12543" width="9.5703125" style="2" customWidth="1"/>
    <col min="12544" max="12545" width="11.42578125" style="2"/>
    <col min="12546" max="12546" width="28" style="2" bestFit="1" customWidth="1"/>
    <col min="12547" max="12547" width="11.42578125" style="2"/>
    <col min="12548" max="12548" width="5.140625" style="2" customWidth="1"/>
    <col min="12549" max="12549" width="8" style="2" customWidth="1"/>
    <col min="12550" max="12792" width="11.42578125" style="2"/>
    <col min="12793" max="12793" width="17.7109375" style="2" bestFit="1" customWidth="1"/>
    <col min="12794" max="12794" width="4.5703125" style="2" customWidth="1"/>
    <col min="12795" max="12795" width="12.42578125" style="2" customWidth="1"/>
    <col min="12796" max="12796" width="32.5703125" style="2" customWidth="1"/>
    <col min="12797" max="12797" width="10.140625" style="2" customWidth="1"/>
    <col min="12798" max="12798" width="9.85546875" style="2" customWidth="1"/>
    <col min="12799" max="12799" width="9.5703125" style="2" customWidth="1"/>
    <col min="12800" max="12801" width="11.42578125" style="2"/>
    <col min="12802" max="12802" width="28" style="2" bestFit="1" customWidth="1"/>
    <col min="12803" max="12803" width="11.42578125" style="2"/>
    <col min="12804" max="12804" width="5.140625" style="2" customWidth="1"/>
    <col min="12805" max="12805" width="8" style="2" customWidth="1"/>
    <col min="12806" max="13048" width="11.42578125" style="2"/>
    <col min="13049" max="13049" width="17.7109375" style="2" bestFit="1" customWidth="1"/>
    <col min="13050" max="13050" width="4.5703125" style="2" customWidth="1"/>
    <col min="13051" max="13051" width="12.42578125" style="2" customWidth="1"/>
    <col min="13052" max="13052" width="32.5703125" style="2" customWidth="1"/>
    <col min="13053" max="13053" width="10.140625" style="2" customWidth="1"/>
    <col min="13054" max="13054" width="9.85546875" style="2" customWidth="1"/>
    <col min="13055" max="13055" width="9.5703125" style="2" customWidth="1"/>
    <col min="13056" max="13057" width="11.42578125" style="2"/>
    <col min="13058" max="13058" width="28" style="2" bestFit="1" customWidth="1"/>
    <col min="13059" max="13059" width="11.42578125" style="2"/>
    <col min="13060" max="13060" width="5.140625" style="2" customWidth="1"/>
    <col min="13061" max="13061" width="8" style="2" customWidth="1"/>
    <col min="13062" max="13304" width="11.42578125" style="2"/>
    <col min="13305" max="13305" width="17.7109375" style="2" bestFit="1" customWidth="1"/>
    <col min="13306" max="13306" width="4.5703125" style="2" customWidth="1"/>
    <col min="13307" max="13307" width="12.42578125" style="2" customWidth="1"/>
    <col min="13308" max="13308" width="32.5703125" style="2" customWidth="1"/>
    <col min="13309" max="13309" width="10.140625" style="2" customWidth="1"/>
    <col min="13310" max="13310" width="9.85546875" style="2" customWidth="1"/>
    <col min="13311" max="13311" width="9.5703125" style="2" customWidth="1"/>
    <col min="13312" max="13313" width="11.42578125" style="2"/>
    <col min="13314" max="13314" width="28" style="2" bestFit="1" customWidth="1"/>
    <col min="13315" max="13315" width="11.42578125" style="2"/>
    <col min="13316" max="13316" width="5.140625" style="2" customWidth="1"/>
    <col min="13317" max="13317" width="8" style="2" customWidth="1"/>
    <col min="13318" max="13560" width="11.42578125" style="2"/>
    <col min="13561" max="13561" width="17.7109375" style="2" bestFit="1" customWidth="1"/>
    <col min="13562" max="13562" width="4.5703125" style="2" customWidth="1"/>
    <col min="13563" max="13563" width="12.42578125" style="2" customWidth="1"/>
    <col min="13564" max="13564" width="32.5703125" style="2" customWidth="1"/>
    <col min="13565" max="13565" width="10.140625" style="2" customWidth="1"/>
    <col min="13566" max="13566" width="9.85546875" style="2" customWidth="1"/>
    <col min="13567" max="13567" width="9.5703125" style="2" customWidth="1"/>
    <col min="13568" max="13569" width="11.42578125" style="2"/>
    <col min="13570" max="13570" width="28" style="2" bestFit="1" customWidth="1"/>
    <col min="13571" max="13571" width="11.42578125" style="2"/>
    <col min="13572" max="13572" width="5.140625" style="2" customWidth="1"/>
    <col min="13573" max="13573" width="8" style="2" customWidth="1"/>
    <col min="13574" max="13816" width="11.42578125" style="2"/>
    <col min="13817" max="13817" width="17.7109375" style="2" bestFit="1" customWidth="1"/>
    <col min="13818" max="13818" width="4.5703125" style="2" customWidth="1"/>
    <col min="13819" max="13819" width="12.42578125" style="2" customWidth="1"/>
    <col min="13820" max="13820" width="32.5703125" style="2" customWidth="1"/>
    <col min="13821" max="13821" width="10.140625" style="2" customWidth="1"/>
    <col min="13822" max="13822" width="9.85546875" style="2" customWidth="1"/>
    <col min="13823" max="13823" width="9.5703125" style="2" customWidth="1"/>
    <col min="13824" max="13825" width="11.42578125" style="2"/>
    <col min="13826" max="13826" width="28" style="2" bestFit="1" customWidth="1"/>
    <col min="13827" max="13827" width="11.42578125" style="2"/>
    <col min="13828" max="13828" width="5.140625" style="2" customWidth="1"/>
    <col min="13829" max="13829" width="8" style="2" customWidth="1"/>
    <col min="13830" max="14072" width="11.42578125" style="2"/>
    <col min="14073" max="14073" width="17.7109375" style="2" bestFit="1" customWidth="1"/>
    <col min="14074" max="14074" width="4.5703125" style="2" customWidth="1"/>
    <col min="14075" max="14075" width="12.42578125" style="2" customWidth="1"/>
    <col min="14076" max="14076" width="32.5703125" style="2" customWidth="1"/>
    <col min="14077" max="14077" width="10.140625" style="2" customWidth="1"/>
    <col min="14078" max="14078" width="9.85546875" style="2" customWidth="1"/>
    <col min="14079" max="14079" width="9.5703125" style="2" customWidth="1"/>
    <col min="14080" max="14081" width="11.42578125" style="2"/>
    <col min="14082" max="14082" width="28" style="2" bestFit="1" customWidth="1"/>
    <col min="14083" max="14083" width="11.42578125" style="2"/>
    <col min="14084" max="14084" width="5.140625" style="2" customWidth="1"/>
    <col min="14085" max="14085" width="8" style="2" customWidth="1"/>
    <col min="14086" max="14328" width="11.42578125" style="2"/>
    <col min="14329" max="14329" width="17.7109375" style="2" bestFit="1" customWidth="1"/>
    <col min="14330" max="14330" width="4.5703125" style="2" customWidth="1"/>
    <col min="14331" max="14331" width="12.42578125" style="2" customWidth="1"/>
    <col min="14332" max="14332" width="32.5703125" style="2" customWidth="1"/>
    <col min="14333" max="14333" width="10.140625" style="2" customWidth="1"/>
    <col min="14334" max="14334" width="9.85546875" style="2" customWidth="1"/>
    <col min="14335" max="14335" width="9.5703125" style="2" customWidth="1"/>
    <col min="14336" max="14337" width="11.42578125" style="2"/>
    <col min="14338" max="14338" width="28" style="2" bestFit="1" customWidth="1"/>
    <col min="14339" max="14339" width="11.42578125" style="2"/>
    <col min="14340" max="14340" width="5.140625" style="2" customWidth="1"/>
    <col min="14341" max="14341" width="8" style="2" customWidth="1"/>
    <col min="14342" max="14584" width="11.42578125" style="2"/>
    <col min="14585" max="14585" width="17.7109375" style="2" bestFit="1" customWidth="1"/>
    <col min="14586" max="14586" width="4.5703125" style="2" customWidth="1"/>
    <col min="14587" max="14587" width="12.42578125" style="2" customWidth="1"/>
    <col min="14588" max="14588" width="32.5703125" style="2" customWidth="1"/>
    <col min="14589" max="14589" width="10.140625" style="2" customWidth="1"/>
    <col min="14590" max="14590" width="9.85546875" style="2" customWidth="1"/>
    <col min="14591" max="14591" width="9.5703125" style="2" customWidth="1"/>
    <col min="14592" max="14593" width="11.42578125" style="2"/>
    <col min="14594" max="14594" width="28" style="2" bestFit="1" customWidth="1"/>
    <col min="14595" max="14595" width="11.42578125" style="2"/>
    <col min="14596" max="14596" width="5.140625" style="2" customWidth="1"/>
    <col min="14597" max="14597" width="8" style="2" customWidth="1"/>
    <col min="14598" max="14840" width="11.42578125" style="2"/>
    <col min="14841" max="14841" width="17.7109375" style="2" bestFit="1" customWidth="1"/>
    <col min="14842" max="14842" width="4.5703125" style="2" customWidth="1"/>
    <col min="14843" max="14843" width="12.42578125" style="2" customWidth="1"/>
    <col min="14844" max="14844" width="32.5703125" style="2" customWidth="1"/>
    <col min="14845" max="14845" width="10.140625" style="2" customWidth="1"/>
    <col min="14846" max="14846" width="9.85546875" style="2" customWidth="1"/>
    <col min="14847" max="14847" width="9.5703125" style="2" customWidth="1"/>
    <col min="14848" max="14849" width="11.42578125" style="2"/>
    <col min="14850" max="14850" width="28" style="2" bestFit="1" customWidth="1"/>
    <col min="14851" max="14851" width="11.42578125" style="2"/>
    <col min="14852" max="14852" width="5.140625" style="2" customWidth="1"/>
    <col min="14853" max="14853" width="8" style="2" customWidth="1"/>
    <col min="14854" max="15096" width="11.42578125" style="2"/>
    <col min="15097" max="15097" width="17.7109375" style="2" bestFit="1" customWidth="1"/>
    <col min="15098" max="15098" width="4.5703125" style="2" customWidth="1"/>
    <col min="15099" max="15099" width="12.42578125" style="2" customWidth="1"/>
    <col min="15100" max="15100" width="32.5703125" style="2" customWidth="1"/>
    <col min="15101" max="15101" width="10.140625" style="2" customWidth="1"/>
    <col min="15102" max="15102" width="9.85546875" style="2" customWidth="1"/>
    <col min="15103" max="15103" width="9.5703125" style="2" customWidth="1"/>
    <col min="15104" max="15105" width="11.42578125" style="2"/>
    <col min="15106" max="15106" width="28" style="2" bestFit="1" customWidth="1"/>
    <col min="15107" max="15107" width="11.42578125" style="2"/>
    <col min="15108" max="15108" width="5.140625" style="2" customWidth="1"/>
    <col min="15109" max="15109" width="8" style="2" customWidth="1"/>
    <col min="15110" max="15352" width="11.42578125" style="2"/>
    <col min="15353" max="15353" width="17.7109375" style="2" bestFit="1" customWidth="1"/>
    <col min="15354" max="15354" width="4.5703125" style="2" customWidth="1"/>
    <col min="15355" max="15355" width="12.42578125" style="2" customWidth="1"/>
    <col min="15356" max="15356" width="32.5703125" style="2" customWidth="1"/>
    <col min="15357" max="15357" width="10.140625" style="2" customWidth="1"/>
    <col min="15358" max="15358" width="9.85546875" style="2" customWidth="1"/>
    <col min="15359" max="15359" width="9.5703125" style="2" customWidth="1"/>
    <col min="15360" max="15361" width="11.42578125" style="2"/>
    <col min="15362" max="15362" width="28" style="2" bestFit="1" customWidth="1"/>
    <col min="15363" max="15363" width="11.42578125" style="2"/>
    <col min="15364" max="15364" width="5.140625" style="2" customWidth="1"/>
    <col min="15365" max="15365" width="8" style="2" customWidth="1"/>
    <col min="15366" max="15608" width="11.42578125" style="2"/>
    <col min="15609" max="15609" width="17.7109375" style="2" bestFit="1" customWidth="1"/>
    <col min="15610" max="15610" width="4.5703125" style="2" customWidth="1"/>
    <col min="15611" max="15611" width="12.42578125" style="2" customWidth="1"/>
    <col min="15612" max="15612" width="32.5703125" style="2" customWidth="1"/>
    <col min="15613" max="15613" width="10.140625" style="2" customWidth="1"/>
    <col min="15614" max="15614" width="9.85546875" style="2" customWidth="1"/>
    <col min="15615" max="15615" width="9.5703125" style="2" customWidth="1"/>
    <col min="15616" max="15617" width="11.42578125" style="2"/>
    <col min="15618" max="15618" width="28" style="2" bestFit="1" customWidth="1"/>
    <col min="15619" max="15619" width="11.42578125" style="2"/>
    <col min="15620" max="15620" width="5.140625" style="2" customWidth="1"/>
    <col min="15621" max="15621" width="8" style="2" customWidth="1"/>
    <col min="15622" max="15864" width="11.42578125" style="2"/>
    <col min="15865" max="15865" width="17.7109375" style="2" bestFit="1" customWidth="1"/>
    <col min="15866" max="15866" width="4.5703125" style="2" customWidth="1"/>
    <col min="15867" max="15867" width="12.42578125" style="2" customWidth="1"/>
    <col min="15868" max="15868" width="32.5703125" style="2" customWidth="1"/>
    <col min="15869" max="15869" width="10.140625" style="2" customWidth="1"/>
    <col min="15870" max="15870" width="9.85546875" style="2" customWidth="1"/>
    <col min="15871" max="15871" width="9.5703125" style="2" customWidth="1"/>
    <col min="15872" max="15873" width="11.42578125" style="2"/>
    <col min="15874" max="15874" width="28" style="2" bestFit="1" customWidth="1"/>
    <col min="15875" max="15875" width="11.42578125" style="2"/>
    <col min="15876" max="15876" width="5.140625" style="2" customWidth="1"/>
    <col min="15877" max="15877" width="8" style="2" customWidth="1"/>
    <col min="15878" max="16120" width="11.42578125" style="2"/>
    <col min="16121" max="16121" width="17.7109375" style="2" bestFit="1" customWidth="1"/>
    <col min="16122" max="16122" width="4.5703125" style="2" customWidth="1"/>
    <col min="16123" max="16123" width="12.42578125" style="2" customWidth="1"/>
    <col min="16124" max="16124" width="32.5703125" style="2" customWidth="1"/>
    <col min="16125" max="16125" width="10.140625" style="2" customWidth="1"/>
    <col min="16126" max="16126" width="9.85546875" style="2" customWidth="1"/>
    <col min="16127" max="16127" width="9.5703125" style="2" customWidth="1"/>
    <col min="16128" max="16129" width="11.42578125" style="2"/>
    <col min="16130" max="16130" width="28" style="2" bestFit="1" customWidth="1"/>
    <col min="16131" max="16131" width="11.42578125" style="2"/>
    <col min="16132" max="16132" width="5.140625" style="2" customWidth="1"/>
    <col min="16133" max="16133" width="8" style="2" customWidth="1"/>
    <col min="16134" max="16384" width="11.42578125" style="2"/>
  </cols>
  <sheetData>
    <row r="2" spans="1:247" s="289" customFormat="1" ht="12.75" x14ac:dyDescent="0.2">
      <c r="A2" s="253" t="s">
        <v>619</v>
      </c>
      <c r="B2" s="286"/>
      <c r="C2" s="287"/>
      <c r="D2" s="288"/>
      <c r="E2" s="286"/>
      <c r="F2" s="286"/>
      <c r="G2" s="286"/>
      <c r="H2" s="286"/>
      <c r="I2" s="286"/>
      <c r="J2" s="286"/>
    </row>
    <row r="3" spans="1:247" s="289" customFormat="1" ht="12.75" x14ac:dyDescent="0.2">
      <c r="A3" s="253" t="s">
        <v>1287</v>
      </c>
      <c r="B3" s="286"/>
      <c r="C3" s="287"/>
      <c r="D3" s="288"/>
      <c r="E3" s="286"/>
      <c r="F3" s="286"/>
      <c r="G3" s="286"/>
      <c r="H3" s="286"/>
      <c r="I3" s="286"/>
      <c r="J3" s="286"/>
    </row>
    <row r="4" spans="1:247" x14ac:dyDescent="0.2">
      <c r="A4" s="273"/>
    </row>
    <row r="5" spans="1:247" x14ac:dyDescent="0.2">
      <c r="A5" s="266" t="s">
        <v>385</v>
      </c>
      <c r="B5" s="266" t="s">
        <v>386</v>
      </c>
      <c r="C5" s="283" t="s">
        <v>790</v>
      </c>
      <c r="D5" s="267" t="s">
        <v>120</v>
      </c>
      <c r="E5" s="268" t="s">
        <v>677</v>
      </c>
      <c r="F5" s="269" t="s">
        <v>678</v>
      </c>
      <c r="G5" s="266" t="s">
        <v>679</v>
      </c>
      <c r="H5" s="266" t="s">
        <v>680</v>
      </c>
      <c r="I5" s="270" t="s">
        <v>681</v>
      </c>
      <c r="J5" s="266" t="s">
        <v>682</v>
      </c>
      <c r="K5" s="271" t="s">
        <v>683</v>
      </c>
      <c r="L5" s="271" t="s">
        <v>684</v>
      </c>
      <c r="M5" s="272"/>
      <c r="N5" s="272"/>
      <c r="O5" s="272"/>
      <c r="P5" s="272"/>
      <c r="Q5" s="272"/>
      <c r="R5" s="272"/>
      <c r="S5" s="973" t="s">
        <v>851</v>
      </c>
      <c r="T5" s="973"/>
      <c r="U5" s="973"/>
      <c r="V5" s="973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2"/>
      <c r="HU5" s="272"/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  <c r="IK5" s="272"/>
      <c r="IL5" s="272"/>
      <c r="IM5" s="272"/>
    </row>
    <row r="6" spans="1:247" ht="12.75" x14ac:dyDescent="0.2">
      <c r="A6" s="200" t="s">
        <v>181</v>
      </c>
      <c r="B6" s="200" t="s">
        <v>685</v>
      </c>
      <c r="C6" s="302">
        <v>52200000001</v>
      </c>
      <c r="D6" s="292" t="e">
        <f>VLOOKUP(C6,#REF!,2,FALSE)</f>
        <v>#REF!</v>
      </c>
      <c r="E6" s="946">
        <f t="shared" ref="E6:E14" si="0">SUMIFS($V$6:$V$9,$T$6:$T$9,C6,$U$6:$U$9,J6)</f>
        <v>0</v>
      </c>
      <c r="F6" s="279">
        <v>13337</v>
      </c>
      <c r="G6" s="280">
        <v>1</v>
      </c>
      <c r="H6" s="281">
        <f>+E6</f>
        <v>0</v>
      </c>
      <c r="I6" s="284"/>
      <c r="J6" s="272" t="s">
        <v>835</v>
      </c>
      <c r="K6" s="200">
        <v>13332</v>
      </c>
      <c r="L6" s="200" t="s">
        <v>685</v>
      </c>
      <c r="M6" s="272" t="s">
        <v>411</v>
      </c>
      <c r="N6" s="272" t="s">
        <v>413</v>
      </c>
      <c r="O6" s="272"/>
      <c r="P6" s="272"/>
      <c r="Q6" s="272"/>
      <c r="R6" s="272"/>
      <c r="S6" s="289" t="s">
        <v>1286</v>
      </c>
      <c r="T6" s="299">
        <v>51000200001</v>
      </c>
      <c r="U6" s="448" t="s">
        <v>835</v>
      </c>
      <c r="V6" s="822">
        <v>1593.4899999999998</v>
      </c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  <c r="HK6" s="272"/>
      <c r="HL6" s="272"/>
      <c r="HM6" s="272"/>
      <c r="HN6" s="272"/>
      <c r="HO6" s="272"/>
      <c r="HP6" s="272"/>
      <c r="HQ6" s="272"/>
      <c r="HR6" s="272"/>
      <c r="HS6" s="272"/>
      <c r="HT6" s="272"/>
      <c r="HU6" s="272"/>
      <c r="HV6" s="272"/>
      <c r="HW6" s="272"/>
      <c r="HX6" s="272"/>
      <c r="HY6" s="272"/>
      <c r="HZ6" s="272"/>
      <c r="IA6" s="272"/>
      <c r="IB6" s="272"/>
      <c r="IC6" s="272"/>
      <c r="ID6" s="272"/>
      <c r="IE6" s="272"/>
      <c r="IF6" s="272"/>
      <c r="IG6" s="272"/>
      <c r="IH6" s="272"/>
      <c r="II6" s="272"/>
      <c r="IJ6" s="272"/>
      <c r="IK6" s="272"/>
      <c r="IL6" s="272"/>
      <c r="IM6" s="272"/>
    </row>
    <row r="7" spans="1:247" ht="12.75" x14ac:dyDescent="0.2">
      <c r="A7" s="200" t="s">
        <v>181</v>
      </c>
      <c r="B7" s="200" t="s">
        <v>685</v>
      </c>
      <c r="C7" s="302">
        <v>51000100001</v>
      </c>
      <c r="D7" s="292" t="e">
        <f>VLOOKUP(C7,#REF!,2,FALSE)</f>
        <v>#REF!</v>
      </c>
      <c r="E7" s="946">
        <f t="shared" si="0"/>
        <v>0</v>
      </c>
      <c r="F7" s="201">
        <v>13337</v>
      </c>
      <c r="G7" s="200">
        <v>1</v>
      </c>
      <c r="H7" s="275">
        <f t="shared" ref="H7:H30" si="1">+E7</f>
        <v>0</v>
      </c>
      <c r="I7" s="264"/>
      <c r="J7" s="272" t="s">
        <v>835</v>
      </c>
      <c r="K7" s="200">
        <v>13332</v>
      </c>
      <c r="L7" s="200" t="s">
        <v>685</v>
      </c>
      <c r="M7" s="272" t="s">
        <v>411</v>
      </c>
      <c r="N7" s="272" t="s">
        <v>671</v>
      </c>
      <c r="O7" s="272"/>
      <c r="P7" s="272"/>
      <c r="Q7" s="272"/>
      <c r="R7" s="272"/>
      <c r="S7" s="289" t="s">
        <v>1286</v>
      </c>
      <c r="T7" s="299">
        <v>51000200002</v>
      </c>
      <c r="U7" s="448" t="s">
        <v>835</v>
      </c>
      <c r="V7" s="822">
        <v>1593.4899999999998</v>
      </c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  <c r="GP7" s="272"/>
      <c r="GQ7" s="272"/>
      <c r="GR7" s="272"/>
      <c r="GS7" s="272"/>
      <c r="GT7" s="272"/>
      <c r="GU7" s="272"/>
      <c r="GV7" s="272"/>
      <c r="GW7" s="272"/>
      <c r="GX7" s="272"/>
      <c r="GY7" s="272"/>
      <c r="GZ7" s="272"/>
      <c r="HA7" s="272"/>
      <c r="HB7" s="272"/>
      <c r="HC7" s="272"/>
      <c r="HD7" s="272"/>
      <c r="HE7" s="272"/>
      <c r="HF7" s="272"/>
      <c r="HG7" s="272"/>
      <c r="HH7" s="272"/>
      <c r="HI7" s="272"/>
      <c r="HJ7" s="272"/>
      <c r="HK7" s="272"/>
      <c r="HL7" s="272"/>
      <c r="HM7" s="272"/>
      <c r="HN7" s="272"/>
      <c r="HO7" s="272"/>
      <c r="HP7" s="272"/>
      <c r="HQ7" s="272"/>
      <c r="HR7" s="272"/>
      <c r="HS7" s="272"/>
      <c r="HT7" s="272"/>
      <c r="HU7" s="272"/>
      <c r="HV7" s="272"/>
      <c r="HW7" s="272"/>
      <c r="HX7" s="272"/>
      <c r="HY7" s="272"/>
      <c r="HZ7" s="272"/>
      <c r="IA7" s="272"/>
      <c r="IB7" s="272"/>
      <c r="IC7" s="272"/>
      <c r="ID7" s="272"/>
      <c r="IE7" s="272"/>
      <c r="IF7" s="272"/>
      <c r="IG7" s="272"/>
      <c r="IH7" s="272"/>
      <c r="II7" s="272"/>
      <c r="IJ7" s="272"/>
      <c r="IK7" s="272"/>
      <c r="IL7" s="272"/>
      <c r="IM7" s="272"/>
    </row>
    <row r="8" spans="1:247" ht="12.75" x14ac:dyDescent="0.2">
      <c r="A8" s="200" t="s">
        <v>181</v>
      </c>
      <c r="B8" s="200" t="s">
        <v>685</v>
      </c>
      <c r="C8" s="302">
        <v>51000100002</v>
      </c>
      <c r="D8" s="292" t="e">
        <f>VLOOKUP(C8,#REF!,2,FALSE)</f>
        <v>#REF!</v>
      </c>
      <c r="E8" s="946">
        <f t="shared" si="0"/>
        <v>0</v>
      </c>
      <c r="F8" s="201">
        <v>13337</v>
      </c>
      <c r="G8" s="200">
        <v>1</v>
      </c>
      <c r="H8" s="275">
        <f t="shared" si="1"/>
        <v>0</v>
      </c>
      <c r="I8" s="264"/>
      <c r="J8" s="272" t="s">
        <v>835</v>
      </c>
      <c r="K8" s="200">
        <v>13332</v>
      </c>
      <c r="L8" s="200" t="s">
        <v>685</v>
      </c>
      <c r="M8" s="272" t="s">
        <v>411</v>
      </c>
      <c r="N8" s="272" t="s">
        <v>671</v>
      </c>
      <c r="O8" s="272"/>
      <c r="P8" s="272"/>
      <c r="Q8" s="272"/>
      <c r="R8" s="272"/>
      <c r="S8" s="289" t="s">
        <v>1286</v>
      </c>
      <c r="T8" s="299">
        <v>51220200001</v>
      </c>
      <c r="U8" s="448" t="s">
        <v>835</v>
      </c>
      <c r="V8" s="822">
        <v>1022.45</v>
      </c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  <c r="HI8" s="272"/>
      <c r="HJ8" s="272"/>
      <c r="HK8" s="272"/>
      <c r="HL8" s="272"/>
      <c r="HM8" s="272"/>
      <c r="HN8" s="272"/>
      <c r="HO8" s="272"/>
      <c r="HP8" s="272"/>
      <c r="HQ8" s="272"/>
      <c r="HR8" s="272"/>
      <c r="HS8" s="272"/>
      <c r="HT8" s="272"/>
      <c r="HU8" s="272"/>
      <c r="HV8" s="272"/>
      <c r="HW8" s="272"/>
      <c r="HX8" s="272"/>
      <c r="HY8" s="272"/>
      <c r="HZ8" s="272"/>
      <c r="IA8" s="272"/>
      <c r="IB8" s="272"/>
      <c r="IC8" s="272"/>
      <c r="ID8" s="272"/>
      <c r="IE8" s="272"/>
      <c r="IF8" s="272"/>
      <c r="IG8" s="272"/>
      <c r="IH8" s="272"/>
      <c r="II8" s="272"/>
      <c r="IJ8" s="272"/>
      <c r="IK8" s="272"/>
      <c r="IL8" s="272"/>
      <c r="IM8" s="272"/>
    </row>
    <row r="9" spans="1:247" ht="12.75" x14ac:dyDescent="0.2">
      <c r="A9" s="200" t="s">
        <v>181</v>
      </c>
      <c r="B9" s="200" t="s">
        <v>685</v>
      </c>
      <c r="C9" s="302">
        <v>51000100002</v>
      </c>
      <c r="D9" s="292" t="e">
        <f>VLOOKUP(C9,#REF!,2,FALSE)</f>
        <v>#REF!</v>
      </c>
      <c r="E9" s="946">
        <f t="shared" si="0"/>
        <v>0</v>
      </c>
      <c r="F9" s="201"/>
      <c r="G9" s="200"/>
      <c r="H9" s="275"/>
      <c r="I9" s="264"/>
      <c r="J9" s="272" t="s">
        <v>864</v>
      </c>
      <c r="K9" s="200"/>
      <c r="L9" s="200"/>
      <c r="M9" s="272"/>
      <c r="N9" s="272" t="s">
        <v>671</v>
      </c>
      <c r="O9" s="272"/>
      <c r="P9" s="272"/>
      <c r="Q9" s="272"/>
      <c r="R9" s="272"/>
      <c r="S9" s="289" t="s">
        <v>1286</v>
      </c>
      <c r="T9" s="299">
        <v>51220200001</v>
      </c>
      <c r="U9" s="448" t="s">
        <v>864</v>
      </c>
      <c r="V9" s="822">
        <v>346.02</v>
      </c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  <c r="IK9" s="272"/>
      <c r="IL9" s="272"/>
      <c r="IM9" s="272"/>
    </row>
    <row r="10" spans="1:247" ht="13.5" thickBot="1" x14ac:dyDescent="0.25">
      <c r="A10" s="200" t="s">
        <v>181</v>
      </c>
      <c r="B10" s="200" t="s">
        <v>685</v>
      </c>
      <c r="C10" s="302">
        <v>51000200001</v>
      </c>
      <c r="D10" s="292" t="e">
        <f>VLOOKUP(C10,#REF!,2,FALSE)</f>
        <v>#REF!</v>
      </c>
      <c r="E10" s="946">
        <f t="shared" si="0"/>
        <v>1593.4899999999998</v>
      </c>
      <c r="F10" s="201">
        <v>13337</v>
      </c>
      <c r="G10" s="200">
        <v>1</v>
      </c>
      <c r="H10" s="275">
        <f t="shared" si="1"/>
        <v>1593.4899999999998</v>
      </c>
      <c r="I10" s="264"/>
      <c r="J10" s="272" t="s">
        <v>835</v>
      </c>
      <c r="K10" s="200">
        <v>13332</v>
      </c>
      <c r="L10" s="200" t="s">
        <v>685</v>
      </c>
      <c r="M10" s="272" t="s">
        <v>411</v>
      </c>
      <c r="N10" s="272" t="s">
        <v>3</v>
      </c>
      <c r="O10" s="272"/>
      <c r="P10" s="272"/>
      <c r="Q10" s="272"/>
      <c r="R10" s="289"/>
      <c r="S10" s="289"/>
      <c r="T10" s="289"/>
      <c r="U10" s="289"/>
      <c r="V10" s="957">
        <f>SUM(V6:V9)</f>
        <v>4555.4499999999989</v>
      </c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  <c r="HI10" s="272"/>
      <c r="HJ10" s="272"/>
      <c r="HK10" s="272"/>
      <c r="HL10" s="272"/>
      <c r="HM10" s="272"/>
      <c r="HN10" s="272"/>
      <c r="HO10" s="272"/>
      <c r="HP10" s="272"/>
      <c r="HQ10" s="272"/>
      <c r="HR10" s="272"/>
      <c r="HS10" s="272"/>
      <c r="HT10" s="272"/>
      <c r="HU10" s="272"/>
      <c r="HV10" s="272"/>
      <c r="HW10" s="272"/>
      <c r="HX10" s="272"/>
      <c r="HY10" s="272"/>
      <c r="HZ10" s="272"/>
      <c r="IA10" s="272"/>
      <c r="IB10" s="272"/>
      <c r="IC10" s="272"/>
      <c r="ID10" s="272"/>
      <c r="IE10" s="272"/>
      <c r="IF10" s="272"/>
      <c r="IG10" s="272"/>
      <c r="IH10" s="272"/>
      <c r="II10" s="272"/>
      <c r="IJ10" s="272"/>
      <c r="IK10" s="272"/>
      <c r="IL10" s="272"/>
      <c r="IM10" s="272"/>
    </row>
    <row r="11" spans="1:247" ht="13.5" thickTop="1" x14ac:dyDescent="0.2">
      <c r="A11" s="200" t="s">
        <v>181</v>
      </c>
      <c r="B11" s="200" t="s">
        <v>685</v>
      </c>
      <c r="C11" s="302">
        <v>51000200002</v>
      </c>
      <c r="D11" s="292" t="e">
        <f>VLOOKUP(C11,#REF!,2,FALSE)</f>
        <v>#REF!</v>
      </c>
      <c r="E11" s="946">
        <f t="shared" si="0"/>
        <v>1593.4899999999998</v>
      </c>
      <c r="F11" s="201">
        <v>13337</v>
      </c>
      <c r="G11" s="200">
        <v>1</v>
      </c>
      <c r="H11" s="275">
        <f t="shared" si="1"/>
        <v>1593.4899999999998</v>
      </c>
      <c r="I11" s="264"/>
      <c r="J11" s="272" t="s">
        <v>835</v>
      </c>
      <c r="K11" s="200">
        <v>13332</v>
      </c>
      <c r="L11" s="200" t="s">
        <v>685</v>
      </c>
      <c r="M11" s="272" t="s">
        <v>411</v>
      </c>
      <c r="N11" s="272" t="s">
        <v>3</v>
      </c>
      <c r="O11" s="272"/>
      <c r="P11" s="272"/>
      <c r="Q11" s="272"/>
      <c r="R11" s="289"/>
      <c r="S11" s="289"/>
      <c r="T11" s="289"/>
      <c r="U11" s="289"/>
      <c r="V11" s="289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  <c r="HI11" s="272"/>
      <c r="HJ11" s="272"/>
      <c r="HK11" s="272"/>
      <c r="HL11" s="272"/>
      <c r="HM11" s="272"/>
      <c r="HN11" s="272"/>
      <c r="HO11" s="272"/>
      <c r="HP11" s="272"/>
      <c r="HQ11" s="272"/>
      <c r="HR11" s="272"/>
      <c r="HS11" s="272"/>
      <c r="HT11" s="272"/>
      <c r="HU11" s="272"/>
      <c r="HV11" s="272"/>
      <c r="HW11" s="272"/>
      <c r="HX11" s="272"/>
      <c r="HY11" s="272"/>
      <c r="HZ11" s="272"/>
      <c r="IA11" s="272"/>
      <c r="IB11" s="272"/>
      <c r="IC11" s="272"/>
      <c r="ID11" s="272"/>
      <c r="IE11" s="272"/>
      <c r="IF11" s="272"/>
      <c r="IG11" s="272"/>
      <c r="IH11" s="272"/>
      <c r="II11" s="272"/>
      <c r="IJ11" s="272"/>
      <c r="IK11" s="272"/>
      <c r="IL11" s="272"/>
      <c r="IM11" s="272"/>
    </row>
    <row r="12" spans="1:247" ht="12.75" x14ac:dyDescent="0.2">
      <c r="A12" s="200" t="s">
        <v>181</v>
      </c>
      <c r="B12" s="200" t="s">
        <v>685</v>
      </c>
      <c r="C12" s="302">
        <v>51000300001</v>
      </c>
      <c r="D12" s="292" t="e">
        <f>VLOOKUP(C12,#REF!,2,FALSE)</f>
        <v>#REF!</v>
      </c>
      <c r="E12" s="946">
        <f t="shared" si="0"/>
        <v>0</v>
      </c>
      <c r="F12" s="201">
        <v>13337</v>
      </c>
      <c r="G12" s="200">
        <v>1</v>
      </c>
      <c r="H12" s="275">
        <f t="shared" si="1"/>
        <v>0</v>
      </c>
      <c r="I12" s="264"/>
      <c r="J12" s="272" t="s">
        <v>835</v>
      </c>
      <c r="K12" s="200">
        <v>13332</v>
      </c>
      <c r="L12" s="200" t="s">
        <v>685</v>
      </c>
      <c r="M12" s="272" t="s">
        <v>411</v>
      </c>
      <c r="N12" s="272" t="s">
        <v>671</v>
      </c>
      <c r="O12" s="272"/>
      <c r="P12" s="272"/>
      <c r="Q12" s="272"/>
      <c r="R12" s="289"/>
      <c r="S12" s="289"/>
      <c r="T12" s="289"/>
      <c r="U12" s="289"/>
      <c r="V12" s="289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  <c r="HI12" s="272"/>
      <c r="HJ12" s="272"/>
      <c r="HK12" s="272"/>
      <c r="HL12" s="272"/>
      <c r="HM12" s="272"/>
      <c r="HN12" s="272"/>
      <c r="HO12" s="272"/>
      <c r="HP12" s="272"/>
      <c r="HQ12" s="272"/>
      <c r="HR12" s="272"/>
      <c r="HS12" s="272"/>
      <c r="HT12" s="272"/>
      <c r="HU12" s="272"/>
      <c r="HV12" s="272"/>
      <c r="HW12" s="272"/>
      <c r="HX12" s="272"/>
      <c r="HY12" s="272"/>
      <c r="HZ12" s="272"/>
      <c r="IA12" s="272"/>
      <c r="IB12" s="272"/>
      <c r="IC12" s="272"/>
      <c r="ID12" s="272"/>
      <c r="IE12" s="272"/>
      <c r="IF12" s="272"/>
      <c r="IG12" s="272"/>
      <c r="IH12" s="272"/>
      <c r="II12" s="272"/>
      <c r="IJ12" s="272"/>
      <c r="IK12" s="272"/>
      <c r="IL12" s="272"/>
      <c r="IM12" s="272"/>
    </row>
    <row r="13" spans="1:247" ht="12.75" x14ac:dyDescent="0.2">
      <c r="A13" s="200" t="s">
        <v>181</v>
      </c>
      <c r="B13" s="200" t="s">
        <v>685</v>
      </c>
      <c r="C13" s="302">
        <v>51000300002</v>
      </c>
      <c r="D13" s="292" t="e">
        <f>VLOOKUP(C13,#REF!,2,FALSE)</f>
        <v>#REF!</v>
      </c>
      <c r="E13" s="946">
        <f t="shared" si="0"/>
        <v>0</v>
      </c>
      <c r="F13" s="201">
        <v>13337</v>
      </c>
      <c r="G13" s="200">
        <v>1</v>
      </c>
      <c r="H13" s="275">
        <f t="shared" si="1"/>
        <v>0</v>
      </c>
      <c r="I13" s="264"/>
      <c r="J13" s="272" t="s">
        <v>835</v>
      </c>
      <c r="K13" s="200">
        <v>13332</v>
      </c>
      <c r="L13" s="200" t="s">
        <v>685</v>
      </c>
      <c r="M13" s="272" t="s">
        <v>411</v>
      </c>
      <c r="N13" s="272" t="s">
        <v>671</v>
      </c>
      <c r="O13" s="272"/>
      <c r="P13" s="272"/>
      <c r="Q13" s="272"/>
      <c r="R13" s="289"/>
      <c r="S13" s="289"/>
      <c r="T13" s="289"/>
      <c r="U13" s="289"/>
      <c r="V13" s="289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  <c r="HI13" s="272"/>
      <c r="HJ13" s="272"/>
      <c r="HK13" s="272"/>
      <c r="HL13" s="272"/>
      <c r="HM13" s="272"/>
      <c r="HN13" s="272"/>
      <c r="HO13" s="272"/>
      <c r="HP13" s="272"/>
      <c r="HQ13" s="272"/>
      <c r="HR13" s="272"/>
      <c r="HS13" s="272"/>
      <c r="HT13" s="272"/>
      <c r="HU13" s="272"/>
      <c r="HV13" s="272"/>
      <c r="HW13" s="272"/>
      <c r="HX13" s="272"/>
      <c r="HY13" s="272"/>
      <c r="HZ13" s="272"/>
      <c r="IA13" s="272"/>
      <c r="IB13" s="272"/>
      <c r="IC13" s="272"/>
      <c r="ID13" s="272"/>
      <c r="IE13" s="272"/>
      <c r="IF13" s="272"/>
      <c r="IG13" s="272"/>
      <c r="IH13" s="272"/>
      <c r="II13" s="272"/>
      <c r="IJ13" s="272"/>
      <c r="IK13" s="272"/>
      <c r="IL13" s="272"/>
      <c r="IM13" s="272"/>
    </row>
    <row r="14" spans="1:247" ht="12.75" x14ac:dyDescent="0.2">
      <c r="A14" s="200" t="s">
        <v>181</v>
      </c>
      <c r="B14" s="200" t="s">
        <v>685</v>
      </c>
      <c r="C14" s="302">
        <v>51220200001</v>
      </c>
      <c r="D14" s="292" t="e">
        <f>VLOOKUP(C14,#REF!,2,FALSE)</f>
        <v>#REF!</v>
      </c>
      <c r="E14" s="946">
        <f t="shared" si="0"/>
        <v>1022.45</v>
      </c>
      <c r="F14" s="201">
        <v>13337</v>
      </c>
      <c r="G14" s="200">
        <v>1</v>
      </c>
      <c r="H14" s="275">
        <f>+E14</f>
        <v>1022.45</v>
      </c>
      <c r="I14" s="264"/>
      <c r="J14" s="272" t="s">
        <v>835</v>
      </c>
      <c r="K14" s="200">
        <v>13332</v>
      </c>
      <c r="L14" s="200" t="s">
        <v>685</v>
      </c>
      <c r="M14" s="272" t="s">
        <v>411</v>
      </c>
      <c r="N14" s="272" t="s">
        <v>672</v>
      </c>
      <c r="O14" s="272"/>
      <c r="P14" s="272"/>
      <c r="Q14" s="272"/>
      <c r="R14" s="289"/>
      <c r="S14" s="289"/>
      <c r="T14" s="289"/>
      <c r="U14" s="289"/>
      <c r="V14" s="289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  <c r="HU14" s="272"/>
      <c r="HV14" s="272"/>
      <c r="HW14" s="272"/>
      <c r="HX14" s="272"/>
      <c r="HY14" s="272"/>
      <c r="HZ14" s="272"/>
      <c r="IA14" s="272"/>
      <c r="IB14" s="272"/>
      <c r="IC14" s="272"/>
      <c r="ID14" s="272"/>
      <c r="IE14" s="272"/>
      <c r="IF14" s="272"/>
      <c r="IG14" s="272"/>
      <c r="IH14" s="272"/>
      <c r="II14" s="272"/>
      <c r="IJ14" s="272"/>
      <c r="IK14" s="272"/>
      <c r="IL14" s="272"/>
      <c r="IM14" s="272"/>
    </row>
    <row r="15" spans="1:247" ht="12.75" x14ac:dyDescent="0.2">
      <c r="A15" s="280" t="s">
        <v>181</v>
      </c>
      <c r="B15" s="280" t="s">
        <v>685</v>
      </c>
      <c r="C15" s="958">
        <v>41250100001</v>
      </c>
      <c r="D15" s="291" t="e">
        <f>VLOOKUP(C15,#REF!,2,FALSE)</f>
        <v>#REF!</v>
      </c>
      <c r="E15" s="284" t="e">
        <f>-VLOOKUP(C15,#REF!,3,FALSE)</f>
        <v>#REF!</v>
      </c>
      <c r="F15" s="279">
        <v>13337</v>
      </c>
      <c r="G15" s="280">
        <v>1</v>
      </c>
      <c r="H15" s="281" t="e">
        <f t="shared" si="1"/>
        <v>#REF!</v>
      </c>
      <c r="I15" s="284"/>
      <c r="J15" s="959" t="s">
        <v>835</v>
      </c>
      <c r="K15" s="280">
        <v>13332</v>
      </c>
      <c r="L15" s="280" t="s">
        <v>685</v>
      </c>
      <c r="M15" s="959" t="s">
        <v>411</v>
      </c>
      <c r="N15" s="959" t="s">
        <v>796</v>
      </c>
      <c r="O15" s="272"/>
      <c r="P15" s="272"/>
      <c r="Q15" s="272"/>
      <c r="R15" s="289"/>
      <c r="S15" s="289"/>
      <c r="T15" s="289"/>
      <c r="U15" s="289"/>
      <c r="V15" s="289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  <c r="GP15" s="272"/>
      <c r="GQ15" s="272"/>
      <c r="GR15" s="272"/>
      <c r="GS15" s="272"/>
      <c r="GT15" s="272"/>
      <c r="GU15" s="272"/>
      <c r="GV15" s="272"/>
      <c r="GW15" s="272"/>
      <c r="GX15" s="272"/>
      <c r="GY15" s="272"/>
      <c r="GZ15" s="272"/>
      <c r="HA15" s="272"/>
      <c r="HB15" s="272"/>
      <c r="HC15" s="272"/>
      <c r="HD15" s="272"/>
      <c r="HE15" s="272"/>
      <c r="HF15" s="272"/>
      <c r="HG15" s="272"/>
      <c r="HH15" s="272"/>
      <c r="HI15" s="272"/>
      <c r="HJ15" s="272"/>
      <c r="HK15" s="272"/>
      <c r="HL15" s="272"/>
      <c r="HM15" s="272"/>
      <c r="HN15" s="272"/>
      <c r="HO15" s="272"/>
      <c r="HP15" s="272"/>
      <c r="HQ15" s="272"/>
      <c r="HR15" s="272"/>
      <c r="HS15" s="272"/>
      <c r="HT15" s="272"/>
      <c r="HU15" s="272"/>
      <c r="HV15" s="272"/>
      <c r="HW15" s="272"/>
      <c r="HX15" s="272"/>
      <c r="HY15" s="272"/>
      <c r="HZ15" s="272"/>
      <c r="IA15" s="272"/>
      <c r="IB15" s="272"/>
      <c r="IC15" s="272"/>
      <c r="ID15" s="272"/>
      <c r="IE15" s="272"/>
      <c r="IF15" s="272"/>
      <c r="IG15" s="272"/>
      <c r="IH15" s="272"/>
      <c r="II15" s="272"/>
      <c r="IJ15" s="272"/>
      <c r="IK15" s="272"/>
      <c r="IL15" s="272"/>
      <c r="IM15" s="272"/>
    </row>
    <row r="16" spans="1:247" ht="12.75" x14ac:dyDescent="0.2">
      <c r="A16" s="280" t="s">
        <v>181</v>
      </c>
      <c r="B16" s="280" t="s">
        <v>685</v>
      </c>
      <c r="C16" s="958">
        <v>41250100014</v>
      </c>
      <c r="D16" s="291" t="s">
        <v>846</v>
      </c>
      <c r="E16" s="284" t="e">
        <f>-VLOOKUP(C16,#REF!,3,FALSE)</f>
        <v>#REF!</v>
      </c>
      <c r="F16" s="279"/>
      <c r="G16" s="280"/>
      <c r="H16" s="281"/>
      <c r="I16" s="284"/>
      <c r="J16" s="959" t="s">
        <v>835</v>
      </c>
      <c r="K16" s="280">
        <v>13332</v>
      </c>
      <c r="L16" s="280" t="s">
        <v>685</v>
      </c>
      <c r="M16" s="959" t="s">
        <v>411</v>
      </c>
      <c r="N16" s="959" t="s">
        <v>847</v>
      </c>
      <c r="O16" s="272"/>
      <c r="P16" s="272"/>
      <c r="Q16" s="272"/>
      <c r="R16" s="289"/>
      <c r="S16" s="289"/>
      <c r="T16" s="289"/>
      <c r="U16" s="289"/>
      <c r="V16" s="289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  <c r="HI16" s="272"/>
      <c r="HJ16" s="272"/>
      <c r="HK16" s="272"/>
      <c r="HL16" s="272"/>
      <c r="HM16" s="272"/>
      <c r="HN16" s="272"/>
      <c r="HO16" s="272"/>
      <c r="HP16" s="272"/>
      <c r="HQ16" s="272"/>
      <c r="HR16" s="272"/>
      <c r="HS16" s="272"/>
      <c r="HT16" s="272"/>
      <c r="HU16" s="272"/>
      <c r="HV16" s="272"/>
      <c r="HW16" s="272"/>
      <c r="HX16" s="272"/>
      <c r="HY16" s="272"/>
      <c r="HZ16" s="272"/>
      <c r="IA16" s="272"/>
      <c r="IB16" s="272"/>
      <c r="IC16" s="272"/>
      <c r="ID16" s="272"/>
      <c r="IE16" s="272"/>
      <c r="IF16" s="272"/>
      <c r="IG16" s="272"/>
      <c r="IH16" s="272"/>
      <c r="II16" s="272"/>
      <c r="IJ16" s="272"/>
      <c r="IK16" s="272"/>
      <c r="IL16" s="272"/>
      <c r="IM16" s="272"/>
    </row>
    <row r="17" spans="1:247" ht="12.75" x14ac:dyDescent="0.2">
      <c r="A17" s="200" t="s">
        <v>181</v>
      </c>
      <c r="B17" s="200" t="s">
        <v>685</v>
      </c>
      <c r="C17" s="302">
        <v>53000100001</v>
      </c>
      <c r="D17" s="292" t="e">
        <f>VLOOKUP(C17,#REF!,2,FALSE)</f>
        <v>#REF!</v>
      </c>
      <c r="E17" s="946">
        <f t="shared" ref="E17:E24" si="2">SUMIFS($V$6:$V$9,$T$6:$T$9,C17,$U$6:$U$9,J17)</f>
        <v>0</v>
      </c>
      <c r="F17" s="201">
        <v>13337</v>
      </c>
      <c r="G17" s="200">
        <v>1</v>
      </c>
      <c r="H17" s="275">
        <f t="shared" si="1"/>
        <v>0</v>
      </c>
      <c r="I17" s="264"/>
      <c r="J17" s="272" t="s">
        <v>835</v>
      </c>
      <c r="K17" s="200">
        <v>13332</v>
      </c>
      <c r="L17" s="200" t="s">
        <v>685</v>
      </c>
      <c r="M17" s="272" t="s">
        <v>411</v>
      </c>
      <c r="N17" s="272" t="s">
        <v>871</v>
      </c>
      <c r="O17" s="272"/>
      <c r="P17" s="272"/>
      <c r="Q17" s="272"/>
      <c r="R17" s="289"/>
      <c r="S17" s="289"/>
      <c r="T17" s="289"/>
      <c r="U17" s="289"/>
      <c r="V17" s="289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  <c r="HI17" s="272"/>
      <c r="HJ17" s="272"/>
      <c r="HK17" s="272"/>
      <c r="HL17" s="272"/>
      <c r="HM17" s="272"/>
      <c r="HN17" s="272"/>
      <c r="HO17" s="272"/>
      <c r="HP17" s="272"/>
      <c r="HQ17" s="272"/>
      <c r="HR17" s="272"/>
      <c r="HS17" s="272"/>
      <c r="HT17" s="272"/>
      <c r="HU17" s="272"/>
      <c r="HV17" s="272"/>
      <c r="HW17" s="272"/>
      <c r="HX17" s="272"/>
      <c r="HY17" s="272"/>
      <c r="HZ17" s="272"/>
      <c r="IA17" s="272"/>
      <c r="IB17" s="272"/>
      <c r="IC17" s="272"/>
      <c r="ID17" s="272"/>
      <c r="IE17" s="272"/>
      <c r="IF17" s="272"/>
      <c r="IG17" s="272"/>
      <c r="IH17" s="272"/>
      <c r="II17" s="272"/>
      <c r="IJ17" s="272"/>
      <c r="IK17" s="272"/>
      <c r="IL17" s="272"/>
      <c r="IM17" s="272"/>
    </row>
    <row r="18" spans="1:247" ht="12.75" x14ac:dyDescent="0.2">
      <c r="A18" s="200" t="s">
        <v>181</v>
      </c>
      <c r="B18" s="200" t="s">
        <v>685</v>
      </c>
      <c r="C18" s="302">
        <v>51220200001</v>
      </c>
      <c r="D18" s="292" t="e">
        <f>VLOOKUP(C18,#REF!,2,FALSE)</f>
        <v>#REF!</v>
      </c>
      <c r="E18" s="946">
        <f t="shared" si="2"/>
        <v>346.02</v>
      </c>
      <c r="F18" s="201">
        <v>13337</v>
      </c>
      <c r="G18" s="272">
        <v>1</v>
      </c>
      <c r="H18" s="275">
        <f t="shared" si="1"/>
        <v>346.02</v>
      </c>
      <c r="I18" s="277"/>
      <c r="J18" s="272" t="s">
        <v>864</v>
      </c>
      <c r="K18" s="200">
        <v>13331</v>
      </c>
      <c r="L18" s="200" t="s">
        <v>685</v>
      </c>
      <c r="M18" s="272" t="s">
        <v>411</v>
      </c>
      <c r="N18" s="272" t="s">
        <v>562</v>
      </c>
      <c r="O18" s="272"/>
      <c r="P18" s="272"/>
      <c r="Q18" s="272"/>
      <c r="R18" s="289"/>
      <c r="S18" s="289"/>
      <c r="T18" s="289"/>
      <c r="U18" s="289"/>
      <c r="V18" s="289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  <c r="HI18" s="272"/>
      <c r="HJ18" s="272"/>
      <c r="HK18" s="272"/>
      <c r="HL18" s="272"/>
      <c r="HM18" s="272"/>
      <c r="HN18" s="272"/>
      <c r="HO18" s="272"/>
      <c r="HP18" s="272"/>
      <c r="HQ18" s="272"/>
      <c r="HR18" s="272"/>
      <c r="HS18" s="272"/>
      <c r="HT18" s="272"/>
      <c r="HU18" s="272"/>
      <c r="HV18" s="272"/>
      <c r="HW18" s="272"/>
      <c r="HX18" s="272"/>
      <c r="HY18" s="272"/>
      <c r="HZ18" s="272"/>
      <c r="IA18" s="272"/>
      <c r="IB18" s="272"/>
      <c r="IC18" s="272"/>
      <c r="ID18" s="272"/>
      <c r="IE18" s="272"/>
      <c r="IF18" s="272"/>
      <c r="IG18" s="272"/>
      <c r="IH18" s="272"/>
      <c r="II18" s="272"/>
      <c r="IJ18" s="272"/>
      <c r="IK18" s="272"/>
      <c r="IL18" s="272"/>
      <c r="IM18" s="272"/>
    </row>
    <row r="19" spans="1:247" ht="12.75" x14ac:dyDescent="0.2">
      <c r="A19" s="200" t="s">
        <v>181</v>
      </c>
      <c r="B19" s="200" t="s">
        <v>685</v>
      </c>
      <c r="C19" s="282">
        <v>51000000001</v>
      </c>
      <c r="D19" s="1" t="s">
        <v>208</v>
      </c>
      <c r="E19" s="946">
        <f t="shared" si="2"/>
        <v>0</v>
      </c>
      <c r="F19" s="201">
        <v>13337</v>
      </c>
      <c r="G19" s="272">
        <v>1</v>
      </c>
      <c r="H19" s="275">
        <f>+E19</f>
        <v>0</v>
      </c>
      <c r="I19" s="277"/>
      <c r="J19" s="272" t="s">
        <v>97</v>
      </c>
      <c r="K19" s="272">
        <v>13341</v>
      </c>
      <c r="L19" s="272" t="s">
        <v>685</v>
      </c>
      <c r="M19" s="272" t="s">
        <v>411</v>
      </c>
      <c r="N19" s="272" t="s">
        <v>792</v>
      </c>
      <c r="O19" s="272"/>
      <c r="P19" s="272"/>
      <c r="Q19" s="272"/>
      <c r="R19" s="289"/>
      <c r="S19" s="289"/>
      <c r="T19" s="289"/>
      <c r="U19" s="289"/>
      <c r="V19" s="289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  <c r="HI19" s="272"/>
      <c r="HJ19" s="272"/>
      <c r="HK19" s="272"/>
      <c r="HL19" s="272"/>
      <c r="HM19" s="272"/>
      <c r="HN19" s="272"/>
      <c r="HO19" s="272"/>
      <c r="HP19" s="272"/>
      <c r="HQ19" s="272"/>
      <c r="HR19" s="272"/>
      <c r="HS19" s="272"/>
      <c r="HT19" s="272"/>
      <c r="HU19" s="272"/>
      <c r="HV19" s="272"/>
      <c r="HW19" s="272"/>
      <c r="HX19" s="272"/>
      <c r="HY19" s="272"/>
      <c r="HZ19" s="272"/>
      <c r="IA19" s="272"/>
      <c r="IB19" s="272"/>
      <c r="IC19" s="272"/>
      <c r="ID19" s="272"/>
      <c r="IE19" s="272"/>
      <c r="IF19" s="272"/>
      <c r="IG19" s="272"/>
      <c r="IH19" s="272"/>
      <c r="II19" s="272"/>
      <c r="IJ19" s="272"/>
      <c r="IK19" s="272"/>
      <c r="IL19" s="272"/>
      <c r="IM19" s="272"/>
    </row>
    <row r="20" spans="1:247" ht="12.75" x14ac:dyDescent="0.2">
      <c r="A20" s="200" t="s">
        <v>181</v>
      </c>
      <c r="B20" s="200" t="s">
        <v>685</v>
      </c>
      <c r="C20" s="302">
        <v>51000000002</v>
      </c>
      <c r="D20" s="292" t="s">
        <v>6</v>
      </c>
      <c r="E20" s="946">
        <f t="shared" si="2"/>
        <v>0</v>
      </c>
      <c r="F20" s="201">
        <v>13337</v>
      </c>
      <c r="G20" s="272">
        <v>1</v>
      </c>
      <c r="H20" s="275">
        <f>+E20</f>
        <v>0</v>
      </c>
      <c r="I20" s="276"/>
      <c r="J20" s="272" t="s">
        <v>97</v>
      </c>
      <c r="K20" s="272">
        <v>13341</v>
      </c>
      <c r="L20" s="272" t="s">
        <v>685</v>
      </c>
      <c r="M20" s="272" t="s">
        <v>411</v>
      </c>
      <c r="N20" s="272" t="s">
        <v>792</v>
      </c>
      <c r="O20" s="272"/>
      <c r="P20" s="272"/>
      <c r="Q20" s="272"/>
      <c r="R20" s="289"/>
      <c r="S20" s="289"/>
      <c r="T20" s="289"/>
      <c r="U20" s="289"/>
      <c r="V20" s="289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  <c r="GP20" s="272"/>
      <c r="GQ20" s="272"/>
      <c r="GR20" s="272"/>
      <c r="GS20" s="272"/>
      <c r="GT20" s="272"/>
      <c r="GU20" s="272"/>
      <c r="GV20" s="272"/>
      <c r="GW20" s="272"/>
      <c r="GX20" s="272"/>
      <c r="GY20" s="272"/>
      <c r="GZ20" s="272"/>
      <c r="HA20" s="272"/>
      <c r="HB20" s="272"/>
      <c r="HC20" s="272"/>
      <c r="HD20" s="272"/>
      <c r="HE20" s="272"/>
      <c r="HF20" s="272"/>
      <c r="HG20" s="272"/>
      <c r="HH20" s="272"/>
      <c r="HI20" s="272"/>
      <c r="HJ20" s="272"/>
      <c r="HK20" s="272"/>
      <c r="HL20" s="272"/>
      <c r="HM20" s="272"/>
      <c r="HN20" s="272"/>
      <c r="HO20" s="272"/>
      <c r="HP20" s="272"/>
      <c r="HQ20" s="272"/>
      <c r="HR20" s="272"/>
      <c r="HS20" s="272"/>
      <c r="HT20" s="272"/>
      <c r="HU20" s="272"/>
      <c r="HV20" s="272"/>
      <c r="HW20" s="272"/>
      <c r="HX20" s="272"/>
      <c r="HY20" s="272"/>
      <c r="HZ20" s="272"/>
      <c r="IA20" s="272"/>
      <c r="IB20" s="272"/>
      <c r="IC20" s="272"/>
      <c r="ID20" s="272"/>
      <c r="IE20" s="272"/>
      <c r="IF20" s="272"/>
      <c r="IG20" s="272"/>
      <c r="IH20" s="272"/>
      <c r="II20" s="272"/>
      <c r="IJ20" s="272"/>
      <c r="IK20" s="272"/>
      <c r="IL20" s="272"/>
      <c r="IM20" s="272"/>
    </row>
    <row r="21" spans="1:247" ht="12.75" x14ac:dyDescent="0.2">
      <c r="A21" s="200" t="s">
        <v>181</v>
      </c>
      <c r="B21" s="200" t="s">
        <v>685</v>
      </c>
      <c r="C21" s="302">
        <v>51220200001</v>
      </c>
      <c r="D21" s="292" t="e">
        <f>VLOOKUP(C21,#REF!,2,FALSE)</f>
        <v>#REF!</v>
      </c>
      <c r="E21" s="946">
        <f t="shared" si="2"/>
        <v>0</v>
      </c>
      <c r="F21" s="201">
        <v>13337</v>
      </c>
      <c r="G21" s="272">
        <v>1</v>
      </c>
      <c r="H21" s="275">
        <f t="shared" si="1"/>
        <v>0</v>
      </c>
      <c r="I21" s="276"/>
      <c r="J21" s="272" t="s">
        <v>780</v>
      </c>
      <c r="K21" s="272">
        <v>13340</v>
      </c>
      <c r="L21" s="272" t="s">
        <v>685</v>
      </c>
      <c r="M21" s="272" t="s">
        <v>411</v>
      </c>
      <c r="N21" s="272" t="s">
        <v>562</v>
      </c>
      <c r="O21" s="272"/>
      <c r="P21" s="272"/>
      <c r="Q21" s="272"/>
      <c r="R21" s="289"/>
      <c r="S21" s="289"/>
      <c r="T21" s="289"/>
      <c r="U21" s="289"/>
      <c r="V21" s="289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  <c r="GP21" s="272"/>
      <c r="GQ21" s="272"/>
      <c r="GR21" s="272"/>
      <c r="GS21" s="272"/>
      <c r="GT21" s="272"/>
      <c r="GU21" s="272"/>
      <c r="GV21" s="272"/>
      <c r="GW21" s="272"/>
      <c r="GX21" s="272"/>
      <c r="GY21" s="272"/>
      <c r="GZ21" s="272"/>
      <c r="HA21" s="272"/>
      <c r="HB21" s="272"/>
      <c r="HC21" s="272"/>
      <c r="HD21" s="272"/>
      <c r="HE21" s="272"/>
      <c r="HF21" s="272"/>
      <c r="HG21" s="272"/>
      <c r="HH21" s="272"/>
      <c r="HI21" s="272"/>
      <c r="HJ21" s="272"/>
      <c r="HK21" s="272"/>
      <c r="HL21" s="272"/>
      <c r="HM21" s="272"/>
      <c r="HN21" s="272"/>
      <c r="HO21" s="272"/>
      <c r="HP21" s="272"/>
      <c r="HQ21" s="272"/>
      <c r="HR21" s="272"/>
      <c r="HS21" s="272"/>
      <c r="HT21" s="272"/>
      <c r="HU21" s="272"/>
      <c r="HV21" s="272"/>
      <c r="HW21" s="272"/>
      <c r="HX21" s="272"/>
      <c r="HY21" s="272"/>
      <c r="HZ21" s="272"/>
      <c r="IA21" s="272"/>
      <c r="IB21" s="272"/>
      <c r="IC21" s="272"/>
      <c r="ID21" s="272"/>
      <c r="IE21" s="272"/>
      <c r="IF21" s="272"/>
      <c r="IG21" s="272"/>
      <c r="IH21" s="272"/>
      <c r="II21" s="272"/>
      <c r="IJ21" s="272"/>
      <c r="IK21" s="272"/>
      <c r="IL21" s="272"/>
      <c r="IM21" s="272"/>
    </row>
    <row r="22" spans="1:247" ht="12.75" x14ac:dyDescent="0.2">
      <c r="A22" s="200" t="s">
        <v>181</v>
      </c>
      <c r="B22" s="200" t="s">
        <v>685</v>
      </c>
      <c r="C22" s="302">
        <v>53000100001</v>
      </c>
      <c r="D22" s="292" t="e">
        <f>VLOOKUP(C22,#REF!,2,FALSE)</f>
        <v>#REF!</v>
      </c>
      <c r="E22" s="946">
        <f t="shared" si="2"/>
        <v>0</v>
      </c>
      <c r="F22" s="201">
        <v>13337</v>
      </c>
      <c r="G22" s="272">
        <v>1</v>
      </c>
      <c r="H22" s="275">
        <f t="shared" si="1"/>
        <v>0</v>
      </c>
      <c r="I22" s="264"/>
      <c r="J22" s="272" t="s">
        <v>780</v>
      </c>
      <c r="K22" s="272">
        <v>13340</v>
      </c>
      <c r="L22" s="272" t="s">
        <v>685</v>
      </c>
      <c r="M22" s="272" t="s">
        <v>411</v>
      </c>
      <c r="N22" s="272" t="s">
        <v>791</v>
      </c>
      <c r="O22" s="272"/>
      <c r="P22" s="272"/>
      <c r="Q22" s="272"/>
      <c r="R22" s="289"/>
      <c r="S22" s="289"/>
      <c r="T22" s="289"/>
      <c r="U22" s="289"/>
      <c r="V22" s="289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  <c r="HI22" s="272"/>
      <c r="HJ22" s="272"/>
      <c r="HK22" s="272"/>
      <c r="HL22" s="272"/>
      <c r="HM22" s="272"/>
      <c r="HN22" s="272"/>
      <c r="HO22" s="272"/>
      <c r="HP22" s="272"/>
      <c r="HQ22" s="272"/>
      <c r="HR22" s="272"/>
      <c r="HS22" s="272"/>
      <c r="HT22" s="272"/>
      <c r="HU22" s="272"/>
      <c r="HV22" s="272"/>
      <c r="HW22" s="272"/>
      <c r="HX22" s="272"/>
      <c r="HY22" s="272"/>
      <c r="HZ22" s="272"/>
      <c r="IA22" s="272"/>
      <c r="IB22" s="272"/>
      <c r="IC22" s="272"/>
      <c r="ID22" s="272"/>
      <c r="IE22" s="272"/>
      <c r="IF22" s="272"/>
      <c r="IG22" s="272"/>
      <c r="IH22" s="272"/>
      <c r="II22" s="272"/>
      <c r="IJ22" s="272"/>
      <c r="IK22" s="272"/>
      <c r="IL22" s="272"/>
      <c r="IM22" s="272"/>
    </row>
    <row r="23" spans="1:247" ht="12.75" x14ac:dyDescent="0.2">
      <c r="A23" s="200" t="s">
        <v>181</v>
      </c>
      <c r="B23" s="200" t="s">
        <v>685</v>
      </c>
      <c r="C23" s="302">
        <v>51000200001</v>
      </c>
      <c r="D23" s="292" t="s">
        <v>787</v>
      </c>
      <c r="E23" s="946">
        <f t="shared" si="2"/>
        <v>0</v>
      </c>
      <c r="F23" s="201"/>
      <c r="G23" s="272"/>
      <c r="H23" s="275"/>
      <c r="I23" s="264"/>
      <c r="J23" s="272" t="s">
        <v>780</v>
      </c>
      <c r="K23" s="272"/>
      <c r="L23" s="272"/>
      <c r="M23" s="272"/>
      <c r="N23" s="272" t="s">
        <v>3</v>
      </c>
      <c r="O23" s="272"/>
      <c r="P23" s="272"/>
      <c r="Q23" s="272"/>
      <c r="R23" s="289"/>
      <c r="S23" s="289"/>
      <c r="T23" s="289"/>
      <c r="U23" s="289"/>
      <c r="V23" s="289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  <c r="GP23" s="272"/>
      <c r="GQ23" s="272"/>
      <c r="GR23" s="272"/>
      <c r="GS23" s="272"/>
      <c r="GT23" s="272"/>
      <c r="GU23" s="272"/>
      <c r="GV23" s="272"/>
      <c r="GW23" s="272"/>
      <c r="GX23" s="272"/>
      <c r="GY23" s="272"/>
      <c r="GZ23" s="272"/>
      <c r="HA23" s="272"/>
      <c r="HB23" s="272"/>
      <c r="HC23" s="272"/>
      <c r="HD23" s="272"/>
      <c r="HE23" s="272"/>
      <c r="HF23" s="272"/>
      <c r="HG23" s="272"/>
      <c r="HH23" s="272"/>
      <c r="HI23" s="272"/>
      <c r="HJ23" s="272"/>
      <c r="HK23" s="272"/>
      <c r="HL23" s="272"/>
      <c r="HM23" s="272"/>
      <c r="HN23" s="272"/>
      <c r="HO23" s="272"/>
      <c r="HP23" s="272"/>
      <c r="HQ23" s="272"/>
      <c r="HR23" s="272"/>
      <c r="HS23" s="272"/>
      <c r="HT23" s="272"/>
      <c r="HU23" s="272"/>
      <c r="HV23" s="272"/>
      <c r="HW23" s="272"/>
      <c r="HX23" s="272"/>
      <c r="HY23" s="272"/>
      <c r="HZ23" s="272"/>
      <c r="IA23" s="272"/>
      <c r="IB23" s="272"/>
      <c r="IC23" s="272"/>
      <c r="ID23" s="272"/>
      <c r="IE23" s="272"/>
      <c r="IF23" s="272"/>
      <c r="IG23" s="272"/>
      <c r="IH23" s="272"/>
      <c r="II23" s="272"/>
      <c r="IJ23" s="272"/>
      <c r="IK23" s="272"/>
      <c r="IL23" s="272"/>
      <c r="IM23" s="272"/>
    </row>
    <row r="24" spans="1:247" ht="12.75" x14ac:dyDescent="0.2">
      <c r="A24" s="200" t="s">
        <v>181</v>
      </c>
      <c r="B24" s="200" t="s">
        <v>685</v>
      </c>
      <c r="C24" s="302">
        <v>51000200002</v>
      </c>
      <c r="D24" s="292" t="s">
        <v>788</v>
      </c>
      <c r="E24" s="946">
        <f t="shared" si="2"/>
        <v>0</v>
      </c>
      <c r="F24" s="201"/>
      <c r="G24" s="272"/>
      <c r="H24" s="275"/>
      <c r="I24" s="264"/>
      <c r="J24" s="272" t="s">
        <v>780</v>
      </c>
      <c r="K24" s="272"/>
      <c r="L24" s="272"/>
      <c r="M24" s="272"/>
      <c r="N24" s="272" t="s">
        <v>3</v>
      </c>
      <c r="O24" s="272"/>
      <c r="P24" s="272"/>
      <c r="Q24" s="272"/>
      <c r="R24" s="289"/>
      <c r="S24" s="289"/>
      <c r="T24" s="289"/>
      <c r="U24" s="289"/>
      <c r="V24" s="289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2"/>
      <c r="HE24" s="272"/>
      <c r="HF24" s="272"/>
      <c r="HG24" s="272"/>
      <c r="HH24" s="272"/>
      <c r="HI24" s="272"/>
      <c r="HJ24" s="272"/>
      <c r="HK24" s="272"/>
      <c r="HL24" s="272"/>
      <c r="HM24" s="272"/>
      <c r="HN24" s="272"/>
      <c r="HO24" s="272"/>
      <c r="HP24" s="272"/>
      <c r="HQ24" s="272"/>
      <c r="HR24" s="272"/>
      <c r="HS24" s="272"/>
      <c r="HT24" s="272"/>
      <c r="HU24" s="272"/>
      <c r="HV24" s="272"/>
      <c r="HW24" s="272"/>
      <c r="HX24" s="272"/>
      <c r="HY24" s="272"/>
      <c r="HZ24" s="272"/>
      <c r="IA24" s="272"/>
      <c r="IB24" s="272"/>
      <c r="IC24" s="272"/>
      <c r="ID24" s="272"/>
      <c r="IE24" s="272"/>
      <c r="IF24" s="272"/>
      <c r="IG24" s="272"/>
      <c r="IH24" s="272"/>
      <c r="II24" s="272"/>
      <c r="IJ24" s="272"/>
      <c r="IK24" s="272"/>
      <c r="IL24" s="272"/>
      <c r="IM24" s="272"/>
    </row>
    <row r="25" spans="1:247" ht="12.75" x14ac:dyDescent="0.2">
      <c r="A25" s="280" t="s">
        <v>181</v>
      </c>
      <c r="B25" s="280" t="s">
        <v>685</v>
      </c>
      <c r="C25" s="958">
        <v>41200800002</v>
      </c>
      <c r="D25" s="291" t="s">
        <v>785</v>
      </c>
      <c r="E25" s="284" t="e">
        <f>-VLOOKUP(C25,#REF!,3,FALSE)</f>
        <v>#REF!</v>
      </c>
      <c r="F25" s="279">
        <v>13337</v>
      </c>
      <c r="G25" s="280">
        <v>1</v>
      </c>
      <c r="H25" s="281" t="e">
        <f>+E25</f>
        <v>#REF!</v>
      </c>
      <c r="I25" s="284"/>
      <c r="J25" s="959" t="s">
        <v>780</v>
      </c>
      <c r="K25" s="959">
        <v>13340</v>
      </c>
      <c r="L25" s="959" t="s">
        <v>685</v>
      </c>
      <c r="M25" s="959" t="s">
        <v>411</v>
      </c>
      <c r="N25" s="959" t="s">
        <v>800</v>
      </c>
      <c r="O25" s="272"/>
      <c r="P25" s="272"/>
      <c r="Q25" s="272"/>
      <c r="R25" s="289"/>
      <c r="S25" s="289"/>
      <c r="T25" s="289"/>
      <c r="U25" s="289"/>
      <c r="V25" s="289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  <c r="HI25" s="272"/>
      <c r="HJ25" s="272"/>
      <c r="HK25" s="272"/>
      <c r="HL25" s="272"/>
      <c r="HM25" s="272"/>
      <c r="HN25" s="272"/>
      <c r="HO25" s="272"/>
      <c r="HP25" s="272"/>
      <c r="HQ25" s="272"/>
      <c r="HR25" s="272"/>
      <c r="HS25" s="272"/>
      <c r="HT25" s="272"/>
      <c r="HU25" s="272"/>
      <c r="HV25" s="272"/>
      <c r="HW25" s="272"/>
      <c r="HX25" s="272"/>
      <c r="HY25" s="272"/>
      <c r="HZ25" s="272"/>
      <c r="IA25" s="272"/>
      <c r="IB25" s="272"/>
      <c r="IC25" s="272"/>
      <c r="ID25" s="272"/>
      <c r="IE25" s="272"/>
      <c r="IF25" s="272"/>
      <c r="IG25" s="272"/>
      <c r="IH25" s="272"/>
      <c r="II25" s="272"/>
      <c r="IJ25" s="272"/>
      <c r="IK25" s="272"/>
      <c r="IL25" s="272"/>
      <c r="IM25" s="272"/>
    </row>
    <row r="26" spans="1:247" ht="12.75" x14ac:dyDescent="0.2">
      <c r="A26" s="200" t="s">
        <v>181</v>
      </c>
      <c r="B26" s="200" t="s">
        <v>685</v>
      </c>
      <c r="C26" s="302">
        <v>51000100002</v>
      </c>
      <c r="D26" s="292" t="e">
        <f>VLOOKUP(C26,#REF!,2,FALSE)</f>
        <v>#REF!</v>
      </c>
      <c r="E26" s="946">
        <f>SUMIFS($V$6:$V$9,$T$6:$T$9,C26,$U$6:$U$9,J26)</f>
        <v>0</v>
      </c>
      <c r="F26" s="201">
        <v>13337</v>
      </c>
      <c r="G26" s="272"/>
      <c r="H26" s="275">
        <f t="shared" si="1"/>
        <v>0</v>
      </c>
      <c r="I26" s="264"/>
      <c r="J26" s="272" t="s">
        <v>97</v>
      </c>
      <c r="K26" s="272">
        <v>13341</v>
      </c>
      <c r="L26" s="272" t="s">
        <v>685</v>
      </c>
      <c r="M26" s="272" t="s">
        <v>411</v>
      </c>
      <c r="N26" s="272" t="s">
        <v>563</v>
      </c>
      <c r="O26" s="272"/>
      <c r="P26" s="272"/>
      <c r="Q26" s="272"/>
      <c r="R26" s="289"/>
      <c r="S26" s="289"/>
      <c r="T26" s="289"/>
      <c r="U26" s="289"/>
      <c r="V26" s="289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  <c r="GP26" s="272"/>
      <c r="GQ26" s="272"/>
      <c r="GR26" s="272"/>
      <c r="GS26" s="272"/>
      <c r="GT26" s="272"/>
      <c r="GU26" s="272"/>
      <c r="GV26" s="272"/>
      <c r="GW26" s="272"/>
      <c r="GX26" s="272"/>
      <c r="GY26" s="272"/>
      <c r="GZ26" s="272"/>
      <c r="HA26" s="272"/>
      <c r="HB26" s="272"/>
      <c r="HC26" s="272"/>
      <c r="HD26" s="272"/>
      <c r="HE26" s="272"/>
      <c r="HF26" s="272"/>
      <c r="HG26" s="272"/>
      <c r="HH26" s="272"/>
      <c r="HI26" s="272"/>
      <c r="HJ26" s="272"/>
      <c r="HK26" s="272"/>
      <c r="HL26" s="272"/>
      <c r="HM26" s="272"/>
      <c r="HN26" s="272"/>
      <c r="HO26" s="272"/>
      <c r="HP26" s="272"/>
      <c r="HQ26" s="272"/>
      <c r="HR26" s="272"/>
      <c r="HS26" s="272"/>
      <c r="HT26" s="272"/>
      <c r="HU26" s="272"/>
      <c r="HV26" s="272"/>
      <c r="HW26" s="272"/>
      <c r="HX26" s="272"/>
      <c r="HY26" s="272"/>
      <c r="HZ26" s="272"/>
      <c r="IA26" s="272"/>
      <c r="IB26" s="272"/>
      <c r="IC26" s="272"/>
      <c r="ID26" s="272"/>
      <c r="IE26" s="272"/>
      <c r="IF26" s="272"/>
      <c r="IG26" s="272"/>
      <c r="IH26" s="272"/>
      <c r="II26" s="272"/>
      <c r="IJ26" s="272"/>
      <c r="IK26" s="272"/>
      <c r="IL26" s="272"/>
      <c r="IM26" s="272"/>
    </row>
    <row r="27" spans="1:247" ht="12.75" x14ac:dyDescent="0.2">
      <c r="A27" s="200" t="s">
        <v>181</v>
      </c>
      <c r="B27" s="200" t="s">
        <v>685</v>
      </c>
      <c r="C27" s="302">
        <v>51000100001</v>
      </c>
      <c r="D27" s="292" t="e">
        <f>VLOOKUP(C27,#REF!,2,FALSE)</f>
        <v>#REF!</v>
      </c>
      <c r="E27" s="946">
        <f>SUMIFS($V$6:$V$9,$T$6:$T$9,C27,$U$6:$U$9,J27)</f>
        <v>0</v>
      </c>
      <c r="F27" s="201">
        <v>13337</v>
      </c>
      <c r="G27" s="272">
        <v>1</v>
      </c>
      <c r="H27" s="275">
        <f t="shared" si="1"/>
        <v>0</v>
      </c>
      <c r="I27" s="264"/>
      <c r="J27" s="272" t="s">
        <v>97</v>
      </c>
      <c r="K27" s="272">
        <v>13341</v>
      </c>
      <c r="L27" s="272" t="s">
        <v>685</v>
      </c>
      <c r="M27" s="272" t="s">
        <v>411</v>
      </c>
      <c r="N27" s="272" t="s">
        <v>563</v>
      </c>
      <c r="O27" s="272"/>
      <c r="P27" s="272"/>
      <c r="Q27" s="272"/>
      <c r="R27" s="289"/>
      <c r="S27" s="289"/>
      <c r="T27" s="289"/>
      <c r="U27" s="289"/>
      <c r="V27" s="289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  <c r="GP27" s="272"/>
      <c r="GQ27" s="272"/>
      <c r="GR27" s="272"/>
      <c r="GS27" s="272"/>
      <c r="GT27" s="272"/>
      <c r="GU27" s="272"/>
      <c r="GV27" s="272"/>
      <c r="GW27" s="272"/>
      <c r="GX27" s="272"/>
      <c r="GY27" s="272"/>
      <c r="GZ27" s="272"/>
      <c r="HA27" s="272"/>
      <c r="HB27" s="272"/>
      <c r="HC27" s="272"/>
      <c r="HD27" s="272"/>
      <c r="HE27" s="272"/>
      <c r="HF27" s="272"/>
      <c r="HG27" s="272"/>
      <c r="HH27" s="272"/>
      <c r="HI27" s="272"/>
      <c r="HJ27" s="272"/>
      <c r="HK27" s="272"/>
      <c r="HL27" s="272"/>
      <c r="HM27" s="272"/>
      <c r="HN27" s="272"/>
      <c r="HO27" s="272"/>
      <c r="HP27" s="272"/>
      <c r="HQ27" s="272"/>
      <c r="HR27" s="272"/>
      <c r="HS27" s="272"/>
      <c r="HT27" s="272"/>
      <c r="HU27" s="272"/>
      <c r="HV27" s="272"/>
      <c r="HW27" s="272"/>
      <c r="HX27" s="272"/>
      <c r="HY27" s="272"/>
      <c r="HZ27" s="272"/>
      <c r="IA27" s="272"/>
      <c r="IB27" s="272"/>
      <c r="IC27" s="272"/>
      <c r="ID27" s="272"/>
      <c r="IE27" s="272"/>
      <c r="IF27" s="272"/>
      <c r="IG27" s="272"/>
      <c r="IH27" s="272"/>
      <c r="II27" s="272"/>
      <c r="IJ27" s="272"/>
      <c r="IK27" s="272"/>
      <c r="IL27" s="272"/>
      <c r="IM27" s="272"/>
    </row>
    <row r="28" spans="1:247" ht="12.75" x14ac:dyDescent="0.2">
      <c r="A28" s="200" t="s">
        <v>181</v>
      </c>
      <c r="B28" s="200" t="s">
        <v>685</v>
      </c>
      <c r="C28" s="302">
        <v>51000100001</v>
      </c>
      <c r="D28" s="292" t="e">
        <f>VLOOKUP(C28,#REF!,2,FALSE)</f>
        <v>#REF!</v>
      </c>
      <c r="E28" s="946">
        <f>SUMIFS($V$6:$V$9,$T$6:$T$9,C28,$U$6:$U$9,J28)</f>
        <v>0</v>
      </c>
      <c r="F28" s="201"/>
      <c r="G28" s="272"/>
      <c r="H28" s="275"/>
      <c r="I28" s="264"/>
      <c r="J28" s="272" t="s">
        <v>864</v>
      </c>
      <c r="K28" s="272"/>
      <c r="L28" s="272"/>
      <c r="M28" s="272"/>
      <c r="N28" s="272" t="s">
        <v>563</v>
      </c>
      <c r="O28" s="272"/>
      <c r="P28" s="272"/>
      <c r="Q28" s="272"/>
      <c r="R28" s="289"/>
      <c r="S28" s="289"/>
      <c r="T28" s="289"/>
      <c r="U28" s="289"/>
      <c r="V28" s="289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  <c r="GP28" s="272"/>
      <c r="GQ28" s="272"/>
      <c r="GR28" s="272"/>
      <c r="GS28" s="272"/>
      <c r="GT28" s="272"/>
      <c r="GU28" s="272"/>
      <c r="GV28" s="272"/>
      <c r="GW28" s="272"/>
      <c r="GX28" s="272"/>
      <c r="GY28" s="272"/>
      <c r="GZ28" s="272"/>
      <c r="HA28" s="272"/>
      <c r="HB28" s="272"/>
      <c r="HC28" s="272"/>
      <c r="HD28" s="272"/>
      <c r="HE28" s="272"/>
      <c r="HF28" s="272"/>
      <c r="HG28" s="272"/>
      <c r="HH28" s="272"/>
      <c r="HI28" s="272"/>
      <c r="HJ28" s="272"/>
      <c r="HK28" s="272"/>
      <c r="HL28" s="272"/>
      <c r="HM28" s="272"/>
      <c r="HN28" s="272"/>
      <c r="HO28" s="272"/>
      <c r="HP28" s="272"/>
      <c r="HQ28" s="272"/>
      <c r="HR28" s="272"/>
      <c r="HS28" s="272"/>
      <c r="HT28" s="272"/>
      <c r="HU28" s="272"/>
      <c r="HV28" s="272"/>
      <c r="HW28" s="272"/>
      <c r="HX28" s="272"/>
      <c r="HY28" s="272"/>
      <c r="HZ28" s="272"/>
      <c r="IA28" s="272"/>
      <c r="IB28" s="272"/>
      <c r="IC28" s="272"/>
      <c r="ID28" s="272"/>
      <c r="IE28" s="272"/>
      <c r="IF28" s="272"/>
      <c r="IG28" s="272"/>
      <c r="IH28" s="272"/>
      <c r="II28" s="272"/>
      <c r="IJ28" s="272"/>
      <c r="IK28" s="272"/>
      <c r="IL28" s="272"/>
      <c r="IM28" s="272"/>
    </row>
    <row r="29" spans="1:247" ht="12.75" x14ac:dyDescent="0.2">
      <c r="A29" s="200" t="s">
        <v>181</v>
      </c>
      <c r="B29" s="200" t="s">
        <v>685</v>
      </c>
      <c r="C29" s="302">
        <v>51220200001</v>
      </c>
      <c r="D29" s="292" t="e">
        <f>VLOOKUP(C29,#REF!,2,FALSE)</f>
        <v>#REF!</v>
      </c>
      <c r="E29" s="946">
        <f>SUMIFS($V$6:$V$9,$T$6:$T$9,C29,$U$6:$U$9,J29)</f>
        <v>0</v>
      </c>
      <c r="F29" s="201">
        <v>13337</v>
      </c>
      <c r="G29" s="272">
        <v>1</v>
      </c>
      <c r="H29" s="275">
        <f t="shared" si="1"/>
        <v>0</v>
      </c>
      <c r="I29" s="276"/>
      <c r="J29" s="272" t="s">
        <v>97</v>
      </c>
      <c r="K29" s="272">
        <v>13341</v>
      </c>
      <c r="L29" s="272" t="s">
        <v>685</v>
      </c>
      <c r="M29" s="272" t="s">
        <v>411</v>
      </c>
      <c r="N29" s="272" t="s">
        <v>562</v>
      </c>
      <c r="O29" s="272"/>
      <c r="P29" s="272"/>
      <c r="Q29" s="272"/>
      <c r="R29" s="289"/>
      <c r="S29" s="289"/>
      <c r="T29" s="289"/>
      <c r="U29" s="289"/>
      <c r="V29" s="289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  <c r="GP29" s="272"/>
      <c r="GQ29" s="272"/>
      <c r="GR29" s="272"/>
      <c r="GS29" s="272"/>
      <c r="GT29" s="272"/>
      <c r="GU29" s="272"/>
      <c r="GV29" s="272"/>
      <c r="GW29" s="272"/>
      <c r="GX29" s="272"/>
      <c r="GY29" s="272"/>
      <c r="GZ29" s="272"/>
      <c r="HA29" s="272"/>
      <c r="HB29" s="272"/>
      <c r="HC29" s="272"/>
      <c r="HD29" s="272"/>
      <c r="HE29" s="272"/>
      <c r="HF29" s="272"/>
      <c r="HG29" s="272"/>
      <c r="HH29" s="272"/>
      <c r="HI29" s="272"/>
      <c r="HJ29" s="272"/>
      <c r="HK29" s="272"/>
      <c r="HL29" s="272"/>
      <c r="HM29" s="272"/>
      <c r="HN29" s="272"/>
      <c r="HO29" s="272"/>
      <c r="HP29" s="272"/>
      <c r="HQ29" s="272"/>
      <c r="HR29" s="272"/>
      <c r="HS29" s="272"/>
      <c r="HT29" s="272"/>
      <c r="HU29" s="272"/>
      <c r="HV29" s="272"/>
      <c r="HW29" s="272"/>
      <c r="HX29" s="272"/>
      <c r="HY29" s="272"/>
      <c r="HZ29" s="272"/>
      <c r="IA29" s="272"/>
      <c r="IB29" s="272"/>
      <c r="IC29" s="272"/>
      <c r="ID29" s="272"/>
      <c r="IE29" s="272"/>
      <c r="IF29" s="272"/>
      <c r="IG29" s="272"/>
      <c r="IH29" s="272"/>
      <c r="II29" s="272"/>
      <c r="IJ29" s="272"/>
      <c r="IK29" s="272"/>
      <c r="IL29" s="272"/>
      <c r="IM29" s="272"/>
    </row>
    <row r="30" spans="1:247" ht="12.75" x14ac:dyDescent="0.2">
      <c r="A30" s="200" t="s">
        <v>181</v>
      </c>
      <c r="B30" s="200" t="s">
        <v>685</v>
      </c>
      <c r="C30" s="302">
        <v>53000100001</v>
      </c>
      <c r="D30" s="292" t="e">
        <f>VLOOKUP(C30,#REF!,2,FALSE)</f>
        <v>#REF!</v>
      </c>
      <c r="E30" s="946">
        <f>SUMIFS($V$6:$V$9,$T$6:$T$9,C30,$U$6:$U$9,J30)</f>
        <v>0</v>
      </c>
      <c r="F30" s="201">
        <v>13337</v>
      </c>
      <c r="G30" s="272">
        <v>1</v>
      </c>
      <c r="H30" s="275">
        <f t="shared" si="1"/>
        <v>0</v>
      </c>
      <c r="I30" s="276"/>
      <c r="J30" s="272" t="s">
        <v>97</v>
      </c>
      <c r="K30" s="272">
        <v>13341</v>
      </c>
      <c r="L30" s="272" t="s">
        <v>685</v>
      </c>
      <c r="M30" s="272" t="s">
        <v>411</v>
      </c>
      <c r="N30" s="272" t="s">
        <v>563</v>
      </c>
      <c r="O30" s="272"/>
      <c r="P30" s="272"/>
      <c r="Q30" s="272"/>
      <c r="R30" s="289"/>
      <c r="S30" s="289"/>
      <c r="T30" s="289"/>
      <c r="U30" s="289"/>
      <c r="V30" s="289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  <c r="GP30" s="272"/>
      <c r="GQ30" s="272"/>
      <c r="GR30" s="272"/>
      <c r="GS30" s="272"/>
      <c r="GT30" s="272"/>
      <c r="GU30" s="272"/>
      <c r="GV30" s="272"/>
      <c r="GW30" s="272"/>
      <c r="GX30" s="272"/>
      <c r="GY30" s="272"/>
      <c r="GZ30" s="272"/>
      <c r="HA30" s="272"/>
      <c r="HB30" s="272"/>
      <c r="HC30" s="272"/>
      <c r="HD30" s="272"/>
      <c r="HE30" s="272"/>
      <c r="HF30" s="272"/>
      <c r="HG30" s="272"/>
      <c r="HH30" s="272"/>
      <c r="HI30" s="272"/>
      <c r="HJ30" s="272"/>
      <c r="HK30" s="272"/>
      <c r="HL30" s="272"/>
      <c r="HM30" s="272"/>
      <c r="HN30" s="272"/>
      <c r="HO30" s="272"/>
      <c r="HP30" s="272"/>
      <c r="HQ30" s="272"/>
      <c r="HR30" s="272"/>
      <c r="HS30" s="272"/>
      <c r="HT30" s="272"/>
      <c r="HU30" s="272"/>
      <c r="HV30" s="272"/>
      <c r="HW30" s="272"/>
      <c r="HX30" s="272"/>
      <c r="HY30" s="272"/>
      <c r="HZ30" s="272"/>
      <c r="IA30" s="272"/>
      <c r="IB30" s="272"/>
      <c r="IC30" s="272"/>
      <c r="ID30" s="272"/>
      <c r="IE30" s="272"/>
      <c r="IF30" s="272"/>
      <c r="IG30" s="272"/>
      <c r="IH30" s="272"/>
      <c r="II30" s="272"/>
      <c r="IJ30" s="272"/>
      <c r="IK30" s="272"/>
      <c r="IL30" s="272"/>
      <c r="IM30" s="272"/>
    </row>
    <row r="31" spans="1:247" ht="12.75" x14ac:dyDescent="0.2">
      <c r="A31" s="280" t="s">
        <v>181</v>
      </c>
      <c r="B31" s="280" t="s">
        <v>685</v>
      </c>
      <c r="C31" s="958">
        <v>41230100001</v>
      </c>
      <c r="D31" s="291" t="s">
        <v>843</v>
      </c>
      <c r="E31" s="949" t="e">
        <f>-VLOOKUP(C31,#REF!,3,FALSE)</f>
        <v>#REF!</v>
      </c>
      <c r="F31" s="278">
        <v>13337</v>
      </c>
      <c r="G31" s="278">
        <v>1</v>
      </c>
      <c r="H31" s="281" t="e">
        <f>+E31</f>
        <v>#REF!</v>
      </c>
      <c r="I31" s="284"/>
      <c r="J31" s="959" t="s">
        <v>780</v>
      </c>
      <c r="K31" s="959">
        <v>13340</v>
      </c>
      <c r="L31" s="959" t="s">
        <v>685</v>
      </c>
      <c r="M31" s="959" t="s">
        <v>411</v>
      </c>
      <c r="N31" s="291" t="s">
        <v>845</v>
      </c>
      <c r="O31" s="272"/>
      <c r="R31" s="289"/>
      <c r="S31" s="289"/>
      <c r="T31" s="289"/>
      <c r="U31" s="289"/>
      <c r="V31" s="289"/>
    </row>
    <row r="32" spans="1:247" ht="12.75" x14ac:dyDescent="0.2">
      <c r="A32" s="280" t="s">
        <v>181</v>
      </c>
      <c r="B32" s="280" t="s">
        <v>685</v>
      </c>
      <c r="C32" s="958">
        <v>41230300001</v>
      </c>
      <c r="D32" s="291" t="s">
        <v>844</v>
      </c>
      <c r="E32" s="950" t="e">
        <f>-VLOOKUP(C32,#REF!,3,FALSE)</f>
        <v>#REF!</v>
      </c>
      <c r="F32" s="278">
        <v>13337</v>
      </c>
      <c r="G32" s="278">
        <v>1</v>
      </c>
      <c r="H32" s="281" t="e">
        <f>+E32</f>
        <v>#REF!</v>
      </c>
      <c r="I32" s="284"/>
      <c r="J32" s="959" t="s">
        <v>780</v>
      </c>
      <c r="K32" s="959">
        <v>13340</v>
      </c>
      <c r="L32" s="959" t="s">
        <v>685</v>
      </c>
      <c r="M32" s="959" t="s">
        <v>411</v>
      </c>
      <c r="N32" s="291" t="s">
        <v>845</v>
      </c>
      <c r="O32" s="272"/>
      <c r="R32" s="289"/>
      <c r="S32" s="289"/>
      <c r="T32" s="289"/>
      <c r="U32" s="289"/>
      <c r="V32" s="289"/>
    </row>
    <row r="33" spans="1:22" ht="12.75" x14ac:dyDescent="0.2">
      <c r="A33" s="200" t="s">
        <v>181</v>
      </c>
      <c r="B33" s="200" t="s">
        <v>685</v>
      </c>
      <c r="C33" s="302">
        <v>51000000001</v>
      </c>
      <c r="D33" s="292" t="s">
        <v>208</v>
      </c>
      <c r="E33" s="946">
        <f>SUMIFS($V$6:$V$9,$T$6:$T$9,C33,$U$6:$U$9,J33)</f>
        <v>0</v>
      </c>
      <c r="F33" s="278"/>
      <c r="G33" s="278"/>
      <c r="H33" s="281"/>
      <c r="I33" s="284">
        <v>0</v>
      </c>
      <c r="J33" s="272" t="s">
        <v>835</v>
      </c>
      <c r="K33" s="272"/>
      <c r="L33" s="272"/>
      <c r="M33" s="272"/>
      <c r="N33" s="292" t="s">
        <v>869</v>
      </c>
      <c r="O33" s="272"/>
      <c r="R33" s="289"/>
      <c r="S33" s="289"/>
      <c r="T33" s="289"/>
      <c r="U33" s="289"/>
      <c r="V33" s="289"/>
    </row>
    <row r="34" spans="1:22" ht="12.75" x14ac:dyDescent="0.2">
      <c r="A34" s="200" t="s">
        <v>181</v>
      </c>
      <c r="B34" s="200" t="s">
        <v>685</v>
      </c>
      <c r="C34" s="302">
        <v>51000000002</v>
      </c>
      <c r="D34" s="292" t="s">
        <v>6</v>
      </c>
      <c r="E34" s="946">
        <f>SUMIFS($V$6:$V$9,$T$6:$T$9,C34,$U$6:$U$9,J34)</f>
        <v>0</v>
      </c>
      <c r="F34" s="278"/>
      <c r="G34" s="278"/>
      <c r="H34" s="281"/>
      <c r="I34" s="284"/>
      <c r="J34" s="272" t="s">
        <v>835</v>
      </c>
      <c r="K34" s="272"/>
      <c r="L34" s="272"/>
      <c r="M34" s="272"/>
      <c r="N34" s="292" t="s">
        <v>869</v>
      </c>
      <c r="O34" s="272"/>
      <c r="R34" s="289"/>
      <c r="S34" s="289"/>
      <c r="T34" s="289"/>
      <c r="U34" s="289"/>
      <c r="V34" s="289"/>
    </row>
    <row r="35" spans="1:22" ht="12.75" x14ac:dyDescent="0.2">
      <c r="E35" s="367" t="e">
        <f>SUM(E6:E34)</f>
        <v>#REF!</v>
      </c>
      <c r="I35" s="367">
        <f>SUM(I7:I14,I17:I22,I26:I30)</f>
        <v>0</v>
      </c>
      <c r="R35" s="289"/>
      <c r="S35" s="289"/>
      <c r="T35" s="289"/>
      <c r="U35" s="289"/>
      <c r="V35" s="289"/>
    </row>
    <row r="36" spans="1:22" ht="12.75" x14ac:dyDescent="0.2">
      <c r="R36" s="289"/>
      <c r="S36" s="289"/>
      <c r="T36" s="289"/>
      <c r="U36" s="289"/>
      <c r="V36" s="289"/>
    </row>
    <row r="37" spans="1:22" ht="12.75" x14ac:dyDescent="0.2">
      <c r="E37" s="478">
        <f>V10</f>
        <v>4555.4499999999989</v>
      </c>
      <c r="J37" s="274" t="s">
        <v>861</v>
      </c>
      <c r="N37" s="481"/>
      <c r="R37" s="289"/>
      <c r="S37" s="289"/>
      <c r="T37" s="289"/>
      <c r="U37" s="289"/>
      <c r="V37" s="289"/>
    </row>
    <row r="38" spans="1:22" ht="15" x14ac:dyDescent="0.35">
      <c r="E38" s="509" t="e">
        <f>E15+E16+E25+E31+E32</f>
        <v>#REF!</v>
      </c>
      <c r="J38" s="274" t="s">
        <v>862</v>
      </c>
      <c r="R38" s="289"/>
      <c r="S38" s="289"/>
      <c r="T38" s="289"/>
      <c r="U38" s="289"/>
      <c r="V38" s="289"/>
    </row>
    <row r="39" spans="1:22" ht="12.75" x14ac:dyDescent="0.2">
      <c r="E39" s="478" t="e">
        <f>E37+E38</f>
        <v>#REF!</v>
      </c>
      <c r="J39" s="274" t="s">
        <v>863</v>
      </c>
      <c r="R39" s="289"/>
      <c r="S39" s="289"/>
      <c r="T39" s="289"/>
      <c r="U39" s="289"/>
      <c r="V39" s="289"/>
    </row>
    <row r="40" spans="1:22" ht="12.75" x14ac:dyDescent="0.2">
      <c r="R40" s="289"/>
      <c r="S40" s="289"/>
      <c r="T40" s="289"/>
      <c r="U40" s="289"/>
      <c r="V40" s="289"/>
    </row>
    <row r="41" spans="1:22" ht="12.75" x14ac:dyDescent="0.2">
      <c r="E41" s="544" t="e">
        <f>E35-E39</f>
        <v>#REF!</v>
      </c>
      <c r="R41" s="289"/>
      <c r="S41" s="289"/>
      <c r="T41" s="289"/>
      <c r="U41" s="289"/>
      <c r="V41" s="289"/>
    </row>
    <row r="42" spans="1:22" ht="12.75" x14ac:dyDescent="0.2">
      <c r="R42" s="289"/>
      <c r="S42" s="289"/>
      <c r="T42" s="289"/>
      <c r="U42" s="289"/>
      <c r="V42" s="289"/>
    </row>
    <row r="43" spans="1:22" ht="12.75" x14ac:dyDescent="0.2">
      <c r="R43" s="289"/>
      <c r="S43" s="289"/>
      <c r="T43" s="289"/>
      <c r="U43" s="289"/>
      <c r="V43" s="289"/>
    </row>
    <row r="44" spans="1:22" ht="12.75" x14ac:dyDescent="0.2">
      <c r="R44" s="289"/>
      <c r="S44" s="289"/>
      <c r="T44" s="289"/>
      <c r="U44" s="289"/>
      <c r="V44" s="289"/>
    </row>
    <row r="45" spans="1:22" ht="12.75" x14ac:dyDescent="0.2">
      <c r="R45" s="289"/>
      <c r="S45" s="289"/>
      <c r="T45" s="289"/>
      <c r="U45" s="289"/>
      <c r="V45" s="289"/>
    </row>
    <row r="46" spans="1:22" ht="12.75" x14ac:dyDescent="0.2">
      <c r="R46" s="289"/>
      <c r="S46" s="289"/>
      <c r="T46" s="289"/>
      <c r="U46" s="289"/>
      <c r="V46" s="289"/>
    </row>
    <row r="47" spans="1:22" ht="12.75" x14ac:dyDescent="0.2">
      <c r="E47" s="947"/>
      <c r="R47" s="289"/>
      <c r="S47" s="289"/>
      <c r="T47" s="289"/>
      <c r="U47" s="289"/>
      <c r="V47" s="289"/>
    </row>
    <row r="48" spans="1:22" ht="12.75" x14ac:dyDescent="0.2">
      <c r="E48" s="947"/>
      <c r="R48" s="289"/>
      <c r="S48" s="289"/>
      <c r="T48" s="289"/>
      <c r="U48" s="289"/>
      <c r="V48" s="289"/>
    </row>
    <row r="49" spans="5:22" ht="12.75" x14ac:dyDescent="0.2">
      <c r="E49" s="947"/>
      <c r="R49" s="289"/>
      <c r="S49" s="289"/>
      <c r="T49" s="289"/>
      <c r="U49" s="289"/>
      <c r="V49" s="289"/>
    </row>
    <row r="50" spans="5:22" ht="12.75" x14ac:dyDescent="0.2">
      <c r="E50" s="947"/>
      <c r="R50" s="289"/>
      <c r="S50" s="289"/>
      <c r="T50" s="289"/>
      <c r="U50" s="289"/>
      <c r="V50" s="289"/>
    </row>
    <row r="51" spans="5:22" ht="12.75" x14ac:dyDescent="0.2">
      <c r="E51" s="947"/>
      <c r="R51" s="289"/>
      <c r="S51" s="289"/>
      <c r="T51" s="289"/>
      <c r="U51" s="289"/>
      <c r="V51" s="289"/>
    </row>
    <row r="52" spans="5:22" ht="12.75" x14ac:dyDescent="0.2">
      <c r="E52" s="947"/>
      <c r="R52" s="289"/>
      <c r="S52" s="289"/>
      <c r="T52" s="289"/>
      <c r="U52" s="289"/>
      <c r="V52" s="289"/>
    </row>
    <row r="53" spans="5:22" ht="12.75" x14ac:dyDescent="0.2">
      <c r="E53" s="948"/>
      <c r="R53" s="289"/>
      <c r="S53" s="289"/>
      <c r="T53" s="289"/>
      <c r="U53" s="289"/>
      <c r="V53" s="289"/>
    </row>
    <row r="54" spans="5:22" ht="12.75" x14ac:dyDescent="0.2">
      <c r="R54" s="289"/>
      <c r="S54" s="289"/>
      <c r="T54" s="289"/>
      <c r="U54" s="289"/>
      <c r="V54" s="289"/>
    </row>
    <row r="55" spans="5:22" ht="12.75" x14ac:dyDescent="0.2">
      <c r="R55" s="289"/>
      <c r="S55" s="289"/>
      <c r="T55" s="289"/>
      <c r="U55" s="289"/>
      <c r="V55" s="289"/>
    </row>
    <row r="56" spans="5:22" ht="12.75" x14ac:dyDescent="0.2">
      <c r="R56" s="289"/>
      <c r="S56" s="289"/>
      <c r="T56" s="289"/>
      <c r="U56" s="289"/>
      <c r="V56" s="289"/>
    </row>
    <row r="57" spans="5:22" ht="12.75" x14ac:dyDescent="0.2">
      <c r="R57" s="289"/>
      <c r="S57" s="289"/>
      <c r="T57" s="289"/>
      <c r="U57" s="289"/>
      <c r="V57" s="289"/>
    </row>
    <row r="58" spans="5:22" ht="12.75" x14ac:dyDescent="0.2">
      <c r="R58" s="289"/>
      <c r="S58" s="289"/>
      <c r="T58" s="289"/>
      <c r="U58" s="289"/>
      <c r="V58" s="289"/>
    </row>
    <row r="59" spans="5:22" ht="12.75" x14ac:dyDescent="0.2">
      <c r="R59" s="289"/>
      <c r="S59" s="289"/>
      <c r="T59" s="289"/>
      <c r="U59" s="289"/>
      <c r="V59" s="289"/>
    </row>
    <row r="60" spans="5:22" ht="12.75" x14ac:dyDescent="0.2">
      <c r="R60" s="289"/>
      <c r="S60" s="289"/>
      <c r="T60" s="289"/>
      <c r="U60" s="289"/>
      <c r="V60" s="289"/>
    </row>
    <row r="61" spans="5:22" ht="12.75" x14ac:dyDescent="0.2">
      <c r="S61" s="289"/>
    </row>
    <row r="62" spans="5:22" ht="12.75" x14ac:dyDescent="0.2">
      <c r="S62" s="289"/>
      <c r="T62" s="289"/>
      <c r="U62" s="289"/>
      <c r="V62" s="289"/>
    </row>
    <row r="63" spans="5:22" ht="12.75" x14ac:dyDescent="0.2">
      <c r="S63" s="289"/>
      <c r="T63" s="289"/>
      <c r="U63" s="289"/>
      <c r="V63" s="289"/>
    </row>
    <row r="64" spans="5:22" ht="12.75" x14ac:dyDescent="0.2">
      <c r="S64" s="289"/>
      <c r="T64" s="289"/>
      <c r="U64" s="289"/>
      <c r="V64" s="289"/>
    </row>
    <row r="65" spans="19:22" ht="12.75" x14ac:dyDescent="0.2">
      <c r="S65" s="289"/>
      <c r="T65" s="289"/>
      <c r="U65" s="289"/>
      <c r="V65" s="289"/>
    </row>
    <row r="66" spans="19:22" ht="12.75" x14ac:dyDescent="0.2">
      <c r="S66" s="289"/>
      <c r="T66" s="289"/>
      <c r="U66" s="289"/>
      <c r="V66" s="289"/>
    </row>
    <row r="67" spans="19:22" ht="12.75" x14ac:dyDescent="0.2">
      <c r="S67" s="289"/>
      <c r="T67" s="289"/>
      <c r="U67" s="289"/>
      <c r="V67" s="289"/>
    </row>
    <row r="68" spans="19:22" ht="12.75" x14ac:dyDescent="0.2">
      <c r="S68" s="289"/>
      <c r="T68" s="289"/>
      <c r="U68" s="289"/>
      <c r="V68" s="289"/>
    </row>
    <row r="69" spans="19:22" ht="12.75" x14ac:dyDescent="0.2">
      <c r="S69" s="289"/>
      <c r="T69" s="289"/>
      <c r="U69" s="289"/>
      <c r="V69" s="289"/>
    </row>
    <row r="70" spans="19:22" ht="12.75" x14ac:dyDescent="0.2">
      <c r="S70" s="289"/>
      <c r="T70" s="289"/>
      <c r="U70" s="289"/>
      <c r="V70" s="289"/>
    </row>
    <row r="71" spans="19:22" ht="12.75" x14ac:dyDescent="0.2">
      <c r="S71" s="289"/>
      <c r="T71" s="289"/>
      <c r="U71" s="289"/>
      <c r="V71" s="289"/>
    </row>
    <row r="72" spans="19:22" ht="12.75" x14ac:dyDescent="0.2">
      <c r="S72" s="289"/>
      <c r="T72" s="289"/>
      <c r="U72" s="289"/>
      <c r="V72" s="289"/>
    </row>
    <row r="73" spans="19:22" ht="12.75" x14ac:dyDescent="0.2">
      <c r="S73" s="289"/>
      <c r="T73" s="289"/>
      <c r="U73" s="289"/>
      <c r="V73" s="289"/>
    </row>
    <row r="74" spans="19:22" ht="12.75" x14ac:dyDescent="0.2">
      <c r="S74" s="289"/>
      <c r="T74" s="289"/>
      <c r="U74" s="289"/>
      <c r="V74" s="289"/>
    </row>
    <row r="75" spans="19:22" ht="12.75" x14ac:dyDescent="0.2">
      <c r="S75" s="289"/>
      <c r="T75" s="289"/>
      <c r="U75" s="289"/>
      <c r="V75" s="289"/>
    </row>
    <row r="76" spans="19:22" ht="12.75" x14ac:dyDescent="0.2">
      <c r="S76" s="289"/>
      <c r="T76" s="289"/>
      <c r="U76" s="289"/>
      <c r="V76" s="289"/>
    </row>
    <row r="77" spans="19:22" ht="12.75" x14ac:dyDescent="0.2">
      <c r="S77" s="289"/>
      <c r="T77" s="289"/>
      <c r="U77" s="289"/>
      <c r="V77" s="289"/>
    </row>
    <row r="78" spans="19:22" ht="12.75" x14ac:dyDescent="0.2">
      <c r="S78" s="289"/>
      <c r="T78" s="289"/>
      <c r="U78" s="289"/>
      <c r="V78" s="289"/>
    </row>
    <row r="81" spans="23:24" x14ac:dyDescent="0.2">
      <c r="W81" s="522"/>
      <c r="X81" s="522"/>
    </row>
  </sheetData>
  <autoFilter ref="A5:L35"/>
  <mergeCells count="1">
    <mergeCell ref="S5:V5"/>
  </mergeCells>
  <phoneticPr fontId="136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619"/>
  <sheetViews>
    <sheetView showGridLines="0" topLeftCell="E529" zoomScale="70" zoomScaleNormal="70" workbookViewId="0">
      <selection activeCell="A5" sqref="A5"/>
    </sheetView>
  </sheetViews>
  <sheetFormatPr baseColWidth="10" defaultColWidth="12" defaultRowHeight="12.75" x14ac:dyDescent="0.2"/>
  <cols>
    <col min="1" max="1" width="8.5703125" style="352" customWidth="1"/>
    <col min="2" max="2" width="12" style="352" customWidth="1"/>
    <col min="3" max="4" width="12" style="362" customWidth="1"/>
    <col min="5" max="5" width="49.85546875" style="352" customWidth="1"/>
    <col min="6" max="6" width="11.7109375" style="352" customWidth="1"/>
    <col min="7" max="7" width="4.85546875" style="352" hidden="1" customWidth="1"/>
    <col min="8" max="8" width="5.140625" style="352" hidden="1" customWidth="1"/>
    <col min="9" max="9" width="5.85546875" style="352" hidden="1" customWidth="1"/>
    <col min="10" max="10" width="16.42578125" style="352" customWidth="1"/>
    <col min="11" max="11" width="16.7109375" style="352" customWidth="1"/>
    <col min="12" max="12" width="17.28515625" style="352" customWidth="1"/>
    <col min="13" max="13" width="19.7109375" style="353" bestFit="1" customWidth="1"/>
    <col min="14" max="14" width="16.85546875" style="353" customWidth="1"/>
    <col min="15" max="15" width="22.140625" style="353" customWidth="1"/>
    <col min="16" max="16" width="13.7109375" style="353" bestFit="1" customWidth="1"/>
    <col min="17" max="17" width="36.140625" style="354" bestFit="1" customWidth="1"/>
    <col min="18" max="18" width="13.28515625" style="354" customWidth="1"/>
    <col min="19" max="19" width="12" style="354"/>
    <col min="20" max="20" width="13.7109375" style="354" bestFit="1" customWidth="1"/>
    <col min="21" max="22" width="12" style="354"/>
    <col min="23" max="23" width="28.42578125" style="354" bestFit="1" customWidth="1"/>
    <col min="24" max="24" width="18.5703125" style="354" customWidth="1"/>
    <col min="25" max="25" width="20.42578125" style="354" bestFit="1" customWidth="1"/>
    <col min="26" max="26" width="13" style="354" bestFit="1" customWidth="1"/>
    <col min="27" max="27" width="12" style="354"/>
    <col min="28" max="28" width="16.5703125" style="354" customWidth="1"/>
    <col min="29" max="16384" width="12" style="354"/>
  </cols>
  <sheetData>
    <row r="1" spans="2:26" ht="12.75" customHeight="1" x14ac:dyDescent="0.2">
      <c r="C1" s="352"/>
      <c r="D1" s="352"/>
    </row>
    <row r="2" spans="2:26" x14ac:dyDescent="0.2">
      <c r="B2" s="355" t="s">
        <v>782</v>
      </c>
      <c r="C2" s="352"/>
      <c r="D2" s="352"/>
      <c r="E2" s="356"/>
      <c r="F2" s="357"/>
    </row>
    <row r="3" spans="2:26" x14ac:dyDescent="0.2">
      <c r="B3" s="358" t="s">
        <v>606</v>
      </c>
      <c r="C3" s="352"/>
      <c r="D3" s="352"/>
      <c r="E3" s="358"/>
      <c r="F3" s="357"/>
      <c r="T3" s="508" t="s">
        <v>857</v>
      </c>
      <c r="U3" s="508" t="s">
        <v>858</v>
      </c>
    </row>
    <row r="4" spans="2:26" x14ac:dyDescent="0.2">
      <c r="B4" s="359" t="s">
        <v>607</v>
      </c>
      <c r="C4" s="352"/>
      <c r="D4" s="352"/>
      <c r="E4" s="356"/>
      <c r="F4" s="360"/>
      <c r="T4" s="354">
        <v>628352</v>
      </c>
      <c r="U4" s="354" t="s">
        <v>859</v>
      </c>
    </row>
    <row r="5" spans="2:26" x14ac:dyDescent="0.2">
      <c r="B5" s="359" t="s">
        <v>783</v>
      </c>
      <c r="C5" s="352"/>
      <c r="D5" s="352"/>
      <c r="E5" s="356"/>
      <c r="F5" s="357"/>
      <c r="T5" s="354">
        <v>1378139</v>
      </c>
      <c r="U5" s="354" t="s">
        <v>855</v>
      </c>
    </row>
    <row r="6" spans="2:26" x14ac:dyDescent="0.2">
      <c r="B6" s="361"/>
      <c r="C6" s="352"/>
      <c r="D6" s="352"/>
      <c r="E6" s="356"/>
      <c r="F6" s="357"/>
      <c r="T6" s="354">
        <v>13185646</v>
      </c>
      <c r="U6" s="354" t="s">
        <v>860</v>
      </c>
    </row>
    <row r="7" spans="2:26" ht="18" x14ac:dyDescent="0.25">
      <c r="B7" s="419" t="s">
        <v>833</v>
      </c>
      <c r="C7" s="420"/>
      <c r="D7" s="421"/>
      <c r="E7" s="422" t="s">
        <v>254</v>
      </c>
      <c r="F7" s="423" t="s">
        <v>361</v>
      </c>
      <c r="G7" s="424">
        <v>2017</v>
      </c>
      <c r="H7" s="425" t="s">
        <v>73</v>
      </c>
      <c r="I7" s="425"/>
      <c r="J7" s="420"/>
      <c r="K7" s="420"/>
      <c r="L7" s="420"/>
      <c r="T7" s="354">
        <v>62294</v>
      </c>
      <c r="U7" s="354" t="s">
        <v>0</v>
      </c>
    </row>
    <row r="8" spans="2:26" x14ac:dyDescent="0.2">
      <c r="B8" s="426" t="s">
        <v>74</v>
      </c>
      <c r="C8" s="420"/>
      <c r="D8" s="420"/>
      <c r="E8" s="427"/>
      <c r="F8" s="428"/>
      <c r="G8" s="420"/>
      <c r="H8" s="429"/>
      <c r="I8" s="429"/>
      <c r="J8" s="420"/>
      <c r="K8" s="420"/>
      <c r="L8" s="420"/>
    </row>
    <row r="9" spans="2:26" x14ac:dyDescent="0.2"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</row>
    <row r="11" spans="2:26" x14ac:dyDescent="0.2">
      <c r="B11" s="431"/>
      <c r="C11" s="432" t="s">
        <v>609</v>
      </c>
      <c r="D11" s="433" t="s">
        <v>75</v>
      </c>
      <c r="E11" s="433"/>
      <c r="F11" s="433" t="s">
        <v>210</v>
      </c>
      <c r="G11" s="433"/>
      <c r="H11" s="434" t="s">
        <v>211</v>
      </c>
      <c r="I11" s="435"/>
      <c r="J11" s="435"/>
      <c r="K11" s="435"/>
      <c r="L11" s="454"/>
    </row>
    <row r="12" spans="2:26" x14ac:dyDescent="0.2">
      <c r="B12" s="436" t="s">
        <v>212</v>
      </c>
      <c r="C12" s="437" t="s">
        <v>213</v>
      </c>
      <c r="D12" s="437" t="s">
        <v>616</v>
      </c>
      <c r="E12" s="437" t="s">
        <v>214</v>
      </c>
      <c r="F12" s="437" t="s">
        <v>617</v>
      </c>
      <c r="G12" s="437" t="s">
        <v>215</v>
      </c>
      <c r="H12" s="438" t="s">
        <v>164</v>
      </c>
      <c r="I12" s="435"/>
      <c r="J12" s="438" t="s">
        <v>216</v>
      </c>
      <c r="K12" s="435"/>
      <c r="L12" s="455" t="s">
        <v>722</v>
      </c>
    </row>
    <row r="13" spans="2:26" x14ac:dyDescent="0.2">
      <c r="B13" s="439"/>
      <c r="C13" s="440"/>
      <c r="D13" s="440"/>
      <c r="E13" s="439"/>
      <c r="F13" s="439"/>
      <c r="G13" s="439"/>
      <c r="H13" s="441" t="s">
        <v>723</v>
      </c>
      <c r="I13" s="442" t="s">
        <v>724</v>
      </c>
      <c r="J13" s="456" t="s">
        <v>725</v>
      </c>
      <c r="K13" s="456" t="s">
        <v>157</v>
      </c>
      <c r="L13" s="457" t="s">
        <v>164</v>
      </c>
    </row>
    <row r="14" spans="2:26" x14ac:dyDescent="0.2">
      <c r="B14" s="443"/>
      <c r="C14" s="444"/>
      <c r="D14" s="444"/>
      <c r="E14" s="445"/>
      <c r="F14" s="446"/>
      <c r="G14" s="364"/>
      <c r="H14" s="365"/>
      <c r="I14" s="365"/>
      <c r="J14" s="365"/>
      <c r="K14" s="365"/>
      <c r="L14" s="365"/>
      <c r="O14" s="520" t="s">
        <v>852</v>
      </c>
      <c r="P14" s="520"/>
      <c r="Q14" s="520"/>
      <c r="R14" s="520"/>
      <c r="U14" s="363" t="s">
        <v>842</v>
      </c>
      <c r="Y14" s="354" t="s">
        <v>851</v>
      </c>
      <c r="Z14" s="354" t="s">
        <v>753</v>
      </c>
    </row>
    <row r="15" spans="2:26" x14ac:dyDescent="0.2">
      <c r="B15" s="447">
        <v>43110</v>
      </c>
      <c r="C15" s="444" t="s">
        <v>884</v>
      </c>
      <c r="D15" s="444" t="s">
        <v>834</v>
      </c>
      <c r="E15" s="448" t="s">
        <v>864</v>
      </c>
      <c r="F15" s="448" t="s">
        <v>865</v>
      </c>
      <c r="G15" s="364"/>
      <c r="H15" s="365"/>
      <c r="I15" s="365"/>
      <c r="J15" s="365">
        <v>304.35000000000002</v>
      </c>
      <c r="K15" s="449">
        <v>39.57</v>
      </c>
      <c r="L15" s="365">
        <v>343.92</v>
      </c>
      <c r="M15" s="354">
        <v>51220200001</v>
      </c>
      <c r="O15" s="476" t="s">
        <v>254</v>
      </c>
      <c r="P15" s="299">
        <v>51000000001</v>
      </c>
      <c r="Q15" s="448" t="s">
        <v>835</v>
      </c>
      <c r="R15" s="451">
        <f>SUMIFS($J$15:$J$46,$E$15:$E$46,Q15,$M$15:$M$46,P15)</f>
        <v>18750.09</v>
      </c>
      <c r="T15" s="354">
        <v>51000000001</v>
      </c>
      <c r="U15" s="354" t="s">
        <v>208</v>
      </c>
      <c r="X15" s="366">
        <v>-18750.09</v>
      </c>
      <c r="Y15" s="474">
        <f t="shared" ref="Y15:Y20" si="0">SUMIF($P$15:$P$31,T15,$R$15:$R$31)</f>
        <v>18750.09</v>
      </c>
      <c r="Z15" s="450">
        <f t="shared" ref="Z15:Z20" si="1">X15+Y15</f>
        <v>0</v>
      </c>
    </row>
    <row r="16" spans="2:26" x14ac:dyDescent="0.2">
      <c r="B16" s="447"/>
      <c r="C16" s="444" t="s">
        <v>885</v>
      </c>
      <c r="D16" s="444" t="s">
        <v>834</v>
      </c>
      <c r="E16" s="448" t="s">
        <v>854</v>
      </c>
      <c r="F16" s="448" t="s">
        <v>854</v>
      </c>
      <c r="G16" s="448" t="s">
        <v>854</v>
      </c>
      <c r="H16" s="365"/>
      <c r="I16" s="365"/>
      <c r="J16" s="365">
        <v>0</v>
      </c>
      <c r="K16" s="449">
        <v>0</v>
      </c>
      <c r="L16" s="365">
        <v>0</v>
      </c>
      <c r="M16" s="354"/>
      <c r="O16" s="476" t="s">
        <v>254</v>
      </c>
      <c r="P16" s="299">
        <v>51000000002</v>
      </c>
      <c r="Q16" s="448" t="s">
        <v>835</v>
      </c>
      <c r="R16" s="451">
        <f t="shared" ref="R16:R31" si="2">SUMIFS($J$15:$J$46,$E$15:$E$46,Q16,$M$15:$M$46,P16)</f>
        <v>25000</v>
      </c>
      <c r="T16" s="354">
        <v>51000000002</v>
      </c>
      <c r="U16" s="354" t="s">
        <v>6</v>
      </c>
      <c r="X16" s="366">
        <v>-25000</v>
      </c>
      <c r="Y16" s="474">
        <f t="shared" si="0"/>
        <v>25000</v>
      </c>
      <c r="Z16" s="450">
        <f t="shared" si="1"/>
        <v>0</v>
      </c>
    </row>
    <row r="17" spans="2:26" x14ac:dyDescent="0.2">
      <c r="B17" s="447">
        <v>43110</v>
      </c>
      <c r="C17" s="444" t="s">
        <v>886</v>
      </c>
      <c r="D17" s="444" t="s">
        <v>834</v>
      </c>
      <c r="E17" s="448" t="s">
        <v>835</v>
      </c>
      <c r="F17" s="448" t="s">
        <v>158</v>
      </c>
      <c r="G17" s="364"/>
      <c r="H17" s="365"/>
      <c r="I17" s="365"/>
      <c r="J17" s="365">
        <v>685.61</v>
      </c>
      <c r="K17" s="449">
        <v>89.13</v>
      </c>
      <c r="L17" s="365">
        <v>774.74</v>
      </c>
      <c r="M17" s="354">
        <v>51220200001</v>
      </c>
      <c r="O17" s="476" t="s">
        <v>254</v>
      </c>
      <c r="P17" s="299">
        <v>51000200001</v>
      </c>
      <c r="Q17" s="448" t="s">
        <v>835</v>
      </c>
      <c r="R17" s="451">
        <f t="shared" si="2"/>
        <v>0</v>
      </c>
      <c r="T17" s="354">
        <v>51000300001</v>
      </c>
      <c r="U17" s="354" t="s">
        <v>789</v>
      </c>
      <c r="X17" s="366">
        <v>-12512.45</v>
      </c>
      <c r="Y17" s="474">
        <f t="shared" si="0"/>
        <v>0</v>
      </c>
      <c r="Z17" s="450">
        <f t="shared" si="1"/>
        <v>-12512.45</v>
      </c>
    </row>
    <row r="18" spans="2:26" x14ac:dyDescent="0.2">
      <c r="B18" s="447"/>
      <c r="C18" s="444" t="s">
        <v>887</v>
      </c>
      <c r="D18" s="444" t="s">
        <v>834</v>
      </c>
      <c r="E18" s="448" t="s">
        <v>854</v>
      </c>
      <c r="F18" s="448" t="s">
        <v>854</v>
      </c>
      <c r="G18" s="448" t="s">
        <v>854</v>
      </c>
      <c r="H18" s="365"/>
      <c r="I18" s="365"/>
      <c r="J18" s="365">
        <v>0</v>
      </c>
      <c r="K18" s="449">
        <v>0</v>
      </c>
      <c r="L18" s="365">
        <v>0</v>
      </c>
      <c r="M18" s="354"/>
      <c r="O18" s="476" t="s">
        <v>254</v>
      </c>
      <c r="P18" s="299">
        <v>51000200001</v>
      </c>
      <c r="Q18" s="448" t="s">
        <v>780</v>
      </c>
      <c r="R18" s="451">
        <f t="shared" si="2"/>
        <v>0</v>
      </c>
      <c r="T18" s="354">
        <v>51000300002</v>
      </c>
      <c r="U18" s="354" t="s">
        <v>320</v>
      </c>
      <c r="X18" s="366">
        <v>-6256.21</v>
      </c>
      <c r="Y18" s="474">
        <f t="shared" si="0"/>
        <v>0</v>
      </c>
      <c r="Z18" s="450">
        <f t="shared" si="1"/>
        <v>-6256.21</v>
      </c>
    </row>
    <row r="19" spans="2:26" x14ac:dyDescent="0.2">
      <c r="B19" s="447"/>
      <c r="C19" s="444" t="s">
        <v>888</v>
      </c>
      <c r="D19" s="444" t="s">
        <v>834</v>
      </c>
      <c r="E19" s="448" t="s">
        <v>854</v>
      </c>
      <c r="F19" s="448" t="s">
        <v>854</v>
      </c>
      <c r="G19" s="448" t="s">
        <v>854</v>
      </c>
      <c r="H19" s="365"/>
      <c r="I19" s="365"/>
      <c r="J19" s="365">
        <v>0</v>
      </c>
      <c r="K19" s="449">
        <v>0</v>
      </c>
      <c r="L19" s="365">
        <v>0</v>
      </c>
      <c r="O19" s="476" t="s">
        <v>254</v>
      </c>
      <c r="P19" s="299">
        <v>51000200001</v>
      </c>
      <c r="Q19" s="448" t="s">
        <v>97</v>
      </c>
      <c r="R19" s="451">
        <f t="shared" si="2"/>
        <v>0</v>
      </c>
      <c r="T19" s="354">
        <v>51220200001</v>
      </c>
      <c r="U19" s="354" t="s">
        <v>96</v>
      </c>
      <c r="X19" s="366">
        <v>-1012.15</v>
      </c>
      <c r="Y19" s="474">
        <f t="shared" si="0"/>
        <v>989.96</v>
      </c>
      <c r="Z19" s="450">
        <f t="shared" si="1"/>
        <v>-22.189999999999941</v>
      </c>
    </row>
    <row r="20" spans="2:26" x14ac:dyDescent="0.2">
      <c r="B20" s="447"/>
      <c r="C20" s="444" t="s">
        <v>889</v>
      </c>
      <c r="D20" s="444" t="s">
        <v>834</v>
      </c>
      <c r="E20" s="448" t="s">
        <v>854</v>
      </c>
      <c r="F20" s="448" t="s">
        <v>854</v>
      </c>
      <c r="G20" s="448" t="s">
        <v>854</v>
      </c>
      <c r="H20" s="365"/>
      <c r="I20" s="365"/>
      <c r="J20" s="365">
        <v>0</v>
      </c>
      <c r="K20" s="449">
        <v>0</v>
      </c>
      <c r="L20" s="365">
        <v>0</v>
      </c>
      <c r="O20" s="476" t="s">
        <v>254</v>
      </c>
      <c r="P20" s="299">
        <v>51000200002</v>
      </c>
      <c r="Q20" s="448" t="s">
        <v>835</v>
      </c>
      <c r="R20" s="451">
        <f t="shared" si="2"/>
        <v>0</v>
      </c>
      <c r="T20" s="480">
        <v>52120000003</v>
      </c>
      <c r="U20" s="480" t="s">
        <v>209</v>
      </c>
      <c r="V20" s="480"/>
      <c r="W20" s="480"/>
      <c r="X20" s="479">
        <v>-3484.92</v>
      </c>
      <c r="Y20" s="474">
        <f t="shared" si="0"/>
        <v>0</v>
      </c>
      <c r="Z20" s="450">
        <f t="shared" si="1"/>
        <v>-3484.92</v>
      </c>
    </row>
    <row r="21" spans="2:26" x14ac:dyDescent="0.2">
      <c r="B21" s="447"/>
      <c r="C21" s="444" t="s">
        <v>890</v>
      </c>
      <c r="D21" s="444" t="s">
        <v>834</v>
      </c>
      <c r="E21" s="448" t="s">
        <v>854</v>
      </c>
      <c r="F21" s="448" t="s">
        <v>854</v>
      </c>
      <c r="G21" s="448" t="s">
        <v>854</v>
      </c>
      <c r="H21" s="365"/>
      <c r="I21" s="365"/>
      <c r="J21" s="365">
        <v>0</v>
      </c>
      <c r="K21" s="449">
        <v>0</v>
      </c>
      <c r="L21" s="365">
        <v>0</v>
      </c>
      <c r="O21" s="476" t="s">
        <v>254</v>
      </c>
      <c r="P21" s="299">
        <v>51000200002</v>
      </c>
      <c r="Q21" s="448" t="s">
        <v>780</v>
      </c>
      <c r="R21" s="451">
        <f t="shared" si="2"/>
        <v>0</v>
      </c>
      <c r="X21" s="521"/>
    </row>
    <row r="22" spans="2:26" x14ac:dyDescent="0.2">
      <c r="B22" s="447"/>
      <c r="C22" s="444" t="s">
        <v>891</v>
      </c>
      <c r="D22" s="444" t="s">
        <v>834</v>
      </c>
      <c r="E22" s="448" t="s">
        <v>854</v>
      </c>
      <c r="F22" s="448" t="s">
        <v>854</v>
      </c>
      <c r="G22" s="448" t="s">
        <v>854</v>
      </c>
      <c r="H22" s="365"/>
      <c r="I22" s="365"/>
      <c r="J22" s="365">
        <v>0</v>
      </c>
      <c r="K22" s="449">
        <v>0</v>
      </c>
      <c r="L22" s="365">
        <v>0</v>
      </c>
      <c r="O22" s="476" t="s">
        <v>254</v>
      </c>
      <c r="P22" s="299">
        <v>51000200002</v>
      </c>
      <c r="Q22" s="448" t="s">
        <v>97</v>
      </c>
      <c r="R22" s="451">
        <f t="shared" si="2"/>
        <v>0</v>
      </c>
      <c r="X22" s="507">
        <f>SUM(X15:X21)</f>
        <v>-67015.819999999992</v>
      </c>
      <c r="Y22" s="507">
        <f>SUM(Y15:Y21)</f>
        <v>44740.049999999996</v>
      </c>
      <c r="Z22" s="507">
        <f>SUM(Z15:Z21)</f>
        <v>-22275.769999999997</v>
      </c>
    </row>
    <row r="23" spans="2:26" x14ac:dyDescent="0.2">
      <c r="B23" s="447"/>
      <c r="C23" s="444" t="s">
        <v>892</v>
      </c>
      <c r="D23" s="444" t="s">
        <v>834</v>
      </c>
      <c r="E23" s="448" t="s">
        <v>854</v>
      </c>
      <c r="F23" s="448" t="s">
        <v>854</v>
      </c>
      <c r="G23" s="448" t="s">
        <v>854</v>
      </c>
      <c r="H23" s="365"/>
      <c r="I23" s="365"/>
      <c r="J23" s="365">
        <v>0</v>
      </c>
      <c r="K23" s="449">
        <v>0</v>
      </c>
      <c r="L23" s="365">
        <v>0</v>
      </c>
      <c r="O23" s="476" t="s">
        <v>254</v>
      </c>
      <c r="P23" s="299">
        <v>51220200001</v>
      </c>
      <c r="Q23" s="448" t="s">
        <v>835</v>
      </c>
      <c r="R23" s="451">
        <f t="shared" si="2"/>
        <v>685.61</v>
      </c>
    </row>
    <row r="24" spans="2:26" x14ac:dyDescent="0.2">
      <c r="B24" s="447"/>
      <c r="C24" s="444" t="s">
        <v>893</v>
      </c>
      <c r="D24" s="444" t="s">
        <v>834</v>
      </c>
      <c r="E24" s="448" t="s">
        <v>854</v>
      </c>
      <c r="F24" s="448" t="s">
        <v>854</v>
      </c>
      <c r="G24" s="448" t="s">
        <v>854</v>
      </c>
      <c r="H24" s="365"/>
      <c r="I24" s="365"/>
      <c r="J24" s="365">
        <v>0</v>
      </c>
      <c r="K24" s="449">
        <v>0</v>
      </c>
      <c r="L24" s="365">
        <v>0</v>
      </c>
      <c r="O24" s="476" t="s">
        <v>254</v>
      </c>
      <c r="P24" s="299">
        <v>51220200001</v>
      </c>
      <c r="Q24" s="448" t="s">
        <v>780</v>
      </c>
      <c r="R24" s="451">
        <f t="shared" si="2"/>
        <v>0</v>
      </c>
    </row>
    <row r="25" spans="2:26" x14ac:dyDescent="0.2">
      <c r="B25" s="447"/>
      <c r="C25" s="444" t="s">
        <v>894</v>
      </c>
      <c r="D25" s="444" t="s">
        <v>834</v>
      </c>
      <c r="E25" s="448" t="s">
        <v>854</v>
      </c>
      <c r="F25" s="448" t="s">
        <v>854</v>
      </c>
      <c r="G25" s="448" t="s">
        <v>854</v>
      </c>
      <c r="H25" s="365"/>
      <c r="I25" s="365"/>
      <c r="J25" s="365">
        <v>0</v>
      </c>
      <c r="K25" s="511">
        <v>0</v>
      </c>
      <c r="L25" s="365">
        <v>0</v>
      </c>
      <c r="O25" s="476" t="s">
        <v>254</v>
      </c>
      <c r="P25" s="299">
        <v>51220200001</v>
      </c>
      <c r="Q25" s="448" t="s">
        <v>97</v>
      </c>
      <c r="R25" s="451">
        <f t="shared" si="2"/>
        <v>0</v>
      </c>
    </row>
    <row r="26" spans="2:26" x14ac:dyDescent="0.2">
      <c r="B26" s="447"/>
      <c r="C26" s="444" t="s">
        <v>895</v>
      </c>
      <c r="D26" s="444" t="s">
        <v>834</v>
      </c>
      <c r="E26" s="448" t="s">
        <v>854</v>
      </c>
      <c r="F26" s="448" t="s">
        <v>854</v>
      </c>
      <c r="G26" s="448" t="s">
        <v>854</v>
      </c>
      <c r="H26" s="365"/>
      <c r="I26" s="365"/>
      <c r="J26" s="365">
        <v>0</v>
      </c>
      <c r="K26" s="511">
        <v>0</v>
      </c>
      <c r="L26" s="365">
        <v>0</v>
      </c>
      <c r="O26" s="476" t="s">
        <v>254</v>
      </c>
      <c r="P26" s="299">
        <v>52200000001</v>
      </c>
      <c r="Q26" s="448" t="s">
        <v>835</v>
      </c>
      <c r="R26" s="451">
        <f t="shared" si="2"/>
        <v>0</v>
      </c>
    </row>
    <row r="27" spans="2:26" x14ac:dyDescent="0.2">
      <c r="B27" s="447"/>
      <c r="C27" s="444" t="s">
        <v>896</v>
      </c>
      <c r="D27" s="444" t="s">
        <v>834</v>
      </c>
      <c r="E27" s="448" t="s">
        <v>854</v>
      </c>
      <c r="F27" s="448" t="s">
        <v>854</v>
      </c>
      <c r="G27" s="448" t="s">
        <v>854</v>
      </c>
      <c r="H27" s="365"/>
      <c r="I27" s="365"/>
      <c r="J27" s="365">
        <v>0</v>
      </c>
      <c r="K27" s="511">
        <v>0</v>
      </c>
      <c r="L27" s="365">
        <v>0</v>
      </c>
      <c r="O27" s="476" t="s">
        <v>254</v>
      </c>
      <c r="P27" s="299">
        <v>52200000001</v>
      </c>
      <c r="Q27" s="448" t="s">
        <v>780</v>
      </c>
      <c r="R27" s="451">
        <f t="shared" si="2"/>
        <v>0</v>
      </c>
    </row>
    <row r="28" spans="2:26" x14ac:dyDescent="0.2">
      <c r="B28" s="523">
        <v>43111</v>
      </c>
      <c r="C28" s="524" t="s">
        <v>897</v>
      </c>
      <c r="D28" s="524" t="s">
        <v>834</v>
      </c>
      <c r="E28" s="525" t="s">
        <v>918</v>
      </c>
      <c r="F28" s="525" t="s">
        <v>726</v>
      </c>
      <c r="G28" s="526"/>
      <c r="H28" s="527"/>
      <c r="I28" s="527"/>
      <c r="J28" s="527">
        <v>1321.88</v>
      </c>
      <c r="K28" s="528">
        <v>171.84</v>
      </c>
      <c r="L28" s="527">
        <v>1493.72</v>
      </c>
      <c r="M28" s="480">
        <v>51000300001</v>
      </c>
      <c r="O28" s="476" t="s">
        <v>254</v>
      </c>
      <c r="P28" s="299">
        <v>52200000001</v>
      </c>
      <c r="Q28" s="448" t="s">
        <v>97</v>
      </c>
      <c r="R28" s="451">
        <f t="shared" si="2"/>
        <v>0</v>
      </c>
    </row>
    <row r="29" spans="2:26" x14ac:dyDescent="0.2">
      <c r="B29" s="523">
        <v>43111</v>
      </c>
      <c r="C29" s="524" t="s">
        <v>898</v>
      </c>
      <c r="D29" s="524" t="s">
        <v>834</v>
      </c>
      <c r="E29" s="525" t="s">
        <v>918</v>
      </c>
      <c r="F29" s="525" t="s">
        <v>726</v>
      </c>
      <c r="G29" s="526"/>
      <c r="H29" s="527"/>
      <c r="I29" s="527"/>
      <c r="J29" s="527">
        <v>660.94</v>
      </c>
      <c r="K29" s="528">
        <v>85.92</v>
      </c>
      <c r="L29" s="527">
        <v>746.86</v>
      </c>
      <c r="M29" s="480">
        <v>51000300002</v>
      </c>
      <c r="O29" s="476" t="s">
        <v>254</v>
      </c>
      <c r="P29" s="299">
        <v>52200000001</v>
      </c>
      <c r="Q29" s="448" t="s">
        <v>835</v>
      </c>
      <c r="R29" s="451">
        <f t="shared" si="2"/>
        <v>0</v>
      </c>
    </row>
    <row r="30" spans="2:26" x14ac:dyDescent="0.2">
      <c r="B30" s="523">
        <v>43112</v>
      </c>
      <c r="C30" s="524" t="s">
        <v>899</v>
      </c>
      <c r="D30" s="524" t="s">
        <v>834</v>
      </c>
      <c r="E30" s="525" t="s">
        <v>918</v>
      </c>
      <c r="F30" s="525" t="s">
        <v>726</v>
      </c>
      <c r="G30" s="526"/>
      <c r="H30" s="527"/>
      <c r="I30" s="527"/>
      <c r="J30" s="527">
        <v>3289.06</v>
      </c>
      <c r="K30" s="528">
        <v>427.58</v>
      </c>
      <c r="L30" s="527">
        <v>3716.64</v>
      </c>
      <c r="M30" s="480">
        <v>51000300001</v>
      </c>
      <c r="O30" s="476" t="s">
        <v>254</v>
      </c>
      <c r="P30" s="299">
        <v>51220200001</v>
      </c>
      <c r="Q30" s="448" t="s">
        <v>864</v>
      </c>
      <c r="R30" s="451">
        <f t="shared" si="2"/>
        <v>304.35000000000002</v>
      </c>
    </row>
    <row r="31" spans="2:26" x14ac:dyDescent="0.2">
      <c r="B31" s="523">
        <v>43112</v>
      </c>
      <c r="C31" s="524" t="s">
        <v>900</v>
      </c>
      <c r="D31" s="524" t="s">
        <v>834</v>
      </c>
      <c r="E31" s="525" t="s">
        <v>918</v>
      </c>
      <c r="F31" s="525" t="s">
        <v>726</v>
      </c>
      <c r="G31" s="526"/>
      <c r="H31" s="527"/>
      <c r="I31" s="527"/>
      <c r="J31" s="527">
        <v>1644.53</v>
      </c>
      <c r="K31" s="528">
        <v>213.79</v>
      </c>
      <c r="L31" s="527">
        <v>1858.32</v>
      </c>
      <c r="M31" s="480">
        <v>51000300002</v>
      </c>
      <c r="O31" s="476" t="s">
        <v>254</v>
      </c>
      <c r="P31" s="299">
        <v>53000100001</v>
      </c>
      <c r="Q31" s="448" t="s">
        <v>835</v>
      </c>
      <c r="R31" s="451">
        <f t="shared" si="2"/>
        <v>0</v>
      </c>
    </row>
    <row r="32" spans="2:26" x14ac:dyDescent="0.2">
      <c r="B32" s="523">
        <v>43116</v>
      </c>
      <c r="C32" s="524" t="s">
        <v>901</v>
      </c>
      <c r="D32" s="524" t="s">
        <v>834</v>
      </c>
      <c r="E32" s="525" t="s">
        <v>918</v>
      </c>
      <c r="F32" s="525" t="s">
        <v>726</v>
      </c>
      <c r="G32" s="526"/>
      <c r="H32" s="527"/>
      <c r="I32" s="527"/>
      <c r="J32" s="527">
        <v>1976.25</v>
      </c>
      <c r="K32" s="528">
        <v>256.91000000000003</v>
      </c>
      <c r="L32" s="527">
        <v>2233.16</v>
      </c>
      <c r="M32" s="480">
        <v>51000300001</v>
      </c>
      <c r="O32" s="510"/>
      <c r="R32" s="475">
        <f>SUM(R15:R31)</f>
        <v>44740.049999999996</v>
      </c>
    </row>
    <row r="33" spans="2:13" x14ac:dyDescent="0.2">
      <c r="B33" s="523">
        <v>43116</v>
      </c>
      <c r="C33" s="524" t="s">
        <v>902</v>
      </c>
      <c r="D33" s="524" t="s">
        <v>834</v>
      </c>
      <c r="E33" s="525" t="s">
        <v>918</v>
      </c>
      <c r="F33" s="525" t="s">
        <v>726</v>
      </c>
      <c r="G33" s="526"/>
      <c r="H33" s="527"/>
      <c r="I33" s="527"/>
      <c r="J33" s="527">
        <v>988.12</v>
      </c>
      <c r="K33" s="528">
        <v>128.46</v>
      </c>
      <c r="L33" s="527">
        <v>1116.58</v>
      </c>
      <c r="M33" s="480">
        <v>51000300002</v>
      </c>
    </row>
    <row r="34" spans="2:13" x14ac:dyDescent="0.2">
      <c r="B34" s="523">
        <v>43117</v>
      </c>
      <c r="C34" s="524" t="s">
        <v>903</v>
      </c>
      <c r="D34" s="524" t="s">
        <v>834</v>
      </c>
      <c r="E34" s="525" t="s">
        <v>918</v>
      </c>
      <c r="F34" s="525" t="s">
        <v>726</v>
      </c>
      <c r="G34" s="526"/>
      <c r="H34" s="527"/>
      <c r="I34" s="527"/>
      <c r="J34" s="527">
        <v>5269.01</v>
      </c>
      <c r="K34" s="528">
        <v>684.97</v>
      </c>
      <c r="L34" s="527">
        <v>5953.9800000000005</v>
      </c>
      <c r="M34" s="480">
        <v>51000300001</v>
      </c>
    </row>
    <row r="35" spans="2:13" x14ac:dyDescent="0.2">
      <c r="B35" s="523">
        <v>43117</v>
      </c>
      <c r="C35" s="524" t="s">
        <v>904</v>
      </c>
      <c r="D35" s="524" t="s">
        <v>834</v>
      </c>
      <c r="E35" s="525" t="s">
        <v>918</v>
      </c>
      <c r="F35" s="525" t="s">
        <v>726</v>
      </c>
      <c r="G35" s="526"/>
      <c r="H35" s="527"/>
      <c r="I35" s="527"/>
      <c r="J35" s="527">
        <v>2634.5</v>
      </c>
      <c r="K35" s="528">
        <v>342.49</v>
      </c>
      <c r="L35" s="527">
        <v>2976.99</v>
      </c>
      <c r="M35" s="480">
        <v>51000300002</v>
      </c>
    </row>
    <row r="36" spans="2:13" x14ac:dyDescent="0.2">
      <c r="B36" s="447"/>
      <c r="C36" s="444" t="s">
        <v>905</v>
      </c>
      <c r="D36" s="444" t="s">
        <v>834</v>
      </c>
      <c r="E36" s="448" t="s">
        <v>854</v>
      </c>
      <c r="F36" s="448" t="s">
        <v>854</v>
      </c>
      <c r="G36" s="448" t="s">
        <v>854</v>
      </c>
      <c r="H36" s="365"/>
      <c r="I36" s="365"/>
      <c r="J36" s="365">
        <v>0</v>
      </c>
      <c r="K36" s="449">
        <v>0</v>
      </c>
      <c r="L36" s="365">
        <v>0</v>
      </c>
    </row>
    <row r="37" spans="2:13" x14ac:dyDescent="0.2">
      <c r="B37" s="447"/>
      <c r="C37" s="444" t="s">
        <v>906</v>
      </c>
      <c r="D37" s="444" t="s">
        <v>834</v>
      </c>
      <c r="E37" s="448" t="s">
        <v>854</v>
      </c>
      <c r="F37" s="448" t="s">
        <v>854</v>
      </c>
      <c r="G37" s="448" t="s">
        <v>854</v>
      </c>
      <c r="H37" s="365"/>
      <c r="I37" s="365"/>
      <c r="J37" s="365">
        <v>0</v>
      </c>
      <c r="K37" s="449">
        <v>0</v>
      </c>
      <c r="L37" s="365">
        <v>0</v>
      </c>
    </row>
    <row r="38" spans="2:13" x14ac:dyDescent="0.2">
      <c r="B38" s="447"/>
      <c r="C38" s="444" t="s">
        <v>907</v>
      </c>
      <c r="D38" s="444" t="s">
        <v>834</v>
      </c>
      <c r="E38" s="448" t="s">
        <v>854</v>
      </c>
      <c r="F38" s="448" t="s">
        <v>854</v>
      </c>
      <c r="G38" s="448" t="s">
        <v>854</v>
      </c>
      <c r="H38" s="365"/>
      <c r="I38" s="365"/>
      <c r="J38" s="365">
        <v>0</v>
      </c>
      <c r="K38" s="449">
        <v>0</v>
      </c>
      <c r="L38" s="365">
        <v>0</v>
      </c>
    </row>
    <row r="39" spans="2:13" x14ac:dyDescent="0.2">
      <c r="B39" s="447"/>
      <c r="C39" s="444" t="s">
        <v>908</v>
      </c>
      <c r="D39" s="444" t="s">
        <v>834</v>
      </c>
      <c r="E39" s="448" t="s">
        <v>854</v>
      </c>
      <c r="F39" s="448" t="s">
        <v>854</v>
      </c>
      <c r="G39" s="448" t="s">
        <v>854</v>
      </c>
      <c r="H39" s="365"/>
      <c r="I39" s="365"/>
      <c r="J39" s="365">
        <v>0</v>
      </c>
      <c r="K39" s="449">
        <v>0</v>
      </c>
      <c r="L39" s="365">
        <v>0</v>
      </c>
    </row>
    <row r="40" spans="2:13" x14ac:dyDescent="0.2">
      <c r="B40" s="447"/>
      <c r="C40" s="444" t="s">
        <v>909</v>
      </c>
      <c r="D40" s="444" t="s">
        <v>834</v>
      </c>
      <c r="E40" s="448" t="s">
        <v>854</v>
      </c>
      <c r="F40" s="448" t="s">
        <v>854</v>
      </c>
      <c r="G40" s="448" t="s">
        <v>854</v>
      </c>
      <c r="H40" s="365"/>
      <c r="I40" s="365"/>
      <c r="J40" s="365">
        <v>0</v>
      </c>
      <c r="K40" s="449">
        <v>0</v>
      </c>
      <c r="L40" s="365">
        <v>0</v>
      </c>
    </row>
    <row r="41" spans="2:13" x14ac:dyDescent="0.2">
      <c r="B41" s="447"/>
      <c r="C41" s="444" t="s">
        <v>910</v>
      </c>
      <c r="D41" s="444" t="s">
        <v>834</v>
      </c>
      <c r="E41" s="448" t="s">
        <v>854</v>
      </c>
      <c r="F41" s="448" t="s">
        <v>854</v>
      </c>
      <c r="G41" s="448" t="s">
        <v>854</v>
      </c>
      <c r="H41" s="365"/>
      <c r="I41" s="365"/>
      <c r="J41" s="365">
        <v>0</v>
      </c>
      <c r="K41" s="449">
        <v>0</v>
      </c>
      <c r="L41" s="365">
        <v>0</v>
      </c>
    </row>
    <row r="42" spans="2:13" x14ac:dyDescent="0.2">
      <c r="B42" s="447"/>
      <c r="C42" s="444" t="s">
        <v>911</v>
      </c>
      <c r="D42" s="444" t="s">
        <v>834</v>
      </c>
      <c r="E42" s="448" t="s">
        <v>835</v>
      </c>
      <c r="F42" s="448" t="s">
        <v>158</v>
      </c>
      <c r="G42" s="364"/>
      <c r="H42" s="365"/>
      <c r="I42" s="365"/>
      <c r="J42" s="365">
        <v>25000</v>
      </c>
      <c r="K42" s="449">
        <v>3250</v>
      </c>
      <c r="L42" s="365">
        <v>28250</v>
      </c>
      <c r="M42" s="354">
        <v>51000000001</v>
      </c>
    </row>
    <row r="43" spans="2:13" x14ac:dyDescent="0.2">
      <c r="B43" s="447"/>
      <c r="C43" s="444" t="s">
        <v>912</v>
      </c>
      <c r="D43" s="444" t="s">
        <v>834</v>
      </c>
      <c r="E43" s="448" t="s">
        <v>835</v>
      </c>
      <c r="F43" s="448" t="s">
        <v>158</v>
      </c>
      <c r="G43" s="364"/>
      <c r="H43" s="365"/>
      <c r="I43" s="365"/>
      <c r="J43" s="365">
        <v>25000</v>
      </c>
      <c r="K43" s="449">
        <v>3250</v>
      </c>
      <c r="L43" s="365">
        <v>28250</v>
      </c>
      <c r="M43" s="354">
        <v>51000000002</v>
      </c>
    </row>
    <row r="44" spans="2:13" x14ac:dyDescent="0.2">
      <c r="B44" s="447">
        <v>43126</v>
      </c>
      <c r="C44" s="444" t="s">
        <v>913</v>
      </c>
      <c r="D44" s="444" t="s">
        <v>834</v>
      </c>
      <c r="E44" s="448" t="s">
        <v>835</v>
      </c>
      <c r="F44" s="448" t="s">
        <v>158</v>
      </c>
      <c r="G44" s="364"/>
      <c r="H44" s="365"/>
      <c r="I44" s="365"/>
      <c r="J44" s="365">
        <v>-6249.91</v>
      </c>
      <c r="K44" s="449">
        <v>-812.49</v>
      </c>
      <c r="L44" s="365">
        <v>-7062.4</v>
      </c>
      <c r="M44" s="354">
        <v>51000000001</v>
      </c>
    </row>
    <row r="45" spans="2:13" x14ac:dyDescent="0.2">
      <c r="B45" s="523">
        <v>43126</v>
      </c>
      <c r="C45" s="524" t="s">
        <v>914</v>
      </c>
      <c r="D45" s="524" t="s">
        <v>834</v>
      </c>
      <c r="E45" s="525" t="s">
        <v>918</v>
      </c>
      <c r="F45" s="525" t="s">
        <v>726</v>
      </c>
      <c r="G45" s="526"/>
      <c r="H45" s="527"/>
      <c r="I45" s="527"/>
      <c r="J45" s="527">
        <v>656.25</v>
      </c>
      <c r="K45" s="528">
        <v>85.31</v>
      </c>
      <c r="L45" s="527">
        <v>741.56</v>
      </c>
      <c r="M45" s="480">
        <v>51000300001</v>
      </c>
    </row>
    <row r="46" spans="2:13" x14ac:dyDescent="0.2">
      <c r="B46" s="523">
        <v>43126</v>
      </c>
      <c r="C46" s="524" t="s">
        <v>915</v>
      </c>
      <c r="D46" s="524" t="s">
        <v>834</v>
      </c>
      <c r="E46" s="525" t="s">
        <v>918</v>
      </c>
      <c r="F46" s="525" t="s">
        <v>726</v>
      </c>
      <c r="G46" s="526"/>
      <c r="H46" s="527"/>
      <c r="I46" s="527"/>
      <c r="J46" s="527">
        <v>328.12</v>
      </c>
      <c r="K46" s="528">
        <v>42.66</v>
      </c>
      <c r="L46" s="527">
        <v>370.78</v>
      </c>
      <c r="M46" s="480">
        <v>51000300002</v>
      </c>
    </row>
    <row r="47" spans="2:13" x14ac:dyDescent="0.2">
      <c r="B47" s="447"/>
      <c r="C47" s="444"/>
      <c r="D47" s="444"/>
      <c r="E47" s="448" t="s">
        <v>916</v>
      </c>
      <c r="F47" s="420"/>
      <c r="G47" s="506"/>
      <c r="H47" s="506"/>
      <c r="I47" s="506"/>
      <c r="J47" s="506"/>
      <c r="K47" s="449">
        <v>-3268.73</v>
      </c>
      <c r="L47" s="365">
        <v>-3268.73</v>
      </c>
    </row>
    <row r="48" spans="2:13" x14ac:dyDescent="0.2">
      <c r="B48" s="447"/>
      <c r="C48" s="444"/>
      <c r="D48" s="444"/>
      <c r="E48" s="448" t="s">
        <v>917</v>
      </c>
      <c r="F48" s="420"/>
      <c r="G48" s="506"/>
      <c r="H48" s="506"/>
      <c r="I48" s="506"/>
      <c r="J48" s="506"/>
      <c r="K48" s="449">
        <v>-800.82</v>
      </c>
      <c r="L48" s="365"/>
    </row>
    <row r="49" spans="2:26" x14ac:dyDescent="0.2">
      <c r="B49" s="447"/>
      <c r="C49" s="444"/>
      <c r="D49" s="444"/>
      <c r="E49" s="448"/>
      <c r="F49" s="420"/>
      <c r="G49" s="506"/>
      <c r="H49" s="506"/>
      <c r="I49" s="506"/>
      <c r="J49" s="506"/>
      <c r="K49" s="449"/>
      <c r="L49" s="365"/>
    </row>
    <row r="50" spans="2:26" x14ac:dyDescent="0.2">
      <c r="B50" s="420"/>
      <c r="C50" s="421"/>
      <c r="D50" s="421"/>
      <c r="E50" s="448"/>
      <c r="F50" s="420"/>
      <c r="G50" s="506"/>
      <c r="H50" s="506"/>
      <c r="I50" s="506"/>
      <c r="J50" s="506"/>
      <c r="K50" s="506"/>
      <c r="L50" s="506"/>
    </row>
    <row r="51" spans="2:26" x14ac:dyDescent="0.2">
      <c r="B51" s="512"/>
      <c r="C51" s="513"/>
      <c r="D51" s="513"/>
      <c r="E51" s="448"/>
      <c r="F51" s="512"/>
      <c r="G51" s="514"/>
      <c r="H51" s="514"/>
      <c r="I51" s="514"/>
      <c r="J51" s="514"/>
      <c r="K51" s="514"/>
      <c r="L51" s="514"/>
    </row>
    <row r="52" spans="2:26" x14ac:dyDescent="0.2">
      <c r="B52" s="420"/>
      <c r="C52" s="421"/>
      <c r="D52" s="421"/>
      <c r="E52" s="420"/>
      <c r="F52" s="420"/>
      <c r="G52" s="515">
        <v>0</v>
      </c>
      <c r="H52" s="515">
        <v>0</v>
      </c>
      <c r="I52" s="515">
        <v>0</v>
      </c>
      <c r="J52" s="515">
        <v>63508.71</v>
      </c>
      <c r="K52" s="515">
        <v>4186.59</v>
      </c>
      <c r="L52" s="515">
        <v>68496.12000000001</v>
      </c>
    </row>
    <row r="53" spans="2:26" x14ac:dyDescent="0.2">
      <c r="B53" s="420"/>
      <c r="C53" s="421"/>
      <c r="D53" s="421"/>
      <c r="E53" s="420"/>
      <c r="F53" s="420"/>
      <c r="G53" s="515"/>
      <c r="H53" s="515"/>
      <c r="I53" s="515"/>
      <c r="J53" s="515"/>
      <c r="K53" s="515"/>
      <c r="L53" s="515"/>
    </row>
    <row r="54" spans="2:26" x14ac:dyDescent="0.2">
      <c r="B54" s="420"/>
      <c r="C54" s="421"/>
      <c r="D54" s="421"/>
      <c r="E54" s="420"/>
      <c r="F54" s="420"/>
      <c r="G54" s="515"/>
      <c r="H54" s="515"/>
      <c r="I54" s="515"/>
      <c r="J54" s="515"/>
      <c r="K54" s="515"/>
      <c r="L54" s="515"/>
    </row>
    <row r="55" spans="2:26" x14ac:dyDescent="0.2">
      <c r="B55" s="420"/>
      <c r="C55" s="421"/>
      <c r="D55" s="421"/>
      <c r="E55" s="420"/>
      <c r="F55" s="420"/>
      <c r="G55" s="515"/>
      <c r="H55" s="515"/>
      <c r="I55" s="515"/>
      <c r="J55" s="515"/>
      <c r="K55" s="515"/>
      <c r="L55" s="515"/>
    </row>
    <row r="57" spans="2:26" ht="16.5" x14ac:dyDescent="0.25">
      <c r="B57" s="419" t="s">
        <v>833</v>
      </c>
      <c r="C57" s="420"/>
      <c r="D57" s="421"/>
      <c r="E57" s="422" t="s">
        <v>255</v>
      </c>
    </row>
    <row r="58" spans="2:26" x14ac:dyDescent="0.2">
      <c r="B58" s="426" t="s">
        <v>74</v>
      </c>
      <c r="C58" s="420"/>
      <c r="D58" s="420"/>
      <c r="E58" s="427"/>
    </row>
    <row r="61" spans="2:26" x14ac:dyDescent="0.2">
      <c r="B61" s="431"/>
      <c r="C61" s="432" t="s">
        <v>609</v>
      </c>
      <c r="D61" s="433" t="s">
        <v>75</v>
      </c>
      <c r="E61" s="433"/>
      <c r="F61" s="433" t="s">
        <v>210</v>
      </c>
      <c r="G61" s="433"/>
      <c r="H61" s="434" t="s">
        <v>211</v>
      </c>
      <c r="I61" s="435"/>
      <c r="J61" s="435"/>
      <c r="K61" s="435"/>
      <c r="L61" s="454"/>
    </row>
    <row r="62" spans="2:26" x14ac:dyDescent="0.2">
      <c r="B62" s="436" t="s">
        <v>212</v>
      </c>
      <c r="C62" s="437" t="s">
        <v>213</v>
      </c>
      <c r="D62" s="437" t="s">
        <v>616</v>
      </c>
      <c r="E62" s="437" t="s">
        <v>214</v>
      </c>
      <c r="F62" s="437" t="s">
        <v>617</v>
      </c>
      <c r="G62" s="437" t="s">
        <v>215</v>
      </c>
      <c r="H62" s="438" t="s">
        <v>164</v>
      </c>
      <c r="I62" s="435"/>
      <c r="J62" s="438" t="s">
        <v>216</v>
      </c>
      <c r="K62" s="435"/>
      <c r="L62" s="455" t="s">
        <v>722</v>
      </c>
    </row>
    <row r="63" spans="2:26" x14ac:dyDescent="0.2">
      <c r="B63" s="439"/>
      <c r="C63" s="440"/>
      <c r="D63" s="440"/>
      <c r="E63" s="439"/>
      <c r="F63" s="439"/>
      <c r="G63" s="439"/>
      <c r="H63" s="441" t="s">
        <v>723</v>
      </c>
      <c r="I63" s="442" t="s">
        <v>724</v>
      </c>
      <c r="J63" s="456" t="s">
        <v>725</v>
      </c>
      <c r="K63" s="456" t="s">
        <v>157</v>
      </c>
      <c r="L63" s="457" t="s">
        <v>164</v>
      </c>
    </row>
    <row r="64" spans="2:26" x14ac:dyDescent="0.2">
      <c r="B64" s="443"/>
      <c r="C64" s="444"/>
      <c r="D64" s="444"/>
      <c r="E64" s="445"/>
      <c r="F64" s="446"/>
      <c r="G64" s="364"/>
      <c r="H64" s="365"/>
      <c r="I64" s="365"/>
      <c r="J64" s="365"/>
      <c r="K64" s="365"/>
      <c r="L64" s="365"/>
      <c r="O64" s="520" t="s">
        <v>852</v>
      </c>
      <c r="P64" s="520"/>
      <c r="Q64" s="520"/>
      <c r="R64" s="520"/>
      <c r="U64" s="363" t="s">
        <v>842</v>
      </c>
      <c r="Y64" s="354" t="s">
        <v>851</v>
      </c>
      <c r="Z64" s="354" t="s">
        <v>753</v>
      </c>
    </row>
    <row r="65" spans="2:26" x14ac:dyDescent="0.2">
      <c r="B65" s="447">
        <v>43140</v>
      </c>
      <c r="C65" s="444" t="s">
        <v>944</v>
      </c>
      <c r="D65" s="444" t="s">
        <v>834</v>
      </c>
      <c r="E65" s="448" t="s">
        <v>864</v>
      </c>
      <c r="F65" s="448" t="s">
        <v>865</v>
      </c>
      <c r="G65" s="364"/>
      <c r="H65" s="365"/>
      <c r="I65" s="365"/>
      <c r="J65" s="365">
        <v>454.35</v>
      </c>
      <c r="K65" s="449">
        <v>59.07</v>
      </c>
      <c r="L65" s="365">
        <v>513.42000000000007</v>
      </c>
      <c r="M65" s="354">
        <v>51220200001</v>
      </c>
      <c r="O65" s="476" t="s">
        <v>255</v>
      </c>
      <c r="P65" s="299">
        <v>51000000001</v>
      </c>
      <c r="Q65" s="448" t="s">
        <v>835</v>
      </c>
      <c r="R65" s="451">
        <f>SUMIFS($J$65:$J$75,$E$65:$E$75,Q65,$M$65:$M$75,P65)</f>
        <v>0</v>
      </c>
      <c r="T65" s="354">
        <v>51000300001</v>
      </c>
      <c r="U65" s="354" t="s">
        <v>789</v>
      </c>
      <c r="X65" s="366">
        <v>-17590.059999999998</v>
      </c>
      <c r="Y65" s="474">
        <f>SUMIF($P$65:$P$81,T65,$R$65:$R$81)</f>
        <v>0</v>
      </c>
      <c r="Z65" s="450">
        <f>X65+Y65</f>
        <v>-17590.059999999998</v>
      </c>
    </row>
    <row r="66" spans="2:26" x14ac:dyDescent="0.2">
      <c r="B66" s="447">
        <v>43140</v>
      </c>
      <c r="C66" s="444" t="s">
        <v>945</v>
      </c>
      <c r="D66" s="444" t="s">
        <v>834</v>
      </c>
      <c r="E66" s="448" t="s">
        <v>835</v>
      </c>
      <c r="F66" s="448" t="s">
        <v>158</v>
      </c>
      <c r="G66" s="448"/>
      <c r="H66" s="365"/>
      <c r="I66" s="365"/>
      <c r="J66" s="365">
        <v>1396.07</v>
      </c>
      <c r="K66" s="449">
        <v>181.49</v>
      </c>
      <c r="L66" s="365">
        <v>1577.56</v>
      </c>
      <c r="M66" s="354">
        <v>51220200001</v>
      </c>
      <c r="O66" s="476" t="s">
        <v>255</v>
      </c>
      <c r="P66" s="299">
        <v>51000000002</v>
      </c>
      <c r="Q66" s="448" t="s">
        <v>835</v>
      </c>
      <c r="R66" s="451">
        <f t="shared" ref="R66:R72" si="3">SUMIFS($J$65:$J$75,$E$65:$E$75,Q66,$M$65:$M$75,P66)</f>
        <v>0</v>
      </c>
      <c r="T66" s="354">
        <v>51000300002</v>
      </c>
      <c r="U66" s="354" t="s">
        <v>320</v>
      </c>
      <c r="X66" s="366">
        <v>-8795.02</v>
      </c>
      <c r="Y66" s="474">
        <f>SUMIF($P$65:$P$81,T66,$R$65:$R$81)</f>
        <v>0</v>
      </c>
      <c r="Z66" s="450">
        <f>X66+Y66</f>
        <v>-8795.02</v>
      </c>
    </row>
    <row r="67" spans="2:26" x14ac:dyDescent="0.2">
      <c r="B67" s="523">
        <v>43140</v>
      </c>
      <c r="C67" s="524" t="s">
        <v>946</v>
      </c>
      <c r="D67" s="524" t="s">
        <v>834</v>
      </c>
      <c r="E67" s="525" t="s">
        <v>918</v>
      </c>
      <c r="F67" s="525" t="s">
        <v>726</v>
      </c>
      <c r="G67" s="526"/>
      <c r="H67" s="527"/>
      <c r="I67" s="527"/>
      <c r="J67" s="527">
        <v>1552.16</v>
      </c>
      <c r="K67" s="528">
        <v>201.78</v>
      </c>
      <c r="L67" s="527">
        <v>1753.94</v>
      </c>
      <c r="M67" s="480">
        <v>51220200001</v>
      </c>
      <c r="O67" s="476" t="s">
        <v>255</v>
      </c>
      <c r="P67" s="299">
        <v>51000200001</v>
      </c>
      <c r="Q67" s="448" t="s">
        <v>835</v>
      </c>
      <c r="R67" s="451">
        <f t="shared" si="3"/>
        <v>0</v>
      </c>
      <c r="T67" s="354">
        <v>51220200001</v>
      </c>
      <c r="U67" s="354" t="s">
        <v>96</v>
      </c>
      <c r="X67" s="366">
        <v>-3404.44</v>
      </c>
      <c r="Y67" s="474">
        <f>SUMIF($P$65:$P$81,T67,$R$65:$R$81)</f>
        <v>1850.42</v>
      </c>
      <c r="Z67" s="450">
        <f>X67+Y67</f>
        <v>-1554.02</v>
      </c>
    </row>
    <row r="68" spans="2:26" x14ac:dyDescent="0.2">
      <c r="B68" s="523">
        <v>43145</v>
      </c>
      <c r="C68" s="524" t="s">
        <v>947</v>
      </c>
      <c r="D68" s="524" t="s">
        <v>834</v>
      </c>
      <c r="E68" s="525" t="s">
        <v>918</v>
      </c>
      <c r="F68" s="525" t="s">
        <v>726</v>
      </c>
      <c r="G68" s="525"/>
      <c r="H68" s="527"/>
      <c r="I68" s="527"/>
      <c r="J68" s="527">
        <v>12906.25</v>
      </c>
      <c r="K68" s="528">
        <v>1677.81</v>
      </c>
      <c r="L68" s="527">
        <v>14584.06</v>
      </c>
      <c r="M68" s="480">
        <v>51000300001</v>
      </c>
      <c r="O68" s="476" t="s">
        <v>255</v>
      </c>
      <c r="P68" s="299">
        <v>51000200001</v>
      </c>
      <c r="Q68" s="448" t="s">
        <v>780</v>
      </c>
      <c r="R68" s="451">
        <f t="shared" si="3"/>
        <v>0</v>
      </c>
      <c r="T68" s="480">
        <v>52120000001</v>
      </c>
      <c r="U68" s="480" t="s">
        <v>52</v>
      </c>
      <c r="V68" s="480"/>
      <c r="W68" s="480"/>
      <c r="X68" s="479">
        <v>-5</v>
      </c>
      <c r="Y68" s="474">
        <f>SUMIF($P$65:$P$81,T68,$R$65:$R$81)</f>
        <v>0</v>
      </c>
      <c r="Z68" s="450">
        <f t="shared" ref="Z68:Z69" si="4">X68+Y68</f>
        <v>-5</v>
      </c>
    </row>
    <row r="69" spans="2:26" x14ac:dyDescent="0.2">
      <c r="B69" s="523">
        <v>43145</v>
      </c>
      <c r="C69" s="524" t="s">
        <v>948</v>
      </c>
      <c r="D69" s="524" t="s">
        <v>834</v>
      </c>
      <c r="E69" s="525" t="s">
        <v>918</v>
      </c>
      <c r="F69" s="525" t="s">
        <v>726</v>
      </c>
      <c r="G69" s="525"/>
      <c r="H69" s="527"/>
      <c r="I69" s="527"/>
      <c r="J69" s="527">
        <v>6453.12</v>
      </c>
      <c r="K69" s="528">
        <v>838.91</v>
      </c>
      <c r="L69" s="527">
        <v>7292.03</v>
      </c>
      <c r="M69" s="480">
        <v>51000300002</v>
      </c>
      <c r="O69" s="476" t="s">
        <v>255</v>
      </c>
      <c r="P69" s="299">
        <v>51000200001</v>
      </c>
      <c r="Q69" s="448" t="s">
        <v>97</v>
      </c>
      <c r="R69" s="451">
        <f t="shared" si="3"/>
        <v>0</v>
      </c>
      <c r="T69" s="480">
        <v>52120000003</v>
      </c>
      <c r="U69" s="480" t="s">
        <v>209</v>
      </c>
      <c r="V69" s="480"/>
      <c r="W69" s="480"/>
      <c r="X69" s="479">
        <v>-3484.9300000000003</v>
      </c>
      <c r="Y69" s="474">
        <f>SUMIF($P$65:$P$81,T69,$R$65:$R$81)</f>
        <v>0</v>
      </c>
      <c r="Z69" s="450">
        <f t="shared" si="4"/>
        <v>-3484.9300000000003</v>
      </c>
    </row>
    <row r="70" spans="2:26" x14ac:dyDescent="0.2">
      <c r="B70" s="523">
        <v>43146</v>
      </c>
      <c r="C70" s="524" t="s">
        <v>949</v>
      </c>
      <c r="D70" s="524" t="s">
        <v>834</v>
      </c>
      <c r="E70" s="525" t="s">
        <v>918</v>
      </c>
      <c r="F70" s="525" t="s">
        <v>726</v>
      </c>
      <c r="G70" s="525"/>
      <c r="H70" s="527"/>
      <c r="I70" s="527"/>
      <c r="J70" s="527">
        <v>4683.8100000000004</v>
      </c>
      <c r="K70" s="528">
        <v>608.89</v>
      </c>
      <c r="L70" s="527">
        <v>5292.7000000000007</v>
      </c>
      <c r="M70" s="480">
        <v>51000300001</v>
      </c>
      <c r="O70" s="476" t="s">
        <v>255</v>
      </c>
      <c r="P70" s="299">
        <v>51000200002</v>
      </c>
      <c r="Q70" s="448" t="s">
        <v>835</v>
      </c>
      <c r="R70" s="451">
        <f t="shared" si="3"/>
        <v>0</v>
      </c>
      <c r="Y70" s="474"/>
      <c r="Z70" s="450"/>
    </row>
    <row r="71" spans="2:26" x14ac:dyDescent="0.2">
      <c r="B71" s="523">
        <v>43146</v>
      </c>
      <c r="C71" s="524" t="s">
        <v>950</v>
      </c>
      <c r="D71" s="524" t="s">
        <v>834</v>
      </c>
      <c r="E71" s="525" t="s">
        <v>918</v>
      </c>
      <c r="F71" s="525" t="s">
        <v>726</v>
      </c>
      <c r="G71" s="525"/>
      <c r="H71" s="527"/>
      <c r="I71" s="527"/>
      <c r="J71" s="527">
        <v>2341.9</v>
      </c>
      <c r="K71" s="528">
        <v>304.45</v>
      </c>
      <c r="L71" s="527">
        <v>2646.35</v>
      </c>
      <c r="M71" s="480">
        <v>51000300002</v>
      </c>
      <c r="O71" s="476" t="s">
        <v>255</v>
      </c>
      <c r="P71" s="299">
        <v>51000200002</v>
      </c>
      <c r="Q71" s="448" t="s">
        <v>780</v>
      </c>
      <c r="R71" s="451">
        <f t="shared" si="3"/>
        <v>0</v>
      </c>
      <c r="Y71" s="507">
        <f>SUM(Y65:Y70)</f>
        <v>1850.42</v>
      </c>
      <c r="Z71" s="507">
        <f>SUM(Z65:Z70)</f>
        <v>-31429.03</v>
      </c>
    </row>
    <row r="72" spans="2:26" x14ac:dyDescent="0.2">
      <c r="B72" s="447"/>
      <c r="C72" s="444"/>
      <c r="D72" s="444"/>
      <c r="E72" s="448" t="s">
        <v>916</v>
      </c>
      <c r="F72" s="420"/>
      <c r="G72" s="506"/>
      <c r="H72" s="506"/>
      <c r="I72" s="506"/>
      <c r="J72" s="506"/>
      <c r="K72" s="449">
        <v>-1955.03</v>
      </c>
      <c r="L72" s="365">
        <v>-1955.03</v>
      </c>
      <c r="O72" s="476" t="s">
        <v>255</v>
      </c>
      <c r="P72" s="299">
        <v>51000200002</v>
      </c>
      <c r="Q72" s="448" t="s">
        <v>97</v>
      </c>
      <c r="R72" s="451">
        <f t="shared" si="3"/>
        <v>0</v>
      </c>
    </row>
    <row r="73" spans="2:26" x14ac:dyDescent="0.2">
      <c r="B73" s="447"/>
      <c r="C73" s="444"/>
      <c r="D73" s="444"/>
      <c r="E73" s="448" t="s">
        <v>917</v>
      </c>
      <c r="F73" s="420"/>
      <c r="G73" s="506"/>
      <c r="H73" s="506"/>
      <c r="I73" s="506"/>
      <c r="J73" s="506"/>
      <c r="K73" s="449">
        <v>0</v>
      </c>
      <c r="L73" s="365"/>
      <c r="O73" s="476" t="s">
        <v>255</v>
      </c>
      <c r="P73" s="299">
        <v>51220200001</v>
      </c>
      <c r="Q73" s="448" t="s">
        <v>835</v>
      </c>
      <c r="R73" s="451">
        <f t="shared" ref="R73:R81" si="5">SUMIFS($J$65:$J$75,$E$65:$E$75,Q73,$M$65:$M$75,P73)</f>
        <v>1396.07</v>
      </c>
    </row>
    <row r="74" spans="2:26" x14ac:dyDescent="0.2">
      <c r="B74" s="447"/>
      <c r="C74" s="444"/>
      <c r="D74" s="444"/>
      <c r="E74" s="448"/>
      <c r="F74" s="420"/>
      <c r="G74" s="506"/>
      <c r="H74" s="506"/>
      <c r="I74" s="506"/>
      <c r="J74" s="506"/>
      <c r="K74" s="449"/>
      <c r="L74" s="365"/>
      <c r="O74" s="476" t="s">
        <v>255</v>
      </c>
      <c r="P74" s="299">
        <v>51220200001</v>
      </c>
      <c r="Q74" s="448" t="s">
        <v>780</v>
      </c>
      <c r="R74" s="451">
        <f t="shared" si="5"/>
        <v>0</v>
      </c>
    </row>
    <row r="75" spans="2:26" x14ac:dyDescent="0.2">
      <c r="B75" s="420"/>
      <c r="C75" s="421"/>
      <c r="D75" s="421"/>
      <c r="E75" s="448"/>
      <c r="F75" s="420"/>
      <c r="G75" s="506"/>
      <c r="H75" s="506"/>
      <c r="I75" s="506"/>
      <c r="J75" s="506"/>
      <c r="K75" s="506"/>
      <c r="L75" s="506"/>
      <c r="O75" s="476" t="s">
        <v>255</v>
      </c>
      <c r="P75" s="299">
        <v>51220200001</v>
      </c>
      <c r="Q75" s="448" t="s">
        <v>97</v>
      </c>
      <c r="R75" s="451">
        <f t="shared" si="5"/>
        <v>0</v>
      </c>
    </row>
    <row r="76" spans="2:26" x14ac:dyDescent="0.2">
      <c r="B76" s="512"/>
      <c r="C76" s="513"/>
      <c r="D76" s="513"/>
      <c r="E76" s="448"/>
      <c r="F76" s="512"/>
      <c r="G76" s="514"/>
      <c r="H76" s="514"/>
      <c r="I76" s="514"/>
      <c r="J76" s="514"/>
      <c r="K76" s="514"/>
      <c r="L76" s="514"/>
      <c r="O76" s="476" t="s">
        <v>255</v>
      </c>
      <c r="P76" s="299">
        <v>52200000001</v>
      </c>
      <c r="Q76" s="448" t="s">
        <v>835</v>
      </c>
      <c r="R76" s="451">
        <f t="shared" si="5"/>
        <v>0</v>
      </c>
    </row>
    <row r="77" spans="2:26" x14ac:dyDescent="0.2">
      <c r="B77" s="420"/>
      <c r="C77" s="421"/>
      <c r="D77" s="421"/>
      <c r="E77" s="420"/>
      <c r="F77" s="420"/>
      <c r="G77" s="515">
        <v>0</v>
      </c>
      <c r="H77" s="515">
        <v>0</v>
      </c>
      <c r="I77" s="515">
        <v>0</v>
      </c>
      <c r="J77" s="515">
        <v>29787.660000000003</v>
      </c>
      <c r="K77" s="515">
        <v>1917.3699999999997</v>
      </c>
      <c r="L77" s="515">
        <v>31705.03</v>
      </c>
      <c r="O77" s="476" t="s">
        <v>255</v>
      </c>
      <c r="P77" s="299">
        <v>52200000001</v>
      </c>
      <c r="Q77" s="448" t="s">
        <v>780</v>
      </c>
      <c r="R77" s="451">
        <f t="shared" si="5"/>
        <v>0</v>
      </c>
      <c r="W77" s="363" t="s">
        <v>850</v>
      </c>
      <c r="X77" s="450">
        <f>X65+X66+X67</f>
        <v>-29789.519999999997</v>
      </c>
    </row>
    <row r="78" spans="2:26" x14ac:dyDescent="0.2">
      <c r="O78" s="476" t="s">
        <v>255</v>
      </c>
      <c r="P78" s="299">
        <v>52200000001</v>
      </c>
      <c r="Q78" s="448" t="s">
        <v>97</v>
      </c>
      <c r="R78" s="451">
        <f t="shared" si="5"/>
        <v>0</v>
      </c>
      <c r="W78" s="354" t="s">
        <v>852</v>
      </c>
      <c r="X78" s="450">
        <f>Y71</f>
        <v>1850.42</v>
      </c>
    </row>
    <row r="79" spans="2:26" x14ac:dyDescent="0.2">
      <c r="O79" s="476" t="s">
        <v>255</v>
      </c>
      <c r="P79" s="299">
        <v>52200000001</v>
      </c>
      <c r="Q79" s="448" t="s">
        <v>835</v>
      </c>
      <c r="R79" s="451">
        <f t="shared" si="5"/>
        <v>0</v>
      </c>
      <c r="W79" s="354" t="s">
        <v>855</v>
      </c>
      <c r="X79" s="517">
        <f>SUM(J67:J71)</f>
        <v>27937.24</v>
      </c>
    </row>
    <row r="80" spans="2:26" x14ac:dyDescent="0.2">
      <c r="O80" s="476" t="s">
        <v>255</v>
      </c>
      <c r="P80" s="299">
        <v>51220200001</v>
      </c>
      <c r="Q80" s="448" t="s">
        <v>864</v>
      </c>
      <c r="R80" s="451">
        <f t="shared" si="5"/>
        <v>454.35</v>
      </c>
      <c r="X80" s="507">
        <f>X77+X78+X79</f>
        <v>-1.8599999999969441</v>
      </c>
      <c r="Y80" s="354" t="s">
        <v>870</v>
      </c>
    </row>
    <row r="81" spans="2:26" x14ac:dyDescent="0.2">
      <c r="O81" s="476" t="s">
        <v>255</v>
      </c>
      <c r="P81" s="299">
        <v>53000100001</v>
      </c>
      <c r="Q81" s="448" t="s">
        <v>835</v>
      </c>
      <c r="R81" s="451">
        <f t="shared" si="5"/>
        <v>0</v>
      </c>
    </row>
    <row r="82" spans="2:26" x14ac:dyDescent="0.2">
      <c r="O82" s="510"/>
      <c r="R82" s="475">
        <f>SUM(R65:R81)</f>
        <v>1850.42</v>
      </c>
    </row>
    <row r="89" spans="2:26" ht="18" x14ac:dyDescent="0.25">
      <c r="B89" s="419" t="s">
        <v>833</v>
      </c>
      <c r="C89" s="420"/>
      <c r="D89" s="421"/>
      <c r="E89" s="422" t="s">
        <v>256</v>
      </c>
      <c r="F89" s="423" t="s">
        <v>361</v>
      </c>
      <c r="G89" s="424">
        <v>2017</v>
      </c>
      <c r="H89" s="425" t="s">
        <v>73</v>
      </c>
      <c r="I89" s="425"/>
      <c r="J89" s="420"/>
      <c r="K89" s="420"/>
      <c r="L89" s="420"/>
    </row>
    <row r="90" spans="2:26" x14ac:dyDescent="0.2">
      <c r="B90" s="426" t="s">
        <v>74</v>
      </c>
      <c r="C90" s="420"/>
      <c r="D90" s="420"/>
      <c r="E90" s="427"/>
      <c r="F90" s="428"/>
      <c r="G90" s="420"/>
      <c r="H90" s="429"/>
      <c r="I90" s="429"/>
      <c r="J90" s="420"/>
      <c r="K90" s="420"/>
      <c r="L90" s="420"/>
    </row>
    <row r="91" spans="2:26" x14ac:dyDescent="0.2">
      <c r="B91" s="430"/>
      <c r="C91" s="430"/>
      <c r="D91" s="430"/>
      <c r="E91" s="430"/>
      <c r="F91" s="430"/>
      <c r="G91" s="430"/>
      <c r="H91" s="430"/>
      <c r="I91" s="430"/>
      <c r="J91" s="430"/>
      <c r="K91" s="430"/>
      <c r="L91" s="430"/>
    </row>
    <row r="92" spans="2:26" x14ac:dyDescent="0.2">
      <c r="B92" s="430"/>
      <c r="C92" s="430"/>
      <c r="D92" s="430"/>
      <c r="E92" s="430"/>
      <c r="F92" s="430"/>
      <c r="G92" s="430"/>
      <c r="H92" s="423"/>
      <c r="I92" s="423"/>
      <c r="J92" s="423"/>
      <c r="K92" s="423"/>
      <c r="L92" s="430"/>
    </row>
    <row r="93" spans="2:26" x14ac:dyDescent="0.2">
      <c r="B93" s="431"/>
      <c r="C93" s="432" t="s">
        <v>609</v>
      </c>
      <c r="D93" s="433" t="s">
        <v>75</v>
      </c>
      <c r="E93" s="433"/>
      <c r="F93" s="433" t="s">
        <v>210</v>
      </c>
      <c r="G93" s="433"/>
      <c r="H93" s="434" t="s">
        <v>211</v>
      </c>
      <c r="I93" s="435"/>
      <c r="J93" s="435"/>
      <c r="K93" s="435"/>
      <c r="L93" s="454"/>
      <c r="M93" s="552"/>
      <c r="N93" s="552"/>
    </row>
    <row r="94" spans="2:26" x14ac:dyDescent="0.2">
      <c r="B94" s="436" t="s">
        <v>212</v>
      </c>
      <c r="C94" s="437" t="s">
        <v>213</v>
      </c>
      <c r="D94" s="437" t="s">
        <v>616</v>
      </c>
      <c r="E94" s="437" t="s">
        <v>214</v>
      </c>
      <c r="F94" s="437" t="s">
        <v>617</v>
      </c>
      <c r="G94" s="437" t="s">
        <v>215</v>
      </c>
      <c r="H94" s="438" t="s">
        <v>164</v>
      </c>
      <c r="I94" s="435"/>
      <c r="J94" s="438" t="s">
        <v>216</v>
      </c>
      <c r="K94" s="435"/>
      <c r="L94" s="455" t="s">
        <v>722</v>
      </c>
      <c r="M94" s="552"/>
      <c r="N94" s="552"/>
    </row>
    <row r="95" spans="2:26" x14ac:dyDescent="0.2">
      <c r="B95" s="439"/>
      <c r="C95" s="440"/>
      <c r="D95" s="440"/>
      <c r="E95" s="439"/>
      <c r="F95" s="439"/>
      <c r="G95" s="439"/>
      <c r="H95" s="441" t="s">
        <v>723</v>
      </c>
      <c r="I95" s="442" t="s">
        <v>724</v>
      </c>
      <c r="J95" s="456" t="s">
        <v>725</v>
      </c>
      <c r="K95" s="456" t="s">
        <v>157</v>
      </c>
      <c r="L95" s="457" t="s">
        <v>164</v>
      </c>
      <c r="M95" s="552"/>
      <c r="N95" s="552"/>
    </row>
    <row r="96" spans="2:26" x14ac:dyDescent="0.2">
      <c r="B96" s="443"/>
      <c r="C96" s="444"/>
      <c r="D96" s="444"/>
      <c r="E96" s="445"/>
      <c r="F96" s="446"/>
      <c r="G96" s="364"/>
      <c r="H96" s="365"/>
      <c r="I96" s="365"/>
      <c r="J96" s="365"/>
      <c r="K96" s="365"/>
      <c r="L96" s="365"/>
      <c r="M96" s="553"/>
      <c r="N96" s="553"/>
      <c r="O96" s="520" t="s">
        <v>852</v>
      </c>
      <c r="P96" s="520"/>
      <c r="Q96" s="520"/>
      <c r="R96" s="520"/>
      <c r="U96" s="363" t="s">
        <v>842</v>
      </c>
      <c r="Y96" s="354" t="s">
        <v>851</v>
      </c>
      <c r="Z96" s="354" t="s">
        <v>753</v>
      </c>
    </row>
    <row r="97" spans="2:26" x14ac:dyDescent="0.2">
      <c r="B97" s="447">
        <v>43168</v>
      </c>
      <c r="C97" s="444" t="s">
        <v>958</v>
      </c>
      <c r="D97" s="444" t="s">
        <v>834</v>
      </c>
      <c r="E97" s="448" t="str">
        <f>+VLOOKUP(F97,[1]bd!A:B,2,0)</f>
        <v>CITIBANK, N.A. SUCURSAL EL SALVADOR</v>
      </c>
      <c r="F97" s="448" t="s">
        <v>726</v>
      </c>
      <c r="G97" s="364"/>
      <c r="H97" s="365"/>
      <c r="I97" s="365"/>
      <c r="J97" s="365">
        <v>1784.17</v>
      </c>
      <c r="K97" s="449">
        <v>231.94</v>
      </c>
      <c r="L97" s="365">
        <f t="shared" ref="L97:L100" si="6">+J97+K97</f>
        <v>2016.1100000000001</v>
      </c>
      <c r="M97" s="553"/>
      <c r="N97" s="553"/>
      <c r="O97" s="476" t="s">
        <v>256</v>
      </c>
      <c r="P97" s="299">
        <v>51000000001</v>
      </c>
      <c r="Q97" s="448" t="s">
        <v>835</v>
      </c>
      <c r="R97" s="451">
        <f>SUMIFS($J$97:$J$104,$E$97:$E$104,Q97,$M$97:$M$104,P97)</f>
        <v>0</v>
      </c>
      <c r="T97" s="354">
        <v>51220200001</v>
      </c>
      <c r="U97" s="354" t="s">
        <v>96</v>
      </c>
      <c r="X97" s="366">
        <v>-2831.04</v>
      </c>
      <c r="Y97" s="474">
        <f>SUMIF($P$97:$P$113,T97,$R$97:$R$113)</f>
        <v>1045.04</v>
      </c>
      <c r="Z97" s="450">
        <f>X97+Y97</f>
        <v>-1786</v>
      </c>
    </row>
    <row r="98" spans="2:26" x14ac:dyDescent="0.2">
      <c r="B98" s="555">
        <v>43168</v>
      </c>
      <c r="C98" s="556" t="s">
        <v>959</v>
      </c>
      <c r="D98" s="556" t="s">
        <v>834</v>
      </c>
      <c r="E98" s="557" t="str">
        <f>+VLOOKUP(F98,[1]bd!A:B,2,0)</f>
        <v>INVERSIONES FINANCIERAS IMPERIA CUSCATLAN, SA</v>
      </c>
      <c r="F98" s="557" t="s">
        <v>865</v>
      </c>
      <c r="G98" s="557"/>
      <c r="H98" s="558"/>
      <c r="I98" s="558"/>
      <c r="J98" s="562">
        <v>354.35</v>
      </c>
      <c r="K98" s="559">
        <v>46.07</v>
      </c>
      <c r="L98" s="558">
        <f t="shared" si="6"/>
        <v>400.42</v>
      </c>
      <c r="M98" s="561">
        <v>51220200001</v>
      </c>
      <c r="N98" s="553"/>
      <c r="O98" s="476" t="s">
        <v>256</v>
      </c>
      <c r="P98" s="299">
        <v>51000000002</v>
      </c>
      <c r="Q98" s="448" t="s">
        <v>835</v>
      </c>
      <c r="R98" s="451">
        <f t="shared" ref="R98:R113" si="7">SUMIFS($J$97:$J$104,$E$97:$E$104,Q98,$M$97:$M$104,P98)</f>
        <v>0</v>
      </c>
      <c r="T98" s="354">
        <v>52120000003</v>
      </c>
      <c r="U98" s="354" t="s">
        <v>209</v>
      </c>
      <c r="X98" s="366">
        <v>-3484.9300000000003</v>
      </c>
      <c r="Y98" s="474">
        <f>SUMIF($P$97:$P$113,T98,$R$97:$R$113)</f>
        <v>0</v>
      </c>
      <c r="Z98" s="450">
        <f>X98+Y98</f>
        <v>-3484.9300000000003</v>
      </c>
    </row>
    <row r="99" spans="2:26" x14ac:dyDescent="0.2">
      <c r="B99" s="555">
        <v>43168</v>
      </c>
      <c r="C99" s="556" t="s">
        <v>960</v>
      </c>
      <c r="D99" s="556" t="s">
        <v>834</v>
      </c>
      <c r="E99" s="557" t="str">
        <f>+VLOOKUP(F99,[1]bd!A:B,2,0)</f>
        <v>BANCO CUSCATLAN DE EL SALVADOR S.A.</v>
      </c>
      <c r="F99" s="557" t="s">
        <v>158</v>
      </c>
      <c r="G99" s="560"/>
      <c r="H99" s="558"/>
      <c r="I99" s="558"/>
      <c r="J99" s="562">
        <v>690.69</v>
      </c>
      <c r="K99" s="559">
        <v>89.79</v>
      </c>
      <c r="L99" s="558">
        <f t="shared" si="6"/>
        <v>780.48</v>
      </c>
      <c r="M99" s="561">
        <v>51220200001</v>
      </c>
      <c r="N99" s="553"/>
      <c r="O99" s="476" t="s">
        <v>256</v>
      </c>
      <c r="P99" s="299">
        <v>51000200001</v>
      </c>
      <c r="Q99" s="448" t="s">
        <v>835</v>
      </c>
      <c r="R99" s="451">
        <f t="shared" si="7"/>
        <v>0</v>
      </c>
      <c r="T99" s="565">
        <v>52200000001</v>
      </c>
      <c r="U99" s="566" t="s">
        <v>66</v>
      </c>
      <c r="V99" s="566"/>
      <c r="W99" s="566"/>
      <c r="X99" s="567">
        <v>-1025.82</v>
      </c>
      <c r="Y99" s="474">
        <v>1025.82</v>
      </c>
      <c r="Z99" s="450">
        <f>X99+Y99</f>
        <v>0</v>
      </c>
    </row>
    <row r="100" spans="2:26" x14ac:dyDescent="0.2">
      <c r="B100" s="447"/>
      <c r="C100" s="444"/>
      <c r="D100" s="444"/>
      <c r="E100" s="448" t="s">
        <v>916</v>
      </c>
      <c r="F100" s="420"/>
      <c r="G100" s="506"/>
      <c r="H100" s="506"/>
      <c r="I100" s="506"/>
      <c r="J100" s="506"/>
      <c r="K100" s="449">
        <v>-367.8</v>
      </c>
      <c r="L100" s="365">
        <f t="shared" si="6"/>
        <v>-367.8</v>
      </c>
      <c r="M100" s="553"/>
      <c r="N100" s="553"/>
      <c r="O100" s="476" t="s">
        <v>256</v>
      </c>
      <c r="P100" s="299">
        <v>51000200001</v>
      </c>
      <c r="Q100" s="448" t="s">
        <v>780</v>
      </c>
      <c r="R100" s="451">
        <f t="shared" si="7"/>
        <v>0</v>
      </c>
      <c r="T100" s="568"/>
      <c r="U100" s="568"/>
      <c r="V100" s="568"/>
      <c r="W100" s="568"/>
      <c r="X100" s="564"/>
      <c r="Y100" s="507">
        <f>SUM(Y97:Y98)</f>
        <v>1045.04</v>
      </c>
      <c r="Z100" s="507">
        <f>SUM(Z97:Z99)</f>
        <v>-5270.93</v>
      </c>
    </row>
    <row r="101" spans="2:26" x14ac:dyDescent="0.2">
      <c r="B101" s="447"/>
      <c r="C101" s="444"/>
      <c r="D101" s="444"/>
      <c r="E101" s="448"/>
      <c r="F101" s="420"/>
      <c r="G101" s="506"/>
      <c r="H101" s="506"/>
      <c r="I101" s="506"/>
      <c r="J101" s="506"/>
      <c r="K101" s="449">
        <v>0</v>
      </c>
      <c r="L101" s="365"/>
      <c r="M101" s="553"/>
      <c r="N101" s="553"/>
      <c r="O101" s="476" t="s">
        <v>256</v>
      </c>
      <c r="P101" s="299">
        <v>51000200001</v>
      </c>
      <c r="Q101" s="448" t="s">
        <v>97</v>
      </c>
      <c r="R101" s="451">
        <f t="shared" si="7"/>
        <v>0</v>
      </c>
      <c r="T101" s="568"/>
      <c r="U101" s="568"/>
      <c r="V101" s="568"/>
      <c r="W101" s="568"/>
      <c r="X101" s="564"/>
      <c r="Y101" s="474"/>
      <c r="Z101" s="450"/>
    </row>
    <row r="102" spans="2:26" x14ac:dyDescent="0.2">
      <c r="B102" s="447"/>
      <c r="C102" s="444"/>
      <c r="D102" s="444"/>
      <c r="E102" s="448"/>
      <c r="F102" s="420"/>
      <c r="G102" s="506"/>
      <c r="H102" s="506"/>
      <c r="I102" s="506"/>
      <c r="J102" s="506"/>
      <c r="K102" s="449"/>
      <c r="L102" s="365"/>
      <c r="M102" s="553"/>
      <c r="N102" s="553"/>
      <c r="O102" s="476" t="s">
        <v>256</v>
      </c>
      <c r="P102" s="299">
        <v>51000200002</v>
      </c>
      <c r="Q102" s="448" t="s">
        <v>835</v>
      </c>
      <c r="R102" s="451">
        <f t="shared" si="7"/>
        <v>0</v>
      </c>
      <c r="Y102" s="474"/>
      <c r="Z102" s="450"/>
    </row>
    <row r="103" spans="2:26" x14ac:dyDescent="0.2">
      <c r="B103" s="420"/>
      <c r="C103" s="421"/>
      <c r="D103" s="421"/>
      <c r="E103" s="448"/>
      <c r="F103" s="420"/>
      <c r="G103" s="506"/>
      <c r="H103" s="506"/>
      <c r="I103" s="506"/>
      <c r="J103" s="506"/>
      <c r="K103" s="506"/>
      <c r="L103" s="506"/>
      <c r="M103" s="554"/>
      <c r="N103" s="554"/>
      <c r="O103" s="476" t="s">
        <v>256</v>
      </c>
      <c r="P103" s="299">
        <v>51000200002</v>
      </c>
      <c r="Q103" s="448" t="s">
        <v>780</v>
      </c>
      <c r="R103" s="451">
        <f t="shared" si="7"/>
        <v>0</v>
      </c>
    </row>
    <row r="104" spans="2:26" x14ac:dyDescent="0.2">
      <c r="B104" s="512"/>
      <c r="C104" s="513"/>
      <c r="D104" s="513"/>
      <c r="E104" s="448"/>
      <c r="F104" s="512"/>
      <c r="G104" s="514"/>
      <c r="H104" s="514"/>
      <c r="I104" s="514"/>
      <c r="J104" s="514"/>
      <c r="K104" s="514"/>
      <c r="L104" s="514"/>
      <c r="O104" s="476" t="s">
        <v>256</v>
      </c>
      <c r="P104" s="299">
        <v>51000200002</v>
      </c>
      <c r="Q104" s="448" t="s">
        <v>97</v>
      </c>
      <c r="R104" s="451">
        <f t="shared" si="7"/>
        <v>0</v>
      </c>
    </row>
    <row r="105" spans="2:26" x14ac:dyDescent="0.2">
      <c r="B105" s="420"/>
      <c r="C105" s="421"/>
      <c r="D105" s="421"/>
      <c r="E105" s="420"/>
      <c r="F105" s="420"/>
      <c r="G105" s="515">
        <f t="shared" ref="G105:I105" si="8">SUM(G96:G104)</f>
        <v>0</v>
      </c>
      <c r="H105" s="515">
        <f t="shared" si="8"/>
        <v>0</v>
      </c>
      <c r="I105" s="515">
        <f t="shared" si="8"/>
        <v>0</v>
      </c>
      <c r="J105" s="515">
        <f>SUM(J96:J104)</f>
        <v>2829.21</v>
      </c>
      <c r="K105" s="515">
        <f>SUM(K96:K104)</f>
        <v>0</v>
      </c>
      <c r="L105" s="515">
        <f>SUM(L96:L104)</f>
        <v>2829.21</v>
      </c>
      <c r="O105" s="476" t="s">
        <v>256</v>
      </c>
      <c r="P105" s="299">
        <v>51220200001</v>
      </c>
      <c r="Q105" s="448" t="s">
        <v>835</v>
      </c>
      <c r="R105" s="451">
        <f t="shared" si="7"/>
        <v>690.69</v>
      </c>
    </row>
    <row r="106" spans="2:26" x14ac:dyDescent="0.2">
      <c r="O106" s="476" t="s">
        <v>256</v>
      </c>
      <c r="P106" s="299">
        <v>51220200001</v>
      </c>
      <c r="Q106" s="448" t="s">
        <v>780</v>
      </c>
      <c r="R106" s="451">
        <f t="shared" si="7"/>
        <v>0</v>
      </c>
    </row>
    <row r="107" spans="2:26" x14ac:dyDescent="0.2">
      <c r="O107" s="476" t="s">
        <v>256</v>
      </c>
      <c r="P107" s="299">
        <v>51220200001</v>
      </c>
      <c r="Q107" s="448" t="s">
        <v>97</v>
      </c>
      <c r="R107" s="451">
        <f t="shared" si="7"/>
        <v>0</v>
      </c>
    </row>
    <row r="108" spans="2:26" x14ac:dyDescent="0.2">
      <c r="O108" s="476" t="s">
        <v>256</v>
      </c>
      <c r="P108" s="299">
        <v>52200000001</v>
      </c>
      <c r="Q108" s="448" t="s">
        <v>835</v>
      </c>
      <c r="R108" s="451">
        <f t="shared" si="7"/>
        <v>0</v>
      </c>
    </row>
    <row r="109" spans="2:26" x14ac:dyDescent="0.2">
      <c r="O109" s="476" t="s">
        <v>256</v>
      </c>
      <c r="P109" s="299">
        <v>52200000001</v>
      </c>
      <c r="Q109" s="448" t="s">
        <v>780</v>
      </c>
      <c r="R109" s="451">
        <f t="shared" si="7"/>
        <v>0</v>
      </c>
      <c r="W109" s="363" t="s">
        <v>850</v>
      </c>
      <c r="X109" s="450">
        <f>+X97</f>
        <v>-2831.04</v>
      </c>
    </row>
    <row r="110" spans="2:26" x14ac:dyDescent="0.2">
      <c r="O110" s="476" t="s">
        <v>256</v>
      </c>
      <c r="P110" s="299">
        <v>52200000001</v>
      </c>
      <c r="Q110" s="448" t="s">
        <v>97</v>
      </c>
      <c r="R110" s="451">
        <f t="shared" si="7"/>
        <v>0</v>
      </c>
      <c r="W110" s="354" t="s">
        <v>852</v>
      </c>
      <c r="X110" s="450">
        <f>Y100</f>
        <v>1045.04</v>
      </c>
    </row>
    <row r="111" spans="2:26" x14ac:dyDescent="0.2">
      <c r="O111" s="476" t="s">
        <v>256</v>
      </c>
      <c r="P111" s="299">
        <v>52200000001</v>
      </c>
      <c r="Q111" s="448" t="s">
        <v>835</v>
      </c>
      <c r="R111" s="451">
        <f t="shared" si="7"/>
        <v>0</v>
      </c>
      <c r="W111" s="354" t="s">
        <v>855</v>
      </c>
      <c r="X111" s="517">
        <f>SUM(J97)</f>
        <v>1784.17</v>
      </c>
    </row>
    <row r="112" spans="2:26" x14ac:dyDescent="0.2">
      <c r="O112" s="476" t="s">
        <v>256</v>
      </c>
      <c r="P112" s="299">
        <v>51220200001</v>
      </c>
      <c r="Q112" s="448" t="s">
        <v>864</v>
      </c>
      <c r="R112" s="451">
        <f t="shared" si="7"/>
        <v>354.35</v>
      </c>
      <c r="X112" s="507">
        <f>X109+X110+X111</f>
        <v>-1.8299999999999272</v>
      </c>
      <c r="Y112" s="354" t="s">
        <v>870</v>
      </c>
    </row>
    <row r="113" spans="2:26" x14ac:dyDescent="0.2">
      <c r="O113" s="476" t="s">
        <v>256</v>
      </c>
      <c r="P113" s="299">
        <v>53000100001</v>
      </c>
      <c r="Q113" s="448" t="s">
        <v>835</v>
      </c>
      <c r="R113" s="451">
        <f t="shared" si="7"/>
        <v>0</v>
      </c>
    </row>
    <row r="114" spans="2:26" x14ac:dyDescent="0.2">
      <c r="O114" s="476"/>
      <c r="P114" s="354"/>
      <c r="Q114" s="448"/>
      <c r="R114" s="475">
        <f>SUM(R97:R113)</f>
        <v>1045.04</v>
      </c>
    </row>
    <row r="117" spans="2:26" ht="16.5" x14ac:dyDescent="0.25">
      <c r="B117" s="419" t="s">
        <v>833</v>
      </c>
      <c r="C117" s="420"/>
      <c r="D117" s="421"/>
      <c r="E117" s="422" t="s">
        <v>257</v>
      </c>
    </row>
    <row r="118" spans="2:26" x14ac:dyDescent="0.2">
      <c r="B118" s="426" t="s">
        <v>74</v>
      </c>
      <c r="C118" s="420"/>
      <c r="D118" s="420"/>
      <c r="E118" s="427"/>
    </row>
    <row r="120" spans="2:26" x14ac:dyDescent="0.2">
      <c r="O120" s="520" t="s">
        <v>852</v>
      </c>
      <c r="P120" s="520"/>
      <c r="Q120" s="520"/>
      <c r="R120" s="520"/>
      <c r="U120" s="363" t="s">
        <v>842</v>
      </c>
      <c r="Y120" s="354" t="s">
        <v>851</v>
      </c>
      <c r="Z120" s="354" t="s">
        <v>753</v>
      </c>
    </row>
    <row r="121" spans="2:26" x14ac:dyDescent="0.2">
      <c r="B121" s="431"/>
      <c r="C121" s="432" t="s">
        <v>609</v>
      </c>
      <c r="D121" s="433" t="s">
        <v>75</v>
      </c>
      <c r="E121" s="433"/>
      <c r="F121" s="433" t="s">
        <v>210</v>
      </c>
      <c r="G121" s="433"/>
      <c r="H121" s="434" t="s">
        <v>211</v>
      </c>
      <c r="I121" s="435"/>
      <c r="J121" s="435"/>
      <c r="K121" s="435"/>
      <c r="L121" s="454"/>
      <c r="O121" s="476" t="s">
        <v>257</v>
      </c>
      <c r="P121" s="299">
        <v>51000000001</v>
      </c>
      <c r="Q121" s="448" t="s">
        <v>835</v>
      </c>
      <c r="R121" s="451">
        <f>SUMIFS($J$125:$J$134,$E$125:$E$134,Q121,$M$125:$M$134,P121)</f>
        <v>0</v>
      </c>
      <c r="T121" s="354">
        <v>51000100001</v>
      </c>
      <c r="U121" s="354" t="s">
        <v>12</v>
      </c>
      <c r="X121" s="366">
        <v>-193.27</v>
      </c>
      <c r="Y121" s="474">
        <f>R123</f>
        <v>193.27</v>
      </c>
      <c r="Z121" s="450">
        <f>X121+Y121</f>
        <v>0</v>
      </c>
    </row>
    <row r="122" spans="2:26" x14ac:dyDescent="0.2">
      <c r="B122" s="436" t="s">
        <v>212</v>
      </c>
      <c r="C122" s="437" t="s">
        <v>213</v>
      </c>
      <c r="D122" s="437" t="s">
        <v>616</v>
      </c>
      <c r="E122" s="437" t="s">
        <v>214</v>
      </c>
      <c r="F122" s="437" t="s">
        <v>617</v>
      </c>
      <c r="G122" s="437" t="s">
        <v>215</v>
      </c>
      <c r="H122" s="438" t="s">
        <v>164</v>
      </c>
      <c r="I122" s="435"/>
      <c r="J122" s="438" t="s">
        <v>216</v>
      </c>
      <c r="K122" s="435"/>
      <c r="L122" s="455" t="s">
        <v>722</v>
      </c>
      <c r="O122" s="476" t="s">
        <v>257</v>
      </c>
      <c r="P122" s="299">
        <v>51000000002</v>
      </c>
      <c r="Q122" s="448" t="s">
        <v>835</v>
      </c>
      <c r="R122" s="451">
        <f t="shared" ref="R122:R124" si="9">SUMIFS($J$125:$J$134,$E$125:$E$134,Q122,$M$125:$M$134,P122)</f>
        <v>0</v>
      </c>
      <c r="T122" s="354">
        <v>51000100002</v>
      </c>
      <c r="U122" s="354" t="s">
        <v>786</v>
      </c>
      <c r="X122" s="366">
        <v>-193.27</v>
      </c>
      <c r="Y122" s="474">
        <f>R124</f>
        <v>193.27</v>
      </c>
      <c r="Z122" s="450">
        <f>X122+Y122</f>
        <v>0</v>
      </c>
    </row>
    <row r="123" spans="2:26" x14ac:dyDescent="0.2">
      <c r="B123" s="439"/>
      <c r="C123" s="440"/>
      <c r="D123" s="440"/>
      <c r="E123" s="439"/>
      <c r="F123" s="439"/>
      <c r="G123" s="439"/>
      <c r="H123" s="441" t="s">
        <v>723</v>
      </c>
      <c r="I123" s="442" t="s">
        <v>724</v>
      </c>
      <c r="J123" s="456" t="s">
        <v>725</v>
      </c>
      <c r="K123" s="456" t="s">
        <v>157</v>
      </c>
      <c r="L123" s="457" t="s">
        <v>164</v>
      </c>
      <c r="O123" s="476" t="s">
        <v>257</v>
      </c>
      <c r="P123" s="299">
        <v>51000100001</v>
      </c>
      <c r="Q123" s="448" t="s">
        <v>835</v>
      </c>
      <c r="R123" s="451">
        <f t="shared" si="9"/>
        <v>193.27</v>
      </c>
      <c r="T123" s="354">
        <v>51220200001</v>
      </c>
      <c r="U123" s="354" t="s">
        <v>96</v>
      </c>
      <c r="X123" s="366">
        <v>-1024.6799999999994</v>
      </c>
      <c r="Y123" s="474">
        <f>R131+R138</f>
        <v>1022.86</v>
      </c>
      <c r="Z123" s="450">
        <f>X123+Y123</f>
        <v>-1.8199999999993679</v>
      </c>
    </row>
    <row r="124" spans="2:26" x14ac:dyDescent="0.2">
      <c r="B124" s="443"/>
      <c r="C124" s="444"/>
      <c r="D124" s="444"/>
      <c r="E124" s="445"/>
      <c r="F124" s="446"/>
      <c r="G124" s="364"/>
      <c r="H124" s="365"/>
      <c r="I124" s="365"/>
      <c r="J124" s="365"/>
      <c r="K124" s="365"/>
      <c r="L124" s="365"/>
      <c r="O124" s="476" t="s">
        <v>257</v>
      </c>
      <c r="P124" s="299">
        <v>51000100002</v>
      </c>
      <c r="Q124" s="448" t="s">
        <v>835</v>
      </c>
      <c r="R124" s="451">
        <f t="shared" si="9"/>
        <v>193.27</v>
      </c>
      <c r="T124" s="354">
        <v>52200000001</v>
      </c>
      <c r="U124" s="354" t="s">
        <v>66</v>
      </c>
      <c r="X124" s="366">
        <v>-6719.37</v>
      </c>
    </row>
    <row r="125" spans="2:26" x14ac:dyDescent="0.2">
      <c r="B125" s="447"/>
      <c r="C125" s="444" t="s">
        <v>969</v>
      </c>
      <c r="D125" s="444" t="s">
        <v>834</v>
      </c>
      <c r="E125" s="448" t="s">
        <v>854</v>
      </c>
      <c r="F125" s="448">
        <v>0</v>
      </c>
      <c r="G125" s="364"/>
      <c r="H125" s="365"/>
      <c r="I125" s="365"/>
      <c r="J125" s="365">
        <v>0</v>
      </c>
      <c r="K125" s="449">
        <v>0</v>
      </c>
      <c r="L125" s="365">
        <v>0</v>
      </c>
      <c r="O125" s="476" t="s">
        <v>257</v>
      </c>
      <c r="P125" s="299">
        <v>51000200001</v>
      </c>
      <c r="Q125" s="448" t="s">
        <v>835</v>
      </c>
      <c r="R125" s="451">
        <f t="shared" ref="R125:R139" si="10">SUMIFS($J$125:$J$134,$E$125:$E$134,Q125,$M$125:$M$134,P125)</f>
        <v>0</v>
      </c>
      <c r="Y125" s="507">
        <f>SUM(Y121:Y124)</f>
        <v>1409.4</v>
      </c>
      <c r="Z125" s="507">
        <f>SUM(Z121:Z124)</f>
        <v>-1.8199999999993679</v>
      </c>
    </row>
    <row r="126" spans="2:26" x14ac:dyDescent="0.2">
      <c r="B126" s="447"/>
      <c r="C126" s="444" t="s">
        <v>970</v>
      </c>
      <c r="D126" s="444" t="s">
        <v>834</v>
      </c>
      <c r="E126" s="448" t="s">
        <v>854</v>
      </c>
      <c r="F126" s="448">
        <v>0</v>
      </c>
      <c r="G126" s="448"/>
      <c r="H126" s="365"/>
      <c r="I126" s="365"/>
      <c r="J126" s="365">
        <v>0</v>
      </c>
      <c r="K126" s="449">
        <v>0</v>
      </c>
      <c r="L126" s="365">
        <v>0</v>
      </c>
      <c r="O126" s="476" t="s">
        <v>257</v>
      </c>
      <c r="P126" s="299">
        <v>51000200001</v>
      </c>
      <c r="Q126" s="448" t="s">
        <v>780</v>
      </c>
      <c r="R126" s="451">
        <f t="shared" si="10"/>
        <v>0</v>
      </c>
    </row>
    <row r="127" spans="2:26" x14ac:dyDescent="0.2">
      <c r="B127" s="447">
        <v>43196</v>
      </c>
      <c r="C127" s="444" t="s">
        <v>971</v>
      </c>
      <c r="D127" s="444" t="s">
        <v>834</v>
      </c>
      <c r="E127" s="448" t="s">
        <v>835</v>
      </c>
      <c r="F127" s="448" t="s">
        <v>158</v>
      </c>
      <c r="G127" s="364"/>
      <c r="H127" s="365"/>
      <c r="I127" s="365"/>
      <c r="J127" s="365">
        <v>193.27</v>
      </c>
      <c r="K127" s="449">
        <v>25.12</v>
      </c>
      <c r="L127" s="365">
        <v>218.39000000000001</v>
      </c>
      <c r="M127" s="354">
        <v>51000100001</v>
      </c>
      <c r="O127" s="476" t="s">
        <v>257</v>
      </c>
      <c r="P127" s="299">
        <v>51000200001</v>
      </c>
      <c r="Q127" s="448" t="s">
        <v>97</v>
      </c>
      <c r="R127" s="451">
        <f t="shared" si="10"/>
        <v>0</v>
      </c>
    </row>
    <row r="128" spans="2:26" x14ac:dyDescent="0.2">
      <c r="B128" s="447">
        <v>43196</v>
      </c>
      <c r="C128" s="444" t="s">
        <v>972</v>
      </c>
      <c r="D128" s="444" t="s">
        <v>834</v>
      </c>
      <c r="E128" s="448" t="s">
        <v>835</v>
      </c>
      <c r="F128" s="448" t="s">
        <v>158</v>
      </c>
      <c r="G128" s="448"/>
      <c r="H128" s="365"/>
      <c r="I128" s="365"/>
      <c r="J128" s="365">
        <v>193.27</v>
      </c>
      <c r="K128" s="449">
        <v>25.12</v>
      </c>
      <c r="L128" s="365">
        <v>218.39000000000001</v>
      </c>
      <c r="M128" s="354">
        <v>51000100002</v>
      </c>
      <c r="O128" s="476" t="s">
        <v>257</v>
      </c>
      <c r="P128" s="299">
        <v>51000200002</v>
      </c>
      <c r="Q128" s="448" t="s">
        <v>835</v>
      </c>
      <c r="R128" s="451">
        <f t="shared" si="10"/>
        <v>0</v>
      </c>
    </row>
    <row r="129" spans="2:25" x14ac:dyDescent="0.2">
      <c r="B129" s="447"/>
      <c r="C129" s="444" t="s">
        <v>973</v>
      </c>
      <c r="D129" s="444" t="s">
        <v>834</v>
      </c>
      <c r="E129" s="448" t="s">
        <v>854</v>
      </c>
      <c r="F129" s="448">
        <v>0</v>
      </c>
      <c r="G129" s="448"/>
      <c r="H129" s="365"/>
      <c r="I129" s="365"/>
      <c r="J129" s="365">
        <v>0</v>
      </c>
      <c r="K129" s="449">
        <v>0</v>
      </c>
      <c r="L129" s="365">
        <v>0</v>
      </c>
      <c r="O129" s="476" t="s">
        <v>257</v>
      </c>
      <c r="P129" s="299">
        <v>51000200002</v>
      </c>
      <c r="Q129" s="448" t="s">
        <v>780</v>
      </c>
      <c r="R129" s="451">
        <f t="shared" si="10"/>
        <v>0</v>
      </c>
    </row>
    <row r="130" spans="2:25" x14ac:dyDescent="0.2">
      <c r="B130" s="447"/>
      <c r="C130" s="444" t="s">
        <v>974</v>
      </c>
      <c r="D130" s="444" t="s">
        <v>834</v>
      </c>
      <c r="E130" s="448" t="s">
        <v>854</v>
      </c>
      <c r="F130" s="448">
        <v>0</v>
      </c>
      <c r="G130" s="448"/>
      <c r="H130" s="365"/>
      <c r="I130" s="365"/>
      <c r="J130" s="365">
        <v>0</v>
      </c>
      <c r="K130" s="449">
        <v>0</v>
      </c>
      <c r="L130" s="365">
        <v>0</v>
      </c>
      <c r="O130" s="476" t="s">
        <v>257</v>
      </c>
      <c r="P130" s="299">
        <v>51000200002</v>
      </c>
      <c r="Q130" s="448" t="s">
        <v>97</v>
      </c>
      <c r="R130" s="451">
        <f t="shared" si="10"/>
        <v>0</v>
      </c>
    </row>
    <row r="131" spans="2:25" x14ac:dyDescent="0.2">
      <c r="B131" s="447">
        <v>43202</v>
      </c>
      <c r="C131" s="444" t="s">
        <v>975</v>
      </c>
      <c r="D131" s="444" t="s">
        <v>834</v>
      </c>
      <c r="E131" s="448" t="s">
        <v>864</v>
      </c>
      <c r="F131" s="448" t="s">
        <v>865</v>
      </c>
      <c r="G131" s="448"/>
      <c r="H131" s="365"/>
      <c r="I131" s="365"/>
      <c r="J131" s="365">
        <v>379.35</v>
      </c>
      <c r="K131" s="449">
        <v>49.32</v>
      </c>
      <c r="L131" s="365">
        <v>428.67</v>
      </c>
      <c r="M131" s="354">
        <v>51220200001</v>
      </c>
      <c r="O131" s="476" t="s">
        <v>257</v>
      </c>
      <c r="P131" s="299">
        <v>51220200001</v>
      </c>
      <c r="Q131" s="448" t="s">
        <v>835</v>
      </c>
      <c r="R131" s="451">
        <f t="shared" si="10"/>
        <v>643.51</v>
      </c>
      <c r="W131" s="363" t="s">
        <v>850</v>
      </c>
      <c r="X131" s="450">
        <f>+X121+X122+X123</f>
        <v>-1411.2199999999993</v>
      </c>
    </row>
    <row r="132" spans="2:25" x14ac:dyDescent="0.2">
      <c r="B132" s="447">
        <v>43202</v>
      </c>
      <c r="C132" s="444" t="s">
        <v>976</v>
      </c>
      <c r="D132" s="444" t="s">
        <v>834</v>
      </c>
      <c r="E132" s="448" t="s">
        <v>835</v>
      </c>
      <c r="F132" s="448" t="s">
        <v>158</v>
      </c>
      <c r="G132" s="448"/>
      <c r="H132" s="365"/>
      <c r="I132" s="365"/>
      <c r="J132" s="365">
        <v>643.51</v>
      </c>
      <c r="K132" s="449">
        <v>83.66</v>
      </c>
      <c r="L132" s="365">
        <v>727.17</v>
      </c>
      <c r="M132" s="354">
        <v>51220200001</v>
      </c>
      <c r="O132" s="476" t="s">
        <v>257</v>
      </c>
      <c r="P132" s="299">
        <v>51220200001</v>
      </c>
      <c r="Q132" s="448" t="s">
        <v>780</v>
      </c>
      <c r="R132" s="451">
        <f t="shared" si="10"/>
        <v>0</v>
      </c>
      <c r="W132" s="354" t="s">
        <v>852</v>
      </c>
      <c r="X132" s="450">
        <f>Y125</f>
        <v>1409.4</v>
      </c>
    </row>
    <row r="133" spans="2:25" x14ac:dyDescent="0.2">
      <c r="O133" s="476" t="s">
        <v>257</v>
      </c>
      <c r="P133" s="299">
        <v>51220200001</v>
      </c>
      <c r="Q133" s="448" t="s">
        <v>97</v>
      </c>
      <c r="R133" s="451">
        <f t="shared" si="10"/>
        <v>0</v>
      </c>
      <c r="W133" s="354" t="s">
        <v>855</v>
      </c>
      <c r="X133" s="517">
        <v>0</v>
      </c>
    </row>
    <row r="134" spans="2:25" x14ac:dyDescent="0.2">
      <c r="E134" s="448" t="s">
        <v>916</v>
      </c>
      <c r="F134" s="420"/>
      <c r="G134" s="506"/>
      <c r="H134" s="506"/>
      <c r="I134" s="506"/>
      <c r="J134" s="506"/>
      <c r="K134" s="449">
        <v>-183.22</v>
      </c>
      <c r="L134" s="365">
        <f t="shared" ref="L134" si="11">+J134+K134</f>
        <v>-183.22</v>
      </c>
      <c r="O134" s="476" t="s">
        <v>257</v>
      </c>
      <c r="P134" s="299">
        <v>52200000001</v>
      </c>
      <c r="Q134" s="448" t="s">
        <v>835</v>
      </c>
      <c r="R134" s="451">
        <f t="shared" si="10"/>
        <v>0</v>
      </c>
      <c r="X134" s="507">
        <f>X131+X132+X133</f>
        <v>-1.8199999999992542</v>
      </c>
      <c r="Y134" s="354" t="s">
        <v>870</v>
      </c>
    </row>
    <row r="135" spans="2:25" x14ac:dyDescent="0.2">
      <c r="E135" s="448"/>
      <c r="F135" s="420"/>
      <c r="G135" s="506"/>
      <c r="H135" s="506"/>
      <c r="I135" s="506"/>
      <c r="J135" s="506"/>
      <c r="K135" s="449">
        <v>0</v>
      </c>
      <c r="L135" s="365"/>
      <c r="O135" s="476" t="s">
        <v>257</v>
      </c>
      <c r="P135" s="299">
        <v>52200000001</v>
      </c>
      <c r="Q135" s="448" t="s">
        <v>780</v>
      </c>
      <c r="R135" s="451">
        <f t="shared" si="10"/>
        <v>0</v>
      </c>
    </row>
    <row r="136" spans="2:25" x14ac:dyDescent="0.2">
      <c r="E136" s="448"/>
      <c r="F136" s="420"/>
      <c r="G136" s="506"/>
      <c r="H136" s="506"/>
      <c r="I136" s="506"/>
      <c r="J136" s="506"/>
      <c r="K136" s="449"/>
      <c r="L136" s="365"/>
      <c r="O136" s="476" t="s">
        <v>257</v>
      </c>
      <c r="P136" s="299">
        <v>52200000001</v>
      </c>
      <c r="Q136" s="448" t="s">
        <v>97</v>
      </c>
      <c r="R136" s="451">
        <f t="shared" si="10"/>
        <v>0</v>
      </c>
    </row>
    <row r="137" spans="2:25" x14ac:dyDescent="0.2">
      <c r="E137" s="448"/>
      <c r="F137" s="420"/>
      <c r="G137" s="506"/>
      <c r="H137" s="506"/>
      <c r="I137" s="506"/>
      <c r="J137" s="506"/>
      <c r="K137" s="506"/>
      <c r="L137" s="506"/>
      <c r="O137" s="476" t="s">
        <v>257</v>
      </c>
      <c r="P137" s="299">
        <v>52200000001</v>
      </c>
      <c r="Q137" s="448" t="s">
        <v>835</v>
      </c>
      <c r="R137" s="451">
        <f t="shared" si="10"/>
        <v>0</v>
      </c>
    </row>
    <row r="138" spans="2:25" x14ac:dyDescent="0.2">
      <c r="E138" s="448"/>
      <c r="F138" s="512"/>
      <c r="G138" s="514"/>
      <c r="H138" s="514"/>
      <c r="I138" s="514"/>
      <c r="J138" s="514"/>
      <c r="K138" s="514"/>
      <c r="L138" s="514"/>
      <c r="O138" s="476" t="s">
        <v>257</v>
      </c>
      <c r="P138" s="299">
        <v>51220200001</v>
      </c>
      <c r="Q138" s="448" t="s">
        <v>864</v>
      </c>
      <c r="R138" s="451">
        <f t="shared" si="10"/>
        <v>379.35</v>
      </c>
    </row>
    <row r="139" spans="2:25" x14ac:dyDescent="0.2">
      <c r="E139" s="420"/>
      <c r="F139" s="420"/>
      <c r="G139" s="515">
        <f t="shared" ref="G139:I139" si="12">SUM(G56:G138)</f>
        <v>2017</v>
      </c>
      <c r="H139" s="515">
        <f t="shared" si="12"/>
        <v>0</v>
      </c>
      <c r="I139" s="515">
        <f t="shared" si="12"/>
        <v>0</v>
      </c>
      <c r="J139" s="515">
        <f>SUM(J56:J138)</f>
        <v>66643.14</v>
      </c>
      <c r="K139" s="515">
        <f>SUM(K56:K138)</f>
        <v>3834.7399999999989</v>
      </c>
      <c r="L139" s="515">
        <f>SUM(L56:L138)</f>
        <v>70477.87999999999</v>
      </c>
      <c r="O139" s="476" t="s">
        <v>257</v>
      </c>
      <c r="P139" s="299">
        <v>53000100001</v>
      </c>
      <c r="Q139" s="448" t="s">
        <v>835</v>
      </c>
      <c r="R139" s="572">
        <f t="shared" si="10"/>
        <v>0</v>
      </c>
    </row>
    <row r="140" spans="2:25" x14ac:dyDescent="0.2">
      <c r="R140" s="475">
        <f>SUM(R121:R139)</f>
        <v>1409.4</v>
      </c>
    </row>
    <row r="147" spans="2:26" ht="16.5" x14ac:dyDescent="0.25">
      <c r="B147" s="419" t="s">
        <v>833</v>
      </c>
      <c r="C147" s="420"/>
      <c r="D147" s="421"/>
      <c r="E147" s="422" t="s">
        <v>258</v>
      </c>
    </row>
    <row r="148" spans="2:26" x14ac:dyDescent="0.2">
      <c r="B148" s="426" t="s">
        <v>74</v>
      </c>
      <c r="C148" s="420"/>
      <c r="D148" s="420"/>
      <c r="E148" s="427"/>
    </row>
    <row r="151" spans="2:26" x14ac:dyDescent="0.2">
      <c r="B151" s="431"/>
      <c r="C151" s="432" t="s">
        <v>609</v>
      </c>
      <c r="D151" s="433" t="s">
        <v>75</v>
      </c>
      <c r="E151" s="433"/>
      <c r="F151" s="433" t="s">
        <v>210</v>
      </c>
      <c r="G151" s="433"/>
      <c r="H151" s="434" t="s">
        <v>211</v>
      </c>
      <c r="I151" s="435"/>
      <c r="J151" s="435"/>
      <c r="K151" s="435"/>
      <c r="L151" s="454"/>
      <c r="O151" s="520" t="s">
        <v>852</v>
      </c>
      <c r="P151" s="520"/>
      <c r="Q151" s="520"/>
      <c r="R151" s="520"/>
      <c r="U151" s="363" t="s">
        <v>842</v>
      </c>
      <c r="Y151" s="354" t="s">
        <v>851</v>
      </c>
      <c r="Z151" s="354" t="s">
        <v>753</v>
      </c>
    </row>
    <row r="152" spans="2:26" x14ac:dyDescent="0.2">
      <c r="B152" s="436" t="s">
        <v>212</v>
      </c>
      <c r="C152" s="437" t="s">
        <v>213</v>
      </c>
      <c r="D152" s="437" t="s">
        <v>616</v>
      </c>
      <c r="E152" s="437" t="s">
        <v>214</v>
      </c>
      <c r="F152" s="437" t="s">
        <v>617</v>
      </c>
      <c r="G152" s="437" t="s">
        <v>215</v>
      </c>
      <c r="H152" s="438" t="s">
        <v>164</v>
      </c>
      <c r="I152" s="435"/>
      <c r="J152" s="438" t="s">
        <v>216</v>
      </c>
      <c r="K152" s="435"/>
      <c r="L152" s="455" t="s">
        <v>722</v>
      </c>
      <c r="O152" s="476" t="s">
        <v>258</v>
      </c>
      <c r="P152" s="299">
        <v>51000000001</v>
      </c>
      <c r="Q152" s="448" t="s">
        <v>835</v>
      </c>
      <c r="R152" s="451">
        <f>SUMIFS($J$155:$J$171,$E$155:$E$171,Q152,$M$155:$M$171,P152)</f>
        <v>0</v>
      </c>
      <c r="T152" s="354">
        <v>51000100001</v>
      </c>
      <c r="U152" s="354" t="s">
        <v>12</v>
      </c>
      <c r="X152" s="366">
        <v>-16204.79</v>
      </c>
      <c r="Y152" s="366">
        <f>R154</f>
        <v>2246.86</v>
      </c>
      <c r="Z152" s="450">
        <f>X152+Y152</f>
        <v>-13957.93</v>
      </c>
    </row>
    <row r="153" spans="2:26" x14ac:dyDescent="0.2">
      <c r="B153" s="439"/>
      <c r="C153" s="440"/>
      <c r="D153" s="440"/>
      <c r="E153" s="439"/>
      <c r="F153" s="439"/>
      <c r="G153" s="439"/>
      <c r="H153" s="441" t="s">
        <v>723</v>
      </c>
      <c r="I153" s="442" t="s">
        <v>724</v>
      </c>
      <c r="J153" s="456" t="s">
        <v>725</v>
      </c>
      <c r="K153" s="456" t="s">
        <v>157</v>
      </c>
      <c r="L153" s="457" t="s">
        <v>164</v>
      </c>
      <c r="O153" s="476" t="s">
        <v>258</v>
      </c>
      <c r="P153" s="299">
        <v>51000000002</v>
      </c>
      <c r="Q153" s="448" t="s">
        <v>835</v>
      </c>
      <c r="R153" s="451">
        <f t="shared" ref="R153:R170" si="13">SUMIFS($J$155:$J$171,$E$155:$E$171,Q153,$M$155:$M$171,P153)</f>
        <v>0</v>
      </c>
      <c r="T153" s="354">
        <v>51000100002</v>
      </c>
      <c r="U153" s="354" t="s">
        <v>786</v>
      </c>
      <c r="X153" s="366">
        <v>-10970.58</v>
      </c>
      <c r="Y153" s="366">
        <f>R155</f>
        <v>2246.86</v>
      </c>
      <c r="Z153" s="450">
        <f>X153+Y153</f>
        <v>-8723.7199999999993</v>
      </c>
    </row>
    <row r="154" spans="2:26" x14ac:dyDescent="0.2">
      <c r="B154" s="443"/>
      <c r="C154" s="444"/>
      <c r="D154" s="444"/>
      <c r="E154" s="445"/>
      <c r="F154" s="446"/>
      <c r="G154" s="364"/>
      <c r="H154" s="365"/>
      <c r="I154" s="365"/>
      <c r="J154" s="365"/>
      <c r="K154" s="365"/>
      <c r="L154" s="365"/>
      <c r="O154" s="476" t="s">
        <v>258</v>
      </c>
      <c r="P154" s="299">
        <v>51000100001</v>
      </c>
      <c r="Q154" s="448" t="s">
        <v>835</v>
      </c>
      <c r="R154" s="451">
        <f t="shared" si="13"/>
        <v>2246.86</v>
      </c>
      <c r="T154" s="354">
        <v>51220200001</v>
      </c>
      <c r="U154" s="354" t="s">
        <v>96</v>
      </c>
      <c r="X154" s="366">
        <v>-942.17000000000007</v>
      </c>
      <c r="Y154" s="366">
        <f>R162+R169</f>
        <v>918.99</v>
      </c>
      <c r="Z154" s="450">
        <f>X154+Y154</f>
        <v>-23.180000000000064</v>
      </c>
    </row>
    <row r="155" spans="2:26" x14ac:dyDescent="0.2">
      <c r="B155" s="447">
        <v>43222</v>
      </c>
      <c r="C155" s="444" t="s">
        <v>988</v>
      </c>
      <c r="D155" s="444" t="s">
        <v>834</v>
      </c>
      <c r="E155" s="448" t="s">
        <v>835</v>
      </c>
      <c r="F155" s="448" t="s">
        <v>158</v>
      </c>
      <c r="G155" s="364"/>
      <c r="H155" s="365"/>
      <c r="I155" s="365"/>
      <c r="J155" s="365">
        <v>2246.86</v>
      </c>
      <c r="K155" s="449">
        <v>292.08999999999997</v>
      </c>
      <c r="L155" s="365">
        <v>2538.9500000000003</v>
      </c>
      <c r="M155" s="354">
        <v>51000100002</v>
      </c>
      <c r="O155" s="476" t="s">
        <v>258</v>
      </c>
      <c r="P155" s="299">
        <v>51000100002</v>
      </c>
      <c r="Q155" s="448" t="s">
        <v>835</v>
      </c>
      <c r="R155" s="451">
        <f t="shared" si="13"/>
        <v>2246.86</v>
      </c>
      <c r="T155" s="354">
        <v>52200000001</v>
      </c>
      <c r="U155" s="354" t="s">
        <v>66</v>
      </c>
      <c r="X155" s="366">
        <v>-5836.4399999999987</v>
      </c>
      <c r="Y155" s="521"/>
      <c r="Z155" s="578"/>
    </row>
    <row r="156" spans="2:26" x14ac:dyDescent="0.2">
      <c r="B156" s="447"/>
      <c r="C156" s="444" t="s">
        <v>989</v>
      </c>
      <c r="D156" s="444" t="s">
        <v>834</v>
      </c>
      <c r="E156" s="448" t="s">
        <v>854</v>
      </c>
      <c r="F156" s="448">
        <v>0</v>
      </c>
      <c r="G156" s="448"/>
      <c r="H156" s="365"/>
      <c r="I156" s="365"/>
      <c r="J156" s="365">
        <v>0</v>
      </c>
      <c r="K156" s="449">
        <v>0</v>
      </c>
      <c r="L156" s="365">
        <v>0</v>
      </c>
      <c r="O156" s="476" t="s">
        <v>258</v>
      </c>
      <c r="P156" s="299">
        <v>51000200001</v>
      </c>
      <c r="Q156" s="448" t="s">
        <v>835</v>
      </c>
      <c r="R156" s="451">
        <f t="shared" si="13"/>
        <v>0</v>
      </c>
      <c r="Y156" s="507">
        <f>SUM(Y152:Y155)</f>
        <v>5412.71</v>
      </c>
      <c r="Z156" s="507">
        <f>SUM(Z152:Z155)</f>
        <v>-22704.83</v>
      </c>
    </row>
    <row r="157" spans="2:26" x14ac:dyDescent="0.2">
      <c r="B157" s="447">
        <v>43222</v>
      </c>
      <c r="C157" s="444" t="s">
        <v>990</v>
      </c>
      <c r="D157" s="444" t="s">
        <v>834</v>
      </c>
      <c r="E157" s="448" t="s">
        <v>918</v>
      </c>
      <c r="F157" s="448" t="s">
        <v>726</v>
      </c>
      <c r="G157" s="364"/>
      <c r="H157" s="365"/>
      <c r="I157" s="365"/>
      <c r="J157" s="365">
        <v>3594.96</v>
      </c>
      <c r="K157" s="449">
        <v>467.33</v>
      </c>
      <c r="L157" s="365">
        <v>4062.29</v>
      </c>
      <c r="M157" s="354">
        <v>51000100001</v>
      </c>
      <c r="O157" s="476" t="s">
        <v>258</v>
      </c>
      <c r="P157" s="299">
        <v>51000200001</v>
      </c>
      <c r="Q157" s="448" t="s">
        <v>780</v>
      </c>
      <c r="R157" s="451">
        <f t="shared" si="13"/>
        <v>0</v>
      </c>
    </row>
    <row r="158" spans="2:26" x14ac:dyDescent="0.2">
      <c r="B158" s="447"/>
      <c r="C158" s="444" t="s">
        <v>991</v>
      </c>
      <c r="D158" s="444" t="s">
        <v>834</v>
      </c>
      <c r="E158" s="448" t="s">
        <v>854</v>
      </c>
      <c r="F158" s="448">
        <v>0</v>
      </c>
      <c r="G158" s="448"/>
      <c r="H158" s="365"/>
      <c r="I158" s="365"/>
      <c r="J158" s="365">
        <v>0</v>
      </c>
      <c r="K158" s="449">
        <v>0</v>
      </c>
      <c r="L158" s="365">
        <v>0</v>
      </c>
      <c r="O158" s="476" t="s">
        <v>258</v>
      </c>
      <c r="P158" s="299">
        <v>51000200001</v>
      </c>
      <c r="Q158" s="448" t="s">
        <v>97</v>
      </c>
      <c r="R158" s="451">
        <f t="shared" si="13"/>
        <v>0</v>
      </c>
    </row>
    <row r="159" spans="2:26" x14ac:dyDescent="0.2">
      <c r="B159" s="447"/>
      <c r="C159" s="444" t="s">
        <v>992</v>
      </c>
      <c r="D159" s="444" t="s">
        <v>834</v>
      </c>
      <c r="E159" s="448" t="s">
        <v>854</v>
      </c>
      <c r="F159" s="448">
        <v>0</v>
      </c>
      <c r="G159" s="448"/>
      <c r="H159" s="365"/>
      <c r="I159" s="365"/>
      <c r="J159" s="365">
        <v>0</v>
      </c>
      <c r="K159" s="449">
        <v>0</v>
      </c>
      <c r="L159" s="365">
        <v>0</v>
      </c>
      <c r="O159" s="476" t="s">
        <v>258</v>
      </c>
      <c r="P159" s="299">
        <v>51000200002</v>
      </c>
      <c r="Q159" s="448" t="s">
        <v>835</v>
      </c>
      <c r="R159" s="451">
        <f t="shared" si="13"/>
        <v>0</v>
      </c>
    </row>
    <row r="160" spans="2:26" x14ac:dyDescent="0.2">
      <c r="B160" s="447"/>
      <c r="C160" s="444" t="s">
        <v>993</v>
      </c>
      <c r="D160" s="444" t="s">
        <v>834</v>
      </c>
      <c r="E160" s="448" t="s">
        <v>854</v>
      </c>
      <c r="F160" s="448">
        <v>0</v>
      </c>
      <c r="G160" s="448"/>
      <c r="H160" s="365"/>
      <c r="I160" s="365"/>
      <c r="J160" s="365">
        <v>0</v>
      </c>
      <c r="K160" s="449">
        <v>0</v>
      </c>
      <c r="L160" s="365">
        <v>0</v>
      </c>
      <c r="O160" s="476" t="s">
        <v>258</v>
      </c>
      <c r="P160" s="299">
        <v>51000200002</v>
      </c>
      <c r="Q160" s="448" t="s">
        <v>780</v>
      </c>
      <c r="R160" s="451">
        <f t="shared" si="13"/>
        <v>0</v>
      </c>
    </row>
    <row r="161" spans="2:25" x14ac:dyDescent="0.2">
      <c r="B161" s="447">
        <v>43222</v>
      </c>
      <c r="C161" s="444" t="s">
        <v>994</v>
      </c>
      <c r="D161" s="444" t="s">
        <v>834</v>
      </c>
      <c r="E161" s="448" t="s">
        <v>918</v>
      </c>
      <c r="F161" s="448" t="s">
        <v>726</v>
      </c>
      <c r="G161" s="448"/>
      <c r="H161" s="365"/>
      <c r="I161" s="365"/>
      <c r="J161" s="365">
        <v>2246.86</v>
      </c>
      <c r="K161" s="449">
        <v>292.08999999999997</v>
      </c>
      <c r="L161" s="365">
        <v>2538.9500000000003</v>
      </c>
      <c r="M161" s="354">
        <v>51000100002</v>
      </c>
      <c r="O161" s="476" t="s">
        <v>258</v>
      </c>
      <c r="P161" s="299">
        <v>51000200002</v>
      </c>
      <c r="Q161" s="448" t="s">
        <v>97</v>
      </c>
      <c r="R161" s="451">
        <f t="shared" si="13"/>
        <v>0</v>
      </c>
    </row>
    <row r="162" spans="2:25" x14ac:dyDescent="0.2">
      <c r="B162" s="447"/>
      <c r="C162" s="444" t="s">
        <v>995</v>
      </c>
      <c r="D162" s="444" t="s">
        <v>834</v>
      </c>
      <c r="E162" s="448" t="s">
        <v>854</v>
      </c>
      <c r="F162" s="448">
        <v>0</v>
      </c>
      <c r="G162" s="448"/>
      <c r="H162" s="365"/>
      <c r="I162" s="365"/>
      <c r="J162" s="365">
        <v>0</v>
      </c>
      <c r="K162" s="449">
        <v>0</v>
      </c>
      <c r="L162" s="365">
        <v>0</v>
      </c>
      <c r="O162" s="476" t="s">
        <v>258</v>
      </c>
      <c r="P162" s="299">
        <v>51220200001</v>
      </c>
      <c r="Q162" s="448" t="s">
        <v>835</v>
      </c>
      <c r="R162" s="451">
        <f t="shared" si="13"/>
        <v>539.64</v>
      </c>
    </row>
    <row r="163" spans="2:25" x14ac:dyDescent="0.2">
      <c r="B163" s="447">
        <v>43222</v>
      </c>
      <c r="C163" s="444" t="s">
        <v>996</v>
      </c>
      <c r="D163" s="444" t="s">
        <v>834</v>
      </c>
      <c r="E163" s="448" t="s">
        <v>835</v>
      </c>
      <c r="F163" s="448" t="s">
        <v>158</v>
      </c>
      <c r="G163" s="448"/>
      <c r="H163" s="365"/>
      <c r="I163" s="365"/>
      <c r="J163" s="365">
        <v>2246.86</v>
      </c>
      <c r="K163" s="449">
        <v>292.08999999999997</v>
      </c>
      <c r="L163" s="365">
        <v>2538.9500000000003</v>
      </c>
      <c r="M163" s="354">
        <v>51000100001</v>
      </c>
      <c r="O163" s="476" t="s">
        <v>258</v>
      </c>
      <c r="P163" s="299">
        <v>51220200001</v>
      </c>
      <c r="Q163" s="448" t="s">
        <v>780</v>
      </c>
      <c r="R163" s="451">
        <f t="shared" si="13"/>
        <v>0</v>
      </c>
    </row>
    <row r="164" spans="2:25" x14ac:dyDescent="0.2">
      <c r="B164" s="447"/>
      <c r="C164" s="444" t="s">
        <v>997</v>
      </c>
      <c r="D164" s="444" t="s">
        <v>834</v>
      </c>
      <c r="E164" s="448" t="s">
        <v>854</v>
      </c>
      <c r="F164" s="448">
        <v>0</v>
      </c>
      <c r="G164" s="448"/>
      <c r="H164" s="365"/>
      <c r="I164" s="365"/>
      <c r="J164" s="365">
        <v>0</v>
      </c>
      <c r="K164" s="449">
        <v>0</v>
      </c>
      <c r="L164" s="365">
        <v>0</v>
      </c>
      <c r="O164" s="476" t="s">
        <v>258</v>
      </c>
      <c r="P164" s="299">
        <v>51220200001</v>
      </c>
      <c r="Q164" s="448" t="s">
        <v>97</v>
      </c>
      <c r="R164" s="451">
        <f t="shared" si="13"/>
        <v>0</v>
      </c>
      <c r="W164" s="363" t="s">
        <v>850</v>
      </c>
      <c r="X164" s="450">
        <f>+X152+X153+X154</f>
        <v>-28117.54</v>
      </c>
    </row>
    <row r="165" spans="2:25" x14ac:dyDescent="0.2">
      <c r="B165" s="447">
        <v>43229</v>
      </c>
      <c r="C165" s="444" t="s">
        <v>998</v>
      </c>
      <c r="D165" s="444" t="s">
        <v>834</v>
      </c>
      <c r="E165" s="448" t="s">
        <v>864</v>
      </c>
      <c r="F165" s="448" t="s">
        <v>865</v>
      </c>
      <c r="G165" s="448"/>
      <c r="H165" s="365"/>
      <c r="I165" s="365"/>
      <c r="J165" s="365">
        <v>379.35</v>
      </c>
      <c r="K165" s="511">
        <v>49.32</v>
      </c>
      <c r="L165" s="365">
        <v>428.67</v>
      </c>
      <c r="M165" s="354">
        <v>51220200001</v>
      </c>
      <c r="O165" s="476" t="s">
        <v>258</v>
      </c>
      <c r="P165" s="299">
        <v>52200000001</v>
      </c>
      <c r="Q165" s="448" t="s">
        <v>835</v>
      </c>
      <c r="R165" s="451">
        <f t="shared" si="13"/>
        <v>0</v>
      </c>
      <c r="W165" s="354" t="s">
        <v>852</v>
      </c>
      <c r="X165" s="450">
        <f>Y156</f>
        <v>5412.71</v>
      </c>
    </row>
    <row r="166" spans="2:25" x14ac:dyDescent="0.2">
      <c r="B166" s="447">
        <v>43229</v>
      </c>
      <c r="C166" s="444" t="s">
        <v>999</v>
      </c>
      <c r="D166" s="444" t="s">
        <v>834</v>
      </c>
      <c r="E166" s="448" t="s">
        <v>835</v>
      </c>
      <c r="F166" s="448" t="s">
        <v>158</v>
      </c>
      <c r="G166" s="448"/>
      <c r="H166" s="365"/>
      <c r="I166" s="365"/>
      <c r="J166" s="365">
        <v>539.64</v>
      </c>
      <c r="K166" s="511">
        <v>70.150000000000006</v>
      </c>
      <c r="L166" s="365">
        <v>609.79</v>
      </c>
      <c r="M166" s="354">
        <v>51220200001</v>
      </c>
      <c r="O166" s="476" t="s">
        <v>258</v>
      </c>
      <c r="P166" s="299">
        <v>52200000001</v>
      </c>
      <c r="Q166" s="448" t="s">
        <v>780</v>
      </c>
      <c r="R166" s="451">
        <f t="shared" si="13"/>
        <v>0</v>
      </c>
      <c r="W166" s="354" t="s">
        <v>855</v>
      </c>
      <c r="X166" s="517">
        <f>J157+J161+J167+J168</f>
        <v>22681.649999999998</v>
      </c>
    </row>
    <row r="167" spans="2:25" x14ac:dyDescent="0.2">
      <c r="B167" s="447">
        <v>43235</v>
      </c>
      <c r="C167" s="444" t="s">
        <v>1000</v>
      </c>
      <c r="D167" s="444" t="s">
        <v>834</v>
      </c>
      <c r="E167" s="448" t="s">
        <v>918</v>
      </c>
      <c r="F167" s="448" t="s">
        <v>726</v>
      </c>
      <c r="G167" s="448"/>
      <c r="H167" s="365"/>
      <c r="I167" s="365"/>
      <c r="J167" s="365">
        <v>10362.969999999999</v>
      </c>
      <c r="K167" s="511">
        <v>1347.19</v>
      </c>
      <c r="L167" s="365">
        <v>11710.16</v>
      </c>
      <c r="M167" s="577">
        <v>51000100001</v>
      </c>
      <c r="O167" s="476" t="s">
        <v>258</v>
      </c>
      <c r="P167" s="299">
        <v>52200000001</v>
      </c>
      <c r="Q167" s="448" t="s">
        <v>97</v>
      </c>
      <c r="R167" s="451">
        <f t="shared" si="13"/>
        <v>0</v>
      </c>
      <c r="X167" s="507">
        <f>X164+X165+X166</f>
        <v>-23.180000000003929</v>
      </c>
      <c r="Y167" s="354" t="s">
        <v>870</v>
      </c>
    </row>
    <row r="168" spans="2:25" x14ac:dyDescent="0.2">
      <c r="B168" s="447">
        <v>43235</v>
      </c>
      <c r="C168" s="444" t="s">
        <v>1001</v>
      </c>
      <c r="D168" s="444" t="s">
        <v>834</v>
      </c>
      <c r="E168" s="448" t="s">
        <v>918</v>
      </c>
      <c r="F168" s="448" t="s">
        <v>726</v>
      </c>
      <c r="G168" s="364"/>
      <c r="H168" s="365"/>
      <c r="I168" s="365"/>
      <c r="J168" s="365">
        <v>6476.86</v>
      </c>
      <c r="K168" s="511">
        <v>841.99</v>
      </c>
      <c r="L168" s="365">
        <v>7318.8499999999995</v>
      </c>
      <c r="M168" s="577">
        <v>51000100002</v>
      </c>
      <c r="O168" s="476" t="s">
        <v>258</v>
      </c>
      <c r="P168" s="299">
        <v>52200000001</v>
      </c>
      <c r="Q168" s="448" t="s">
        <v>835</v>
      </c>
      <c r="R168" s="451">
        <f t="shared" si="13"/>
        <v>0</v>
      </c>
    </row>
    <row r="169" spans="2:25" x14ac:dyDescent="0.2">
      <c r="O169" s="476" t="s">
        <v>258</v>
      </c>
      <c r="P169" s="299">
        <v>51220200001</v>
      </c>
      <c r="Q169" s="448" t="s">
        <v>864</v>
      </c>
      <c r="R169" s="451">
        <f t="shared" si="13"/>
        <v>379.35</v>
      </c>
    </row>
    <row r="170" spans="2:25" x14ac:dyDescent="0.2">
      <c r="O170" s="476" t="s">
        <v>258</v>
      </c>
      <c r="P170" s="299">
        <v>53000100001</v>
      </c>
      <c r="Q170" s="448" t="s">
        <v>835</v>
      </c>
      <c r="R170" s="572">
        <f t="shared" si="13"/>
        <v>0</v>
      </c>
    </row>
    <row r="171" spans="2:25" x14ac:dyDescent="0.2">
      <c r="B171" s="447"/>
      <c r="C171" s="444"/>
      <c r="D171" s="444"/>
      <c r="E171" s="448" t="s">
        <v>916</v>
      </c>
      <c r="F171" s="420"/>
      <c r="G171" s="506"/>
      <c r="H171" s="506"/>
      <c r="I171" s="506"/>
      <c r="J171" s="575"/>
      <c r="K171" s="564">
        <v>-1332.68</v>
      </c>
      <c r="L171" s="365">
        <v>-1332.68</v>
      </c>
      <c r="R171" s="475">
        <f>SUM(R152:R170)</f>
        <v>5412.7100000000009</v>
      </c>
    </row>
    <row r="172" spans="2:25" x14ac:dyDescent="0.2">
      <c r="B172" s="447"/>
      <c r="C172" s="444"/>
      <c r="D172" s="444"/>
      <c r="E172" s="448"/>
      <c r="F172" s="420"/>
      <c r="G172" s="506"/>
      <c r="H172" s="506"/>
      <c r="I172" s="506"/>
      <c r="J172" s="575"/>
      <c r="K172" s="564">
        <v>0</v>
      </c>
      <c r="L172" s="365"/>
    </row>
    <row r="173" spans="2:25" x14ac:dyDescent="0.2">
      <c r="B173" s="447"/>
      <c r="C173" s="444"/>
      <c r="D173" s="444"/>
      <c r="E173" s="448"/>
      <c r="F173" s="420"/>
      <c r="G173" s="506"/>
      <c r="H173" s="506"/>
      <c r="I173" s="506"/>
      <c r="J173" s="575"/>
      <c r="K173" s="564"/>
      <c r="L173" s="365"/>
    </row>
    <row r="174" spans="2:25" x14ac:dyDescent="0.2">
      <c r="B174" s="420"/>
      <c r="C174" s="421"/>
      <c r="D174" s="421"/>
      <c r="E174" s="448"/>
      <c r="F174" s="420"/>
      <c r="G174" s="506"/>
      <c r="H174" s="506"/>
      <c r="I174" s="506"/>
      <c r="J174" s="575"/>
      <c r="K174" s="575"/>
      <c r="L174" s="575"/>
    </row>
    <row r="175" spans="2:25" x14ac:dyDescent="0.2">
      <c r="B175" s="512"/>
      <c r="C175" s="513"/>
      <c r="D175" s="513"/>
      <c r="E175" s="448"/>
      <c r="F175" s="512"/>
      <c r="G175" s="514"/>
      <c r="H175" s="514"/>
      <c r="I175" s="514"/>
      <c r="J175" s="521"/>
      <c r="K175" s="521"/>
      <c r="L175" s="521"/>
    </row>
    <row r="176" spans="2:25" x14ac:dyDescent="0.2">
      <c r="B176" s="420"/>
      <c r="C176" s="421"/>
      <c r="D176" s="421"/>
      <c r="E176" s="420"/>
      <c r="F176" s="420"/>
      <c r="G176" s="515">
        <v>0</v>
      </c>
      <c r="H176" s="515">
        <v>0</v>
      </c>
      <c r="I176" s="515">
        <v>0</v>
      </c>
      <c r="J176" s="576">
        <v>28094.36</v>
      </c>
      <c r="K176" s="576">
        <v>2319.5699999999997</v>
      </c>
      <c r="L176" s="576">
        <v>30413.93</v>
      </c>
    </row>
    <row r="177" spans="1:28" x14ac:dyDescent="0.2">
      <c r="J177" s="575"/>
      <c r="K177" s="575"/>
      <c r="L177" s="575"/>
    </row>
    <row r="181" spans="1:28" ht="3.75" customHeight="1" x14ac:dyDescent="0.2">
      <c r="A181" s="841"/>
      <c r="B181" s="841"/>
      <c r="C181" s="842"/>
      <c r="D181" s="842"/>
      <c r="E181" s="841"/>
      <c r="F181" s="841"/>
      <c r="G181" s="841"/>
      <c r="H181" s="841"/>
      <c r="I181" s="841"/>
      <c r="J181" s="841"/>
      <c r="K181" s="841"/>
      <c r="L181" s="841"/>
      <c r="M181" s="843"/>
      <c r="N181" s="843"/>
      <c r="O181" s="843"/>
      <c r="P181" s="843"/>
      <c r="Q181" s="844"/>
      <c r="R181" s="844"/>
      <c r="S181" s="844"/>
      <c r="T181" s="844"/>
      <c r="U181" s="844"/>
      <c r="V181" s="844"/>
      <c r="W181" s="844"/>
      <c r="X181" s="844"/>
      <c r="Y181" s="844"/>
      <c r="Z181" s="844"/>
      <c r="AA181" s="844"/>
      <c r="AB181" s="844"/>
    </row>
    <row r="185" spans="1:28" ht="16.5" x14ac:dyDescent="0.25">
      <c r="B185" s="419" t="s">
        <v>833</v>
      </c>
      <c r="C185" s="420"/>
      <c r="D185" s="421"/>
      <c r="E185" s="422" t="s">
        <v>259</v>
      </c>
    </row>
    <row r="186" spans="1:28" x14ac:dyDescent="0.2">
      <c r="B186" s="426" t="s">
        <v>74</v>
      </c>
      <c r="C186" s="420"/>
      <c r="D186" s="420"/>
      <c r="E186" s="427"/>
    </row>
    <row r="189" spans="1:28" x14ac:dyDescent="0.2">
      <c r="B189" s="431"/>
      <c r="C189" s="432" t="s">
        <v>609</v>
      </c>
      <c r="D189" s="433" t="s">
        <v>75</v>
      </c>
      <c r="E189" s="433"/>
      <c r="F189" s="433" t="s">
        <v>210</v>
      </c>
      <c r="G189" s="433"/>
      <c r="H189" s="434" t="s">
        <v>211</v>
      </c>
      <c r="I189" s="435"/>
      <c r="J189" s="435"/>
      <c r="K189" s="435"/>
      <c r="L189" s="454"/>
      <c r="O189" s="520" t="s">
        <v>852</v>
      </c>
      <c r="P189" s="520"/>
      <c r="Q189" s="520"/>
      <c r="R189" s="520"/>
      <c r="U189" s="363" t="s">
        <v>842</v>
      </c>
      <c r="Y189" s="354" t="s">
        <v>851</v>
      </c>
      <c r="Z189" s="354" t="s">
        <v>753</v>
      </c>
    </row>
    <row r="190" spans="1:28" x14ac:dyDescent="0.2">
      <c r="B190" s="436" t="s">
        <v>212</v>
      </c>
      <c r="C190" s="437" t="s">
        <v>213</v>
      </c>
      <c r="D190" s="437" t="s">
        <v>616</v>
      </c>
      <c r="E190" s="437" t="s">
        <v>214</v>
      </c>
      <c r="F190" s="437" t="s">
        <v>617</v>
      </c>
      <c r="G190" s="437" t="s">
        <v>215</v>
      </c>
      <c r="H190" s="438" t="s">
        <v>164</v>
      </c>
      <c r="I190" s="435"/>
      <c r="J190" s="438" t="s">
        <v>216</v>
      </c>
      <c r="K190" s="435"/>
      <c r="L190" s="455" t="s">
        <v>722</v>
      </c>
      <c r="O190" s="476" t="s">
        <v>259</v>
      </c>
      <c r="P190" s="299">
        <v>51000000001</v>
      </c>
      <c r="Q190" s="448" t="s">
        <v>835</v>
      </c>
      <c r="R190" s="451">
        <f>SUMIFS($J$193:$J$203,$E$193:$E$203,Q190,$M$193:$M$203,P190)</f>
        <v>0</v>
      </c>
      <c r="T190" s="354">
        <v>51000100001</v>
      </c>
      <c r="U190" s="354" t="s">
        <v>12</v>
      </c>
      <c r="X190" s="366">
        <v>-1176.8099999999977</v>
      </c>
      <c r="Y190" s="366">
        <f>R193</f>
        <v>1176.81</v>
      </c>
      <c r="Z190" s="450">
        <f>X190+Y190</f>
        <v>2.2737367544323206E-12</v>
      </c>
    </row>
    <row r="191" spans="1:28" x14ac:dyDescent="0.2">
      <c r="B191" s="439"/>
      <c r="C191" s="440"/>
      <c r="D191" s="440"/>
      <c r="E191" s="439"/>
      <c r="F191" s="439"/>
      <c r="G191" s="439"/>
      <c r="H191" s="441" t="s">
        <v>723</v>
      </c>
      <c r="I191" s="442" t="s">
        <v>724</v>
      </c>
      <c r="J191" s="456" t="s">
        <v>725</v>
      </c>
      <c r="K191" s="456" t="s">
        <v>157</v>
      </c>
      <c r="L191" s="457" t="s">
        <v>164</v>
      </c>
      <c r="O191" s="476" t="s">
        <v>259</v>
      </c>
      <c r="P191" s="299">
        <v>51000000002</v>
      </c>
      <c r="Q191" s="448" t="s">
        <v>835</v>
      </c>
      <c r="R191" s="365">
        <f t="shared" ref="R191" si="14">SUMIFS($J$193:$J$203,$E$193:$E$203,Q191,$M$193:$M$203,P191)</f>
        <v>0</v>
      </c>
      <c r="T191" s="354">
        <v>51000100002</v>
      </c>
      <c r="U191" s="354" t="s">
        <v>786</v>
      </c>
      <c r="X191" s="366">
        <v>-36.779999999998836</v>
      </c>
      <c r="Y191" s="366">
        <f>R195</f>
        <v>36.78</v>
      </c>
      <c r="Z191" s="450">
        <f>X191+Y191</f>
        <v>1.1652900866465643E-12</v>
      </c>
    </row>
    <row r="192" spans="1:28" x14ac:dyDescent="0.2">
      <c r="B192" s="443"/>
      <c r="C192" s="444"/>
      <c r="D192" s="444"/>
      <c r="E192" s="445"/>
      <c r="F192" s="446"/>
      <c r="G192" s="364"/>
      <c r="H192" s="365"/>
      <c r="I192" s="365"/>
      <c r="J192" s="365"/>
      <c r="K192" s="365"/>
      <c r="L192" s="365"/>
      <c r="O192" s="476" t="s">
        <v>259</v>
      </c>
      <c r="P192" s="299">
        <v>51000100001</v>
      </c>
      <c r="Q192" s="448" t="s">
        <v>835</v>
      </c>
      <c r="R192" s="365">
        <f t="shared" ref="R192:R210" si="15">SUMIFS($J$193:$J$203,$E$193:$E$203,Q192,$M$193:$M$203,P192)</f>
        <v>0</v>
      </c>
      <c r="T192" s="354">
        <v>51220200001</v>
      </c>
      <c r="U192" s="354" t="s">
        <v>96</v>
      </c>
      <c r="X192" s="366">
        <v>-1423.9600000000009</v>
      </c>
      <c r="Y192" s="366">
        <f>R202+R209</f>
        <v>941.89</v>
      </c>
      <c r="Z192" s="450">
        <f>X192+Y192</f>
        <v>-482.07000000000096</v>
      </c>
    </row>
    <row r="193" spans="2:26" x14ac:dyDescent="0.2">
      <c r="B193" s="447">
        <v>43262</v>
      </c>
      <c r="C193" s="444" t="s">
        <v>1002</v>
      </c>
      <c r="D193" s="444" t="s">
        <v>834</v>
      </c>
      <c r="E193" s="448" t="s">
        <v>864</v>
      </c>
      <c r="F193" s="448" t="s">
        <v>865</v>
      </c>
      <c r="G193" s="364"/>
      <c r="H193" s="365"/>
      <c r="I193" s="365"/>
      <c r="J193" s="365">
        <v>354.35</v>
      </c>
      <c r="K193" s="564">
        <v>46.07</v>
      </c>
      <c r="L193" s="365">
        <f t="shared" ref="L193:L195" si="16">+J193+K193</f>
        <v>400.42</v>
      </c>
      <c r="M193" s="354">
        <v>51220200001</v>
      </c>
      <c r="O193" s="476" t="s">
        <v>259</v>
      </c>
      <c r="P193" s="299">
        <v>51000100001</v>
      </c>
      <c r="Q193" s="448" t="s">
        <v>864</v>
      </c>
      <c r="R193" s="365">
        <f t="shared" si="15"/>
        <v>1176.81</v>
      </c>
      <c r="T193" s="354">
        <v>52200000001</v>
      </c>
      <c r="U193" s="354" t="s">
        <v>66</v>
      </c>
      <c r="X193" s="366">
        <v>-3719.9600000000028</v>
      </c>
      <c r="Y193" s="521"/>
      <c r="Z193" s="578"/>
    </row>
    <row r="194" spans="2:26" x14ac:dyDescent="0.2">
      <c r="B194" s="447">
        <v>43262</v>
      </c>
      <c r="C194" s="444" t="s">
        <v>1003</v>
      </c>
      <c r="D194" s="444" t="s">
        <v>834</v>
      </c>
      <c r="E194" s="448" t="s">
        <v>835</v>
      </c>
      <c r="F194" s="448" t="s">
        <v>158</v>
      </c>
      <c r="G194" s="448"/>
      <c r="H194" s="365"/>
      <c r="I194" s="365"/>
      <c r="J194" s="365">
        <v>587.54</v>
      </c>
      <c r="K194" s="564">
        <v>76.38</v>
      </c>
      <c r="L194" s="365">
        <f t="shared" si="16"/>
        <v>663.92</v>
      </c>
      <c r="M194" s="354">
        <v>51220200001</v>
      </c>
      <c r="O194" s="476" t="s">
        <v>259</v>
      </c>
      <c r="P194" s="299">
        <v>51000100002</v>
      </c>
      <c r="Q194" s="448" t="s">
        <v>835</v>
      </c>
      <c r="R194" s="365">
        <f t="shared" si="15"/>
        <v>0</v>
      </c>
      <c r="X194" s="507">
        <f>SUM(X190:X193)</f>
        <v>-6357.51</v>
      </c>
      <c r="Y194" s="507">
        <f>SUM(Y190:Y193)</f>
        <v>2155.48</v>
      </c>
      <c r="Z194" s="507">
        <f>SUM(Z190:Z193)</f>
        <v>-482.06999999999755</v>
      </c>
    </row>
    <row r="195" spans="2:26" x14ac:dyDescent="0.2">
      <c r="B195" s="447">
        <v>43262</v>
      </c>
      <c r="C195" s="444" t="s">
        <v>1004</v>
      </c>
      <c r="D195" s="444" t="s">
        <v>834</v>
      </c>
      <c r="E195" s="448" t="s">
        <v>918</v>
      </c>
      <c r="F195" s="448" t="s">
        <v>726</v>
      </c>
      <c r="G195" s="364"/>
      <c r="H195" s="365"/>
      <c r="I195" s="365"/>
      <c r="J195" s="365">
        <v>480.34</v>
      </c>
      <c r="K195" s="564">
        <v>62.44</v>
      </c>
      <c r="L195" s="365">
        <f t="shared" si="16"/>
        <v>542.78</v>
      </c>
      <c r="M195" s="354">
        <v>51220200001</v>
      </c>
      <c r="O195" s="476" t="s">
        <v>259</v>
      </c>
      <c r="P195" s="299">
        <v>51000100002</v>
      </c>
      <c r="Q195" s="448" t="s">
        <v>864</v>
      </c>
      <c r="R195" s="365">
        <f t="shared" si="15"/>
        <v>36.78</v>
      </c>
    </row>
    <row r="196" spans="2:26" x14ac:dyDescent="0.2">
      <c r="B196" s="580">
        <v>43278</v>
      </c>
      <c r="C196" s="581"/>
      <c r="D196" s="556" t="s">
        <v>834</v>
      </c>
      <c r="E196" s="557" t="s">
        <v>864</v>
      </c>
      <c r="F196" s="557" t="s">
        <v>865</v>
      </c>
      <c r="J196" s="558">
        <v>1176.81</v>
      </c>
      <c r="K196" s="582">
        <f>J196*0.13</f>
        <v>152.9853</v>
      </c>
      <c r="L196" s="558">
        <f>J196+K196</f>
        <v>1329.7953</v>
      </c>
      <c r="M196" s="577">
        <v>51000100001</v>
      </c>
      <c r="O196" s="476" t="s">
        <v>259</v>
      </c>
      <c r="P196" s="299">
        <v>51000200001</v>
      </c>
      <c r="Q196" s="448" t="s">
        <v>835</v>
      </c>
      <c r="R196" s="365">
        <f t="shared" si="15"/>
        <v>0</v>
      </c>
    </row>
    <row r="197" spans="2:26" x14ac:dyDescent="0.2">
      <c r="B197" s="580">
        <v>43278</v>
      </c>
      <c r="C197" s="581"/>
      <c r="D197" s="556" t="s">
        <v>834</v>
      </c>
      <c r="E197" s="557" t="s">
        <v>864</v>
      </c>
      <c r="F197" s="557" t="s">
        <v>865</v>
      </c>
      <c r="J197" s="558">
        <v>36.78</v>
      </c>
      <c r="K197" s="582">
        <f>J197*0.13</f>
        <v>4.7814000000000005</v>
      </c>
      <c r="L197" s="558">
        <f>J197+K197</f>
        <v>41.561399999999999</v>
      </c>
      <c r="M197" s="577">
        <v>51000100002</v>
      </c>
      <c r="O197" s="476" t="s">
        <v>259</v>
      </c>
      <c r="P197" s="299">
        <v>51000200001</v>
      </c>
      <c r="Q197" s="448" t="s">
        <v>780</v>
      </c>
      <c r="R197" s="365">
        <f t="shared" si="15"/>
        <v>0</v>
      </c>
    </row>
    <row r="198" spans="2:26" x14ac:dyDescent="0.2">
      <c r="O198" s="476" t="s">
        <v>259</v>
      </c>
      <c r="P198" s="299">
        <v>51000200001</v>
      </c>
      <c r="Q198" s="448" t="s">
        <v>97</v>
      </c>
      <c r="R198" s="365">
        <f t="shared" si="15"/>
        <v>0</v>
      </c>
    </row>
    <row r="199" spans="2:26" x14ac:dyDescent="0.2">
      <c r="O199" s="476" t="s">
        <v>259</v>
      </c>
      <c r="P199" s="299">
        <v>51000200002</v>
      </c>
      <c r="Q199" s="448" t="s">
        <v>835</v>
      </c>
      <c r="R199" s="365">
        <f t="shared" si="15"/>
        <v>0</v>
      </c>
    </row>
    <row r="200" spans="2:26" x14ac:dyDescent="0.2">
      <c r="O200" s="476" t="s">
        <v>259</v>
      </c>
      <c r="P200" s="299">
        <v>51000200002</v>
      </c>
      <c r="Q200" s="448" t="s">
        <v>780</v>
      </c>
      <c r="R200" s="365">
        <f t="shared" si="15"/>
        <v>0</v>
      </c>
    </row>
    <row r="201" spans="2:26" x14ac:dyDescent="0.2">
      <c r="E201" s="352" t="s">
        <v>916</v>
      </c>
      <c r="K201" s="352">
        <v>-182.1</v>
      </c>
      <c r="L201" s="352">
        <v>-182.1</v>
      </c>
      <c r="O201" s="476" t="s">
        <v>259</v>
      </c>
      <c r="P201" s="299">
        <v>51000200002</v>
      </c>
      <c r="Q201" s="448" t="s">
        <v>97</v>
      </c>
      <c r="R201" s="365">
        <f t="shared" si="15"/>
        <v>0</v>
      </c>
    </row>
    <row r="202" spans="2:26" x14ac:dyDescent="0.2">
      <c r="O202" s="476" t="s">
        <v>259</v>
      </c>
      <c r="P202" s="299">
        <v>51220200001</v>
      </c>
      <c r="Q202" s="448" t="s">
        <v>835</v>
      </c>
      <c r="R202" s="365">
        <f t="shared" si="15"/>
        <v>587.54</v>
      </c>
    </row>
    <row r="203" spans="2:26" x14ac:dyDescent="0.2">
      <c r="B203" s="578"/>
      <c r="C203" s="579"/>
      <c r="D203" s="579"/>
      <c r="E203" s="578"/>
      <c r="F203" s="578"/>
      <c r="G203" s="578"/>
      <c r="H203" s="578"/>
      <c r="I203" s="578"/>
      <c r="J203" s="578"/>
      <c r="K203" s="578"/>
      <c r="L203" s="578"/>
      <c r="O203" s="476" t="s">
        <v>259</v>
      </c>
      <c r="P203" s="299">
        <v>51220200001</v>
      </c>
      <c r="Q203" s="448" t="s">
        <v>780</v>
      </c>
      <c r="R203" s="365">
        <f t="shared" si="15"/>
        <v>0</v>
      </c>
      <c r="W203" s="363" t="s">
        <v>850</v>
      </c>
      <c r="X203" s="450">
        <f>+X191+X192+X190</f>
        <v>-2637.5499999999975</v>
      </c>
    </row>
    <row r="204" spans="2:26" x14ac:dyDescent="0.2">
      <c r="G204" s="352">
        <v>0</v>
      </c>
      <c r="H204" s="352">
        <v>0</v>
      </c>
      <c r="I204" s="352">
        <v>0</v>
      </c>
      <c r="J204" s="352">
        <v>1422.23</v>
      </c>
      <c r="K204" s="352">
        <v>2.789999999999992</v>
      </c>
      <c r="L204" s="352">
        <v>1425.02</v>
      </c>
      <c r="O204" s="476" t="s">
        <v>259</v>
      </c>
      <c r="P204" s="299">
        <v>51220200001</v>
      </c>
      <c r="Q204" s="448" t="s">
        <v>97</v>
      </c>
      <c r="R204" s="365">
        <f t="shared" si="15"/>
        <v>0</v>
      </c>
      <c r="W204" s="354" t="s">
        <v>852</v>
      </c>
      <c r="X204" s="450">
        <f>R211</f>
        <v>2155.48</v>
      </c>
    </row>
    <row r="205" spans="2:26" x14ac:dyDescent="0.2">
      <c r="O205" s="476" t="s">
        <v>259</v>
      </c>
      <c r="P205" s="299">
        <v>52200000001</v>
      </c>
      <c r="Q205" s="448" t="s">
        <v>835</v>
      </c>
      <c r="R205" s="365">
        <f t="shared" si="15"/>
        <v>0</v>
      </c>
      <c r="W205" s="354" t="s">
        <v>855</v>
      </c>
      <c r="X205" s="517">
        <f>J195</f>
        <v>480.34</v>
      </c>
    </row>
    <row r="206" spans="2:26" x14ac:dyDescent="0.2">
      <c r="O206" s="476" t="s">
        <v>259</v>
      </c>
      <c r="P206" s="299">
        <v>52200000001</v>
      </c>
      <c r="Q206" s="448" t="s">
        <v>780</v>
      </c>
      <c r="R206" s="365">
        <f t="shared" si="15"/>
        <v>0</v>
      </c>
      <c r="X206" s="507">
        <f>X203+X204+X205</f>
        <v>-1.7299999999974602</v>
      </c>
      <c r="Y206" s="354" t="s">
        <v>870</v>
      </c>
    </row>
    <row r="207" spans="2:26" x14ac:dyDescent="0.2">
      <c r="O207" s="476" t="s">
        <v>259</v>
      </c>
      <c r="P207" s="299">
        <v>52200000001</v>
      </c>
      <c r="Q207" s="448" t="s">
        <v>97</v>
      </c>
      <c r="R207" s="365">
        <f t="shared" si="15"/>
        <v>0</v>
      </c>
    </row>
    <row r="208" spans="2:26" x14ac:dyDescent="0.2">
      <c r="O208" s="476" t="s">
        <v>259</v>
      </c>
      <c r="P208" s="299">
        <v>52200000001</v>
      </c>
      <c r="Q208" s="448" t="s">
        <v>835</v>
      </c>
      <c r="R208" s="365">
        <f t="shared" si="15"/>
        <v>0</v>
      </c>
    </row>
    <row r="209" spans="1:28" x14ac:dyDescent="0.2">
      <c r="O209" s="476" t="s">
        <v>259</v>
      </c>
      <c r="P209" s="299">
        <v>51220200001</v>
      </c>
      <c r="Q209" s="448" t="s">
        <v>864</v>
      </c>
      <c r="R209" s="365">
        <f t="shared" si="15"/>
        <v>354.35</v>
      </c>
    </row>
    <row r="210" spans="1:28" x14ac:dyDescent="0.2">
      <c r="O210" s="476" t="s">
        <v>259</v>
      </c>
      <c r="P210" s="299">
        <v>53000100001</v>
      </c>
      <c r="Q210" s="448" t="s">
        <v>835</v>
      </c>
      <c r="R210" s="572">
        <f t="shared" si="15"/>
        <v>0</v>
      </c>
    </row>
    <row r="211" spans="1:28" x14ac:dyDescent="0.2">
      <c r="R211" s="450">
        <f>SUM(R190:R210)</f>
        <v>2155.48</v>
      </c>
    </row>
    <row r="212" spans="1:28" ht="3.75" customHeight="1" x14ac:dyDescent="0.2">
      <c r="A212" s="841"/>
      <c r="B212" s="841"/>
      <c r="C212" s="842"/>
      <c r="D212" s="842"/>
      <c r="E212" s="841"/>
      <c r="F212" s="841"/>
      <c r="G212" s="841"/>
      <c r="H212" s="841"/>
      <c r="I212" s="841"/>
      <c r="J212" s="841"/>
      <c r="K212" s="841"/>
      <c r="L212" s="841"/>
      <c r="M212" s="843"/>
      <c r="N212" s="843"/>
      <c r="O212" s="843"/>
      <c r="P212" s="843"/>
      <c r="Q212" s="844"/>
      <c r="R212" s="844"/>
      <c r="S212" s="844"/>
      <c r="T212" s="844"/>
      <c r="U212" s="844"/>
      <c r="V212" s="844"/>
      <c r="W212" s="844"/>
      <c r="X212" s="844"/>
      <c r="Y212" s="844"/>
      <c r="Z212" s="844"/>
      <c r="AA212" s="844"/>
      <c r="AB212" s="844"/>
    </row>
    <row r="213" spans="1:28" ht="16.5" x14ac:dyDescent="0.25">
      <c r="B213" s="419" t="s">
        <v>833</v>
      </c>
      <c r="C213" s="420"/>
      <c r="E213" s="422" t="s">
        <v>260</v>
      </c>
    </row>
    <row r="214" spans="1:28" x14ac:dyDescent="0.2">
      <c r="B214" s="426" t="s">
        <v>74</v>
      </c>
      <c r="C214" s="420"/>
    </row>
    <row r="215" spans="1:28" x14ac:dyDescent="0.2">
      <c r="A215" s="595"/>
      <c r="B215" s="430"/>
      <c r="C215" s="430"/>
      <c r="D215" s="430"/>
      <c r="E215" s="430"/>
      <c r="F215" s="430"/>
      <c r="G215" s="430"/>
      <c r="H215" s="423"/>
      <c r="I215" s="423"/>
      <c r="J215" s="423"/>
      <c r="K215" s="423"/>
      <c r="L215" s="430"/>
      <c r="M215" s="692"/>
      <c r="N215" s="692"/>
    </row>
    <row r="216" spans="1:28" x14ac:dyDescent="0.2">
      <c r="A216" s="594"/>
      <c r="B216" s="431"/>
      <c r="C216" s="432" t="s">
        <v>609</v>
      </c>
      <c r="D216" s="433" t="s">
        <v>75</v>
      </c>
      <c r="E216" s="433"/>
      <c r="F216" s="433" t="s">
        <v>210</v>
      </c>
      <c r="G216" s="433"/>
      <c r="H216" s="434" t="s">
        <v>211</v>
      </c>
      <c r="I216" s="435"/>
      <c r="J216" s="435"/>
      <c r="K216" s="435"/>
      <c r="L216" s="454"/>
      <c r="M216" s="693"/>
      <c r="N216" s="693"/>
      <c r="O216" s="520" t="s">
        <v>852</v>
      </c>
      <c r="P216" s="520"/>
      <c r="Q216" s="520"/>
      <c r="R216" s="520"/>
      <c r="U216" s="363" t="s">
        <v>842</v>
      </c>
      <c r="Y216" s="354" t="s">
        <v>851</v>
      </c>
      <c r="Z216" s="354" t="s">
        <v>753</v>
      </c>
    </row>
    <row r="217" spans="1:28" x14ac:dyDescent="0.2">
      <c r="A217" s="594"/>
      <c r="B217" s="436" t="s">
        <v>212</v>
      </c>
      <c r="C217" s="437" t="s">
        <v>213</v>
      </c>
      <c r="D217" s="437" t="s">
        <v>616</v>
      </c>
      <c r="E217" s="437" t="s">
        <v>214</v>
      </c>
      <c r="F217" s="437" t="s">
        <v>617</v>
      </c>
      <c r="G217" s="437" t="s">
        <v>215</v>
      </c>
      <c r="H217" s="438" t="s">
        <v>164</v>
      </c>
      <c r="I217" s="435"/>
      <c r="J217" s="438" t="s">
        <v>216</v>
      </c>
      <c r="K217" s="435"/>
      <c r="L217" s="455" t="s">
        <v>722</v>
      </c>
      <c r="M217" s="693"/>
      <c r="N217" s="693"/>
      <c r="O217" s="476" t="s">
        <v>260</v>
      </c>
      <c r="P217" s="299">
        <v>51000000001</v>
      </c>
      <c r="Q217" s="448" t="s">
        <v>835</v>
      </c>
      <c r="R217" s="695">
        <f t="shared" ref="R217:R219" si="17">SUMIFS($J$220:$J$229,$E$220:$E$229,Q217,$M$220:$M$229,P217)</f>
        <v>0</v>
      </c>
      <c r="T217" s="354">
        <v>51000100001</v>
      </c>
      <c r="U217" s="354" t="s">
        <v>12</v>
      </c>
      <c r="X217" s="366">
        <v>0</v>
      </c>
      <c r="Y217" s="366">
        <f>R220</f>
        <v>0</v>
      </c>
      <c r="Z217" s="450">
        <f>X217+Y217</f>
        <v>0</v>
      </c>
    </row>
    <row r="218" spans="1:28" x14ac:dyDescent="0.2">
      <c r="A218" s="594"/>
      <c r="B218" s="439"/>
      <c r="C218" s="440"/>
      <c r="D218" s="440"/>
      <c r="E218" s="439"/>
      <c r="F218" s="439"/>
      <c r="G218" s="439"/>
      <c r="H218" s="441" t="s">
        <v>723</v>
      </c>
      <c r="I218" s="442" t="s">
        <v>724</v>
      </c>
      <c r="J218" s="456" t="s">
        <v>725</v>
      </c>
      <c r="K218" s="456" t="s">
        <v>157</v>
      </c>
      <c r="L218" s="457" t="s">
        <v>164</v>
      </c>
      <c r="M218" s="693"/>
      <c r="N218" s="693"/>
      <c r="O218" s="476" t="s">
        <v>260</v>
      </c>
      <c r="P218" s="299">
        <v>51000000002</v>
      </c>
      <c r="Q218" s="448" t="s">
        <v>835</v>
      </c>
      <c r="R218" s="695">
        <f t="shared" si="17"/>
        <v>0</v>
      </c>
      <c r="T218" s="354">
        <v>51000100002</v>
      </c>
      <c r="U218" s="354" t="s">
        <v>786</v>
      </c>
      <c r="X218" s="366">
        <v>0</v>
      </c>
      <c r="Y218" s="366">
        <f>R222</f>
        <v>0</v>
      </c>
      <c r="Z218" s="450">
        <f>X218+Y218</f>
        <v>0</v>
      </c>
    </row>
    <row r="219" spans="1:28" x14ac:dyDescent="0.2">
      <c r="A219" s="595"/>
      <c r="B219" s="443"/>
      <c r="C219" s="444"/>
      <c r="D219" s="444"/>
      <c r="E219" s="445"/>
      <c r="F219" s="446"/>
      <c r="G219" s="694"/>
      <c r="H219" s="695"/>
      <c r="I219" s="695"/>
      <c r="J219" s="695"/>
      <c r="K219" s="695"/>
      <c r="L219" s="695"/>
      <c r="M219" s="693"/>
      <c r="N219" s="693"/>
      <c r="O219" s="476" t="s">
        <v>260</v>
      </c>
      <c r="P219" s="299">
        <v>51000100001</v>
      </c>
      <c r="Q219" s="448" t="s">
        <v>835</v>
      </c>
      <c r="R219" s="695">
        <f t="shared" si="17"/>
        <v>0</v>
      </c>
      <c r="T219" s="354">
        <v>51220200001</v>
      </c>
      <c r="U219" s="354" t="s">
        <v>96</v>
      </c>
      <c r="X219" s="366">
        <v>-1003.0900000000001</v>
      </c>
      <c r="Y219" s="366">
        <f>R229+R236</f>
        <v>981.03</v>
      </c>
      <c r="Z219" s="450">
        <f>X219+Y219</f>
        <v>-22.060000000000173</v>
      </c>
    </row>
    <row r="220" spans="1:28" x14ac:dyDescent="0.2">
      <c r="A220" s="595"/>
      <c r="B220" s="447"/>
      <c r="C220" s="444" t="s">
        <v>1036</v>
      </c>
      <c r="D220" s="444" t="s">
        <v>834</v>
      </c>
      <c r="E220" s="448" t="s">
        <v>854</v>
      </c>
      <c r="F220" s="448">
        <v>0</v>
      </c>
      <c r="G220" s="694"/>
      <c r="H220" s="695"/>
      <c r="I220" s="695"/>
      <c r="J220" s="695">
        <v>0</v>
      </c>
      <c r="K220" s="449">
        <v>0</v>
      </c>
      <c r="L220" s="695">
        <f t="shared" ref="L220:L223" si="18">+J220+K220</f>
        <v>0</v>
      </c>
      <c r="M220" s="693"/>
      <c r="N220" s="693"/>
      <c r="O220" s="476" t="s">
        <v>260</v>
      </c>
      <c r="P220" s="299">
        <v>51000100001</v>
      </c>
      <c r="Q220" s="448" t="s">
        <v>864</v>
      </c>
      <c r="R220" s="695">
        <f>SUMIFS($J$220:$J$229,$E$220:$E$229,Q220,$M$220:$M$229,P220)</f>
        <v>0</v>
      </c>
      <c r="T220" s="354">
        <v>52200000001</v>
      </c>
      <c r="U220" s="354" t="s">
        <v>66</v>
      </c>
      <c r="X220" s="366">
        <f>-8532.43</f>
        <v>-8532.43</v>
      </c>
      <c r="Y220" s="366">
        <f t="shared" ref="Y220:Y222" si="19">R230+R237</f>
        <v>0</v>
      </c>
      <c r="Z220" s="450">
        <v>0</v>
      </c>
    </row>
    <row r="221" spans="1:28" x14ac:dyDescent="0.2">
      <c r="A221" s="595"/>
      <c r="B221" s="447"/>
      <c r="C221" s="444" t="s">
        <v>1037</v>
      </c>
      <c r="D221" s="444" t="s">
        <v>834</v>
      </c>
      <c r="E221" s="448" t="s">
        <v>854</v>
      </c>
      <c r="F221" s="448">
        <v>0</v>
      </c>
      <c r="G221" s="448"/>
      <c r="H221" s="695"/>
      <c r="I221" s="695"/>
      <c r="J221" s="695">
        <v>0</v>
      </c>
      <c r="K221" s="449">
        <v>0</v>
      </c>
      <c r="L221" s="695">
        <f t="shared" si="18"/>
        <v>0</v>
      </c>
      <c r="M221" s="693"/>
      <c r="N221" s="693"/>
      <c r="O221" s="476" t="s">
        <v>260</v>
      </c>
      <c r="P221" s="299">
        <v>51000100002</v>
      </c>
      <c r="Q221" s="448" t="s">
        <v>835</v>
      </c>
      <c r="R221" s="695">
        <f t="shared" ref="R221:R237" si="20">SUMIFS($J$220:$J$229,$E$220:$E$229,Q221,$M$220:$M$229,P221)</f>
        <v>0</v>
      </c>
      <c r="T221" s="354">
        <v>53000000009</v>
      </c>
      <c r="U221" s="354" t="s">
        <v>808</v>
      </c>
      <c r="X221" s="575">
        <v>-60</v>
      </c>
      <c r="Y221" s="366">
        <v>0</v>
      </c>
      <c r="Z221" s="450">
        <v>0</v>
      </c>
    </row>
    <row r="222" spans="1:28" x14ac:dyDescent="0.2">
      <c r="A222" s="595"/>
      <c r="B222" s="447">
        <v>43298</v>
      </c>
      <c r="C222" s="444" t="s">
        <v>1038</v>
      </c>
      <c r="D222" s="444" t="s">
        <v>834</v>
      </c>
      <c r="E222" s="709" t="s">
        <v>864</v>
      </c>
      <c r="F222" s="709" t="s">
        <v>865</v>
      </c>
      <c r="G222" s="710"/>
      <c r="H222" s="711"/>
      <c r="I222" s="711"/>
      <c r="J222" s="711">
        <v>379.35</v>
      </c>
      <c r="K222" s="712">
        <v>49.32</v>
      </c>
      <c r="L222" s="711">
        <f t="shared" si="18"/>
        <v>428.67</v>
      </c>
      <c r="M222" s="354">
        <v>51220200001</v>
      </c>
      <c r="N222" s="693"/>
      <c r="O222" s="476" t="s">
        <v>260</v>
      </c>
      <c r="P222" s="299">
        <v>51000100002</v>
      </c>
      <c r="Q222" s="448" t="s">
        <v>864</v>
      </c>
      <c r="R222" s="695">
        <f t="shared" si="20"/>
        <v>0</v>
      </c>
      <c r="T222" s="354">
        <v>53000000012</v>
      </c>
      <c r="U222" s="354" t="s">
        <v>809</v>
      </c>
      <c r="X222" s="521">
        <v>-1</v>
      </c>
      <c r="Y222" s="521">
        <f t="shared" si="19"/>
        <v>0</v>
      </c>
      <c r="Z222" s="517">
        <v>0</v>
      </c>
    </row>
    <row r="223" spans="1:28" x14ac:dyDescent="0.2">
      <c r="A223" s="595"/>
      <c r="B223" s="447">
        <v>43298</v>
      </c>
      <c r="C223" s="444" t="s">
        <v>1039</v>
      </c>
      <c r="D223" s="444" t="s">
        <v>834</v>
      </c>
      <c r="E223" s="709" t="s">
        <v>835</v>
      </c>
      <c r="F223" s="709" t="s">
        <v>158</v>
      </c>
      <c r="G223" s="709"/>
      <c r="H223" s="711"/>
      <c r="I223" s="711"/>
      <c r="J223" s="711">
        <v>601.67999999999995</v>
      </c>
      <c r="K223" s="712">
        <v>78.22</v>
      </c>
      <c r="L223" s="711">
        <f t="shared" si="18"/>
        <v>679.9</v>
      </c>
      <c r="M223" s="354">
        <v>51220200001</v>
      </c>
      <c r="N223" s="693"/>
      <c r="O223" s="476" t="s">
        <v>260</v>
      </c>
      <c r="P223" s="299">
        <v>51000200001</v>
      </c>
      <c r="Q223" s="448" t="s">
        <v>835</v>
      </c>
      <c r="R223" s="695">
        <f t="shared" si="20"/>
        <v>0</v>
      </c>
      <c r="X223" s="507">
        <f>SUM(X217:X222)</f>
        <v>-9596.52</v>
      </c>
      <c r="Y223" s="507">
        <f t="shared" ref="Y223:Z223" si="21">SUM(Y217:Y222)</f>
        <v>981.03</v>
      </c>
      <c r="Z223" s="507">
        <f t="shared" si="21"/>
        <v>-22.060000000000173</v>
      </c>
    </row>
    <row r="224" spans="1:28" x14ac:dyDescent="0.2">
      <c r="A224" s="420"/>
      <c r="B224" s="447"/>
      <c r="C224" s="444"/>
      <c r="D224" s="444"/>
      <c r="E224" s="448" t="s">
        <v>916</v>
      </c>
      <c r="F224" s="420"/>
      <c r="G224" s="506"/>
      <c r="H224" s="506"/>
      <c r="I224" s="506"/>
      <c r="J224" s="506"/>
      <c r="K224" s="449">
        <v>-127.54</v>
      </c>
      <c r="L224" s="695">
        <f t="shared" ref="L224:L225" si="22">+J224+K224</f>
        <v>-127.54</v>
      </c>
      <c r="M224" s="693"/>
      <c r="N224" s="693"/>
      <c r="O224" s="476" t="s">
        <v>260</v>
      </c>
      <c r="P224" s="299">
        <v>51000200001</v>
      </c>
      <c r="Q224" s="448" t="s">
        <v>780</v>
      </c>
      <c r="R224" s="695">
        <f t="shared" si="20"/>
        <v>0</v>
      </c>
    </row>
    <row r="225" spans="1:25" x14ac:dyDescent="0.2">
      <c r="A225" s="420"/>
      <c r="B225" s="447"/>
      <c r="C225" s="444"/>
      <c r="D225" s="444"/>
      <c r="E225" s="448"/>
      <c r="F225" s="420"/>
      <c r="G225" s="506"/>
      <c r="H225" s="506"/>
      <c r="I225" s="506"/>
      <c r="J225" s="506"/>
      <c r="K225" s="449"/>
      <c r="L225" s="695">
        <f t="shared" si="22"/>
        <v>0</v>
      </c>
      <c r="M225" s="693"/>
      <c r="N225" s="693"/>
      <c r="O225" s="476" t="s">
        <v>260</v>
      </c>
      <c r="P225" s="299">
        <v>51000200001</v>
      </c>
      <c r="Q225" s="448" t="s">
        <v>97</v>
      </c>
      <c r="R225" s="695">
        <f t="shared" si="20"/>
        <v>0</v>
      </c>
    </row>
    <row r="226" spans="1:25" x14ac:dyDescent="0.2">
      <c r="A226" s="420"/>
      <c r="B226" s="447"/>
      <c r="C226" s="444"/>
      <c r="D226" s="444"/>
      <c r="E226" s="448"/>
      <c r="F226" s="420"/>
      <c r="G226" s="506"/>
      <c r="H226" s="506"/>
      <c r="I226" s="506"/>
      <c r="J226" s="506"/>
      <c r="K226" s="449"/>
      <c r="L226" s="695"/>
      <c r="M226" s="693"/>
      <c r="N226" s="693"/>
      <c r="O226" s="476" t="s">
        <v>260</v>
      </c>
      <c r="P226" s="299">
        <v>51000200002</v>
      </c>
      <c r="Q226" s="448" t="s">
        <v>835</v>
      </c>
      <c r="R226" s="695">
        <f t="shared" si="20"/>
        <v>0</v>
      </c>
    </row>
    <row r="227" spans="1:25" x14ac:dyDescent="0.2">
      <c r="A227" s="420"/>
      <c r="B227" s="447"/>
      <c r="C227" s="444"/>
      <c r="D227" s="444"/>
      <c r="E227" s="448"/>
      <c r="F227" s="420"/>
      <c r="G227" s="506"/>
      <c r="H227" s="506"/>
      <c r="I227" s="506"/>
      <c r="J227" s="506"/>
      <c r="K227" s="449"/>
      <c r="L227" s="695"/>
      <c r="M227" s="693"/>
      <c r="N227" s="693"/>
      <c r="O227" s="476" t="s">
        <v>260</v>
      </c>
      <c r="P227" s="299">
        <v>51000200002</v>
      </c>
      <c r="Q227" s="448" t="s">
        <v>780</v>
      </c>
      <c r="R227" s="695">
        <f t="shared" si="20"/>
        <v>0</v>
      </c>
    </row>
    <row r="228" spans="1:25" x14ac:dyDescent="0.2">
      <c r="A228" s="420"/>
      <c r="B228" s="420"/>
      <c r="C228" s="421"/>
      <c r="D228" s="421"/>
      <c r="E228" s="448"/>
      <c r="F228" s="420"/>
      <c r="G228" s="506"/>
      <c r="H228" s="506"/>
      <c r="I228" s="506"/>
      <c r="J228" s="506"/>
      <c r="K228" s="506"/>
      <c r="L228" s="506"/>
      <c r="M228" s="696"/>
      <c r="N228" s="696"/>
      <c r="O228" s="476" t="s">
        <v>260</v>
      </c>
      <c r="P228" s="299">
        <v>51000200002</v>
      </c>
      <c r="Q228" s="448" t="s">
        <v>97</v>
      </c>
      <c r="R228" s="695">
        <f t="shared" si="20"/>
        <v>0</v>
      </c>
    </row>
    <row r="229" spans="1:25" x14ac:dyDescent="0.2">
      <c r="A229" s="420"/>
      <c r="B229" s="512"/>
      <c r="C229" s="513"/>
      <c r="D229" s="513"/>
      <c r="E229" s="448"/>
      <c r="F229" s="512"/>
      <c r="G229" s="514"/>
      <c r="H229" s="514"/>
      <c r="I229" s="514"/>
      <c r="J229" s="514"/>
      <c r="K229" s="514"/>
      <c r="L229" s="514"/>
      <c r="M229" s="692"/>
      <c r="N229" s="692"/>
      <c r="O229" s="476" t="s">
        <v>260</v>
      </c>
      <c r="P229" s="299">
        <v>51220200001</v>
      </c>
      <c r="Q229" s="448" t="s">
        <v>835</v>
      </c>
      <c r="R229" s="695">
        <f t="shared" si="20"/>
        <v>601.67999999999995</v>
      </c>
    </row>
    <row r="230" spans="1:25" x14ac:dyDescent="0.2">
      <c r="A230" s="420"/>
      <c r="B230" s="420"/>
      <c r="C230" s="421"/>
      <c r="D230" s="421"/>
      <c r="E230" s="420"/>
      <c r="F230" s="420"/>
      <c r="G230" s="515">
        <f t="shared" ref="G230:I230" si="23">SUM(G219:G229)</f>
        <v>0</v>
      </c>
      <c r="H230" s="515">
        <f t="shared" si="23"/>
        <v>0</v>
      </c>
      <c r="I230" s="515">
        <f t="shared" si="23"/>
        <v>0</v>
      </c>
      <c r="J230" s="515">
        <f>SUM(J219:J229)</f>
        <v>981.03</v>
      </c>
      <c r="K230" s="515">
        <f>SUM(K219:K229)</f>
        <v>0</v>
      </c>
      <c r="L230" s="515">
        <f>SUM(L219:L229)</f>
        <v>981.03</v>
      </c>
      <c r="M230" s="692"/>
      <c r="N230" s="692"/>
      <c r="O230" s="476" t="s">
        <v>260</v>
      </c>
      <c r="P230" s="299">
        <v>51220200001</v>
      </c>
      <c r="Q230" s="448" t="s">
        <v>780</v>
      </c>
      <c r="R230" s="695">
        <f t="shared" si="20"/>
        <v>0</v>
      </c>
      <c r="W230" s="363" t="s">
        <v>850</v>
      </c>
      <c r="X230" s="450">
        <f>+X218+X219+X217+X221+X222</f>
        <v>-1064.0900000000001</v>
      </c>
    </row>
    <row r="231" spans="1:25" x14ac:dyDescent="0.2">
      <c r="A231" s="420"/>
      <c r="B231" s="420"/>
      <c r="C231" s="421"/>
      <c r="D231" s="421"/>
      <c r="E231" s="420"/>
      <c r="F231" s="420"/>
      <c r="G231" s="596"/>
      <c r="H231" s="596"/>
      <c r="I231" s="596"/>
      <c r="J231" s="596"/>
      <c r="K231" s="596"/>
      <c r="L231" s="596"/>
      <c r="M231" s="692"/>
      <c r="N231" s="692"/>
      <c r="O231" s="476" t="s">
        <v>260</v>
      </c>
      <c r="P231" s="299">
        <v>51220200001</v>
      </c>
      <c r="Q231" s="448" t="s">
        <v>97</v>
      </c>
      <c r="R231" s="695">
        <f t="shared" si="20"/>
        <v>0</v>
      </c>
      <c r="W231" s="354" t="s">
        <v>852</v>
      </c>
      <c r="X231" s="450">
        <f>R238</f>
        <v>981.03</v>
      </c>
    </row>
    <row r="232" spans="1:25" x14ac:dyDescent="0.2">
      <c r="A232" s="420"/>
      <c r="B232" s="420"/>
      <c r="C232" s="421"/>
      <c r="D232" s="421"/>
      <c r="E232" s="420"/>
      <c r="F232" s="420"/>
      <c r="G232" s="596"/>
      <c r="H232" s="596"/>
      <c r="I232" s="596"/>
      <c r="J232" s="596"/>
      <c r="K232" s="596"/>
      <c r="L232" s="596"/>
      <c r="M232" s="692"/>
      <c r="N232" s="692"/>
      <c r="O232" s="476" t="s">
        <v>260</v>
      </c>
      <c r="P232" s="299">
        <v>52200000001</v>
      </c>
      <c r="Q232" s="448" t="s">
        <v>835</v>
      </c>
      <c r="R232" s="695">
        <f t="shared" si="20"/>
        <v>0</v>
      </c>
      <c r="W232" s="354" t="s">
        <v>855</v>
      </c>
      <c r="X232" s="517">
        <v>0</v>
      </c>
    </row>
    <row r="233" spans="1:25" x14ac:dyDescent="0.2">
      <c r="A233" s="420"/>
      <c r="B233" s="420"/>
      <c r="C233" s="421"/>
      <c r="D233" s="421"/>
      <c r="E233" s="420"/>
      <c r="F233" s="420"/>
      <c r="G233" s="596"/>
      <c r="H233" s="596"/>
      <c r="I233" s="596"/>
      <c r="J233" s="596"/>
      <c r="K233" s="596"/>
      <c r="L233" s="596"/>
      <c r="M233" s="692"/>
      <c r="N233" s="692"/>
      <c r="O233" s="476" t="s">
        <v>260</v>
      </c>
      <c r="P233" s="299">
        <v>52200000001</v>
      </c>
      <c r="Q233" s="448" t="s">
        <v>780</v>
      </c>
      <c r="R233" s="695">
        <f t="shared" si="20"/>
        <v>0</v>
      </c>
      <c r="X233" s="507">
        <f>X230+X231+X232</f>
        <v>-83.060000000000173</v>
      </c>
      <c r="Y233" s="354" t="s">
        <v>870</v>
      </c>
    </row>
    <row r="234" spans="1:25" x14ac:dyDescent="0.2">
      <c r="A234" s="420"/>
      <c r="B234" s="420"/>
      <c r="C234" s="421"/>
      <c r="D234" s="421"/>
      <c r="E234" s="420"/>
      <c r="F234" s="420"/>
      <c r="G234" s="596"/>
      <c r="H234" s="596"/>
      <c r="I234" s="596"/>
      <c r="J234" s="596"/>
      <c r="K234" s="596"/>
      <c r="L234" s="596"/>
      <c r="M234" s="692"/>
      <c r="N234" s="692"/>
      <c r="O234" s="476" t="s">
        <v>260</v>
      </c>
      <c r="P234" s="299">
        <v>52200000001</v>
      </c>
      <c r="Q234" s="448" t="s">
        <v>97</v>
      </c>
      <c r="R234" s="695">
        <f t="shared" si="20"/>
        <v>0</v>
      </c>
    </row>
    <row r="235" spans="1:25" x14ac:dyDescent="0.2">
      <c r="A235" s="420"/>
      <c r="B235" s="420"/>
      <c r="C235" s="421"/>
      <c r="D235" s="421"/>
      <c r="E235" s="420"/>
      <c r="F235" s="420"/>
      <c r="G235" s="596"/>
      <c r="H235" s="596"/>
      <c r="I235" s="596"/>
      <c r="J235" s="596"/>
      <c r="K235" s="596"/>
      <c r="L235" s="596"/>
      <c r="M235" s="692"/>
      <c r="N235" s="692"/>
      <c r="O235" s="476" t="s">
        <v>260</v>
      </c>
      <c r="P235" s="299">
        <v>52200000001</v>
      </c>
      <c r="Q235" s="448" t="s">
        <v>835</v>
      </c>
      <c r="R235" s="695">
        <f t="shared" si="20"/>
        <v>0</v>
      </c>
    </row>
    <row r="236" spans="1:25" x14ac:dyDescent="0.2">
      <c r="A236" s="420"/>
      <c r="B236" s="420"/>
      <c r="C236" s="421"/>
      <c r="D236" s="421"/>
      <c r="E236" s="420"/>
      <c r="F236" s="420"/>
      <c r="G236" s="420"/>
      <c r="H236" s="420"/>
      <c r="I236" s="420"/>
      <c r="J236" s="420"/>
      <c r="K236" s="420"/>
      <c r="L236" s="420"/>
      <c r="M236" s="692"/>
      <c r="N236" s="692"/>
      <c r="O236" s="476" t="s">
        <v>260</v>
      </c>
      <c r="P236" s="299">
        <v>51220200001</v>
      </c>
      <c r="Q236" s="448" t="s">
        <v>864</v>
      </c>
      <c r="R236" s="695">
        <f t="shared" si="20"/>
        <v>379.35</v>
      </c>
    </row>
    <row r="237" spans="1:25" x14ac:dyDescent="0.2">
      <c r="A237" s="420"/>
      <c r="B237" s="420"/>
      <c r="C237" s="423" t="s">
        <v>1040</v>
      </c>
      <c r="D237" s="421"/>
      <c r="E237" s="421"/>
      <c r="F237" s="420"/>
      <c r="G237" s="420"/>
      <c r="H237" s="420"/>
      <c r="I237" s="423" t="s">
        <v>1041</v>
      </c>
      <c r="J237" s="420"/>
      <c r="K237" s="420"/>
      <c r="L237" s="420"/>
      <c r="M237" s="692"/>
      <c r="N237" s="692"/>
      <c r="O237" s="476" t="s">
        <v>260</v>
      </c>
      <c r="P237" s="299">
        <v>53000100001</v>
      </c>
      <c r="Q237" s="448" t="s">
        <v>835</v>
      </c>
      <c r="R237" s="572">
        <f t="shared" si="20"/>
        <v>0</v>
      </c>
    </row>
    <row r="238" spans="1:25" x14ac:dyDescent="0.2">
      <c r="A238" s="420"/>
      <c r="B238" s="420"/>
      <c r="C238" s="423"/>
      <c r="D238" s="421"/>
      <c r="E238" s="421"/>
      <c r="F238" s="420"/>
      <c r="G238" s="420"/>
      <c r="H238" s="420"/>
      <c r="I238" s="423"/>
      <c r="J238" s="420"/>
      <c r="K238" s="420"/>
      <c r="L238" s="420"/>
      <c r="M238" s="692"/>
      <c r="N238" s="692"/>
      <c r="O238" s="692"/>
      <c r="P238" s="692"/>
      <c r="R238" s="450">
        <f>SUM(R217:R237)</f>
        <v>981.03</v>
      </c>
    </row>
    <row r="239" spans="1:25" x14ac:dyDescent="0.2">
      <c r="A239" s="420"/>
      <c r="B239" s="420"/>
      <c r="C239" s="420" t="s">
        <v>215</v>
      </c>
      <c r="D239" s="421"/>
      <c r="E239" s="421"/>
      <c r="F239" s="420"/>
      <c r="G239" s="697">
        <v>0</v>
      </c>
      <c r="H239" s="420"/>
      <c r="I239" s="420" t="s">
        <v>215</v>
      </c>
      <c r="J239" s="420"/>
      <c r="K239" s="420"/>
      <c r="L239" s="697">
        <v>0</v>
      </c>
      <c r="M239" s="692"/>
      <c r="N239" s="692"/>
    </row>
    <row r="240" spans="1:25" x14ac:dyDescent="0.2">
      <c r="A240" s="420"/>
      <c r="B240" s="420"/>
      <c r="C240" s="420"/>
      <c r="D240" s="421"/>
      <c r="E240" s="421"/>
      <c r="F240" s="420"/>
      <c r="G240" s="420"/>
      <c r="H240" s="420"/>
      <c r="I240" s="420"/>
      <c r="J240" s="420"/>
      <c r="K240" s="420"/>
      <c r="L240" s="420"/>
      <c r="M240" s="692"/>
      <c r="N240" s="692"/>
    </row>
    <row r="241" spans="1:28" x14ac:dyDescent="0.2">
      <c r="A241" s="420"/>
      <c r="B241" s="420"/>
      <c r="C241" s="420" t="s">
        <v>1042</v>
      </c>
      <c r="D241" s="421"/>
      <c r="E241" s="421"/>
      <c r="F241" s="420"/>
      <c r="G241" s="697">
        <v>0</v>
      </c>
      <c r="H241" s="420"/>
      <c r="I241" s="420" t="s">
        <v>1042</v>
      </c>
      <c r="J241" s="420"/>
      <c r="K241" s="420"/>
      <c r="L241" s="697">
        <v>0</v>
      </c>
      <c r="M241" s="692"/>
      <c r="N241" s="692"/>
    </row>
    <row r="242" spans="1:28" x14ac:dyDescent="0.2">
      <c r="A242" s="420"/>
      <c r="B242" s="420"/>
      <c r="C242" s="420"/>
      <c r="D242" s="421"/>
      <c r="E242" s="421"/>
      <c r="F242" s="420"/>
      <c r="G242" s="697"/>
      <c r="H242" s="420"/>
      <c r="I242" s="420"/>
      <c r="J242" s="420"/>
      <c r="K242" s="420"/>
      <c r="L242" s="697"/>
      <c r="M242" s="692"/>
      <c r="N242" s="692"/>
    </row>
    <row r="243" spans="1:28" x14ac:dyDescent="0.2">
      <c r="A243" s="420"/>
      <c r="B243" s="420"/>
      <c r="C243" s="420"/>
      <c r="D243" s="421"/>
      <c r="E243" s="421"/>
      <c r="F243" s="420"/>
      <c r="G243" s="697"/>
      <c r="H243" s="420"/>
      <c r="I243" s="420"/>
      <c r="J243" s="420"/>
      <c r="K243" s="420"/>
      <c r="L243" s="697"/>
      <c r="M243" s="692"/>
      <c r="N243" s="692"/>
    </row>
    <row r="244" spans="1:28" x14ac:dyDescent="0.2">
      <c r="A244" s="420"/>
      <c r="B244" s="420"/>
      <c r="C244" s="420" t="s">
        <v>1043</v>
      </c>
      <c r="D244" s="421"/>
      <c r="E244" s="421"/>
      <c r="F244" s="420"/>
      <c r="G244" s="697"/>
      <c r="H244" s="420"/>
      <c r="I244" s="420" t="s">
        <v>1043</v>
      </c>
      <c r="J244" s="420"/>
      <c r="K244" s="420"/>
      <c r="L244" s="697"/>
      <c r="M244" s="692"/>
      <c r="N244" s="692"/>
    </row>
    <row r="245" spans="1:28" x14ac:dyDescent="0.2">
      <c r="A245" s="420"/>
      <c r="B245" s="420"/>
      <c r="C245" s="420" t="s">
        <v>216</v>
      </c>
      <c r="D245" s="421"/>
      <c r="E245" s="421"/>
      <c r="F245" s="420"/>
      <c r="G245" s="697" t="e">
        <f>+#REF!</f>
        <v>#REF!</v>
      </c>
      <c r="H245" s="420"/>
      <c r="I245" s="420" t="s">
        <v>216</v>
      </c>
      <c r="J245" s="420"/>
      <c r="K245" s="420"/>
      <c r="L245" s="697">
        <f>+J230</f>
        <v>981.03</v>
      </c>
      <c r="M245" s="692"/>
      <c r="N245" s="692"/>
    </row>
    <row r="246" spans="1:28" x14ac:dyDescent="0.2">
      <c r="A246" s="420"/>
      <c r="B246" s="420"/>
      <c r="C246" s="420" t="s">
        <v>1044</v>
      </c>
      <c r="D246" s="421"/>
      <c r="E246" s="421"/>
      <c r="F246" s="420"/>
      <c r="G246" s="698" t="e">
        <f>+G245*0.13</f>
        <v>#REF!</v>
      </c>
      <c r="H246" s="420"/>
      <c r="I246" s="420" t="s">
        <v>1044</v>
      </c>
      <c r="J246" s="420"/>
      <c r="K246" s="420"/>
      <c r="L246" s="698">
        <f>+K230</f>
        <v>0</v>
      </c>
      <c r="M246" s="692"/>
      <c r="N246" s="692"/>
    </row>
    <row r="247" spans="1:28" x14ac:dyDescent="0.2">
      <c r="A247" s="420"/>
      <c r="B247" s="420"/>
      <c r="C247" s="420"/>
      <c r="D247" s="421"/>
      <c r="E247" s="421"/>
      <c r="F247" s="420"/>
      <c r="G247" s="697"/>
      <c r="H247" s="420"/>
      <c r="I247" s="420"/>
      <c r="J247" s="420"/>
      <c r="K247" s="420"/>
      <c r="L247" s="697"/>
      <c r="M247" s="692"/>
      <c r="N247" s="692"/>
    </row>
    <row r="248" spans="1:28" ht="13.5" thickBot="1" x14ac:dyDescent="0.25">
      <c r="A248" s="420"/>
      <c r="B248" s="420"/>
      <c r="C248" s="420" t="s">
        <v>1045</v>
      </c>
      <c r="D248" s="421"/>
      <c r="E248" s="421"/>
      <c r="F248" s="420"/>
      <c r="G248" s="699" t="e">
        <f>SUM(G239:G246)</f>
        <v>#REF!</v>
      </c>
      <c r="H248" s="420"/>
      <c r="I248" s="420" t="s">
        <v>1045</v>
      </c>
      <c r="J248" s="420"/>
      <c r="K248" s="420"/>
      <c r="L248" s="699">
        <f>SUM(L245:L247)</f>
        <v>981.03</v>
      </c>
      <c r="M248" s="692"/>
      <c r="N248" s="692"/>
    </row>
    <row r="249" spans="1:28" ht="13.5" thickTop="1" x14ac:dyDescent="0.2"/>
    <row r="250" spans="1:28" ht="3.75" customHeight="1" x14ac:dyDescent="0.2">
      <c r="A250" s="841"/>
      <c r="B250" s="841"/>
      <c r="C250" s="842"/>
      <c r="D250" s="842"/>
      <c r="E250" s="841"/>
      <c r="F250" s="841"/>
      <c r="G250" s="841"/>
      <c r="H250" s="841"/>
      <c r="I250" s="841"/>
      <c r="J250" s="841"/>
      <c r="K250" s="841"/>
      <c r="L250" s="841"/>
      <c r="M250" s="843"/>
      <c r="N250" s="843"/>
      <c r="O250" s="843"/>
      <c r="P250" s="843"/>
      <c r="Q250" s="844"/>
      <c r="R250" s="844"/>
      <c r="S250" s="844"/>
      <c r="T250" s="844"/>
      <c r="U250" s="844"/>
      <c r="V250" s="844"/>
      <c r="W250" s="844"/>
      <c r="X250" s="844"/>
      <c r="Y250" s="844"/>
      <c r="Z250" s="844"/>
      <c r="AA250" s="844"/>
      <c r="AB250" s="844"/>
    </row>
    <row r="254" spans="1:28" x14ac:dyDescent="0.2">
      <c r="A254" s="354"/>
      <c r="B254" s="714" t="s">
        <v>782</v>
      </c>
      <c r="C254" s="420"/>
      <c r="D254" s="420"/>
      <c r="E254" s="427"/>
      <c r="F254" s="428"/>
      <c r="G254" s="420"/>
      <c r="H254" s="420"/>
      <c r="I254" s="420"/>
      <c r="J254" s="420"/>
      <c r="K254" s="420"/>
      <c r="L254" s="420"/>
      <c r="M254" s="819"/>
      <c r="N254" s="819"/>
    </row>
    <row r="255" spans="1:28" x14ac:dyDescent="0.2">
      <c r="A255" s="354"/>
      <c r="B255" s="715" t="s">
        <v>606</v>
      </c>
      <c r="C255" s="420"/>
      <c r="D255" s="420"/>
      <c r="E255" s="715"/>
      <c r="F255" s="428"/>
      <c r="G255" s="420"/>
      <c r="H255" s="420"/>
      <c r="I255" s="420"/>
      <c r="J255" s="420"/>
      <c r="K255" s="420"/>
      <c r="L255" s="420"/>
      <c r="M255" s="819"/>
      <c r="N255" s="819"/>
    </row>
    <row r="256" spans="1:28" x14ac:dyDescent="0.2">
      <c r="A256" s="354"/>
      <c r="B256" s="721" t="s">
        <v>607</v>
      </c>
      <c r="C256" s="420"/>
      <c r="D256" s="420"/>
      <c r="E256" s="427"/>
      <c r="F256" s="720"/>
      <c r="G256" s="420"/>
      <c r="H256" s="420"/>
      <c r="I256" s="420"/>
      <c r="J256" s="420"/>
      <c r="K256" s="420"/>
      <c r="L256" s="420"/>
      <c r="M256" s="819"/>
      <c r="N256" s="819"/>
    </row>
    <row r="257" spans="1:26" x14ac:dyDescent="0.2">
      <c r="A257" s="354"/>
      <c r="B257" s="721" t="s">
        <v>783</v>
      </c>
      <c r="C257" s="420"/>
      <c r="D257" s="420"/>
      <c r="E257" s="427"/>
      <c r="F257" s="428"/>
      <c r="G257" s="420"/>
      <c r="H257" s="420"/>
      <c r="I257" s="420"/>
      <c r="J257" s="420"/>
      <c r="K257" s="420"/>
      <c r="L257" s="420"/>
      <c r="M257" s="819"/>
      <c r="N257" s="819"/>
    </row>
    <row r="258" spans="1:26" x14ac:dyDescent="0.2">
      <c r="A258" s="354"/>
      <c r="B258" s="719"/>
      <c r="C258" s="420"/>
      <c r="D258" s="420"/>
      <c r="E258" s="427"/>
      <c r="F258" s="428"/>
      <c r="G258" s="420"/>
      <c r="H258" s="420"/>
      <c r="I258" s="420"/>
      <c r="J258" s="420"/>
      <c r="K258" s="420"/>
      <c r="L258" s="420"/>
      <c r="M258" s="819"/>
      <c r="N258" s="819"/>
    </row>
    <row r="259" spans="1:26" ht="18" x14ac:dyDescent="0.25">
      <c r="A259" s="354"/>
      <c r="B259" s="419" t="s">
        <v>833</v>
      </c>
      <c r="C259" s="420"/>
      <c r="D259" s="421"/>
      <c r="E259" s="422" t="s">
        <v>261</v>
      </c>
      <c r="F259" s="423" t="s">
        <v>361</v>
      </c>
      <c r="G259" s="424">
        <v>2017</v>
      </c>
      <c r="H259" s="425" t="s">
        <v>73</v>
      </c>
      <c r="I259" s="425"/>
      <c r="J259" s="420"/>
      <c r="K259" s="420"/>
      <c r="L259" s="420"/>
      <c r="M259" s="819"/>
      <c r="N259" s="819"/>
    </row>
    <row r="260" spans="1:26" x14ac:dyDescent="0.2">
      <c r="A260" s="354"/>
      <c r="B260" s="426" t="s">
        <v>74</v>
      </c>
      <c r="C260" s="420"/>
      <c r="D260" s="420"/>
      <c r="E260" s="427"/>
      <c r="F260" s="428"/>
      <c r="G260" s="420"/>
      <c r="H260" s="429"/>
      <c r="I260" s="429"/>
      <c r="J260" s="420"/>
      <c r="K260" s="420"/>
      <c r="L260" s="420"/>
      <c r="M260" s="819"/>
      <c r="N260" s="819"/>
    </row>
    <row r="261" spans="1:26" x14ac:dyDescent="0.2">
      <c r="A261" s="354"/>
      <c r="B261" s="430"/>
      <c r="C261" s="430"/>
      <c r="D261" s="430"/>
      <c r="E261" s="430"/>
      <c r="F261" s="430"/>
      <c r="G261" s="430"/>
      <c r="H261" s="430"/>
      <c r="I261" s="430"/>
      <c r="J261" s="430"/>
      <c r="K261" s="430"/>
      <c r="L261" s="430"/>
      <c r="M261" s="819"/>
      <c r="N261" s="819"/>
    </row>
    <row r="262" spans="1:26" x14ac:dyDescent="0.2">
      <c r="A262" s="354"/>
      <c r="B262" s="430"/>
      <c r="C262" s="430"/>
      <c r="D262" s="430"/>
      <c r="E262" s="430"/>
      <c r="F262" s="430"/>
      <c r="G262" s="430"/>
      <c r="H262" s="423"/>
      <c r="I262" s="423"/>
      <c r="J262" s="423"/>
      <c r="K262" s="423"/>
      <c r="L262" s="430"/>
      <c r="M262" s="819"/>
      <c r="N262" s="819"/>
    </row>
    <row r="263" spans="1:26" x14ac:dyDescent="0.2">
      <c r="A263" s="354"/>
      <c r="B263" s="431"/>
      <c r="C263" s="432" t="s">
        <v>609</v>
      </c>
      <c r="D263" s="433" t="s">
        <v>75</v>
      </c>
      <c r="E263" s="433"/>
      <c r="F263" s="433" t="s">
        <v>210</v>
      </c>
      <c r="G263" s="433"/>
      <c r="H263" s="434" t="s">
        <v>211</v>
      </c>
      <c r="I263" s="435"/>
      <c r="J263" s="435"/>
      <c r="K263" s="435"/>
      <c r="L263" s="454"/>
      <c r="M263" s="820"/>
      <c r="N263" s="820"/>
      <c r="O263" s="520" t="s">
        <v>852</v>
      </c>
      <c r="P263" s="520"/>
      <c r="Q263" s="520"/>
      <c r="R263" s="520"/>
      <c r="U263" s="363" t="s">
        <v>842</v>
      </c>
      <c r="Y263" s="354" t="s">
        <v>851</v>
      </c>
      <c r="Z263" s="354" t="s">
        <v>753</v>
      </c>
    </row>
    <row r="264" spans="1:26" x14ac:dyDescent="0.2">
      <c r="A264" s="354"/>
      <c r="B264" s="436" t="s">
        <v>212</v>
      </c>
      <c r="C264" s="437" t="s">
        <v>213</v>
      </c>
      <c r="D264" s="437" t="s">
        <v>616</v>
      </c>
      <c r="E264" s="437" t="s">
        <v>214</v>
      </c>
      <c r="F264" s="437" t="s">
        <v>617</v>
      </c>
      <c r="G264" s="437" t="s">
        <v>215</v>
      </c>
      <c r="H264" s="438" t="s">
        <v>164</v>
      </c>
      <c r="I264" s="435"/>
      <c r="J264" s="438" t="s">
        <v>216</v>
      </c>
      <c r="K264" s="435"/>
      <c r="L264" s="455" t="s">
        <v>722</v>
      </c>
      <c r="M264" s="820"/>
      <c r="N264" s="820"/>
      <c r="O264" s="476" t="s">
        <v>261</v>
      </c>
      <c r="P264" s="299">
        <v>51000000001</v>
      </c>
      <c r="Q264" s="448" t="s">
        <v>835</v>
      </c>
      <c r="R264" s="822">
        <f>SUMIFS($J$267:$J$276,$E$267:$E$276,Q264,$M$267:$M$276,P264)</f>
        <v>0</v>
      </c>
      <c r="T264" s="354">
        <v>51000200001</v>
      </c>
      <c r="U264" s="354" t="s">
        <v>787</v>
      </c>
      <c r="X264" s="366">
        <v>-47.95</v>
      </c>
      <c r="Y264" s="366">
        <f>R267</f>
        <v>0</v>
      </c>
      <c r="Z264" s="450">
        <v>0</v>
      </c>
    </row>
    <row r="265" spans="1:26" x14ac:dyDescent="0.2">
      <c r="A265" s="354"/>
      <c r="B265" s="439"/>
      <c r="C265" s="440"/>
      <c r="D265" s="440"/>
      <c r="E265" s="439"/>
      <c r="F265" s="439"/>
      <c r="G265" s="439"/>
      <c r="H265" s="441" t="s">
        <v>723</v>
      </c>
      <c r="I265" s="442" t="s">
        <v>724</v>
      </c>
      <c r="J265" s="456" t="s">
        <v>725</v>
      </c>
      <c r="K265" s="456" t="s">
        <v>157</v>
      </c>
      <c r="L265" s="457" t="s">
        <v>164</v>
      </c>
      <c r="M265" s="820"/>
      <c r="N265" s="820"/>
      <c r="O265" s="476" t="s">
        <v>261</v>
      </c>
      <c r="P265" s="299">
        <v>51000000002</v>
      </c>
      <c r="Q265" s="448" t="s">
        <v>835</v>
      </c>
      <c r="R265" s="822">
        <f t="shared" ref="R265:R284" si="24">SUMIFS($J$267:$J$276,$E$267:$E$276,Q265,$M$267:$M$276,P265)</f>
        <v>0</v>
      </c>
      <c r="T265" s="354">
        <v>51000200002</v>
      </c>
      <c r="U265" s="354" t="s">
        <v>788</v>
      </c>
      <c r="X265" s="366">
        <v>-47.95</v>
      </c>
      <c r="Y265" s="366">
        <f>R269</f>
        <v>0</v>
      </c>
      <c r="Z265" s="450">
        <v>0</v>
      </c>
    </row>
    <row r="266" spans="1:26" x14ac:dyDescent="0.2">
      <c r="A266" s="354"/>
      <c r="B266" s="443"/>
      <c r="C266" s="444"/>
      <c r="D266" s="444"/>
      <c r="E266" s="445"/>
      <c r="F266" s="446"/>
      <c r="G266" s="821"/>
      <c r="H266" s="822"/>
      <c r="I266" s="822"/>
      <c r="J266" s="822"/>
      <c r="K266" s="822"/>
      <c r="L266" s="822"/>
      <c r="M266" s="823"/>
      <c r="N266" s="823"/>
      <c r="O266" s="476" t="s">
        <v>261</v>
      </c>
      <c r="P266" s="299">
        <v>51000100001</v>
      </c>
      <c r="Q266" s="448" t="s">
        <v>835</v>
      </c>
      <c r="R266" s="822">
        <f t="shared" si="24"/>
        <v>0</v>
      </c>
      <c r="T266" s="354">
        <v>51220200001</v>
      </c>
      <c r="U266" s="354" t="s">
        <v>96</v>
      </c>
      <c r="X266" s="366">
        <v>-1776.8599999999988</v>
      </c>
      <c r="Y266" s="366">
        <f>R276+R283</f>
        <v>1775.1599999999999</v>
      </c>
      <c r="Z266" s="450">
        <f>X266+Y266</f>
        <v>-1.6999999999989086</v>
      </c>
    </row>
    <row r="267" spans="1:26" x14ac:dyDescent="0.2">
      <c r="A267" s="354"/>
      <c r="B267" s="447">
        <v>43333</v>
      </c>
      <c r="C267" s="444" t="s">
        <v>1068</v>
      </c>
      <c r="D267" s="444" t="s">
        <v>834</v>
      </c>
      <c r="E267" s="448" t="s">
        <v>864</v>
      </c>
      <c r="F267" s="448" t="s">
        <v>865</v>
      </c>
      <c r="G267" s="821"/>
      <c r="H267" s="822"/>
      <c r="I267" s="822"/>
      <c r="J267" s="822">
        <v>384.11</v>
      </c>
      <c r="K267" s="449">
        <v>49.93</v>
      </c>
      <c r="L267" s="822">
        <f t="shared" ref="L267:L273" si="25">+J267+K267</f>
        <v>434.04</v>
      </c>
      <c r="M267" s="354">
        <v>51220200001</v>
      </c>
      <c r="N267" s="823"/>
      <c r="O267" s="476" t="s">
        <v>261</v>
      </c>
      <c r="P267" s="299">
        <v>51000100001</v>
      </c>
      <c r="Q267" s="448" t="s">
        <v>864</v>
      </c>
      <c r="R267" s="822">
        <f t="shared" si="24"/>
        <v>0</v>
      </c>
      <c r="T267" s="354">
        <v>52200000001</v>
      </c>
      <c r="U267" s="354" t="s">
        <v>66</v>
      </c>
      <c r="X267" s="366">
        <v>0</v>
      </c>
      <c r="Y267" s="366">
        <f t="shared" ref="Y267" si="26">R277+R284</f>
        <v>0</v>
      </c>
      <c r="Z267" s="450">
        <v>0</v>
      </c>
    </row>
    <row r="268" spans="1:26" x14ac:dyDescent="0.2">
      <c r="A268" s="354"/>
      <c r="B268" s="447">
        <v>43333</v>
      </c>
      <c r="C268" s="444" t="s">
        <v>1069</v>
      </c>
      <c r="D268" s="444" t="s">
        <v>834</v>
      </c>
      <c r="E268" s="448" t="s">
        <v>835</v>
      </c>
      <c r="F268" s="448" t="s">
        <v>158</v>
      </c>
      <c r="G268" s="448"/>
      <c r="H268" s="822"/>
      <c r="I268" s="822"/>
      <c r="J268" s="822">
        <v>1391.05</v>
      </c>
      <c r="K268" s="449">
        <v>180.84</v>
      </c>
      <c r="L268" s="822">
        <f t="shared" si="25"/>
        <v>1571.8899999999999</v>
      </c>
      <c r="M268" s="354">
        <v>51220200001</v>
      </c>
      <c r="N268" s="823"/>
      <c r="O268" s="476" t="s">
        <v>261</v>
      </c>
      <c r="P268" s="299">
        <v>51000100002</v>
      </c>
      <c r="Q268" s="448" t="s">
        <v>835</v>
      </c>
      <c r="R268" s="822">
        <f t="shared" si="24"/>
        <v>0</v>
      </c>
      <c r="T268" s="354">
        <v>53000000009</v>
      </c>
      <c r="U268" s="354" t="s">
        <v>808</v>
      </c>
      <c r="X268" s="575">
        <v>0</v>
      </c>
      <c r="Y268" s="366">
        <v>0</v>
      </c>
      <c r="Z268" s="450">
        <v>0</v>
      </c>
    </row>
    <row r="269" spans="1:26" x14ac:dyDescent="0.2">
      <c r="A269" s="354"/>
      <c r="B269" s="447">
        <v>43335</v>
      </c>
      <c r="C269" s="444" t="s">
        <v>1070</v>
      </c>
      <c r="D269" s="444" t="s">
        <v>834</v>
      </c>
      <c r="E269" s="448" t="s">
        <v>835</v>
      </c>
      <c r="F269" s="448" t="s">
        <v>158</v>
      </c>
      <c r="G269" s="821"/>
      <c r="H269" s="822"/>
      <c r="I269" s="822"/>
      <c r="J269" s="822">
        <v>47.95</v>
      </c>
      <c r="K269" s="449">
        <v>6.23</v>
      </c>
      <c r="L269" s="822">
        <f t="shared" si="25"/>
        <v>54.180000000000007</v>
      </c>
      <c r="M269" s="354">
        <v>51000200001</v>
      </c>
      <c r="N269" s="823"/>
      <c r="O269" s="476" t="s">
        <v>261</v>
      </c>
      <c r="P269" s="299">
        <v>51000100002</v>
      </c>
      <c r="Q269" s="448" t="s">
        <v>864</v>
      </c>
      <c r="R269" s="822">
        <f t="shared" si="24"/>
        <v>0</v>
      </c>
      <c r="T269" s="354">
        <v>53000000012</v>
      </c>
      <c r="U269" s="354" t="s">
        <v>809</v>
      </c>
      <c r="X269" s="521">
        <v>0</v>
      </c>
      <c r="Y269" s="521">
        <f t="shared" ref="Y269" si="27">R279+R286</f>
        <v>0</v>
      </c>
      <c r="Z269" s="517">
        <v>0</v>
      </c>
    </row>
    <row r="270" spans="1:26" x14ac:dyDescent="0.2">
      <c r="A270" s="354"/>
      <c r="B270" s="447">
        <v>43335</v>
      </c>
      <c r="C270" s="444" t="s">
        <v>1071</v>
      </c>
      <c r="D270" s="444" t="s">
        <v>834</v>
      </c>
      <c r="E270" s="448" t="s">
        <v>835</v>
      </c>
      <c r="F270" s="448" t="s">
        <v>158</v>
      </c>
      <c r="G270" s="448"/>
      <c r="H270" s="822"/>
      <c r="I270" s="822"/>
      <c r="J270" s="822">
        <v>47.95</v>
      </c>
      <c r="K270" s="449">
        <v>6.23</v>
      </c>
      <c r="L270" s="822">
        <f t="shared" si="25"/>
        <v>54.180000000000007</v>
      </c>
      <c r="M270" s="354">
        <v>51000200002</v>
      </c>
      <c r="N270" s="823"/>
      <c r="O270" s="476" t="s">
        <v>261</v>
      </c>
      <c r="P270" s="299">
        <v>51000200001</v>
      </c>
      <c r="Q270" s="448" t="s">
        <v>835</v>
      </c>
      <c r="R270" s="822">
        <f t="shared" si="24"/>
        <v>47.95</v>
      </c>
      <c r="X270" s="507">
        <f>SUM(X264:X269)</f>
        <v>-1872.7599999999989</v>
      </c>
      <c r="Y270" s="507">
        <f t="shared" ref="Y270" si="28">SUM(Y264:Y269)</f>
        <v>1775.1599999999999</v>
      </c>
      <c r="Z270" s="507">
        <f t="shared" ref="Z270" si="29">SUM(Z264:Z269)</f>
        <v>-1.6999999999989086</v>
      </c>
    </row>
    <row r="271" spans="1:26" x14ac:dyDescent="0.2">
      <c r="A271" s="354"/>
      <c r="B271" s="447"/>
      <c r="C271" s="444"/>
      <c r="D271" s="444"/>
      <c r="E271" s="448"/>
      <c r="F271" s="448"/>
      <c r="G271" s="448"/>
      <c r="H271" s="822"/>
      <c r="I271" s="822"/>
      <c r="J271" s="822"/>
      <c r="K271" s="449"/>
      <c r="L271" s="822"/>
      <c r="M271" s="823"/>
      <c r="N271" s="823"/>
      <c r="O271" s="476" t="s">
        <v>261</v>
      </c>
      <c r="P271" s="299">
        <v>51000200001</v>
      </c>
      <c r="Q271" s="448" t="s">
        <v>780</v>
      </c>
      <c r="R271" s="822">
        <f t="shared" si="24"/>
        <v>0</v>
      </c>
    </row>
    <row r="272" spans="1:26" x14ac:dyDescent="0.2">
      <c r="B272" s="447"/>
      <c r="C272" s="444"/>
      <c r="D272" s="444"/>
      <c r="E272" s="448" t="s">
        <v>916</v>
      </c>
      <c r="F272" s="420"/>
      <c r="G272" s="506"/>
      <c r="H272" s="506"/>
      <c r="I272" s="506"/>
      <c r="J272" s="506"/>
      <c r="K272" s="449">
        <v>-243.23</v>
      </c>
      <c r="L272" s="822">
        <f t="shared" si="25"/>
        <v>-243.23</v>
      </c>
      <c r="M272" s="823"/>
      <c r="N272" s="823"/>
      <c r="O272" s="476" t="s">
        <v>261</v>
      </c>
      <c r="P272" s="299">
        <v>51000200001</v>
      </c>
      <c r="Q272" s="448" t="s">
        <v>97</v>
      </c>
      <c r="R272" s="822">
        <f t="shared" si="24"/>
        <v>0</v>
      </c>
    </row>
    <row r="273" spans="2:25" x14ac:dyDescent="0.2">
      <c r="B273" s="447"/>
      <c r="C273" s="444"/>
      <c r="D273" s="444"/>
      <c r="E273" s="448"/>
      <c r="F273" s="420"/>
      <c r="G273" s="506"/>
      <c r="H273" s="506"/>
      <c r="I273" s="506"/>
      <c r="J273" s="506"/>
      <c r="K273" s="449"/>
      <c r="L273" s="822">
        <f t="shared" si="25"/>
        <v>0</v>
      </c>
      <c r="M273" s="823"/>
      <c r="N273" s="823"/>
      <c r="O273" s="476" t="s">
        <v>261</v>
      </c>
      <c r="P273" s="299">
        <v>51000200002</v>
      </c>
      <c r="Q273" s="448" t="s">
        <v>835</v>
      </c>
      <c r="R273" s="822">
        <f t="shared" si="24"/>
        <v>47.95</v>
      </c>
    </row>
    <row r="274" spans="2:25" x14ac:dyDescent="0.2">
      <c r="B274" s="447"/>
      <c r="C274" s="444"/>
      <c r="D274" s="444"/>
      <c r="E274" s="448"/>
      <c r="F274" s="420"/>
      <c r="G274" s="506"/>
      <c r="H274" s="506"/>
      <c r="I274" s="506"/>
      <c r="J274" s="506"/>
      <c r="K274" s="449"/>
      <c r="L274" s="822"/>
      <c r="M274" s="823"/>
      <c r="N274" s="823"/>
      <c r="O274" s="476" t="s">
        <v>261</v>
      </c>
      <c r="P274" s="299">
        <v>51000200002</v>
      </c>
      <c r="Q274" s="448" t="s">
        <v>780</v>
      </c>
      <c r="R274" s="822">
        <f t="shared" si="24"/>
        <v>0</v>
      </c>
    </row>
    <row r="275" spans="2:25" x14ac:dyDescent="0.2">
      <c r="B275" s="447"/>
      <c r="C275" s="444"/>
      <c r="D275" s="444"/>
      <c r="E275" s="448"/>
      <c r="F275" s="420"/>
      <c r="G275" s="506"/>
      <c r="H275" s="506"/>
      <c r="I275" s="506"/>
      <c r="J275" s="506"/>
      <c r="K275" s="449"/>
      <c r="L275" s="822"/>
      <c r="M275" s="823"/>
      <c r="N275" s="823"/>
      <c r="O275" s="476" t="s">
        <v>261</v>
      </c>
      <c r="P275" s="299">
        <v>51000200002</v>
      </c>
      <c r="Q275" s="448" t="s">
        <v>97</v>
      </c>
      <c r="R275" s="822">
        <f t="shared" si="24"/>
        <v>0</v>
      </c>
    </row>
    <row r="276" spans="2:25" x14ac:dyDescent="0.2">
      <c r="B276" s="420"/>
      <c r="C276" s="421"/>
      <c r="D276" s="421"/>
      <c r="E276" s="448"/>
      <c r="F276" s="420"/>
      <c r="G276" s="506"/>
      <c r="H276" s="506"/>
      <c r="I276" s="506"/>
      <c r="J276" s="506"/>
      <c r="K276" s="506"/>
      <c r="L276" s="506"/>
      <c r="M276" s="824"/>
      <c r="N276" s="824"/>
      <c r="O276" s="476" t="s">
        <v>261</v>
      </c>
      <c r="P276" s="299">
        <v>51220200001</v>
      </c>
      <c r="Q276" s="448" t="s">
        <v>835</v>
      </c>
      <c r="R276" s="822">
        <f t="shared" si="24"/>
        <v>1391.05</v>
      </c>
    </row>
    <row r="277" spans="2:25" x14ac:dyDescent="0.2">
      <c r="B277" s="512"/>
      <c r="C277" s="513"/>
      <c r="D277" s="513"/>
      <c r="E277" s="448"/>
      <c r="F277" s="512"/>
      <c r="G277" s="514"/>
      <c r="H277" s="514"/>
      <c r="I277" s="514"/>
      <c r="J277" s="514"/>
      <c r="K277" s="514"/>
      <c r="L277" s="514"/>
      <c r="M277" s="819"/>
      <c r="N277" s="819"/>
      <c r="O277" s="476" t="s">
        <v>261</v>
      </c>
      <c r="P277" s="299">
        <v>51220200001</v>
      </c>
      <c r="Q277" s="448" t="s">
        <v>780</v>
      </c>
      <c r="R277" s="822">
        <f t="shared" si="24"/>
        <v>0</v>
      </c>
      <c r="W277" s="363" t="s">
        <v>850</v>
      </c>
      <c r="X277" s="450">
        <f>+X265+X266+X264+X268+X269</f>
        <v>-1872.7599999999989</v>
      </c>
    </row>
    <row r="278" spans="2:25" x14ac:dyDescent="0.2">
      <c r="B278" s="420"/>
      <c r="C278" s="421"/>
      <c r="D278" s="421"/>
      <c r="E278" s="420"/>
      <c r="F278" s="420"/>
      <c r="G278" s="515" t="e">
        <f t="shared" ref="G278:I278" si="30">SUM(G194:G277)</f>
        <v>#REF!</v>
      </c>
      <c r="H278" s="515">
        <f t="shared" si="30"/>
        <v>0</v>
      </c>
      <c r="I278" s="515">
        <f t="shared" si="30"/>
        <v>0</v>
      </c>
      <c r="J278" s="515">
        <f>SUM(J267:J277)</f>
        <v>1871.06</v>
      </c>
      <c r="K278" s="515">
        <f>SUM(K266:K277)</f>
        <v>0</v>
      </c>
      <c r="L278" s="515">
        <f>SUM(L267:L277)</f>
        <v>1871.0599999999995</v>
      </c>
      <c r="M278" s="819"/>
      <c r="N278" s="819"/>
      <c r="O278" s="476" t="s">
        <v>261</v>
      </c>
      <c r="P278" s="299">
        <v>51220200001</v>
      </c>
      <c r="Q278" s="448" t="s">
        <v>97</v>
      </c>
      <c r="R278" s="822">
        <f t="shared" si="24"/>
        <v>0</v>
      </c>
      <c r="W278" s="354" t="s">
        <v>852</v>
      </c>
      <c r="X278" s="450">
        <f>R285</f>
        <v>1871.06</v>
      </c>
    </row>
    <row r="279" spans="2:25" x14ac:dyDescent="0.2">
      <c r="B279" s="420"/>
      <c r="C279" s="421"/>
      <c r="D279" s="421"/>
      <c r="E279" s="420"/>
      <c r="F279" s="420"/>
      <c r="G279" s="596"/>
      <c r="H279" s="596"/>
      <c r="I279" s="596"/>
      <c r="J279" s="596"/>
      <c r="K279" s="596"/>
      <c r="L279" s="596"/>
      <c r="M279" s="819"/>
      <c r="N279" s="819"/>
      <c r="O279" s="476" t="s">
        <v>261</v>
      </c>
      <c r="P279" s="299">
        <v>52200000001</v>
      </c>
      <c r="Q279" s="448" t="s">
        <v>835</v>
      </c>
      <c r="R279" s="822">
        <f t="shared" si="24"/>
        <v>0</v>
      </c>
      <c r="W279" s="354" t="s">
        <v>855</v>
      </c>
      <c r="X279" s="517">
        <v>0</v>
      </c>
    </row>
    <row r="280" spans="2:25" x14ac:dyDescent="0.2">
      <c r="B280" s="420"/>
      <c r="C280" s="421"/>
      <c r="D280" s="421"/>
      <c r="E280" s="420"/>
      <c r="F280" s="420"/>
      <c r="G280" s="596"/>
      <c r="H280" s="596"/>
      <c r="I280" s="596"/>
      <c r="J280" s="596"/>
      <c r="K280" s="596"/>
      <c r="L280" s="596"/>
      <c r="M280" s="819"/>
      <c r="N280" s="819"/>
      <c r="O280" s="476" t="s">
        <v>261</v>
      </c>
      <c r="P280" s="299">
        <v>52200000001</v>
      </c>
      <c r="Q280" s="448" t="s">
        <v>780</v>
      </c>
      <c r="R280" s="822">
        <f t="shared" si="24"/>
        <v>0</v>
      </c>
      <c r="X280" s="507">
        <f>X277+X278+X279</f>
        <v>-1.6999999999989086</v>
      </c>
      <c r="Y280" s="354" t="s">
        <v>870</v>
      </c>
    </row>
    <row r="281" spans="2:25" x14ac:dyDescent="0.2">
      <c r="B281" s="420"/>
      <c r="C281" s="421"/>
      <c r="D281" s="421"/>
      <c r="E281" s="420"/>
      <c r="F281" s="420"/>
      <c r="G281" s="596"/>
      <c r="H281" s="596"/>
      <c r="I281" s="596"/>
      <c r="J281" s="596"/>
      <c r="K281" s="596"/>
      <c r="L281" s="596"/>
      <c r="M281" s="819"/>
      <c r="N281" s="819"/>
      <c r="O281" s="476" t="s">
        <v>261</v>
      </c>
      <c r="P281" s="299">
        <v>52200000001</v>
      </c>
      <c r="Q281" s="448" t="s">
        <v>97</v>
      </c>
      <c r="R281" s="822">
        <f t="shared" si="24"/>
        <v>0</v>
      </c>
    </row>
    <row r="282" spans="2:25" x14ac:dyDescent="0.2">
      <c r="B282" s="420"/>
      <c r="C282" s="421"/>
      <c r="D282" s="421"/>
      <c r="E282" s="420"/>
      <c r="F282" s="420"/>
      <c r="G282" s="596"/>
      <c r="H282" s="596"/>
      <c r="I282" s="596"/>
      <c r="J282" s="596"/>
      <c r="K282" s="596"/>
      <c r="L282" s="596"/>
      <c r="M282" s="819"/>
      <c r="N282" s="819"/>
      <c r="O282" s="476" t="s">
        <v>261</v>
      </c>
      <c r="P282" s="299">
        <v>52200000001</v>
      </c>
      <c r="Q282" s="448" t="s">
        <v>835</v>
      </c>
      <c r="R282" s="822">
        <f t="shared" si="24"/>
        <v>0</v>
      </c>
    </row>
    <row r="283" spans="2:25" x14ac:dyDescent="0.2">
      <c r="B283" s="420"/>
      <c r="C283" s="421"/>
      <c r="D283" s="421"/>
      <c r="E283" s="420"/>
      <c r="F283" s="420"/>
      <c r="G283" s="596"/>
      <c r="H283" s="596"/>
      <c r="I283" s="596"/>
      <c r="J283" s="596"/>
      <c r="K283" s="596"/>
      <c r="L283" s="596"/>
      <c r="M283" s="819"/>
      <c r="N283" s="819"/>
      <c r="O283" s="476" t="s">
        <v>261</v>
      </c>
      <c r="P283" s="299">
        <v>51220200001</v>
      </c>
      <c r="Q283" s="448" t="s">
        <v>864</v>
      </c>
      <c r="R283" s="822">
        <f t="shared" si="24"/>
        <v>384.11</v>
      </c>
    </row>
    <row r="284" spans="2:25" x14ac:dyDescent="0.2">
      <c r="B284" s="420"/>
      <c r="C284" s="421"/>
      <c r="D284" s="421"/>
      <c r="E284" s="420"/>
      <c r="F284" s="420"/>
      <c r="G284" s="420"/>
      <c r="H284" s="420"/>
      <c r="I284" s="420"/>
      <c r="J284" s="420"/>
      <c r="K284" s="420"/>
      <c r="L284" s="420"/>
      <c r="M284" s="819"/>
      <c r="N284" s="819"/>
      <c r="O284" s="476" t="s">
        <v>261</v>
      </c>
      <c r="P284" s="299">
        <v>53000100001</v>
      </c>
      <c r="Q284" s="448" t="s">
        <v>835</v>
      </c>
      <c r="R284" s="572">
        <f t="shared" si="24"/>
        <v>0</v>
      </c>
    </row>
    <row r="285" spans="2:25" x14ac:dyDescent="0.2">
      <c r="B285" s="420"/>
      <c r="C285" s="423" t="s">
        <v>1040</v>
      </c>
      <c r="D285" s="421"/>
      <c r="E285" s="421"/>
      <c r="F285" s="420"/>
      <c r="G285" s="420"/>
      <c r="H285" s="420"/>
      <c r="I285" s="423" t="s">
        <v>1041</v>
      </c>
      <c r="J285" s="420"/>
      <c r="K285" s="420"/>
      <c r="L285" s="420"/>
      <c r="M285" s="819"/>
      <c r="N285" s="819"/>
      <c r="O285" s="819"/>
      <c r="P285" s="819"/>
      <c r="R285" s="450">
        <f>SUM(R264:R284)</f>
        <v>1871.06</v>
      </c>
    </row>
    <row r="286" spans="2:25" x14ac:dyDescent="0.2">
      <c r="B286" s="420"/>
      <c r="C286" s="423"/>
      <c r="D286" s="421"/>
      <c r="E286" s="421"/>
      <c r="F286" s="420"/>
      <c r="G286" s="420"/>
      <c r="H286" s="420"/>
      <c r="I286" s="423"/>
      <c r="J286" s="420"/>
      <c r="K286" s="420"/>
      <c r="L286" s="420"/>
      <c r="M286" s="819"/>
      <c r="N286" s="819"/>
    </row>
    <row r="287" spans="2:25" x14ac:dyDescent="0.2">
      <c r="B287" s="420"/>
      <c r="C287" s="420" t="s">
        <v>215</v>
      </c>
      <c r="D287" s="421"/>
      <c r="E287" s="421"/>
      <c r="F287" s="420"/>
      <c r="G287" s="697">
        <v>0</v>
      </c>
      <c r="H287" s="420"/>
      <c r="I287" s="420" t="s">
        <v>215</v>
      </c>
      <c r="J287" s="420"/>
      <c r="K287" s="420"/>
      <c r="L287" s="697">
        <v>0</v>
      </c>
      <c r="M287" s="819"/>
      <c r="N287" s="819"/>
    </row>
    <row r="288" spans="2:25" x14ac:dyDescent="0.2">
      <c r="B288" s="420"/>
      <c r="C288" s="420"/>
      <c r="D288" s="421"/>
      <c r="E288" s="421"/>
      <c r="F288" s="420"/>
      <c r="G288" s="420"/>
      <c r="H288" s="420"/>
      <c r="I288" s="420"/>
      <c r="J288" s="420"/>
      <c r="K288" s="420"/>
      <c r="L288" s="420"/>
      <c r="M288" s="819"/>
      <c r="N288" s="819"/>
    </row>
    <row r="289" spans="1:28" x14ac:dyDescent="0.2">
      <c r="B289" s="420"/>
      <c r="C289" s="420" t="s">
        <v>1042</v>
      </c>
      <c r="D289" s="421"/>
      <c r="E289" s="421"/>
      <c r="F289" s="420"/>
      <c r="G289" s="697">
        <v>0</v>
      </c>
      <c r="H289" s="420"/>
      <c r="I289" s="420" t="s">
        <v>1042</v>
      </c>
      <c r="J289" s="420"/>
      <c r="K289" s="420"/>
      <c r="L289" s="697">
        <v>0</v>
      </c>
      <c r="M289" s="819"/>
      <c r="N289" s="819"/>
    </row>
    <row r="290" spans="1:28" x14ac:dyDescent="0.2">
      <c r="B290" s="420"/>
      <c r="C290" s="420"/>
      <c r="D290" s="421"/>
      <c r="E290" s="421"/>
      <c r="F290" s="420"/>
      <c r="G290" s="697"/>
      <c r="H290" s="420"/>
      <c r="I290" s="420"/>
      <c r="J290" s="420"/>
      <c r="K290" s="420"/>
      <c r="L290" s="697"/>
      <c r="M290" s="819"/>
      <c r="N290" s="819"/>
    </row>
    <row r="291" spans="1:28" x14ac:dyDescent="0.2">
      <c r="B291" s="420"/>
      <c r="C291" s="420"/>
      <c r="D291" s="421"/>
      <c r="E291" s="421"/>
      <c r="F291" s="420"/>
      <c r="G291" s="697"/>
      <c r="H291" s="420"/>
      <c r="I291" s="420"/>
      <c r="J291" s="420"/>
      <c r="K291" s="420"/>
      <c r="L291" s="697"/>
      <c r="M291" s="819"/>
      <c r="N291" s="819"/>
    </row>
    <row r="292" spans="1:28" x14ac:dyDescent="0.2">
      <c r="B292" s="420"/>
      <c r="C292" s="420" t="s">
        <v>1043</v>
      </c>
      <c r="D292" s="421"/>
      <c r="E292" s="421"/>
      <c r="F292" s="420"/>
      <c r="G292" s="697"/>
      <c r="H292" s="420"/>
      <c r="I292" s="420" t="s">
        <v>1043</v>
      </c>
      <c r="J292" s="420"/>
      <c r="K292" s="420"/>
      <c r="L292" s="697"/>
      <c r="M292" s="819"/>
      <c r="N292" s="819"/>
    </row>
    <row r="293" spans="1:28" x14ac:dyDescent="0.2">
      <c r="B293" s="420"/>
      <c r="C293" s="420" t="s">
        <v>216</v>
      </c>
      <c r="D293" s="421"/>
      <c r="E293" s="421"/>
      <c r="F293" s="420"/>
      <c r="G293" s="697">
        <v>1.6991150442477878</v>
      </c>
      <c r="H293" s="420"/>
      <c r="I293" s="420" t="s">
        <v>216</v>
      </c>
      <c r="J293" s="420"/>
      <c r="K293" s="420"/>
      <c r="L293" s="697">
        <f>+J278</f>
        <v>1871.06</v>
      </c>
      <c r="M293" s="819"/>
      <c r="N293" s="819"/>
    </row>
    <row r="294" spans="1:28" x14ac:dyDescent="0.2">
      <c r="B294" s="420"/>
      <c r="C294" s="420" t="s">
        <v>1044</v>
      </c>
      <c r="D294" s="421"/>
      <c r="E294" s="421"/>
      <c r="F294" s="420"/>
      <c r="G294" s="698">
        <v>0.22088495575221243</v>
      </c>
      <c r="H294" s="420"/>
      <c r="I294" s="420" t="s">
        <v>1044</v>
      </c>
      <c r="J294" s="420"/>
      <c r="K294" s="420"/>
      <c r="L294" s="698">
        <f>+K278</f>
        <v>0</v>
      </c>
      <c r="M294" s="819"/>
      <c r="N294" s="819"/>
    </row>
    <row r="295" spans="1:28" x14ac:dyDescent="0.2">
      <c r="B295" s="420"/>
      <c r="C295" s="420"/>
      <c r="D295" s="421"/>
      <c r="E295" s="421"/>
      <c r="F295" s="420"/>
      <c r="G295" s="697"/>
      <c r="H295" s="420"/>
      <c r="I295" s="420"/>
      <c r="J295" s="420"/>
      <c r="K295" s="420"/>
      <c r="L295" s="697"/>
      <c r="M295" s="819"/>
      <c r="N295" s="819"/>
    </row>
    <row r="296" spans="1:28" ht="13.5" thickBot="1" x14ac:dyDescent="0.25">
      <c r="B296" s="420"/>
      <c r="C296" s="420" t="s">
        <v>1045</v>
      </c>
      <c r="D296" s="421"/>
      <c r="E296" s="421"/>
      <c r="F296" s="420"/>
      <c r="G296" s="699">
        <v>1.9200000000000002</v>
      </c>
      <c r="H296" s="420"/>
      <c r="I296" s="420" t="s">
        <v>1045</v>
      </c>
      <c r="J296" s="420"/>
      <c r="K296" s="420"/>
      <c r="L296" s="699">
        <f>SUM(L293:L295)</f>
        <v>1871.06</v>
      </c>
      <c r="M296" s="819"/>
      <c r="N296" s="819"/>
    </row>
    <row r="297" spans="1:28" ht="13.5" thickTop="1" x14ac:dyDescent="0.2"/>
    <row r="301" spans="1:28" ht="3.75" customHeight="1" x14ac:dyDescent="0.2">
      <c r="A301" s="841"/>
      <c r="B301" s="841"/>
      <c r="C301" s="842"/>
      <c r="D301" s="842"/>
      <c r="E301" s="841"/>
      <c r="F301" s="841"/>
      <c r="G301" s="841"/>
      <c r="H301" s="841"/>
      <c r="I301" s="841"/>
      <c r="J301" s="841"/>
      <c r="K301" s="841"/>
      <c r="L301" s="841"/>
      <c r="M301" s="843"/>
      <c r="N301" s="843"/>
      <c r="O301" s="843"/>
      <c r="P301" s="843"/>
      <c r="Q301" s="844"/>
      <c r="R301" s="844"/>
      <c r="S301" s="844"/>
      <c r="T301" s="844"/>
      <c r="U301" s="844"/>
      <c r="V301" s="844"/>
      <c r="W301" s="844"/>
      <c r="X301" s="844"/>
      <c r="Y301" s="844"/>
      <c r="Z301" s="844"/>
      <c r="AA301" s="844"/>
      <c r="AB301" s="844"/>
    </row>
    <row r="307" spans="2:26" x14ac:dyDescent="0.2">
      <c r="B307" s="714" t="s">
        <v>782</v>
      </c>
      <c r="C307" s="420"/>
      <c r="D307" s="420"/>
      <c r="E307" s="427"/>
      <c r="F307" s="428"/>
      <c r="G307" s="420"/>
      <c r="H307" s="420"/>
      <c r="I307" s="420"/>
      <c r="J307" s="420"/>
      <c r="K307" s="420"/>
      <c r="L307" s="420"/>
    </row>
    <row r="308" spans="2:26" x14ac:dyDescent="0.2">
      <c r="B308" s="715" t="s">
        <v>606</v>
      </c>
      <c r="C308" s="420"/>
      <c r="D308" s="420"/>
      <c r="E308" s="715"/>
      <c r="F308" s="428"/>
      <c r="G308" s="420"/>
      <c r="H308" s="420"/>
      <c r="I308" s="420"/>
      <c r="J308" s="420"/>
      <c r="K308" s="420"/>
      <c r="L308" s="420"/>
    </row>
    <row r="309" spans="2:26" x14ac:dyDescent="0.2">
      <c r="B309" s="721" t="s">
        <v>607</v>
      </c>
      <c r="C309" s="420"/>
      <c r="D309" s="420"/>
      <c r="E309" s="427"/>
      <c r="F309" s="720"/>
      <c r="G309" s="420"/>
      <c r="H309" s="420"/>
      <c r="I309" s="420"/>
      <c r="J309" s="420"/>
      <c r="K309" s="420"/>
      <c r="L309" s="420"/>
    </row>
    <row r="310" spans="2:26" x14ac:dyDescent="0.2">
      <c r="B310" s="721" t="s">
        <v>783</v>
      </c>
      <c r="C310" s="420"/>
      <c r="D310" s="420"/>
      <c r="E310" s="427"/>
      <c r="F310" s="428"/>
      <c r="G310" s="420"/>
      <c r="H310" s="420"/>
      <c r="I310" s="420"/>
      <c r="J310" s="420"/>
      <c r="K310" s="420"/>
      <c r="L310" s="420"/>
    </row>
    <row r="311" spans="2:26" x14ac:dyDescent="0.2">
      <c r="B311" s="719"/>
      <c r="C311" s="420"/>
      <c r="D311" s="420"/>
      <c r="E311" s="427"/>
      <c r="F311" s="428"/>
      <c r="G311" s="420"/>
      <c r="H311" s="420"/>
      <c r="I311" s="420"/>
      <c r="J311" s="420"/>
      <c r="K311" s="420"/>
      <c r="L311" s="420"/>
    </row>
    <row r="312" spans="2:26" ht="18" x14ac:dyDescent="0.25">
      <c r="B312" s="419" t="s">
        <v>833</v>
      </c>
      <c r="C312" s="420"/>
      <c r="D312" s="421"/>
      <c r="E312" s="422" t="s">
        <v>1014</v>
      </c>
      <c r="F312" s="423" t="s">
        <v>361</v>
      </c>
      <c r="G312" s="424">
        <v>2017</v>
      </c>
      <c r="H312" s="425" t="s">
        <v>73</v>
      </c>
      <c r="I312" s="425"/>
      <c r="J312" s="420"/>
      <c r="K312" s="420"/>
      <c r="L312" s="420"/>
    </row>
    <row r="313" spans="2:26" x14ac:dyDescent="0.2">
      <c r="B313" s="426" t="s">
        <v>74</v>
      </c>
      <c r="C313" s="420"/>
      <c r="D313" s="420"/>
      <c r="E313" s="427"/>
      <c r="F313" s="428"/>
      <c r="G313" s="420"/>
      <c r="H313" s="429"/>
      <c r="I313" s="429"/>
      <c r="J313" s="420"/>
      <c r="K313" s="420"/>
      <c r="L313" s="420"/>
    </row>
    <row r="314" spans="2:26" x14ac:dyDescent="0.2">
      <c r="B314" s="430"/>
      <c r="C314" s="430"/>
      <c r="D314" s="430"/>
      <c r="E314" s="430"/>
      <c r="F314" s="430"/>
      <c r="G314" s="430"/>
      <c r="H314" s="430"/>
      <c r="I314" s="430"/>
      <c r="J314" s="430"/>
      <c r="K314" s="430"/>
      <c r="L314" s="430"/>
    </row>
    <row r="315" spans="2:26" x14ac:dyDescent="0.2">
      <c r="B315" s="430"/>
      <c r="C315" s="430"/>
      <c r="D315" s="430"/>
      <c r="E315" s="430"/>
      <c r="F315" s="430"/>
      <c r="G315" s="430"/>
      <c r="H315" s="423"/>
      <c r="I315" s="423"/>
      <c r="J315" s="423"/>
      <c r="K315" s="423"/>
      <c r="L315" s="430"/>
    </row>
    <row r="316" spans="2:26" x14ac:dyDescent="0.2">
      <c r="B316" s="431"/>
      <c r="C316" s="432" t="s">
        <v>609</v>
      </c>
      <c r="D316" s="433" t="s">
        <v>75</v>
      </c>
      <c r="E316" s="433"/>
      <c r="F316" s="433" t="s">
        <v>210</v>
      </c>
      <c r="G316" s="433"/>
      <c r="H316" s="434" t="s">
        <v>211</v>
      </c>
      <c r="I316" s="435"/>
      <c r="J316" s="435"/>
      <c r="K316" s="435"/>
      <c r="L316" s="454"/>
      <c r="O316" s="520" t="s">
        <v>852</v>
      </c>
      <c r="P316" s="520"/>
      <c r="Q316" s="520"/>
      <c r="R316" s="520"/>
      <c r="U316" s="363" t="s">
        <v>842</v>
      </c>
      <c r="Y316" s="354" t="s">
        <v>851</v>
      </c>
      <c r="Z316" s="354" t="s">
        <v>753</v>
      </c>
    </row>
    <row r="317" spans="2:26" x14ac:dyDescent="0.2">
      <c r="B317" s="436" t="s">
        <v>212</v>
      </c>
      <c r="C317" s="437" t="s">
        <v>213</v>
      </c>
      <c r="D317" s="437" t="s">
        <v>616</v>
      </c>
      <c r="E317" s="437" t="s">
        <v>214</v>
      </c>
      <c r="F317" s="437" t="s">
        <v>617</v>
      </c>
      <c r="G317" s="437" t="s">
        <v>215</v>
      </c>
      <c r="H317" s="438" t="s">
        <v>164</v>
      </c>
      <c r="I317" s="435"/>
      <c r="J317" s="438" t="s">
        <v>216</v>
      </c>
      <c r="K317" s="435"/>
      <c r="L317" s="455" t="s">
        <v>722</v>
      </c>
      <c r="O317" s="476" t="s">
        <v>1014</v>
      </c>
      <c r="P317" s="299">
        <v>51000000001</v>
      </c>
      <c r="Q317" s="448" t="s">
        <v>835</v>
      </c>
      <c r="R317" s="822">
        <f>SUMIFS($J$320:$J$335,$E$320:$E$335,Q317,$M$320:$M$335,P317)</f>
        <v>0</v>
      </c>
      <c r="T317" s="354">
        <v>51000200001</v>
      </c>
      <c r="U317" s="354" t="s">
        <v>787</v>
      </c>
      <c r="X317" s="366">
        <v>-416.72</v>
      </c>
      <c r="Y317" s="366">
        <f>R320</f>
        <v>0</v>
      </c>
      <c r="Z317" s="450">
        <v>0</v>
      </c>
    </row>
    <row r="318" spans="2:26" x14ac:dyDescent="0.2">
      <c r="B318" s="439"/>
      <c r="C318" s="440"/>
      <c r="D318" s="440"/>
      <c r="E318" s="439"/>
      <c r="F318" s="439"/>
      <c r="G318" s="439"/>
      <c r="H318" s="441" t="s">
        <v>723</v>
      </c>
      <c r="I318" s="442" t="s">
        <v>724</v>
      </c>
      <c r="J318" s="456" t="s">
        <v>725</v>
      </c>
      <c r="K318" s="456" t="s">
        <v>157</v>
      </c>
      <c r="L318" s="457" t="s">
        <v>164</v>
      </c>
      <c r="O318" s="476" t="s">
        <v>1014</v>
      </c>
      <c r="P318" s="299">
        <v>51000000002</v>
      </c>
      <c r="Q318" s="448" t="s">
        <v>835</v>
      </c>
      <c r="R318" s="822">
        <f t="shared" ref="R318:R337" si="31">SUMIFS($J$320:$J$335,$E$320:$E$335,Q318,$M$320:$M$335,P318)</f>
        <v>0</v>
      </c>
      <c r="T318" s="354">
        <v>51000200002</v>
      </c>
      <c r="U318" s="354" t="s">
        <v>788</v>
      </c>
      <c r="X318" s="366">
        <v>-416.72</v>
      </c>
      <c r="Y318" s="366">
        <f>R322</f>
        <v>0</v>
      </c>
      <c r="Z318" s="450">
        <v>0</v>
      </c>
    </row>
    <row r="319" spans="2:26" x14ac:dyDescent="0.2">
      <c r="B319" s="443"/>
      <c r="C319" s="444"/>
      <c r="D319" s="444"/>
      <c r="E319" s="445"/>
      <c r="F319" s="446"/>
      <c r="G319" s="821"/>
      <c r="H319" s="822"/>
      <c r="I319" s="822"/>
      <c r="J319" s="822"/>
      <c r="K319" s="822"/>
      <c r="L319" s="822"/>
      <c r="O319" s="476" t="s">
        <v>1014</v>
      </c>
      <c r="P319" s="299">
        <v>51000100001</v>
      </c>
      <c r="Q319" s="448" t="s">
        <v>835</v>
      </c>
      <c r="R319" s="822">
        <f t="shared" si="31"/>
        <v>0</v>
      </c>
      <c r="T319" s="354">
        <v>51000100001</v>
      </c>
      <c r="U319" s="366" t="s">
        <v>12</v>
      </c>
      <c r="X319" s="366">
        <v>-11947.14</v>
      </c>
    </row>
    <row r="320" spans="2:26" x14ac:dyDescent="0.2">
      <c r="B320" s="447">
        <v>43350</v>
      </c>
      <c r="C320" s="444" t="s">
        <v>1084</v>
      </c>
      <c r="D320" s="444" t="s">
        <v>834</v>
      </c>
      <c r="E320" s="706" t="str">
        <f>+VLOOKUP(F320,[2]bd!A:B,2,0)</f>
        <v>BANCO CUSCATLAN DE EL SALVADOR S.A.</v>
      </c>
      <c r="F320" s="706" t="s">
        <v>158</v>
      </c>
      <c r="G320" s="707"/>
      <c r="H320" s="708"/>
      <c r="I320" s="708"/>
      <c r="J320" s="708">
        <v>143.86000000000001</v>
      </c>
      <c r="K320" s="717">
        <v>18.7</v>
      </c>
      <c r="L320" s="708">
        <f t="shared" ref="L320:L326" si="32">+J320+K320</f>
        <v>162.56</v>
      </c>
      <c r="M320" s="713">
        <v>51000200002</v>
      </c>
      <c r="O320" s="476" t="s">
        <v>1014</v>
      </c>
      <c r="P320" s="299">
        <v>51000100001</v>
      </c>
      <c r="Q320" s="448" t="s">
        <v>864</v>
      </c>
      <c r="R320" s="822">
        <f t="shared" si="31"/>
        <v>0</v>
      </c>
      <c r="T320" s="354">
        <v>51000100002</v>
      </c>
      <c r="U320" s="366" t="s">
        <v>786</v>
      </c>
      <c r="X320" s="366">
        <v>-7466.97</v>
      </c>
    </row>
    <row r="321" spans="2:26" x14ac:dyDescent="0.2">
      <c r="B321" s="447">
        <v>43350</v>
      </c>
      <c r="C321" s="444" t="s">
        <v>1085</v>
      </c>
      <c r="D321" s="444" t="s">
        <v>834</v>
      </c>
      <c r="E321" s="706" t="str">
        <f>+VLOOKUP(F321,[2]bd!A:B,2,0)</f>
        <v>BANCO CUSCATLAN DE EL SALVADOR S.A.</v>
      </c>
      <c r="F321" s="706" t="s">
        <v>158</v>
      </c>
      <c r="G321" s="706"/>
      <c r="H321" s="708"/>
      <c r="I321" s="708"/>
      <c r="J321" s="708">
        <v>143.86000000000001</v>
      </c>
      <c r="K321" s="717">
        <v>18.7</v>
      </c>
      <c r="L321" s="708">
        <f t="shared" si="32"/>
        <v>162.56</v>
      </c>
      <c r="M321" s="713">
        <v>51000200001</v>
      </c>
      <c r="O321" s="476" t="s">
        <v>1014</v>
      </c>
      <c r="P321" s="299">
        <v>51000100002</v>
      </c>
      <c r="Q321" s="448" t="s">
        <v>835</v>
      </c>
      <c r="R321" s="822">
        <f t="shared" si="31"/>
        <v>0</v>
      </c>
      <c r="T321" s="354">
        <v>51220200001</v>
      </c>
      <c r="U321" s="354" t="s">
        <v>96</v>
      </c>
      <c r="X321" s="366">
        <v>-1847.14</v>
      </c>
      <c r="Y321" s="366">
        <f>R329+R336</f>
        <v>1845.48</v>
      </c>
      <c r="Z321" s="450">
        <f>X321+Y321</f>
        <v>-1.6600000000000819</v>
      </c>
    </row>
    <row r="322" spans="2:26" x14ac:dyDescent="0.2">
      <c r="B322" s="447">
        <v>43350</v>
      </c>
      <c r="C322" s="444" t="s">
        <v>1086</v>
      </c>
      <c r="D322" s="444" t="s">
        <v>834</v>
      </c>
      <c r="E322" s="448" t="str">
        <f>+VLOOKUP(F322,[2]bd!A:B,2,0)</f>
        <v>CITIBANK, N.A. SUCURSAL EL SALVADOR</v>
      </c>
      <c r="F322" s="448" t="s">
        <v>726</v>
      </c>
      <c r="G322" s="821"/>
      <c r="H322" s="822"/>
      <c r="I322" s="822"/>
      <c r="J322" s="573">
        <v>7369.39</v>
      </c>
      <c r="K322" s="564">
        <v>958.02</v>
      </c>
      <c r="L322" s="822">
        <f t="shared" si="32"/>
        <v>8327.41</v>
      </c>
      <c r="O322" s="476" t="s">
        <v>1014</v>
      </c>
      <c r="P322" s="299">
        <v>51000100002</v>
      </c>
      <c r="Q322" s="448" t="s">
        <v>864</v>
      </c>
      <c r="R322" s="822">
        <f t="shared" si="31"/>
        <v>0</v>
      </c>
      <c r="T322" s="354">
        <v>52200000001</v>
      </c>
      <c r="U322" s="354" t="s">
        <v>66</v>
      </c>
      <c r="X322" s="366">
        <v>-2040.21</v>
      </c>
      <c r="Y322" s="366">
        <f>R330+R337</f>
        <v>0</v>
      </c>
      <c r="Z322" s="450">
        <v>0</v>
      </c>
    </row>
    <row r="323" spans="2:26" x14ac:dyDescent="0.2">
      <c r="B323" s="447">
        <v>43350</v>
      </c>
      <c r="C323" s="444" t="s">
        <v>1087</v>
      </c>
      <c r="D323" s="444" t="s">
        <v>834</v>
      </c>
      <c r="E323" s="448" t="str">
        <f>+VLOOKUP(F323,[2]bd!A:B,2,0)</f>
        <v>CITIBANK, N.A. SUCURSAL EL SALVADOR</v>
      </c>
      <c r="F323" s="448" t="s">
        <v>726</v>
      </c>
      <c r="G323" s="448"/>
      <c r="H323" s="822"/>
      <c r="I323" s="822"/>
      <c r="J323" s="822">
        <v>4605.87</v>
      </c>
      <c r="K323" s="564">
        <v>598.76</v>
      </c>
      <c r="L323" s="822">
        <f t="shared" si="32"/>
        <v>5204.63</v>
      </c>
      <c r="O323" s="476" t="s">
        <v>1014</v>
      </c>
      <c r="P323" s="716">
        <v>51000200001</v>
      </c>
      <c r="Q323" s="448" t="s">
        <v>835</v>
      </c>
      <c r="R323" s="822">
        <f t="shared" si="31"/>
        <v>416.72</v>
      </c>
      <c r="X323" s="575">
        <v>0</v>
      </c>
      <c r="Y323" s="366">
        <v>0</v>
      </c>
      <c r="Z323" s="450">
        <v>0</v>
      </c>
    </row>
    <row r="324" spans="2:26" x14ac:dyDescent="0.2">
      <c r="B324" s="447">
        <v>43350</v>
      </c>
      <c r="C324" s="444" t="s">
        <v>1088</v>
      </c>
      <c r="D324" s="444" t="s">
        <v>834</v>
      </c>
      <c r="E324" s="448" t="str">
        <f>+VLOOKUP(F324,[2]bd!A:B,2,0)</f>
        <v>CITIBANK, N.A. SUCURSAL EL SALVADOR</v>
      </c>
      <c r="F324" s="448" t="s">
        <v>726</v>
      </c>
      <c r="G324" s="448"/>
      <c r="H324" s="822"/>
      <c r="I324" s="822"/>
      <c r="J324" s="573">
        <v>4577.75</v>
      </c>
      <c r="K324" s="564">
        <v>595.11</v>
      </c>
      <c r="L324" s="822">
        <f t="shared" si="32"/>
        <v>5172.8599999999997</v>
      </c>
      <c r="O324" s="476" t="s">
        <v>1014</v>
      </c>
      <c r="P324" s="299">
        <v>51000200001</v>
      </c>
      <c r="Q324" s="448" t="s">
        <v>780</v>
      </c>
      <c r="R324" s="822">
        <f t="shared" si="31"/>
        <v>0</v>
      </c>
      <c r="X324" s="521">
        <v>0</v>
      </c>
      <c r="Y324" s="521">
        <f>R332+R339</f>
        <v>0</v>
      </c>
      <c r="Z324" s="517">
        <v>0</v>
      </c>
    </row>
    <row r="325" spans="2:26" x14ac:dyDescent="0.2">
      <c r="B325" s="447">
        <v>43350</v>
      </c>
      <c r="C325" s="444" t="s">
        <v>1089</v>
      </c>
      <c r="D325" s="444" t="s">
        <v>834</v>
      </c>
      <c r="E325" s="448" t="str">
        <f>+VLOOKUP(F325,[2]bd!A:B,2,0)</f>
        <v>CITIBANK, N.A. SUCURSAL EL SALVADOR</v>
      </c>
      <c r="F325" s="448" t="s">
        <v>726</v>
      </c>
      <c r="G325" s="448"/>
      <c r="H325" s="822"/>
      <c r="I325" s="822"/>
      <c r="J325" s="822">
        <v>2861.1</v>
      </c>
      <c r="K325" s="564">
        <v>371.94</v>
      </c>
      <c r="L325" s="822">
        <f t="shared" si="32"/>
        <v>3233.04</v>
      </c>
      <c r="O325" s="476" t="s">
        <v>1014</v>
      </c>
      <c r="P325" s="299">
        <v>51000200001</v>
      </c>
      <c r="Q325" s="448" t="s">
        <v>97</v>
      </c>
      <c r="R325" s="822">
        <f t="shared" si="31"/>
        <v>0</v>
      </c>
      <c r="X325" s="507">
        <f>SUM(X317:X324)</f>
        <v>-24134.899999999998</v>
      </c>
      <c r="Y325" s="507">
        <f>SUM(Y317:Y324)</f>
        <v>1845.48</v>
      </c>
      <c r="Z325" s="507">
        <f>SUM(Z317:Z324)</f>
        <v>-1.6600000000000819</v>
      </c>
    </row>
    <row r="326" spans="2:26" x14ac:dyDescent="0.2">
      <c r="B326" s="447">
        <v>43356</v>
      </c>
      <c r="C326" s="444" t="s">
        <v>1090</v>
      </c>
      <c r="D326" s="444" t="s">
        <v>834</v>
      </c>
      <c r="E326" s="706" t="str">
        <f>+VLOOKUP(F326,[2]bd!A:B,2,0)</f>
        <v>BANCO CUSCATLAN DE EL SALVADOR S.A.</v>
      </c>
      <c r="F326" s="706" t="s">
        <v>158</v>
      </c>
      <c r="G326" s="706"/>
      <c r="H326" s="708"/>
      <c r="I326" s="708"/>
      <c r="J326" s="708">
        <v>81.069999999999993</v>
      </c>
      <c r="K326" s="717">
        <v>10.54</v>
      </c>
      <c r="L326" s="708">
        <f t="shared" si="32"/>
        <v>91.609999999999985</v>
      </c>
      <c r="M326" s="713">
        <v>51000200002</v>
      </c>
      <c r="O326" s="476" t="s">
        <v>1014</v>
      </c>
      <c r="P326" s="716">
        <v>51000200002</v>
      </c>
      <c r="Q326" s="448" t="s">
        <v>835</v>
      </c>
      <c r="R326" s="822">
        <f t="shared" si="31"/>
        <v>416.72</v>
      </c>
      <c r="U326" s="366"/>
    </row>
    <row r="327" spans="2:26" x14ac:dyDescent="0.2">
      <c r="B327" s="447">
        <v>43356</v>
      </c>
      <c r="C327" s="444" t="s">
        <v>1091</v>
      </c>
      <c r="D327" s="444" t="s">
        <v>834</v>
      </c>
      <c r="E327" s="706" t="str">
        <f>+VLOOKUP(F327,[2]bd!A:B,2,0)</f>
        <v>BANCO CUSCATLAN DE EL SALVADOR S.A.</v>
      </c>
      <c r="F327" s="706" t="s">
        <v>158</v>
      </c>
      <c r="G327" s="706"/>
      <c r="H327" s="708"/>
      <c r="I327" s="708"/>
      <c r="J327" s="708">
        <v>81.069999999999993</v>
      </c>
      <c r="K327" s="717">
        <v>10.54</v>
      </c>
      <c r="L327" s="708">
        <f>+J327+K327</f>
        <v>91.609999999999985</v>
      </c>
      <c r="M327" s="713">
        <v>51000200001</v>
      </c>
      <c r="O327" s="476" t="s">
        <v>1014</v>
      </c>
      <c r="P327" s="299">
        <v>51000200002</v>
      </c>
      <c r="Q327" s="448" t="s">
        <v>780</v>
      </c>
      <c r="R327" s="822">
        <f t="shared" si="31"/>
        <v>0</v>
      </c>
      <c r="U327" s="366"/>
    </row>
    <row r="328" spans="2:26" x14ac:dyDescent="0.2">
      <c r="B328" s="447">
        <v>43361</v>
      </c>
      <c r="C328" s="444" t="s">
        <v>1092</v>
      </c>
      <c r="D328" s="444" t="s">
        <v>834</v>
      </c>
      <c r="E328" s="706" t="str">
        <f>+VLOOKUP(F328,[2]bd!A:B,2,0)</f>
        <v>BANCO CUSCATLAN DE EL SALVADOR S.A.</v>
      </c>
      <c r="F328" s="706" t="s">
        <v>158</v>
      </c>
      <c r="G328" s="706"/>
      <c r="H328" s="708"/>
      <c r="I328" s="708"/>
      <c r="J328" s="708">
        <v>95.89</v>
      </c>
      <c r="K328" s="717">
        <v>12.47</v>
      </c>
      <c r="L328" s="708">
        <f>+J328+K328</f>
        <v>108.36</v>
      </c>
      <c r="M328" s="713">
        <v>51000200002</v>
      </c>
      <c r="O328" s="476" t="s">
        <v>1014</v>
      </c>
      <c r="P328" s="299">
        <v>51000200002</v>
      </c>
      <c r="Q328" s="448" t="s">
        <v>97</v>
      </c>
      <c r="R328" s="822">
        <f t="shared" si="31"/>
        <v>0</v>
      </c>
      <c r="U328" s="366"/>
    </row>
    <row r="329" spans="2:26" x14ac:dyDescent="0.2">
      <c r="B329" s="447">
        <v>43361</v>
      </c>
      <c r="C329" s="444" t="s">
        <v>1093</v>
      </c>
      <c r="D329" s="444" t="s">
        <v>834</v>
      </c>
      <c r="E329" s="706" t="str">
        <f>+VLOOKUP(F329,[2]bd!A:B,2,0)</f>
        <v>BANCO CUSCATLAN DE EL SALVADOR S.A.</v>
      </c>
      <c r="F329" s="706" t="s">
        <v>158</v>
      </c>
      <c r="G329" s="706"/>
      <c r="H329" s="708"/>
      <c r="I329" s="708"/>
      <c r="J329" s="708">
        <v>95.89</v>
      </c>
      <c r="K329" s="717">
        <v>12.47</v>
      </c>
      <c r="L329" s="708">
        <f t="shared" ref="L329:L335" si="33">+J329+K329</f>
        <v>108.36</v>
      </c>
      <c r="M329" s="713">
        <v>51000200001</v>
      </c>
      <c r="O329" s="476" t="s">
        <v>1014</v>
      </c>
      <c r="P329" s="716">
        <v>51220200001</v>
      </c>
      <c r="Q329" s="448" t="s">
        <v>835</v>
      </c>
      <c r="R329" s="822">
        <f t="shared" si="31"/>
        <v>1478.63</v>
      </c>
      <c r="U329" s="366"/>
    </row>
    <row r="330" spans="2:26" x14ac:dyDescent="0.2">
      <c r="B330" s="447">
        <v>43361</v>
      </c>
      <c r="C330" s="444" t="s">
        <v>1094</v>
      </c>
      <c r="D330" s="444" t="s">
        <v>834</v>
      </c>
      <c r="E330" s="448" t="str">
        <f>+VLOOKUP(F330,[2]bd!A:B,2,0)</f>
        <v>INVERSIONES FINANCIERAS IMPERIA CUSCATLAN, SA</v>
      </c>
      <c r="F330" s="448" t="s">
        <v>865</v>
      </c>
      <c r="G330" s="448"/>
      <c r="H330" s="822"/>
      <c r="I330" s="822"/>
      <c r="J330" s="822">
        <v>366.85</v>
      </c>
      <c r="K330" s="451">
        <v>47.69</v>
      </c>
      <c r="L330" s="822">
        <f t="shared" si="33"/>
        <v>414.54</v>
      </c>
      <c r="M330" s="713">
        <v>51220200001</v>
      </c>
      <c r="O330" s="476" t="s">
        <v>1014</v>
      </c>
      <c r="P330" s="299">
        <v>51220200001</v>
      </c>
      <c r="Q330" s="448" t="s">
        <v>780</v>
      </c>
      <c r="R330" s="822">
        <f t="shared" si="31"/>
        <v>0</v>
      </c>
    </row>
    <row r="331" spans="2:26" x14ac:dyDescent="0.2">
      <c r="B331" s="447">
        <v>43361</v>
      </c>
      <c r="C331" s="444" t="s">
        <v>1095</v>
      </c>
      <c r="D331" s="444" t="s">
        <v>834</v>
      </c>
      <c r="E331" s="706" t="str">
        <f>+VLOOKUP(F331,[2]bd!A:B,2,0)</f>
        <v>BANCO CUSCATLAN DE EL SALVADOR S.A.</v>
      </c>
      <c r="F331" s="706" t="s">
        <v>158</v>
      </c>
      <c r="G331" s="706"/>
      <c r="H331" s="708"/>
      <c r="I331" s="708"/>
      <c r="J331" s="708">
        <v>1478.63</v>
      </c>
      <c r="K331" s="717">
        <v>192.22</v>
      </c>
      <c r="L331" s="708">
        <f t="shared" si="33"/>
        <v>1670.8500000000001</v>
      </c>
      <c r="M331" s="713">
        <v>51220200001</v>
      </c>
      <c r="O331" s="476" t="s">
        <v>1014</v>
      </c>
      <c r="P331" s="299">
        <v>51220200001</v>
      </c>
      <c r="Q331" s="448" t="s">
        <v>97</v>
      </c>
      <c r="R331" s="822">
        <f t="shared" si="31"/>
        <v>0</v>
      </c>
    </row>
    <row r="332" spans="2:26" x14ac:dyDescent="0.2">
      <c r="B332" s="447">
        <v>43367</v>
      </c>
      <c r="C332" s="444" t="s">
        <v>1096</v>
      </c>
      <c r="D332" s="444" t="s">
        <v>834</v>
      </c>
      <c r="E332" s="706" t="str">
        <f>+VLOOKUP(F332,[2]bd!A:B,2,0)</f>
        <v>BANCO CUSCATLAN DE EL SALVADOR S.A.</v>
      </c>
      <c r="F332" s="706" t="s">
        <v>158</v>
      </c>
      <c r="G332" s="706"/>
      <c r="H332" s="708"/>
      <c r="I332" s="708"/>
      <c r="J332" s="708">
        <v>41.1</v>
      </c>
      <c r="K332" s="717">
        <v>5.34</v>
      </c>
      <c r="L332" s="708">
        <f t="shared" si="33"/>
        <v>46.44</v>
      </c>
      <c r="M332" s="713">
        <v>51000200002</v>
      </c>
      <c r="O332" s="476" t="s">
        <v>1014</v>
      </c>
      <c r="P332" s="299">
        <v>52200000001</v>
      </c>
      <c r="Q332" s="448" t="s">
        <v>835</v>
      </c>
      <c r="R332" s="822">
        <f t="shared" si="31"/>
        <v>0</v>
      </c>
      <c r="W332" s="363" t="s">
        <v>850</v>
      </c>
      <c r="X332" s="450">
        <f>+X318+X321+X317+X323+X324+X319+X320</f>
        <v>-22094.69</v>
      </c>
    </row>
    <row r="333" spans="2:26" x14ac:dyDescent="0.2">
      <c r="B333" s="447">
        <v>43367</v>
      </c>
      <c r="C333" s="444" t="s">
        <v>1097</v>
      </c>
      <c r="D333" s="444" t="s">
        <v>834</v>
      </c>
      <c r="E333" s="706" t="str">
        <f>+VLOOKUP(F333,[2]bd!A:B,2,0)</f>
        <v>BANCO CUSCATLAN DE EL SALVADOR S.A.</v>
      </c>
      <c r="F333" s="706" t="s">
        <v>158</v>
      </c>
      <c r="G333" s="707"/>
      <c r="H333" s="708"/>
      <c r="I333" s="708"/>
      <c r="J333" s="708">
        <v>41.1</v>
      </c>
      <c r="K333" s="717">
        <v>5.34</v>
      </c>
      <c r="L333" s="708">
        <f t="shared" si="33"/>
        <v>46.44</v>
      </c>
      <c r="M333" s="713">
        <v>51000200001</v>
      </c>
      <c r="O333" s="476" t="s">
        <v>1014</v>
      </c>
      <c r="P333" s="299">
        <v>52200000001</v>
      </c>
      <c r="Q333" s="448" t="s">
        <v>780</v>
      </c>
      <c r="R333" s="822">
        <f t="shared" si="31"/>
        <v>0</v>
      </c>
      <c r="W333" s="354" t="s">
        <v>852</v>
      </c>
      <c r="X333" s="450">
        <f>R338</f>
        <v>2678.92</v>
      </c>
    </row>
    <row r="334" spans="2:26" x14ac:dyDescent="0.2">
      <c r="B334" s="447">
        <v>43371</v>
      </c>
      <c r="C334" s="444" t="s">
        <v>1098</v>
      </c>
      <c r="D334" s="444" t="s">
        <v>834</v>
      </c>
      <c r="E334" s="706" t="str">
        <f>+VLOOKUP(F334,[2]bd!A:B,2,0)</f>
        <v>BANCO CUSCATLAN DE EL SALVADOR S.A.</v>
      </c>
      <c r="F334" s="706" t="s">
        <v>158</v>
      </c>
      <c r="G334" s="707"/>
      <c r="H334" s="708"/>
      <c r="I334" s="708"/>
      <c r="J334" s="708">
        <v>54.8</v>
      </c>
      <c r="K334" s="717">
        <v>7.12</v>
      </c>
      <c r="L334" s="708">
        <f t="shared" si="33"/>
        <v>61.919999999999995</v>
      </c>
      <c r="M334" s="713">
        <v>51000200002</v>
      </c>
      <c r="O334" s="476" t="s">
        <v>1014</v>
      </c>
      <c r="P334" s="299">
        <v>52200000001</v>
      </c>
      <c r="Q334" s="448" t="s">
        <v>97</v>
      </c>
      <c r="R334" s="822">
        <f t="shared" si="31"/>
        <v>0</v>
      </c>
      <c r="W334" s="354" t="s">
        <v>855</v>
      </c>
      <c r="X334" s="517">
        <v>19414.11</v>
      </c>
    </row>
    <row r="335" spans="2:26" x14ac:dyDescent="0.2">
      <c r="B335" s="447">
        <v>43371</v>
      </c>
      <c r="C335" s="444" t="s">
        <v>1099</v>
      </c>
      <c r="D335" s="444" t="s">
        <v>834</v>
      </c>
      <c r="E335" s="706" t="str">
        <f>+VLOOKUP(F335,[2]bd!A:B,2,0)</f>
        <v>BANCO CUSCATLAN DE EL SALVADOR S.A.</v>
      </c>
      <c r="F335" s="706" t="s">
        <v>158</v>
      </c>
      <c r="G335" s="707"/>
      <c r="H335" s="708"/>
      <c r="I335" s="708"/>
      <c r="J335" s="708">
        <v>54.8</v>
      </c>
      <c r="K335" s="717">
        <v>7.12</v>
      </c>
      <c r="L335" s="708">
        <f t="shared" si="33"/>
        <v>61.919999999999995</v>
      </c>
      <c r="M335" s="713">
        <v>51000200001</v>
      </c>
      <c r="O335" s="476" t="s">
        <v>1014</v>
      </c>
      <c r="P335" s="299">
        <v>52200000001</v>
      </c>
      <c r="Q335" s="448" t="s">
        <v>835</v>
      </c>
      <c r="R335" s="822">
        <f t="shared" si="31"/>
        <v>0</v>
      </c>
      <c r="X335" s="507">
        <f>X332+X333+X334</f>
        <v>-1.6599999999962165</v>
      </c>
      <c r="Y335" s="354" t="s">
        <v>870</v>
      </c>
    </row>
    <row r="336" spans="2:26" x14ac:dyDescent="0.2">
      <c r="J336" s="575"/>
      <c r="K336" s="575"/>
      <c r="L336" s="575"/>
      <c r="O336" s="476" t="s">
        <v>1014</v>
      </c>
      <c r="P336" s="716">
        <v>51220200001</v>
      </c>
      <c r="Q336" s="448" t="s">
        <v>864</v>
      </c>
      <c r="R336" s="822">
        <f t="shared" si="31"/>
        <v>366.85</v>
      </c>
    </row>
    <row r="337" spans="3:18" x14ac:dyDescent="0.2">
      <c r="E337" s="352" t="s">
        <v>916</v>
      </c>
      <c r="J337" s="575"/>
      <c r="K337" s="575">
        <v>-1394.73</v>
      </c>
      <c r="L337" s="575">
        <v>-1394.73</v>
      </c>
      <c r="O337" s="476" t="s">
        <v>1014</v>
      </c>
      <c r="P337" s="299">
        <v>53000100001</v>
      </c>
      <c r="Q337" s="448" t="s">
        <v>835</v>
      </c>
      <c r="R337" s="572">
        <f t="shared" si="31"/>
        <v>0</v>
      </c>
    </row>
    <row r="338" spans="3:18" x14ac:dyDescent="0.2">
      <c r="J338" s="575"/>
      <c r="K338" s="575"/>
      <c r="L338" s="575">
        <v>0</v>
      </c>
      <c r="O338" s="819"/>
      <c r="P338" s="819"/>
      <c r="R338" s="450">
        <f>SUM(R317:R337)</f>
        <v>2678.92</v>
      </c>
    </row>
    <row r="339" spans="3:18" x14ac:dyDescent="0.2">
      <c r="J339" s="575"/>
      <c r="K339" s="575"/>
      <c r="L339" s="575"/>
    </row>
    <row r="340" spans="3:18" x14ac:dyDescent="0.2">
      <c r="J340" s="575"/>
      <c r="K340" s="575"/>
      <c r="L340" s="575"/>
    </row>
    <row r="341" spans="3:18" x14ac:dyDescent="0.2">
      <c r="J341" s="575"/>
      <c r="K341" s="575"/>
      <c r="L341" s="575"/>
    </row>
    <row r="342" spans="3:18" x14ac:dyDescent="0.2">
      <c r="J342" s="575"/>
      <c r="K342" s="575"/>
      <c r="L342" s="575"/>
    </row>
    <row r="343" spans="3:18" x14ac:dyDescent="0.2">
      <c r="G343" s="352">
        <v>0</v>
      </c>
      <c r="H343" s="352">
        <v>0</v>
      </c>
      <c r="I343" s="352">
        <v>0</v>
      </c>
      <c r="J343" s="575">
        <v>22093.029999999992</v>
      </c>
      <c r="K343" s="575">
        <v>1477.3499999999995</v>
      </c>
      <c r="L343" s="575">
        <v>23570.379999999997</v>
      </c>
    </row>
    <row r="344" spans="3:18" x14ac:dyDescent="0.2">
      <c r="J344" s="575"/>
      <c r="K344" s="575"/>
      <c r="L344" s="575"/>
    </row>
    <row r="345" spans="3:18" x14ac:dyDescent="0.2">
      <c r="J345" s="575"/>
      <c r="K345" s="575"/>
      <c r="L345" s="575"/>
    </row>
    <row r="346" spans="3:18" x14ac:dyDescent="0.2">
      <c r="J346" s="575"/>
      <c r="K346" s="575"/>
      <c r="L346" s="575"/>
    </row>
    <row r="347" spans="3:18" x14ac:dyDescent="0.2">
      <c r="J347" s="575"/>
      <c r="K347" s="575"/>
      <c r="L347" s="575"/>
    </row>
    <row r="348" spans="3:18" x14ac:dyDescent="0.2">
      <c r="J348" s="575"/>
      <c r="K348" s="575"/>
      <c r="L348" s="575"/>
    </row>
    <row r="349" spans="3:18" x14ac:dyDescent="0.2">
      <c r="J349" s="575"/>
      <c r="K349" s="575"/>
      <c r="L349" s="575"/>
    </row>
    <row r="350" spans="3:18" x14ac:dyDescent="0.2">
      <c r="C350" s="362" t="s">
        <v>1040</v>
      </c>
      <c r="I350" s="352" t="s">
        <v>1041</v>
      </c>
      <c r="J350" s="575"/>
      <c r="K350" s="575"/>
      <c r="L350" s="575"/>
    </row>
    <row r="351" spans="3:18" x14ac:dyDescent="0.2">
      <c r="J351" s="575"/>
      <c r="K351" s="575"/>
      <c r="L351" s="575"/>
    </row>
    <row r="352" spans="3:18" x14ac:dyDescent="0.2">
      <c r="C352" s="362" t="s">
        <v>215</v>
      </c>
      <c r="G352" s="352">
        <v>0</v>
      </c>
      <c r="I352" s="352" t="s">
        <v>215</v>
      </c>
      <c r="J352" s="575"/>
      <c r="K352" s="575"/>
      <c r="L352" s="575">
        <v>0</v>
      </c>
    </row>
    <row r="353" spans="1:28" x14ac:dyDescent="0.2">
      <c r="J353" s="575"/>
      <c r="K353" s="575"/>
      <c r="L353" s="575"/>
    </row>
    <row r="354" spans="1:28" x14ac:dyDescent="0.2">
      <c r="C354" s="362" t="s">
        <v>1042</v>
      </c>
      <c r="G354" s="352">
        <v>0</v>
      </c>
      <c r="I354" s="352" t="s">
        <v>1042</v>
      </c>
      <c r="J354" s="575"/>
      <c r="K354" s="575"/>
      <c r="L354" s="575">
        <v>0</v>
      </c>
    </row>
    <row r="355" spans="1:28" x14ac:dyDescent="0.2">
      <c r="J355" s="575"/>
      <c r="K355" s="575"/>
      <c r="L355" s="575"/>
    </row>
    <row r="356" spans="1:28" x14ac:dyDescent="0.2">
      <c r="J356" s="575"/>
      <c r="K356" s="575"/>
      <c r="L356" s="575"/>
    </row>
    <row r="357" spans="1:28" x14ac:dyDescent="0.2">
      <c r="C357" s="362" t="s">
        <v>1043</v>
      </c>
      <c r="I357" s="352" t="s">
        <v>1043</v>
      </c>
      <c r="J357" s="575"/>
      <c r="K357" s="575"/>
      <c r="L357" s="575"/>
    </row>
    <row r="358" spans="1:28" x14ac:dyDescent="0.2">
      <c r="C358" s="362" t="s">
        <v>216</v>
      </c>
      <c r="G358" s="352">
        <v>1.6637168141592922</v>
      </c>
      <c r="I358" s="352" t="s">
        <v>216</v>
      </c>
      <c r="J358" s="575"/>
      <c r="K358" s="575"/>
      <c r="L358" s="575">
        <v>22093.029999999992</v>
      </c>
    </row>
    <row r="359" spans="1:28" x14ac:dyDescent="0.2">
      <c r="C359" s="362" t="s">
        <v>1044</v>
      </c>
      <c r="G359" s="352">
        <v>0.21628318584070799</v>
      </c>
      <c r="I359" s="352" t="s">
        <v>1044</v>
      </c>
      <c r="J359" s="575"/>
      <c r="K359" s="575"/>
      <c r="L359" s="575">
        <v>1477.3499999999995</v>
      </c>
    </row>
    <row r="360" spans="1:28" x14ac:dyDescent="0.2">
      <c r="J360" s="575"/>
      <c r="K360" s="575"/>
      <c r="L360" s="575"/>
    </row>
    <row r="361" spans="1:28" x14ac:dyDescent="0.2">
      <c r="C361" s="362" t="s">
        <v>1045</v>
      </c>
      <c r="G361" s="352">
        <v>1.8800000000000001</v>
      </c>
      <c r="I361" s="352" t="s">
        <v>1045</v>
      </c>
      <c r="J361" s="575"/>
      <c r="K361" s="575"/>
      <c r="L361" s="575">
        <v>23570.37999999999</v>
      </c>
    </row>
    <row r="363" spans="1:28" ht="3.75" customHeight="1" x14ac:dyDescent="0.2">
      <c r="A363" s="841"/>
      <c r="B363" s="841"/>
      <c r="C363" s="842"/>
      <c r="D363" s="842"/>
      <c r="E363" s="841"/>
      <c r="F363" s="841"/>
      <c r="G363" s="841"/>
      <c r="H363" s="841"/>
      <c r="I363" s="841"/>
      <c r="J363" s="841"/>
      <c r="K363" s="841"/>
      <c r="L363" s="841"/>
      <c r="M363" s="843"/>
      <c r="N363" s="843"/>
      <c r="O363" s="843"/>
      <c r="P363" s="843"/>
      <c r="Q363" s="844"/>
      <c r="R363" s="844"/>
      <c r="S363" s="844"/>
      <c r="T363" s="844"/>
      <c r="U363" s="844"/>
      <c r="V363" s="844"/>
      <c r="W363" s="844"/>
      <c r="X363" s="844"/>
      <c r="Y363" s="844"/>
      <c r="Z363" s="844"/>
      <c r="AA363" s="844"/>
      <c r="AB363" s="844"/>
    </row>
    <row r="365" spans="1:28" x14ac:dyDescent="0.2">
      <c r="B365" s="714" t="s">
        <v>782</v>
      </c>
      <c r="C365" s="420"/>
      <c r="D365" s="420"/>
      <c r="E365" s="427"/>
      <c r="F365" s="428"/>
      <c r="G365" s="420"/>
      <c r="H365" s="420"/>
      <c r="I365" s="420"/>
      <c r="J365" s="420"/>
      <c r="K365" s="420"/>
      <c r="L365" s="420"/>
      <c r="M365" s="819"/>
      <c r="N365" s="819"/>
      <c r="O365" s="819"/>
      <c r="P365" s="819"/>
    </row>
    <row r="366" spans="1:28" x14ac:dyDescent="0.2">
      <c r="B366" s="715" t="s">
        <v>606</v>
      </c>
      <c r="C366" s="420"/>
      <c r="D366" s="420"/>
      <c r="E366" s="715"/>
      <c r="F366" s="428"/>
      <c r="G366" s="420"/>
      <c r="H366" s="420"/>
      <c r="I366" s="420"/>
      <c r="J366" s="420"/>
      <c r="K366" s="420"/>
      <c r="L366" s="420"/>
      <c r="M366" s="819"/>
      <c r="N366" s="819"/>
      <c r="O366" s="819"/>
      <c r="P366" s="819"/>
    </row>
    <row r="367" spans="1:28" x14ac:dyDescent="0.2">
      <c r="B367" s="721" t="s">
        <v>607</v>
      </c>
      <c r="C367" s="420"/>
      <c r="D367" s="420"/>
      <c r="E367" s="427"/>
      <c r="F367" s="720"/>
      <c r="G367" s="420"/>
      <c r="H367" s="420"/>
      <c r="I367" s="420"/>
      <c r="J367" s="420"/>
      <c r="K367" s="420"/>
      <c r="L367" s="420"/>
      <c r="M367" s="819"/>
      <c r="N367" s="819"/>
      <c r="O367" s="819"/>
      <c r="P367" s="819"/>
    </row>
    <row r="368" spans="1:28" x14ac:dyDescent="0.2">
      <c r="B368" s="721" t="s">
        <v>783</v>
      </c>
      <c r="C368" s="420"/>
      <c r="D368" s="420"/>
      <c r="E368" s="427"/>
      <c r="F368" s="428"/>
      <c r="G368" s="420"/>
      <c r="H368" s="420"/>
      <c r="I368" s="420"/>
      <c r="J368" s="420"/>
      <c r="K368" s="420"/>
      <c r="L368" s="420"/>
      <c r="M368" s="819"/>
      <c r="N368" s="819"/>
      <c r="O368" s="819"/>
      <c r="P368" s="819"/>
    </row>
    <row r="369" spans="2:26" x14ac:dyDescent="0.2">
      <c r="B369" s="719"/>
      <c r="C369" s="420"/>
      <c r="D369" s="420"/>
      <c r="E369" s="427"/>
      <c r="F369" s="428"/>
      <c r="G369" s="420"/>
      <c r="H369" s="420"/>
      <c r="I369" s="420"/>
      <c r="J369" s="420"/>
      <c r="K369" s="420"/>
      <c r="L369" s="420"/>
      <c r="M369" s="819"/>
      <c r="N369" s="819"/>
      <c r="O369" s="819"/>
      <c r="P369" s="819"/>
    </row>
    <row r="370" spans="2:26" ht="18" x14ac:dyDescent="0.25">
      <c r="B370" s="419" t="s">
        <v>833</v>
      </c>
      <c r="C370" s="420"/>
      <c r="D370" s="421"/>
      <c r="E370" s="422" t="s">
        <v>1123</v>
      </c>
      <c r="F370" s="423" t="s">
        <v>361</v>
      </c>
      <c r="G370" s="424">
        <v>2017</v>
      </c>
      <c r="H370" s="425" t="s">
        <v>73</v>
      </c>
      <c r="I370" s="425"/>
      <c r="J370" s="420"/>
      <c r="K370" s="420"/>
      <c r="L370" s="420"/>
      <c r="M370" s="819"/>
      <c r="N370" s="819"/>
      <c r="O370" s="819"/>
      <c r="P370" s="819"/>
    </row>
    <row r="371" spans="2:26" x14ac:dyDescent="0.2">
      <c r="B371" s="426" t="s">
        <v>74</v>
      </c>
      <c r="C371" s="420"/>
      <c r="D371" s="420"/>
      <c r="E371" s="427"/>
      <c r="F371" s="428"/>
      <c r="G371" s="420"/>
      <c r="H371" s="429"/>
      <c r="I371" s="429"/>
      <c r="J371" s="420"/>
      <c r="K371" s="420"/>
      <c r="L371" s="420"/>
      <c r="M371" s="819"/>
      <c r="N371" s="819"/>
      <c r="O371" s="819"/>
      <c r="P371" s="819"/>
    </row>
    <row r="374" spans="2:26" x14ac:dyDescent="0.2">
      <c r="B374" s="436" t="s">
        <v>212</v>
      </c>
      <c r="C374" s="437" t="s">
        <v>213</v>
      </c>
      <c r="D374" s="437" t="s">
        <v>616</v>
      </c>
      <c r="E374" s="437" t="s">
        <v>214</v>
      </c>
      <c r="F374" s="437" t="s">
        <v>617</v>
      </c>
      <c r="G374" s="437" t="s">
        <v>215</v>
      </c>
      <c r="H374" s="438" t="s">
        <v>164</v>
      </c>
      <c r="I374" s="435"/>
      <c r="J374" s="438" t="s">
        <v>216</v>
      </c>
      <c r="K374" s="435"/>
      <c r="L374" s="455" t="s">
        <v>722</v>
      </c>
      <c r="M374" s="820"/>
      <c r="N374" s="820"/>
      <c r="O374" s="520" t="s">
        <v>852</v>
      </c>
      <c r="P374" s="520"/>
      <c r="Q374" s="520"/>
      <c r="R374" s="520"/>
      <c r="U374" s="363" t="s">
        <v>842</v>
      </c>
      <c r="Y374" s="354" t="s">
        <v>851</v>
      </c>
      <c r="Z374" s="354" t="s">
        <v>753</v>
      </c>
    </row>
    <row r="375" spans="2:26" x14ac:dyDescent="0.2">
      <c r="B375" s="439"/>
      <c r="C375" s="440"/>
      <c r="D375" s="440"/>
      <c r="E375" s="439"/>
      <c r="F375" s="439"/>
      <c r="G375" s="439"/>
      <c r="H375" s="441" t="s">
        <v>723</v>
      </c>
      <c r="I375" s="442" t="s">
        <v>724</v>
      </c>
      <c r="J375" s="456" t="s">
        <v>725</v>
      </c>
      <c r="K375" s="456" t="s">
        <v>157</v>
      </c>
      <c r="L375" s="457" t="s">
        <v>164</v>
      </c>
      <c r="M375" s="820"/>
      <c r="N375" s="820"/>
      <c r="O375" s="476" t="s">
        <v>1123</v>
      </c>
      <c r="P375" s="299">
        <v>51000000001</v>
      </c>
      <c r="Q375" s="448" t="s">
        <v>835</v>
      </c>
      <c r="R375" s="822">
        <f>SUMIFS($J$377:$J$399,$E$377:$E$399,Q375,$M$377:$M$399,P375)</f>
        <v>0</v>
      </c>
      <c r="T375" s="354">
        <v>51000200001</v>
      </c>
      <c r="U375" s="354" t="s">
        <v>787</v>
      </c>
      <c r="X375" s="366">
        <v>-700.3</v>
      </c>
      <c r="Y375" s="366">
        <f>R378</f>
        <v>0</v>
      </c>
      <c r="Z375" s="450">
        <v>0</v>
      </c>
    </row>
    <row r="376" spans="2:26" x14ac:dyDescent="0.2">
      <c r="B376" s="443"/>
      <c r="C376" s="444"/>
      <c r="D376" s="444"/>
      <c r="E376" s="445"/>
      <c r="F376" s="446"/>
      <c r="G376" s="821"/>
      <c r="H376" s="822"/>
      <c r="I376" s="822"/>
      <c r="J376" s="822"/>
      <c r="K376" s="822"/>
      <c r="L376" s="822"/>
      <c r="M376" s="823"/>
      <c r="N376" s="823"/>
      <c r="O376" s="476" t="s">
        <v>1123</v>
      </c>
      <c r="P376" s="299">
        <v>51000000002</v>
      </c>
      <c r="Q376" s="448" t="s">
        <v>835</v>
      </c>
      <c r="R376" s="822">
        <f t="shared" ref="R376:R395" si="34">SUMIFS($J$377:$J$399,$E$377:$E$399,Q376,$M$377:$M$399,P376)</f>
        <v>0</v>
      </c>
      <c r="T376" s="354">
        <v>51000200002</v>
      </c>
      <c r="U376" s="354" t="s">
        <v>788</v>
      </c>
      <c r="X376" s="366">
        <v>-700.3</v>
      </c>
      <c r="Y376" s="366">
        <f>R380</f>
        <v>0</v>
      </c>
      <c r="Z376" s="450">
        <v>0</v>
      </c>
    </row>
    <row r="377" spans="2:26" x14ac:dyDescent="0.2">
      <c r="B377" s="447">
        <v>43374</v>
      </c>
      <c r="C377" s="444" t="s">
        <v>1100</v>
      </c>
      <c r="D377" s="444" t="s">
        <v>834</v>
      </c>
      <c r="E377" s="557" t="str">
        <f>+VLOOKUP(F377,[3]bd!A:B,2,0)</f>
        <v>BANCO CUSCATLAN DE EL SALVADOR S.A.</v>
      </c>
      <c r="F377" s="557" t="s">
        <v>158</v>
      </c>
      <c r="G377" s="560"/>
      <c r="H377" s="558"/>
      <c r="I377" s="558"/>
      <c r="J377" s="708">
        <v>14.02</v>
      </c>
      <c r="K377" s="559">
        <v>1.82</v>
      </c>
      <c r="L377" s="558">
        <f t="shared" ref="L377:L384" si="35">+J377+K377</f>
        <v>15.84</v>
      </c>
      <c r="M377" s="839">
        <v>51000200002</v>
      </c>
      <c r="N377" s="823"/>
      <c r="O377" s="476" t="s">
        <v>1123</v>
      </c>
      <c r="P377" s="299">
        <v>51000100001</v>
      </c>
      <c r="Q377" s="448" t="s">
        <v>835</v>
      </c>
      <c r="R377" s="822">
        <f t="shared" si="34"/>
        <v>0</v>
      </c>
      <c r="T377" s="354">
        <v>51000100001</v>
      </c>
      <c r="U377" s="366" t="s">
        <v>12</v>
      </c>
      <c r="X377" s="366">
        <v>0</v>
      </c>
    </row>
    <row r="378" spans="2:26" x14ac:dyDescent="0.2">
      <c r="B378" s="447">
        <v>43374</v>
      </c>
      <c r="C378" s="444" t="s">
        <v>1101</v>
      </c>
      <c r="D378" s="444" t="s">
        <v>834</v>
      </c>
      <c r="E378" s="557" t="str">
        <f>+VLOOKUP(F378,[3]bd!A:B,2,0)</f>
        <v>BANCO CUSCATLAN DE EL SALVADOR S.A.</v>
      </c>
      <c r="F378" s="557" t="s">
        <v>158</v>
      </c>
      <c r="G378" s="557"/>
      <c r="H378" s="558"/>
      <c r="I378" s="558"/>
      <c r="J378" s="558">
        <v>14.02</v>
      </c>
      <c r="K378" s="559">
        <v>1.82</v>
      </c>
      <c r="L378" s="558">
        <f t="shared" si="35"/>
        <v>15.84</v>
      </c>
      <c r="M378" s="839">
        <v>51000200001</v>
      </c>
      <c r="N378" s="823"/>
      <c r="O378" s="476" t="s">
        <v>1123</v>
      </c>
      <c r="P378" s="299">
        <v>51000100001</v>
      </c>
      <c r="Q378" s="448" t="s">
        <v>864</v>
      </c>
      <c r="R378" s="822">
        <f t="shared" si="34"/>
        <v>0</v>
      </c>
      <c r="T378" s="354">
        <v>51000100002</v>
      </c>
      <c r="U378" s="366" t="s">
        <v>786</v>
      </c>
      <c r="X378" s="366">
        <v>0</v>
      </c>
    </row>
    <row r="379" spans="2:26" x14ac:dyDescent="0.2">
      <c r="B379" s="447">
        <v>43375</v>
      </c>
      <c r="C379" s="444" t="s">
        <v>1102</v>
      </c>
      <c r="D379" s="444" t="s">
        <v>834</v>
      </c>
      <c r="E379" s="557" t="str">
        <f>+VLOOKUP(F379,[3]bd!A:B,2,0)</f>
        <v>BANCO CUSCATLAN DE EL SALVADOR S.A.</v>
      </c>
      <c r="F379" s="557" t="s">
        <v>158</v>
      </c>
      <c r="G379" s="560"/>
      <c r="H379" s="558"/>
      <c r="I379" s="558"/>
      <c r="J379" s="708">
        <v>95.89</v>
      </c>
      <c r="K379" s="559">
        <v>12.47</v>
      </c>
      <c r="L379" s="558">
        <f t="shared" si="35"/>
        <v>108.36</v>
      </c>
      <c r="M379" s="839">
        <v>51000200002</v>
      </c>
      <c r="N379" s="823"/>
      <c r="O379" s="476" t="s">
        <v>1123</v>
      </c>
      <c r="P379" s="299">
        <v>51000100002</v>
      </c>
      <c r="Q379" s="448" t="s">
        <v>835</v>
      </c>
      <c r="R379" s="822">
        <f t="shared" si="34"/>
        <v>0</v>
      </c>
      <c r="T379" s="354">
        <v>51220200001</v>
      </c>
      <c r="U379" s="354" t="s">
        <v>96</v>
      </c>
      <c r="X379" s="366">
        <v>-1915.7100000000009</v>
      </c>
      <c r="Y379" s="366">
        <f>R387+R394</f>
        <v>1418.28</v>
      </c>
      <c r="Z379" s="450">
        <f>X379+Y379</f>
        <v>-497.43000000000097</v>
      </c>
    </row>
    <row r="380" spans="2:26" x14ac:dyDescent="0.2">
      <c r="B380" s="447">
        <v>43375</v>
      </c>
      <c r="C380" s="444" t="s">
        <v>1103</v>
      </c>
      <c r="D380" s="444" t="s">
        <v>834</v>
      </c>
      <c r="E380" s="557" t="str">
        <f>+VLOOKUP(F380,[3]bd!A:B,2,0)</f>
        <v>BANCO CUSCATLAN DE EL SALVADOR S.A.</v>
      </c>
      <c r="F380" s="557" t="s">
        <v>158</v>
      </c>
      <c r="G380" s="560"/>
      <c r="H380" s="558"/>
      <c r="I380" s="558"/>
      <c r="J380" s="558">
        <v>95.89</v>
      </c>
      <c r="K380" s="559">
        <v>12.47</v>
      </c>
      <c r="L380" s="558">
        <f t="shared" si="35"/>
        <v>108.36</v>
      </c>
      <c r="M380" s="839">
        <v>51000200001</v>
      </c>
      <c r="N380" s="823"/>
      <c r="O380" s="476" t="s">
        <v>1123</v>
      </c>
      <c r="P380" s="299">
        <v>51000100002</v>
      </c>
      <c r="Q380" s="448" t="s">
        <v>864</v>
      </c>
      <c r="R380" s="822">
        <f t="shared" si="34"/>
        <v>0</v>
      </c>
      <c r="T380" s="354">
        <v>52200000001</v>
      </c>
      <c r="U380" s="354" t="s">
        <v>66</v>
      </c>
      <c r="X380" s="366">
        <v>-168.58000000000175</v>
      </c>
      <c r="Y380" s="366">
        <f>R388+R395</f>
        <v>0</v>
      </c>
      <c r="Z380" s="450">
        <v>0</v>
      </c>
    </row>
    <row r="381" spans="2:26" x14ac:dyDescent="0.2">
      <c r="B381" s="447">
        <v>43381</v>
      </c>
      <c r="C381" s="444" t="s">
        <v>1104</v>
      </c>
      <c r="D381" s="444" t="s">
        <v>834</v>
      </c>
      <c r="E381" s="557" t="str">
        <f>+VLOOKUP(F381,[3]bd!A:B,2,0)</f>
        <v>BANCO CUSCATLAN DE EL SALVADOR S.A.</v>
      </c>
      <c r="F381" s="557" t="s">
        <v>158</v>
      </c>
      <c r="G381" s="557"/>
      <c r="H381" s="558"/>
      <c r="I381" s="558"/>
      <c r="J381" s="708">
        <v>119.87</v>
      </c>
      <c r="K381" s="559">
        <v>15.58</v>
      </c>
      <c r="L381" s="558">
        <f t="shared" si="35"/>
        <v>135.45000000000002</v>
      </c>
      <c r="M381" s="839">
        <v>51000200002</v>
      </c>
      <c r="N381" s="823"/>
      <c r="O381" s="476" t="s">
        <v>1123</v>
      </c>
      <c r="P381" s="716">
        <v>51000200001</v>
      </c>
      <c r="Q381" s="706" t="s">
        <v>835</v>
      </c>
      <c r="R381" s="708">
        <f t="shared" si="34"/>
        <v>700.3</v>
      </c>
      <c r="X381" s="575">
        <v>0</v>
      </c>
      <c r="Y381" s="366">
        <v>0</v>
      </c>
      <c r="Z381" s="450">
        <v>0</v>
      </c>
    </row>
    <row r="382" spans="2:26" x14ac:dyDescent="0.2">
      <c r="B382" s="447">
        <v>43381</v>
      </c>
      <c r="C382" s="444" t="s">
        <v>1105</v>
      </c>
      <c r="D382" s="444" t="s">
        <v>834</v>
      </c>
      <c r="E382" s="557" t="str">
        <f>+VLOOKUP(F382,[3]bd!A:B,2,0)</f>
        <v>BANCO CUSCATLAN DE EL SALVADOR S.A.</v>
      </c>
      <c r="F382" s="557" t="s">
        <v>158</v>
      </c>
      <c r="G382" s="557"/>
      <c r="H382" s="558"/>
      <c r="I382" s="558"/>
      <c r="J382" s="558">
        <v>119.87</v>
      </c>
      <c r="K382" s="559">
        <v>15.58</v>
      </c>
      <c r="L382" s="558">
        <f t="shared" si="35"/>
        <v>135.45000000000002</v>
      </c>
      <c r="M382" s="839">
        <v>51000200001</v>
      </c>
      <c r="N382" s="823"/>
      <c r="O382" s="476" t="s">
        <v>1123</v>
      </c>
      <c r="P382" s="299">
        <v>51000200001</v>
      </c>
      <c r="Q382" s="448" t="s">
        <v>780</v>
      </c>
      <c r="R382" s="822">
        <f t="shared" si="34"/>
        <v>0</v>
      </c>
      <c r="X382" s="521">
        <v>0</v>
      </c>
      <c r="Y382" s="521">
        <f>R390+R397</f>
        <v>0</v>
      </c>
      <c r="Z382" s="517">
        <v>0</v>
      </c>
    </row>
    <row r="383" spans="2:26" x14ac:dyDescent="0.2">
      <c r="B383" s="447">
        <v>43384</v>
      </c>
      <c r="C383" s="444" t="s">
        <v>1106</v>
      </c>
      <c r="D383" s="444" t="s">
        <v>834</v>
      </c>
      <c r="E383" s="557" t="str">
        <f>+VLOOKUP(F383,[3]bd!A:B,2,0)</f>
        <v>BANCO CUSCATLAN DE EL SALVADOR S.A.</v>
      </c>
      <c r="F383" s="557" t="s">
        <v>158</v>
      </c>
      <c r="G383" s="557"/>
      <c r="H383" s="558"/>
      <c r="I383" s="558"/>
      <c r="J383" s="708">
        <v>45.55</v>
      </c>
      <c r="K383" s="559">
        <v>5.92</v>
      </c>
      <c r="L383" s="558">
        <f t="shared" si="35"/>
        <v>51.47</v>
      </c>
      <c r="M383" s="839">
        <v>51000200002</v>
      </c>
      <c r="N383" s="823"/>
      <c r="O383" s="476" t="s">
        <v>1123</v>
      </c>
      <c r="P383" s="299">
        <v>51000200001</v>
      </c>
      <c r="Q383" s="448" t="s">
        <v>97</v>
      </c>
      <c r="R383" s="822">
        <f t="shared" si="34"/>
        <v>0</v>
      </c>
      <c r="X383" s="507">
        <f>SUM(X375:X382)</f>
        <v>-3484.8900000000026</v>
      </c>
      <c r="Y383" s="507">
        <f>SUM(Y375:Y382)</f>
        <v>1418.28</v>
      </c>
      <c r="Z383" s="507">
        <f>SUM(Z375:Z382)</f>
        <v>-497.43000000000097</v>
      </c>
    </row>
    <row r="384" spans="2:26" x14ac:dyDescent="0.2">
      <c r="B384" s="447">
        <v>43384</v>
      </c>
      <c r="C384" s="444" t="s">
        <v>1107</v>
      </c>
      <c r="D384" s="444" t="s">
        <v>834</v>
      </c>
      <c r="E384" s="557" t="str">
        <f>+VLOOKUP(F384,[3]bd!A:B,2,0)</f>
        <v>BANCO CUSCATLAN DE EL SALVADOR S.A.</v>
      </c>
      <c r="F384" s="557" t="s">
        <v>158</v>
      </c>
      <c r="G384" s="557"/>
      <c r="H384" s="558"/>
      <c r="I384" s="558"/>
      <c r="J384" s="558">
        <v>45.55</v>
      </c>
      <c r="K384" s="559">
        <v>5.92</v>
      </c>
      <c r="L384" s="558">
        <f t="shared" si="35"/>
        <v>51.47</v>
      </c>
      <c r="M384" s="839">
        <v>51000200001</v>
      </c>
      <c r="N384" s="823"/>
      <c r="O384" s="476" t="s">
        <v>1123</v>
      </c>
      <c r="P384" s="716">
        <v>51000200002</v>
      </c>
      <c r="Q384" s="706" t="s">
        <v>835</v>
      </c>
      <c r="R384" s="708">
        <f t="shared" si="34"/>
        <v>700.3</v>
      </c>
      <c r="U384" s="366"/>
    </row>
    <row r="385" spans="2:26" x14ac:dyDescent="0.2">
      <c r="B385" s="447">
        <v>43388</v>
      </c>
      <c r="C385" s="444" t="s">
        <v>1108</v>
      </c>
      <c r="D385" s="444" t="s">
        <v>834</v>
      </c>
      <c r="E385" s="557" t="str">
        <f>+VLOOKUP(F385,[3]bd!A:B,2,0)</f>
        <v>BANCO CUSCATLAN DE EL SALVADOR S.A.</v>
      </c>
      <c r="F385" s="557" t="s">
        <v>158</v>
      </c>
      <c r="G385" s="557"/>
      <c r="H385" s="558"/>
      <c r="I385" s="558"/>
      <c r="J385" s="708">
        <v>47.95</v>
      </c>
      <c r="K385" s="559">
        <v>6.23</v>
      </c>
      <c r="L385" s="558">
        <f>+J385+K385</f>
        <v>54.180000000000007</v>
      </c>
      <c r="M385" s="839">
        <v>51000200002</v>
      </c>
      <c r="N385" s="823"/>
      <c r="O385" s="476" t="s">
        <v>1123</v>
      </c>
      <c r="P385" s="299">
        <v>51000200002</v>
      </c>
      <c r="Q385" s="448" t="s">
        <v>780</v>
      </c>
      <c r="R385" s="822">
        <f t="shared" si="34"/>
        <v>0</v>
      </c>
      <c r="U385" s="366"/>
    </row>
    <row r="386" spans="2:26" x14ac:dyDescent="0.2">
      <c r="B386" s="447">
        <v>43388</v>
      </c>
      <c r="C386" s="444" t="s">
        <v>1109</v>
      </c>
      <c r="D386" s="444" t="s">
        <v>834</v>
      </c>
      <c r="E386" s="557" t="str">
        <f>+VLOOKUP(F386,[3]bd!A:B,2,0)</f>
        <v>BANCO CUSCATLAN DE EL SALVADOR S.A.</v>
      </c>
      <c r="F386" s="557" t="s">
        <v>158</v>
      </c>
      <c r="G386" s="557"/>
      <c r="H386" s="558"/>
      <c r="I386" s="558"/>
      <c r="J386" s="558">
        <v>47.95</v>
      </c>
      <c r="K386" s="559">
        <v>6.23</v>
      </c>
      <c r="L386" s="558">
        <f t="shared" ref="L386:L399" si="36">+J386+K386</f>
        <v>54.180000000000007</v>
      </c>
      <c r="M386" s="839">
        <v>51000200001</v>
      </c>
      <c r="N386" s="823"/>
      <c r="O386" s="476" t="s">
        <v>1123</v>
      </c>
      <c r="P386" s="299">
        <v>51000200002</v>
      </c>
      <c r="Q386" s="448" t="s">
        <v>97</v>
      </c>
      <c r="R386" s="822">
        <f t="shared" si="34"/>
        <v>0</v>
      </c>
      <c r="U386" s="366"/>
      <c r="Z386" s="450"/>
    </row>
    <row r="387" spans="2:26" x14ac:dyDescent="0.2">
      <c r="B387" s="447">
        <v>43389</v>
      </c>
      <c r="C387" s="444" t="s">
        <v>1110</v>
      </c>
      <c r="D387" s="444" t="s">
        <v>834</v>
      </c>
      <c r="E387" s="557" t="str">
        <f>+VLOOKUP(F387,[3]bd!A:B,2,0)</f>
        <v>BANCO CUSCATLAN DE EL SALVADOR S.A.</v>
      </c>
      <c r="F387" s="557" t="s">
        <v>158</v>
      </c>
      <c r="G387" s="557"/>
      <c r="H387" s="558"/>
      <c r="I387" s="558"/>
      <c r="J387" s="708">
        <v>83.87</v>
      </c>
      <c r="K387" s="559">
        <v>10.9</v>
      </c>
      <c r="L387" s="558">
        <f t="shared" si="36"/>
        <v>94.77000000000001</v>
      </c>
      <c r="M387" s="839">
        <v>51000200002</v>
      </c>
      <c r="N387" s="823"/>
      <c r="O387" s="476" t="s">
        <v>1123</v>
      </c>
      <c r="P387" s="716">
        <v>51220200001</v>
      </c>
      <c r="Q387" s="706" t="s">
        <v>835</v>
      </c>
      <c r="R387" s="708">
        <f t="shared" si="34"/>
        <v>1072.26</v>
      </c>
      <c r="U387" s="366"/>
    </row>
    <row r="388" spans="2:26" x14ac:dyDescent="0.2">
      <c r="B388" s="447">
        <v>43389</v>
      </c>
      <c r="C388" s="444" t="s">
        <v>1111</v>
      </c>
      <c r="D388" s="444" t="s">
        <v>834</v>
      </c>
      <c r="E388" s="557" t="str">
        <f>+VLOOKUP(F388,[3]bd!A:B,2,0)</f>
        <v>BANCO CUSCATLAN DE EL SALVADOR S.A.</v>
      </c>
      <c r="F388" s="557" t="s">
        <v>158</v>
      </c>
      <c r="G388" s="557"/>
      <c r="H388" s="558"/>
      <c r="I388" s="558"/>
      <c r="J388" s="558">
        <v>83.87</v>
      </c>
      <c r="K388" s="559">
        <v>10.9</v>
      </c>
      <c r="L388" s="558">
        <f t="shared" si="36"/>
        <v>94.77000000000001</v>
      </c>
      <c r="M388" s="839">
        <v>51000200001</v>
      </c>
      <c r="N388" s="823"/>
      <c r="O388" s="476" t="s">
        <v>1123</v>
      </c>
      <c r="P388" s="299">
        <v>51220200001</v>
      </c>
      <c r="Q388" s="448" t="s">
        <v>780</v>
      </c>
      <c r="R388" s="822">
        <f t="shared" si="34"/>
        <v>0</v>
      </c>
    </row>
    <row r="389" spans="2:26" x14ac:dyDescent="0.2">
      <c r="B389" s="447">
        <v>43388</v>
      </c>
      <c r="C389" s="444" t="s">
        <v>1112</v>
      </c>
      <c r="D389" s="444" t="s">
        <v>834</v>
      </c>
      <c r="E389" s="557" t="str">
        <f>+VLOOKUP(F389,[3]bd!A:B,2,0)</f>
        <v>BANCO CUSCATLAN DE EL SALVADOR S.A.</v>
      </c>
      <c r="F389" s="557" t="s">
        <v>158</v>
      </c>
      <c r="G389" s="557"/>
      <c r="H389" s="558"/>
      <c r="I389" s="558"/>
      <c r="J389" s="558">
        <v>1072.26</v>
      </c>
      <c r="K389" s="559">
        <v>139.38999999999999</v>
      </c>
      <c r="L389" s="558">
        <f t="shared" si="36"/>
        <v>1211.6500000000001</v>
      </c>
      <c r="M389" s="839">
        <v>51220200001</v>
      </c>
      <c r="N389" s="823"/>
      <c r="O389" s="476" t="s">
        <v>1123</v>
      </c>
      <c r="P389" s="299">
        <v>51220200001</v>
      </c>
      <c r="Q389" s="448" t="s">
        <v>97</v>
      </c>
      <c r="R389" s="822">
        <f t="shared" si="34"/>
        <v>0</v>
      </c>
    </row>
    <row r="390" spans="2:26" x14ac:dyDescent="0.2">
      <c r="B390" s="447">
        <v>43388</v>
      </c>
      <c r="C390" s="444" t="s">
        <v>1113</v>
      </c>
      <c r="D390" s="444" t="s">
        <v>834</v>
      </c>
      <c r="E390" s="448" t="str">
        <f>+VLOOKUP(F390,[3]bd!A:B,2,0)</f>
        <v>CITIBANK, N.A. SUCURSAL EL SALVADOR</v>
      </c>
      <c r="F390" s="448" t="s">
        <v>726</v>
      </c>
      <c r="G390" s="821"/>
      <c r="H390" s="822"/>
      <c r="I390" s="822"/>
      <c r="J390" s="822">
        <v>495.79</v>
      </c>
      <c r="K390" s="511">
        <v>64.45</v>
      </c>
      <c r="L390" s="822">
        <f t="shared" si="36"/>
        <v>560.24</v>
      </c>
      <c r="M390" s="823"/>
      <c r="N390" s="823"/>
      <c r="O390" s="476" t="s">
        <v>1123</v>
      </c>
      <c r="P390" s="299">
        <v>52200000001</v>
      </c>
      <c r="Q390" s="448" t="s">
        <v>835</v>
      </c>
      <c r="R390" s="822">
        <f t="shared" si="34"/>
        <v>0</v>
      </c>
      <c r="W390" s="363" t="s">
        <v>850</v>
      </c>
      <c r="X390" s="450">
        <f>+X376+X379+X375+X381+X382+X377+X378</f>
        <v>-3316.3100000000013</v>
      </c>
    </row>
    <row r="391" spans="2:26" x14ac:dyDescent="0.2">
      <c r="B391" s="447">
        <v>43388</v>
      </c>
      <c r="C391" s="444" t="s">
        <v>1114</v>
      </c>
      <c r="D391" s="444" t="s">
        <v>834</v>
      </c>
      <c r="E391" s="706" t="str">
        <f>+VLOOKUP(F391,[3]bd!A:B,2,0)</f>
        <v>INVERSIONES FINANCIERAS IMPERIA CUSCATLAN, SA</v>
      </c>
      <c r="F391" s="706" t="s">
        <v>865</v>
      </c>
      <c r="G391" s="707"/>
      <c r="H391" s="708"/>
      <c r="I391" s="708"/>
      <c r="J391" s="708">
        <v>346.02</v>
      </c>
      <c r="K391" s="840">
        <v>44.98</v>
      </c>
      <c r="L391" s="708">
        <f t="shared" si="36"/>
        <v>391</v>
      </c>
      <c r="M391" s="839">
        <v>51220200001</v>
      </c>
      <c r="N391" s="823"/>
      <c r="O391" s="476" t="s">
        <v>1123</v>
      </c>
      <c r="P391" s="299">
        <v>52200000001</v>
      </c>
      <c r="Q391" s="448" t="s">
        <v>780</v>
      </c>
      <c r="R391" s="822">
        <f t="shared" si="34"/>
        <v>0</v>
      </c>
      <c r="W391" s="354" t="s">
        <v>852</v>
      </c>
      <c r="X391" s="450">
        <f>R396</f>
        <v>2818.8799999999997</v>
      </c>
    </row>
    <row r="392" spans="2:26" x14ac:dyDescent="0.2">
      <c r="B392" s="447">
        <v>43390</v>
      </c>
      <c r="C392" s="444" t="s">
        <v>1115</v>
      </c>
      <c r="D392" s="444" t="s">
        <v>834</v>
      </c>
      <c r="E392" s="557" t="str">
        <f>+VLOOKUP(F392,[3]bd!A:B,2,0)</f>
        <v>BANCO CUSCATLAN DE EL SALVADOR S.A.</v>
      </c>
      <c r="F392" s="557" t="s">
        <v>158</v>
      </c>
      <c r="G392" s="560"/>
      <c r="H392" s="558"/>
      <c r="I392" s="558"/>
      <c r="J392" s="708">
        <v>82.19</v>
      </c>
      <c r="K392" s="559">
        <v>10.69</v>
      </c>
      <c r="L392" s="558">
        <f t="shared" si="36"/>
        <v>92.88</v>
      </c>
      <c r="M392" s="839">
        <v>51000200002</v>
      </c>
      <c r="N392" s="823"/>
      <c r="O392" s="476" t="s">
        <v>1123</v>
      </c>
      <c r="P392" s="299">
        <v>52200000001</v>
      </c>
      <c r="Q392" s="448" t="s">
        <v>97</v>
      </c>
      <c r="R392" s="822">
        <f t="shared" si="34"/>
        <v>0</v>
      </c>
      <c r="W392" s="354" t="s">
        <v>855</v>
      </c>
      <c r="X392" s="517">
        <f>J390</f>
        <v>495.79</v>
      </c>
    </row>
    <row r="393" spans="2:26" x14ac:dyDescent="0.2">
      <c r="B393" s="447">
        <v>43390</v>
      </c>
      <c r="C393" s="444" t="s">
        <v>1116</v>
      </c>
      <c r="D393" s="444" t="s">
        <v>834</v>
      </c>
      <c r="E393" s="557" t="str">
        <f>+VLOOKUP(F393,[3]bd!A:B,2,0)</f>
        <v>BANCO CUSCATLAN DE EL SALVADOR S.A.</v>
      </c>
      <c r="F393" s="557" t="s">
        <v>158</v>
      </c>
      <c r="G393" s="560"/>
      <c r="H393" s="558"/>
      <c r="I393" s="558"/>
      <c r="J393" s="558">
        <v>82.19</v>
      </c>
      <c r="K393" s="559">
        <v>10.69</v>
      </c>
      <c r="L393" s="558">
        <f t="shared" si="36"/>
        <v>92.88</v>
      </c>
      <c r="M393" s="839">
        <v>51000200001</v>
      </c>
      <c r="N393" s="823"/>
      <c r="O393" s="476" t="s">
        <v>1123</v>
      </c>
      <c r="P393" s="299">
        <v>52200000001</v>
      </c>
      <c r="Q393" s="448" t="s">
        <v>835</v>
      </c>
      <c r="R393" s="822">
        <f t="shared" si="34"/>
        <v>0</v>
      </c>
      <c r="X393" s="507">
        <f>X390+X391+X392</f>
        <v>-1.6400000000016348</v>
      </c>
      <c r="Y393" s="354" t="s">
        <v>870</v>
      </c>
    </row>
    <row r="394" spans="2:26" x14ac:dyDescent="0.2">
      <c r="B394" s="447">
        <v>43391</v>
      </c>
      <c r="C394" s="444" t="s">
        <v>1117</v>
      </c>
      <c r="D394" s="444" t="s">
        <v>834</v>
      </c>
      <c r="E394" s="557" t="str">
        <f>+VLOOKUP(F394,[3]bd!A:B,2,0)</f>
        <v>BANCO CUSCATLAN DE EL SALVADOR S.A.</v>
      </c>
      <c r="F394" s="557" t="s">
        <v>158</v>
      </c>
      <c r="G394" s="560"/>
      <c r="H394" s="558"/>
      <c r="I394" s="558"/>
      <c r="J394" s="708">
        <v>47.95</v>
      </c>
      <c r="K394" s="559">
        <v>6.23</v>
      </c>
      <c r="L394" s="558">
        <f t="shared" si="36"/>
        <v>54.180000000000007</v>
      </c>
      <c r="M394" s="839">
        <v>51000200002</v>
      </c>
      <c r="N394" s="823"/>
      <c r="O394" s="476" t="s">
        <v>1123</v>
      </c>
      <c r="P394" s="716">
        <v>51220200001</v>
      </c>
      <c r="Q394" s="706" t="s">
        <v>864</v>
      </c>
      <c r="R394" s="708">
        <f t="shared" si="34"/>
        <v>346.02</v>
      </c>
    </row>
    <row r="395" spans="2:26" x14ac:dyDescent="0.2">
      <c r="B395" s="447">
        <v>43391</v>
      </c>
      <c r="C395" s="444" t="s">
        <v>1118</v>
      </c>
      <c r="D395" s="444" t="s">
        <v>834</v>
      </c>
      <c r="E395" s="557" t="str">
        <f>+VLOOKUP(F395,[3]bd!A:B,2,0)</f>
        <v>BANCO CUSCATLAN DE EL SALVADOR S.A.</v>
      </c>
      <c r="F395" s="557" t="s">
        <v>158</v>
      </c>
      <c r="G395" s="560"/>
      <c r="H395" s="558"/>
      <c r="I395" s="558"/>
      <c r="J395" s="558">
        <v>47.95</v>
      </c>
      <c r="K395" s="559">
        <v>6.23</v>
      </c>
      <c r="L395" s="558">
        <f t="shared" si="36"/>
        <v>54.180000000000007</v>
      </c>
      <c r="M395" s="839">
        <v>51000200001</v>
      </c>
      <c r="N395" s="823"/>
      <c r="O395" s="476" t="s">
        <v>1123</v>
      </c>
      <c r="P395" s="299">
        <v>53000100001</v>
      </c>
      <c r="Q395" s="448" t="s">
        <v>835</v>
      </c>
      <c r="R395" s="822">
        <f t="shared" si="34"/>
        <v>0</v>
      </c>
    </row>
    <row r="396" spans="2:26" ht="13.5" thickBot="1" x14ac:dyDescent="0.25">
      <c r="B396" s="447">
        <v>43402</v>
      </c>
      <c r="C396" s="444" t="s">
        <v>1119</v>
      </c>
      <c r="D396" s="444" t="s">
        <v>834</v>
      </c>
      <c r="E396" s="557" t="str">
        <f>+VLOOKUP(F396,[3]bd!A:B,2,0)</f>
        <v>BANCO CUSCATLAN DE EL SALVADOR S.A.</v>
      </c>
      <c r="F396" s="557" t="s">
        <v>158</v>
      </c>
      <c r="G396" s="560"/>
      <c r="H396" s="558"/>
      <c r="I396" s="558"/>
      <c r="J396" s="708">
        <v>95.89</v>
      </c>
      <c r="K396" s="559">
        <v>12.47</v>
      </c>
      <c r="L396" s="558">
        <f t="shared" si="36"/>
        <v>108.36</v>
      </c>
      <c r="M396" s="839">
        <v>51000200002</v>
      </c>
      <c r="N396" s="823"/>
      <c r="O396" s="819"/>
      <c r="P396" s="819"/>
      <c r="R396" s="838">
        <f>SUM(R375:R395)</f>
        <v>2818.8799999999997</v>
      </c>
    </row>
    <row r="397" spans="2:26" ht="13.5" thickTop="1" x14ac:dyDescent="0.2">
      <c r="B397" s="447">
        <v>43402</v>
      </c>
      <c r="C397" s="444" t="s">
        <v>1120</v>
      </c>
      <c r="D397" s="444" t="s">
        <v>834</v>
      </c>
      <c r="E397" s="557" t="str">
        <f>+VLOOKUP(F397,[3]bd!A:B,2,0)</f>
        <v>BANCO CUSCATLAN DE EL SALVADOR S.A.</v>
      </c>
      <c r="F397" s="557" t="s">
        <v>158</v>
      </c>
      <c r="G397" s="560"/>
      <c r="H397" s="558"/>
      <c r="I397" s="558"/>
      <c r="J397" s="558">
        <v>95.89</v>
      </c>
      <c r="K397" s="559">
        <v>12.47</v>
      </c>
      <c r="L397" s="558">
        <f t="shared" si="36"/>
        <v>108.36</v>
      </c>
      <c r="M397" s="839">
        <v>51000200001</v>
      </c>
      <c r="N397" s="823"/>
    </row>
    <row r="398" spans="2:26" x14ac:dyDescent="0.2">
      <c r="B398" s="447">
        <v>43403</v>
      </c>
      <c r="C398" s="444" t="s">
        <v>1121</v>
      </c>
      <c r="D398" s="444" t="s">
        <v>834</v>
      </c>
      <c r="E398" s="557" t="str">
        <f>+VLOOKUP(F398,[3]bd!A:B,2,0)</f>
        <v>BANCO CUSCATLAN DE EL SALVADOR S.A.</v>
      </c>
      <c r="F398" s="557" t="s">
        <v>158</v>
      </c>
      <c r="G398" s="557"/>
      <c r="H398" s="558"/>
      <c r="I398" s="558"/>
      <c r="J398" s="708">
        <v>67.12</v>
      </c>
      <c r="K398" s="559">
        <v>8.73</v>
      </c>
      <c r="L398" s="558">
        <f t="shared" si="36"/>
        <v>75.850000000000009</v>
      </c>
      <c r="M398" s="839">
        <v>51000200002</v>
      </c>
      <c r="N398" s="823"/>
    </row>
    <row r="399" spans="2:26" x14ac:dyDescent="0.2">
      <c r="B399" s="447">
        <v>43403</v>
      </c>
      <c r="C399" s="444" t="s">
        <v>1122</v>
      </c>
      <c r="D399" s="444" t="s">
        <v>834</v>
      </c>
      <c r="E399" s="557" t="str">
        <f>+VLOOKUP(F399,[3]bd!A:B,2,0)</f>
        <v>BANCO CUSCATLAN DE EL SALVADOR S.A.</v>
      </c>
      <c r="F399" s="557" t="s">
        <v>158</v>
      </c>
      <c r="G399" s="557"/>
      <c r="H399" s="558"/>
      <c r="I399" s="558"/>
      <c r="J399" s="558">
        <v>67.12</v>
      </c>
      <c r="K399" s="559">
        <v>8.73</v>
      </c>
      <c r="L399" s="558">
        <f t="shared" si="36"/>
        <v>75.850000000000009</v>
      </c>
      <c r="M399" s="839">
        <v>51000200001</v>
      </c>
      <c r="N399" s="823"/>
    </row>
    <row r="400" spans="2:26" x14ac:dyDescent="0.2">
      <c r="B400" s="447"/>
      <c r="C400" s="444" t="s">
        <v>1004</v>
      </c>
      <c r="D400" s="444" t="s">
        <v>834</v>
      </c>
      <c r="E400" s="448"/>
      <c r="F400" s="448">
        <v>0</v>
      </c>
      <c r="G400" s="448"/>
      <c r="H400" s="822"/>
      <c r="I400" s="822"/>
      <c r="J400" s="822">
        <v>0</v>
      </c>
      <c r="K400" s="449">
        <v>0</v>
      </c>
      <c r="L400" s="822">
        <f>+J400+K400</f>
        <v>0</v>
      </c>
      <c r="M400" s="823"/>
      <c r="N400" s="823"/>
    </row>
    <row r="401" spans="2:14" x14ac:dyDescent="0.2">
      <c r="B401" s="447"/>
      <c r="C401" s="444"/>
      <c r="D401" s="444"/>
      <c r="E401" s="448" t="s">
        <v>916</v>
      </c>
      <c r="F401" s="420"/>
      <c r="G401" s="506"/>
      <c r="H401" s="506"/>
      <c r="I401" s="506"/>
      <c r="J401" s="506"/>
      <c r="K401" s="832">
        <v>-430.9</v>
      </c>
      <c r="L401" s="822">
        <f t="shared" ref="L401:L402" si="37">+J401+K401</f>
        <v>-430.9</v>
      </c>
      <c r="M401" s="823"/>
      <c r="N401" s="823"/>
    </row>
    <row r="402" spans="2:14" x14ac:dyDescent="0.2">
      <c r="B402" s="447"/>
      <c r="C402" s="444"/>
      <c r="D402" s="444"/>
      <c r="E402" s="448"/>
      <c r="F402" s="420"/>
      <c r="G402" s="506"/>
      <c r="H402" s="506"/>
      <c r="I402" s="506"/>
      <c r="J402" s="506"/>
      <c r="K402" s="449"/>
      <c r="L402" s="822">
        <f t="shared" si="37"/>
        <v>0</v>
      </c>
      <c r="M402" s="823"/>
      <c r="N402" s="823"/>
    </row>
    <row r="403" spans="2:14" x14ac:dyDescent="0.2">
      <c r="B403" s="512"/>
      <c r="C403" s="513"/>
      <c r="D403" s="513"/>
      <c r="E403" s="448"/>
      <c r="F403" s="512"/>
      <c r="G403" s="514"/>
      <c r="H403" s="514"/>
      <c r="I403" s="514"/>
      <c r="J403" s="514"/>
      <c r="K403" s="514"/>
      <c r="L403" s="514"/>
      <c r="M403" s="819"/>
      <c r="N403" s="819"/>
    </row>
    <row r="404" spans="2:14" x14ac:dyDescent="0.2">
      <c r="B404" s="420"/>
      <c r="C404" s="421"/>
      <c r="D404" s="421"/>
      <c r="E404" s="420"/>
      <c r="F404" s="420"/>
      <c r="G404" s="515">
        <f t="shared" ref="G404:L404" si="38">SUM(G376:G403)</f>
        <v>0</v>
      </c>
      <c r="H404" s="515">
        <f t="shared" si="38"/>
        <v>0</v>
      </c>
      <c r="I404" s="515">
        <f t="shared" si="38"/>
        <v>0</v>
      </c>
      <c r="J404" s="515">
        <f t="shared" si="38"/>
        <v>3314.6699999999992</v>
      </c>
      <c r="K404" s="515">
        <f t="shared" si="38"/>
        <v>0</v>
      </c>
      <c r="L404" s="515">
        <f t="shared" si="38"/>
        <v>3314.6699999999996</v>
      </c>
      <c r="M404" s="819"/>
      <c r="N404" s="819"/>
    </row>
    <row r="405" spans="2:14" x14ac:dyDescent="0.2">
      <c r="B405" s="420"/>
      <c r="C405" s="421"/>
      <c r="D405" s="421"/>
      <c r="E405" s="420"/>
      <c r="F405" s="420"/>
      <c r="G405" s="596"/>
      <c r="H405" s="596"/>
      <c r="I405" s="596"/>
      <c r="J405" s="596"/>
      <c r="K405" s="596"/>
      <c r="L405" s="596"/>
      <c r="M405" s="819"/>
      <c r="N405" s="819"/>
    </row>
    <row r="406" spans="2:14" x14ac:dyDescent="0.2">
      <c r="B406" s="420"/>
      <c r="C406" s="421"/>
      <c r="D406" s="421"/>
      <c r="E406" s="420"/>
      <c r="F406" s="420"/>
      <c r="G406" s="420"/>
      <c r="H406" s="420"/>
      <c r="I406" s="420"/>
      <c r="J406" s="420"/>
      <c r="K406" s="420"/>
      <c r="L406" s="420"/>
      <c r="M406" s="819"/>
      <c r="N406" s="819"/>
    </row>
    <row r="407" spans="2:14" x14ac:dyDescent="0.2">
      <c r="B407" s="420"/>
      <c r="C407" s="423" t="s">
        <v>1040</v>
      </c>
      <c r="D407" s="421"/>
      <c r="E407" s="421"/>
      <c r="F407" s="420"/>
      <c r="G407" s="420"/>
      <c r="H407" s="420"/>
      <c r="I407" s="423" t="s">
        <v>1041</v>
      </c>
      <c r="J407" s="420"/>
      <c r="K407" s="420"/>
      <c r="L407" s="420"/>
      <c r="M407" s="819"/>
      <c r="N407" s="819"/>
    </row>
    <row r="408" spans="2:14" x14ac:dyDescent="0.2">
      <c r="B408" s="420"/>
      <c r="C408" s="423"/>
      <c r="D408" s="421"/>
      <c r="E408" s="421"/>
      <c r="F408" s="420"/>
      <c r="G408" s="420"/>
      <c r="H408" s="420"/>
      <c r="I408" s="423"/>
      <c r="J408" s="420"/>
      <c r="K408" s="420"/>
      <c r="L408" s="420"/>
      <c r="M408" s="819"/>
      <c r="N408" s="819"/>
    </row>
    <row r="409" spans="2:14" x14ac:dyDescent="0.2">
      <c r="B409" s="420"/>
      <c r="C409" s="420" t="s">
        <v>215</v>
      </c>
      <c r="D409" s="421"/>
      <c r="E409" s="421"/>
      <c r="F409" s="420"/>
      <c r="G409" s="697">
        <v>0</v>
      </c>
      <c r="H409" s="420"/>
      <c r="I409" s="420" t="s">
        <v>215</v>
      </c>
      <c r="J409" s="420"/>
      <c r="K409" s="420"/>
      <c r="L409" s="697">
        <v>0</v>
      </c>
      <c r="M409" s="819"/>
      <c r="N409" s="819"/>
    </row>
    <row r="410" spans="2:14" x14ac:dyDescent="0.2">
      <c r="B410" s="420"/>
      <c r="C410" s="420"/>
      <c r="D410" s="421"/>
      <c r="E410" s="421"/>
      <c r="F410" s="420"/>
      <c r="G410" s="420"/>
      <c r="H410" s="420"/>
      <c r="I410" s="420"/>
      <c r="J410" s="420"/>
      <c r="K410" s="420"/>
      <c r="L410" s="420"/>
      <c r="M410" s="819"/>
      <c r="N410" s="819"/>
    </row>
    <row r="411" spans="2:14" x14ac:dyDescent="0.2">
      <c r="B411" s="420"/>
      <c r="C411" s="420" t="s">
        <v>1042</v>
      </c>
      <c r="D411" s="421"/>
      <c r="E411" s="421"/>
      <c r="F411" s="420"/>
      <c r="G411" s="697">
        <v>0</v>
      </c>
      <c r="H411" s="420"/>
      <c r="I411" s="420" t="s">
        <v>1042</v>
      </c>
      <c r="J411" s="420"/>
      <c r="K411" s="420"/>
      <c r="L411" s="697">
        <v>0</v>
      </c>
      <c r="M411" s="819"/>
      <c r="N411" s="819"/>
    </row>
    <row r="412" spans="2:14" x14ac:dyDescent="0.2">
      <c r="B412" s="420"/>
      <c r="C412" s="420"/>
      <c r="D412" s="421"/>
      <c r="E412" s="421"/>
      <c r="F412" s="420"/>
      <c r="G412" s="697"/>
      <c r="H412" s="420"/>
      <c r="I412" s="420"/>
      <c r="J412" s="420"/>
      <c r="K412" s="420"/>
      <c r="L412" s="697"/>
      <c r="M412" s="819"/>
      <c r="N412" s="819"/>
    </row>
    <row r="413" spans="2:14" x14ac:dyDescent="0.2">
      <c r="B413" s="420"/>
      <c r="C413" s="420" t="s">
        <v>1043</v>
      </c>
      <c r="D413" s="421"/>
      <c r="E413" s="421"/>
      <c r="F413" s="420"/>
      <c r="G413" s="697"/>
      <c r="H413" s="420"/>
      <c r="I413" s="420" t="s">
        <v>1043</v>
      </c>
      <c r="J413" s="420"/>
      <c r="K413" s="420"/>
      <c r="L413" s="697"/>
      <c r="M413" s="819"/>
      <c r="N413" s="819"/>
    </row>
    <row r="414" spans="2:14" x14ac:dyDescent="0.2">
      <c r="B414" s="420"/>
      <c r="C414" s="420" t="s">
        <v>216</v>
      </c>
      <c r="D414" s="421"/>
      <c r="E414" s="421"/>
      <c r="F414" s="420"/>
      <c r="G414" s="697">
        <f>+'[3]reportes consumidor final'!I394</f>
        <v>0</v>
      </c>
      <c r="H414" s="420"/>
      <c r="I414" s="420" t="s">
        <v>216</v>
      </c>
      <c r="J414" s="420"/>
      <c r="K414" s="420"/>
      <c r="L414" s="697">
        <f>+J404</f>
        <v>3314.6699999999992</v>
      </c>
      <c r="M414" s="819"/>
      <c r="N414" s="819"/>
    </row>
    <row r="415" spans="2:14" x14ac:dyDescent="0.2">
      <c r="B415" s="420"/>
      <c r="C415" s="420" t="s">
        <v>1044</v>
      </c>
      <c r="D415" s="421"/>
      <c r="E415" s="421"/>
      <c r="F415" s="420"/>
      <c r="G415" s="698">
        <f>+G414*0.13</f>
        <v>0</v>
      </c>
      <c r="H415" s="420"/>
      <c r="I415" s="420" t="s">
        <v>1044</v>
      </c>
      <c r="J415" s="420"/>
      <c r="K415" s="420"/>
      <c r="L415" s="698">
        <f>+K404</f>
        <v>0</v>
      </c>
      <c r="M415" s="819"/>
      <c r="N415" s="819"/>
    </row>
    <row r="416" spans="2:14" x14ac:dyDescent="0.2">
      <c r="B416" s="420"/>
      <c r="C416" s="420"/>
      <c r="D416" s="421"/>
      <c r="E416" s="421"/>
      <c r="F416" s="420"/>
      <c r="G416" s="697"/>
      <c r="H416" s="420"/>
      <c r="I416" s="420"/>
      <c r="J416" s="420"/>
      <c r="K416" s="420"/>
      <c r="L416" s="697"/>
      <c r="M416" s="819"/>
      <c r="N416" s="819"/>
    </row>
    <row r="417" spans="1:28" ht="13.5" thickBot="1" x14ac:dyDescent="0.25">
      <c r="B417" s="420"/>
      <c r="C417" s="420" t="s">
        <v>1045</v>
      </c>
      <c r="D417" s="421"/>
      <c r="E417" s="421"/>
      <c r="F417" s="420"/>
      <c r="G417" s="699">
        <f>SUM(G409:G415)</f>
        <v>0</v>
      </c>
      <c r="H417" s="420"/>
      <c r="I417" s="420" t="s">
        <v>1045</v>
      </c>
      <c r="J417" s="420"/>
      <c r="K417" s="420"/>
      <c r="L417" s="699">
        <f>SUM(L414:L416)</f>
        <v>3314.6699999999992</v>
      </c>
      <c r="M417" s="819"/>
      <c r="N417" s="819"/>
    </row>
    <row r="418" spans="1:28" ht="13.5" thickTop="1" x14ac:dyDescent="0.2"/>
    <row r="420" spans="1:28" ht="3.75" customHeight="1" x14ac:dyDescent="0.2">
      <c r="A420" s="841"/>
      <c r="B420" s="841"/>
      <c r="C420" s="842"/>
      <c r="D420" s="842"/>
      <c r="E420" s="841"/>
      <c r="F420" s="841"/>
      <c r="G420" s="841"/>
      <c r="H420" s="841"/>
      <c r="I420" s="841"/>
      <c r="J420" s="841"/>
      <c r="K420" s="841"/>
      <c r="L420" s="841"/>
      <c r="M420" s="843"/>
      <c r="N420" s="843"/>
      <c r="O420" s="843"/>
      <c r="P420" s="843"/>
      <c r="Q420" s="844"/>
      <c r="R420" s="844"/>
      <c r="S420" s="844"/>
      <c r="T420" s="844"/>
      <c r="U420" s="844"/>
      <c r="V420" s="844"/>
      <c r="W420" s="844"/>
      <c r="X420" s="844"/>
      <c r="Y420" s="844"/>
      <c r="Z420" s="844"/>
      <c r="AA420" s="844"/>
      <c r="AB420" s="844"/>
    </row>
    <row r="422" spans="1:28" x14ac:dyDescent="0.2">
      <c r="B422" s="721" t="s">
        <v>607</v>
      </c>
      <c r="C422" s="420"/>
      <c r="D422" s="420"/>
      <c r="E422" s="427"/>
      <c r="F422" s="720"/>
      <c r="G422" s="420"/>
      <c r="H422" s="420"/>
      <c r="I422" s="420"/>
      <c r="J422" s="420"/>
      <c r="K422" s="420"/>
      <c r="L422" s="420"/>
      <c r="M422" s="819"/>
      <c r="N422" s="819"/>
      <c r="Q422" s="353"/>
    </row>
    <row r="423" spans="1:28" x14ac:dyDescent="0.2">
      <c r="B423" s="721" t="s">
        <v>783</v>
      </c>
      <c r="C423" s="420"/>
      <c r="D423" s="420"/>
      <c r="E423" s="427"/>
      <c r="F423" s="428"/>
      <c r="G423" s="420"/>
      <c r="H423" s="420"/>
      <c r="I423" s="420"/>
      <c r="J423" s="420"/>
      <c r="K423" s="420"/>
      <c r="L423" s="420"/>
      <c r="M423" s="819"/>
      <c r="N423" s="819"/>
      <c r="Q423" s="353"/>
    </row>
    <row r="424" spans="1:28" x14ac:dyDescent="0.2">
      <c r="B424" s="719"/>
      <c r="C424" s="420"/>
      <c r="D424" s="420"/>
      <c r="E424" s="427"/>
      <c r="F424" s="428"/>
      <c r="G424" s="420"/>
      <c r="H424" s="420"/>
      <c r="I424" s="420"/>
      <c r="J424" s="420"/>
      <c r="K424" s="420"/>
      <c r="L424" s="420"/>
      <c r="M424" s="819"/>
      <c r="N424" s="819"/>
      <c r="Q424" s="353"/>
    </row>
    <row r="425" spans="1:28" ht="18" x14ac:dyDescent="0.25">
      <c r="B425" s="419" t="s">
        <v>833</v>
      </c>
      <c r="C425" s="420"/>
      <c r="D425" s="421"/>
      <c r="E425" s="422"/>
      <c r="F425" s="422" t="s">
        <v>1190</v>
      </c>
      <c r="G425" s="424"/>
      <c r="H425" s="425" t="s">
        <v>73</v>
      </c>
      <c r="I425" s="425"/>
      <c r="J425" s="420"/>
      <c r="K425" s="420"/>
      <c r="L425" s="420"/>
      <c r="M425" s="819"/>
      <c r="N425" s="819"/>
      <c r="Q425" s="353"/>
    </row>
    <row r="426" spans="1:28" x14ac:dyDescent="0.2">
      <c r="B426" s="426" t="s">
        <v>74</v>
      </c>
      <c r="C426" s="420"/>
      <c r="D426" s="420"/>
      <c r="E426" s="427"/>
      <c r="F426" s="428"/>
      <c r="G426" s="420"/>
      <c r="H426" s="429"/>
      <c r="I426" s="429"/>
      <c r="J426" s="420"/>
      <c r="K426" s="420"/>
      <c r="L426" s="420"/>
      <c r="M426" s="819"/>
      <c r="N426" s="819"/>
      <c r="Q426" s="353"/>
    </row>
    <row r="427" spans="1:28" x14ac:dyDescent="0.2">
      <c r="B427" s="430"/>
      <c r="C427" s="430"/>
      <c r="D427" s="430"/>
      <c r="E427" s="430"/>
      <c r="F427" s="430"/>
      <c r="G427" s="430"/>
      <c r="H427" s="430"/>
      <c r="I427" s="430"/>
      <c r="J427" s="430"/>
      <c r="K427" s="430"/>
      <c r="L427" s="430"/>
      <c r="M427" s="819"/>
      <c r="N427" s="819"/>
      <c r="Q427" s="353"/>
    </row>
    <row r="428" spans="1:28" x14ac:dyDescent="0.2">
      <c r="B428" s="430"/>
      <c r="C428" s="430"/>
      <c r="D428" s="430"/>
      <c r="E428" s="430"/>
      <c r="F428" s="430"/>
      <c r="G428" s="430"/>
      <c r="H428" s="423"/>
      <c r="I428" s="423"/>
      <c r="J428" s="423"/>
      <c r="K428" s="423"/>
      <c r="L428" s="430"/>
      <c r="M428" s="819"/>
      <c r="N428" s="819"/>
      <c r="Q428" s="353"/>
    </row>
    <row r="429" spans="1:28" x14ac:dyDescent="0.2">
      <c r="B429" s="431"/>
      <c r="C429" s="432" t="s">
        <v>609</v>
      </c>
      <c r="D429" s="433" t="s">
        <v>75</v>
      </c>
      <c r="E429" s="433"/>
      <c r="F429" s="433" t="s">
        <v>210</v>
      </c>
      <c r="G429" s="433"/>
      <c r="H429" s="434" t="s">
        <v>211</v>
      </c>
      <c r="I429" s="435"/>
      <c r="J429" s="435"/>
      <c r="K429" s="435"/>
      <c r="L429" s="454"/>
      <c r="M429" s="820"/>
      <c r="N429" s="820"/>
      <c r="O429" s="520" t="s">
        <v>852</v>
      </c>
      <c r="P429" s="520"/>
      <c r="Q429" s="520"/>
      <c r="R429" s="520"/>
      <c r="U429" s="363" t="s">
        <v>842</v>
      </c>
      <c r="Y429" s="354" t="s">
        <v>851</v>
      </c>
      <c r="Z429" s="354" t="s">
        <v>753</v>
      </c>
    </row>
    <row r="430" spans="1:28" x14ac:dyDescent="0.2">
      <c r="B430" s="436" t="s">
        <v>212</v>
      </c>
      <c r="C430" s="437" t="s">
        <v>213</v>
      </c>
      <c r="D430" s="437" t="s">
        <v>616</v>
      </c>
      <c r="E430" s="437" t="s">
        <v>214</v>
      </c>
      <c r="F430" s="437" t="s">
        <v>617</v>
      </c>
      <c r="G430" s="437" t="s">
        <v>215</v>
      </c>
      <c r="H430" s="438" t="s">
        <v>164</v>
      </c>
      <c r="I430" s="435"/>
      <c r="J430" s="438" t="s">
        <v>216</v>
      </c>
      <c r="K430" s="435"/>
      <c r="L430" s="455" t="s">
        <v>722</v>
      </c>
      <c r="M430" s="820"/>
      <c r="N430" s="820"/>
      <c r="O430" s="476" t="s">
        <v>1190</v>
      </c>
      <c r="P430" s="299">
        <v>51000000001</v>
      </c>
      <c r="Q430" s="448" t="s">
        <v>835</v>
      </c>
      <c r="R430" s="822">
        <f>SUMIFS($J$433:$J$448,$E$433:$E$448,Q430,$M$433:$M$448,P430)</f>
        <v>0</v>
      </c>
      <c r="T430" s="354">
        <v>51000200001</v>
      </c>
      <c r="U430" s="354" t="s">
        <v>787</v>
      </c>
      <c r="X430" s="366">
        <v>-589.59</v>
      </c>
      <c r="Y430" s="366">
        <f>R433</f>
        <v>0</v>
      </c>
      <c r="Z430" s="450">
        <v>0</v>
      </c>
    </row>
    <row r="431" spans="1:28" x14ac:dyDescent="0.2">
      <c r="B431" s="439"/>
      <c r="C431" s="440"/>
      <c r="D431" s="440"/>
      <c r="E431" s="439"/>
      <c r="F431" s="439"/>
      <c r="G431" s="439"/>
      <c r="H431" s="441" t="s">
        <v>723</v>
      </c>
      <c r="I431" s="442" t="s">
        <v>724</v>
      </c>
      <c r="J431" s="456" t="s">
        <v>725</v>
      </c>
      <c r="K431" s="456" t="s">
        <v>157</v>
      </c>
      <c r="L431" s="457" t="s">
        <v>164</v>
      </c>
      <c r="M431" s="820"/>
      <c r="N431" s="820"/>
      <c r="O431" s="476" t="s">
        <v>1190</v>
      </c>
      <c r="P431" s="299">
        <v>51000000002</v>
      </c>
      <c r="Q431" s="448" t="s">
        <v>835</v>
      </c>
      <c r="R431" s="822">
        <f t="shared" ref="R431:R450" si="39">SUMIFS($J$433:$J$448,$E$433:$E$448,Q431,$M$433:$M$448,P431)</f>
        <v>0</v>
      </c>
      <c r="T431" s="354">
        <v>51000200002</v>
      </c>
      <c r="U431" s="354" t="s">
        <v>788</v>
      </c>
      <c r="X431" s="366">
        <v>-589.59</v>
      </c>
      <c r="Y431" s="366">
        <f>R435</f>
        <v>0</v>
      </c>
      <c r="Z431" s="450">
        <v>0</v>
      </c>
    </row>
    <row r="432" spans="1:28" x14ac:dyDescent="0.2">
      <c r="B432" s="443"/>
      <c r="C432" s="444"/>
      <c r="D432" s="444"/>
      <c r="E432" s="445"/>
      <c r="F432" s="446"/>
      <c r="G432" s="821"/>
      <c r="H432" s="822"/>
      <c r="I432" s="822"/>
      <c r="J432" s="822"/>
      <c r="K432" s="822"/>
      <c r="L432" s="822"/>
      <c r="M432" s="820"/>
      <c r="N432" s="820"/>
      <c r="O432" s="476" t="s">
        <v>1190</v>
      </c>
      <c r="P432" s="299">
        <v>51000100001</v>
      </c>
      <c r="Q432" s="448" t="s">
        <v>835</v>
      </c>
      <c r="R432" s="822">
        <f t="shared" si="39"/>
        <v>0</v>
      </c>
      <c r="T432" s="354">
        <v>51000100001</v>
      </c>
      <c r="U432" s="366" t="s">
        <v>12</v>
      </c>
      <c r="X432" s="366">
        <v>-135.36000000000001</v>
      </c>
    </row>
    <row r="433" spans="2:26" x14ac:dyDescent="0.2">
      <c r="B433" s="447">
        <v>43405</v>
      </c>
      <c r="C433" s="444" t="s">
        <v>1174</v>
      </c>
      <c r="D433" s="444" t="s">
        <v>834</v>
      </c>
      <c r="E433" s="557" t="s">
        <v>835</v>
      </c>
      <c r="F433" s="557" t="s">
        <v>158</v>
      </c>
      <c r="G433" s="560"/>
      <c r="H433" s="558"/>
      <c r="I433" s="558"/>
      <c r="J433" s="558">
        <v>183.12</v>
      </c>
      <c r="K433" s="559">
        <v>23.81</v>
      </c>
      <c r="L433" s="558">
        <f t="shared" ref="L433:L440" si="40">+J433+K433</f>
        <v>206.93</v>
      </c>
      <c r="M433" s="839">
        <v>51000200002</v>
      </c>
      <c r="N433" s="820"/>
      <c r="O433" s="476" t="s">
        <v>1190</v>
      </c>
      <c r="P433" s="299">
        <v>51000100001</v>
      </c>
      <c r="Q433" s="448" t="s">
        <v>864</v>
      </c>
      <c r="R433" s="822">
        <f t="shared" si="39"/>
        <v>0</v>
      </c>
      <c r="T433" s="354">
        <v>51000100002</v>
      </c>
      <c r="U433" s="366" t="s">
        <v>786</v>
      </c>
      <c r="X433" s="366">
        <v>0</v>
      </c>
    </row>
    <row r="434" spans="2:26" x14ac:dyDescent="0.2">
      <c r="B434" s="447">
        <v>43405</v>
      </c>
      <c r="C434" s="444" t="s">
        <v>1175</v>
      </c>
      <c r="D434" s="444" t="s">
        <v>834</v>
      </c>
      <c r="E434" s="557" t="s">
        <v>835</v>
      </c>
      <c r="F434" s="557" t="s">
        <v>158</v>
      </c>
      <c r="G434" s="557"/>
      <c r="H434" s="558"/>
      <c r="I434" s="558"/>
      <c r="J434" s="558">
        <v>183.12</v>
      </c>
      <c r="K434" s="559">
        <v>23.81</v>
      </c>
      <c r="L434" s="558">
        <f t="shared" si="40"/>
        <v>206.93</v>
      </c>
      <c r="M434" s="839">
        <v>51000200001</v>
      </c>
      <c r="N434" s="820"/>
      <c r="O434" s="476" t="s">
        <v>1190</v>
      </c>
      <c r="P434" s="299">
        <v>51000100002</v>
      </c>
      <c r="Q434" s="448" t="s">
        <v>835</v>
      </c>
      <c r="R434" s="822">
        <f t="shared" si="39"/>
        <v>0</v>
      </c>
      <c r="T434" s="354">
        <v>51220200001</v>
      </c>
      <c r="U434" s="354" t="s">
        <v>96</v>
      </c>
      <c r="X434" s="366">
        <v>-1437.28</v>
      </c>
      <c r="Y434" s="366">
        <f>R442+R449</f>
        <v>1414.3000000000002</v>
      </c>
      <c r="Z434" s="450">
        <f>X434+Y434</f>
        <v>-22.979999999999791</v>
      </c>
    </row>
    <row r="435" spans="2:26" x14ac:dyDescent="0.2">
      <c r="B435" s="447">
        <v>43405</v>
      </c>
      <c r="C435" s="444" t="s">
        <v>1176</v>
      </c>
      <c r="D435" s="444" t="s">
        <v>834</v>
      </c>
      <c r="E435" s="825" t="s">
        <v>918</v>
      </c>
      <c r="F435" s="825" t="s">
        <v>726</v>
      </c>
      <c r="G435" s="936"/>
      <c r="H435" s="826"/>
      <c r="I435" s="826"/>
      <c r="J435" s="826">
        <v>83.3</v>
      </c>
      <c r="K435" s="449">
        <v>10.83</v>
      </c>
      <c r="L435" s="826">
        <f t="shared" si="40"/>
        <v>94.13</v>
      </c>
      <c r="M435" s="937"/>
      <c r="N435" s="820"/>
      <c r="O435" s="476" t="s">
        <v>1190</v>
      </c>
      <c r="P435" s="299">
        <v>51000100002</v>
      </c>
      <c r="Q435" s="448" t="s">
        <v>864</v>
      </c>
      <c r="R435" s="822">
        <f t="shared" si="39"/>
        <v>0</v>
      </c>
      <c r="T435" s="354">
        <v>52200000001</v>
      </c>
      <c r="U435" s="354" t="s">
        <v>66</v>
      </c>
      <c r="X435" s="366">
        <v>-4.6500000000000004</v>
      </c>
      <c r="Y435" s="366">
        <f>R443+R450</f>
        <v>0</v>
      </c>
      <c r="Z435" s="450">
        <v>0</v>
      </c>
    </row>
    <row r="436" spans="2:26" x14ac:dyDescent="0.2">
      <c r="B436" s="447">
        <v>43405</v>
      </c>
      <c r="C436" s="444" t="s">
        <v>1177</v>
      </c>
      <c r="D436" s="444" t="s">
        <v>834</v>
      </c>
      <c r="E436" s="825" t="s">
        <v>918</v>
      </c>
      <c r="F436" s="825" t="s">
        <v>726</v>
      </c>
      <c r="G436" s="936"/>
      <c r="H436" s="826"/>
      <c r="I436" s="826"/>
      <c r="J436" s="826">
        <v>52.06</v>
      </c>
      <c r="K436" s="449">
        <v>6.77</v>
      </c>
      <c r="L436" s="826">
        <f t="shared" si="40"/>
        <v>58.83</v>
      </c>
      <c r="M436" s="937"/>
      <c r="N436" s="820"/>
      <c r="O436" s="476" t="s">
        <v>1190</v>
      </c>
      <c r="P436" s="716">
        <v>51000200001</v>
      </c>
      <c r="Q436" s="706" t="s">
        <v>835</v>
      </c>
      <c r="R436" s="822">
        <f t="shared" si="39"/>
        <v>589.59</v>
      </c>
      <c r="X436" s="575">
        <v>0</v>
      </c>
      <c r="Y436" s="366">
        <v>0</v>
      </c>
      <c r="Z436" s="450">
        <v>0</v>
      </c>
    </row>
    <row r="437" spans="2:26" x14ac:dyDescent="0.2">
      <c r="B437" s="447">
        <v>43409</v>
      </c>
      <c r="C437" s="444" t="s">
        <v>1178</v>
      </c>
      <c r="D437" s="444" t="s">
        <v>834</v>
      </c>
      <c r="E437" s="557" t="s">
        <v>835</v>
      </c>
      <c r="F437" s="557" t="s">
        <v>158</v>
      </c>
      <c r="G437" s="557"/>
      <c r="H437" s="558"/>
      <c r="I437" s="558"/>
      <c r="J437" s="558">
        <v>95.89</v>
      </c>
      <c r="K437" s="559">
        <v>12.47</v>
      </c>
      <c r="L437" s="558">
        <f t="shared" si="40"/>
        <v>108.36</v>
      </c>
      <c r="M437" s="839">
        <v>51000200002</v>
      </c>
      <c r="N437" s="820"/>
      <c r="O437" s="476" t="s">
        <v>1190</v>
      </c>
      <c r="P437" s="299">
        <v>51000200001</v>
      </c>
      <c r="Q437" s="448" t="s">
        <v>780</v>
      </c>
      <c r="R437" s="822">
        <f t="shared" si="39"/>
        <v>0</v>
      </c>
      <c r="X437" s="521">
        <v>0</v>
      </c>
      <c r="Y437" s="521">
        <f>R445+R452</f>
        <v>0</v>
      </c>
      <c r="Z437" s="517">
        <v>0</v>
      </c>
    </row>
    <row r="438" spans="2:26" x14ac:dyDescent="0.2">
      <c r="B438" s="447">
        <v>43409</v>
      </c>
      <c r="C438" s="444" t="s">
        <v>1179</v>
      </c>
      <c r="D438" s="444" t="s">
        <v>834</v>
      </c>
      <c r="E438" s="557" t="s">
        <v>835</v>
      </c>
      <c r="F438" s="557" t="s">
        <v>158</v>
      </c>
      <c r="G438" s="557"/>
      <c r="H438" s="558"/>
      <c r="I438" s="558"/>
      <c r="J438" s="558">
        <v>95.89</v>
      </c>
      <c r="K438" s="559">
        <v>12.47</v>
      </c>
      <c r="L438" s="558">
        <f t="shared" si="40"/>
        <v>108.36</v>
      </c>
      <c r="M438" s="839">
        <v>51000200001</v>
      </c>
      <c r="N438" s="820"/>
      <c r="O438" s="476" t="s">
        <v>1190</v>
      </c>
      <c r="P438" s="299">
        <v>51000200001</v>
      </c>
      <c r="Q438" s="448" t="s">
        <v>97</v>
      </c>
      <c r="R438" s="822">
        <f t="shared" si="39"/>
        <v>0</v>
      </c>
      <c r="X438" s="507">
        <f>SUM(X430:X434)</f>
        <v>-2751.8199999999997</v>
      </c>
      <c r="Y438" s="507">
        <f>SUM(Y430:Y437)</f>
        <v>1414.3000000000002</v>
      </c>
      <c r="Z438" s="507">
        <f>SUM(Z430:Z437)</f>
        <v>-22.979999999999791</v>
      </c>
    </row>
    <row r="439" spans="2:26" x14ac:dyDescent="0.2">
      <c r="B439" s="447">
        <v>43412</v>
      </c>
      <c r="C439" s="444" t="s">
        <v>1180</v>
      </c>
      <c r="D439" s="444" t="s">
        <v>834</v>
      </c>
      <c r="E439" s="557" t="s">
        <v>835</v>
      </c>
      <c r="F439" s="557" t="s">
        <v>158</v>
      </c>
      <c r="G439" s="557"/>
      <c r="H439" s="558"/>
      <c r="I439" s="558"/>
      <c r="J439" s="558">
        <v>95.89</v>
      </c>
      <c r="K439" s="559">
        <v>12.47</v>
      </c>
      <c r="L439" s="558">
        <f t="shared" si="40"/>
        <v>108.36</v>
      </c>
      <c r="M439" s="839">
        <v>51000200002</v>
      </c>
      <c r="N439" s="820"/>
      <c r="O439" s="476" t="s">
        <v>1190</v>
      </c>
      <c r="P439" s="716">
        <v>51000200002</v>
      </c>
      <c r="Q439" s="706" t="s">
        <v>835</v>
      </c>
      <c r="R439" s="822">
        <f t="shared" si="39"/>
        <v>589.59</v>
      </c>
      <c r="U439" s="366"/>
    </row>
    <row r="440" spans="2:26" x14ac:dyDescent="0.2">
      <c r="B440" s="447">
        <v>43412</v>
      </c>
      <c r="C440" s="444" t="s">
        <v>1181</v>
      </c>
      <c r="D440" s="444" t="s">
        <v>834</v>
      </c>
      <c r="E440" s="557" t="s">
        <v>835</v>
      </c>
      <c r="F440" s="557" t="s">
        <v>158</v>
      </c>
      <c r="G440" s="557"/>
      <c r="H440" s="558"/>
      <c r="I440" s="558"/>
      <c r="J440" s="558">
        <v>95.89</v>
      </c>
      <c r="K440" s="559">
        <v>12.47</v>
      </c>
      <c r="L440" s="558">
        <f t="shared" si="40"/>
        <v>108.36</v>
      </c>
      <c r="M440" s="839">
        <v>51000200001</v>
      </c>
      <c r="N440" s="820"/>
      <c r="O440" s="476" t="s">
        <v>1190</v>
      </c>
      <c r="P440" s="299">
        <v>51000200002</v>
      </c>
      <c r="Q440" s="448" t="s">
        <v>780</v>
      </c>
      <c r="R440" s="822">
        <f t="shared" si="39"/>
        <v>0</v>
      </c>
      <c r="U440" s="366"/>
    </row>
    <row r="441" spans="2:26" x14ac:dyDescent="0.2">
      <c r="B441" s="447">
        <v>43419</v>
      </c>
      <c r="C441" s="444" t="s">
        <v>1182</v>
      </c>
      <c r="D441" s="444" t="s">
        <v>834</v>
      </c>
      <c r="E441" s="557" t="s">
        <v>835</v>
      </c>
      <c r="F441" s="557" t="s">
        <v>158</v>
      </c>
      <c r="G441" s="557"/>
      <c r="H441" s="558"/>
      <c r="I441" s="558"/>
      <c r="J441" s="558">
        <v>95.89</v>
      </c>
      <c r="K441" s="559">
        <v>12.47</v>
      </c>
      <c r="L441" s="558">
        <f>+J441+K441</f>
        <v>108.36</v>
      </c>
      <c r="M441" s="839">
        <v>51000200002</v>
      </c>
      <c r="N441" s="820"/>
      <c r="O441" s="476" t="s">
        <v>1190</v>
      </c>
      <c r="P441" s="299">
        <v>51000200002</v>
      </c>
      <c r="Q441" s="448" t="s">
        <v>97</v>
      </c>
      <c r="R441" s="822">
        <f t="shared" si="39"/>
        <v>0</v>
      </c>
      <c r="U441" s="366"/>
      <c r="Z441" s="450"/>
    </row>
    <row r="442" spans="2:26" x14ac:dyDescent="0.2">
      <c r="B442" s="447">
        <v>43419</v>
      </c>
      <c r="C442" s="444" t="s">
        <v>1183</v>
      </c>
      <c r="D442" s="444" t="s">
        <v>834</v>
      </c>
      <c r="E442" s="557" t="s">
        <v>835</v>
      </c>
      <c r="F442" s="557" t="s">
        <v>158</v>
      </c>
      <c r="G442" s="557"/>
      <c r="H442" s="558"/>
      <c r="I442" s="558"/>
      <c r="J442" s="558">
        <v>95.89</v>
      </c>
      <c r="K442" s="559">
        <v>12.47</v>
      </c>
      <c r="L442" s="558">
        <f t="shared" ref="L442:L451" si="41">+J442+K442</f>
        <v>108.36</v>
      </c>
      <c r="M442" s="839">
        <v>51000200001</v>
      </c>
      <c r="N442" s="820"/>
      <c r="O442" s="476" t="s">
        <v>1190</v>
      </c>
      <c r="P442" s="716">
        <v>51220200001</v>
      </c>
      <c r="Q442" s="706" t="s">
        <v>835</v>
      </c>
      <c r="R442" s="822">
        <f t="shared" si="39"/>
        <v>1047.45</v>
      </c>
      <c r="U442" s="366"/>
    </row>
    <row r="443" spans="2:26" x14ac:dyDescent="0.2">
      <c r="B443" s="447">
        <v>43419</v>
      </c>
      <c r="C443" s="444" t="s">
        <v>1184</v>
      </c>
      <c r="D443" s="444" t="s">
        <v>834</v>
      </c>
      <c r="E443" s="557" t="s">
        <v>835</v>
      </c>
      <c r="F443" s="557" t="s">
        <v>158</v>
      </c>
      <c r="G443" s="557"/>
      <c r="H443" s="558"/>
      <c r="I443" s="558"/>
      <c r="J443" s="558">
        <v>1047.45</v>
      </c>
      <c r="K443" s="559">
        <v>136.16999999999999</v>
      </c>
      <c r="L443" s="558">
        <f t="shared" si="41"/>
        <v>1183.6200000000001</v>
      </c>
      <c r="M443" s="839">
        <v>51220200001</v>
      </c>
      <c r="N443" s="820"/>
      <c r="O443" s="476" t="s">
        <v>1190</v>
      </c>
      <c r="P443" s="299">
        <v>51220200001</v>
      </c>
      <c r="Q443" s="448" t="s">
        <v>780</v>
      </c>
      <c r="R443" s="822">
        <f t="shared" si="39"/>
        <v>0</v>
      </c>
    </row>
    <row r="444" spans="2:26" x14ac:dyDescent="0.2">
      <c r="B444" s="447">
        <v>43419</v>
      </c>
      <c r="C444" s="444" t="s">
        <v>1185</v>
      </c>
      <c r="D444" s="444" t="s">
        <v>834</v>
      </c>
      <c r="E444" s="557" t="s">
        <v>864</v>
      </c>
      <c r="F444" s="557" t="s">
        <v>865</v>
      </c>
      <c r="G444" s="557"/>
      <c r="H444" s="558"/>
      <c r="I444" s="558"/>
      <c r="J444" s="558">
        <v>366.85</v>
      </c>
      <c r="K444" s="559">
        <v>47.69</v>
      </c>
      <c r="L444" s="558">
        <f t="shared" si="41"/>
        <v>414.54</v>
      </c>
      <c r="M444" s="839">
        <v>51220200001</v>
      </c>
      <c r="N444" s="820"/>
      <c r="O444" s="476" t="s">
        <v>1190</v>
      </c>
      <c r="P444" s="299">
        <v>51220200001</v>
      </c>
      <c r="Q444" s="448" t="s">
        <v>97</v>
      </c>
      <c r="R444" s="822">
        <f t="shared" si="39"/>
        <v>0</v>
      </c>
    </row>
    <row r="445" spans="2:26" x14ac:dyDescent="0.2">
      <c r="B445" s="447">
        <v>43426</v>
      </c>
      <c r="C445" s="444" t="s">
        <v>1186</v>
      </c>
      <c r="D445" s="444" t="s">
        <v>834</v>
      </c>
      <c r="E445" s="557" t="s">
        <v>835</v>
      </c>
      <c r="F445" s="557" t="s">
        <v>158</v>
      </c>
      <c r="G445" s="557"/>
      <c r="H445" s="558"/>
      <c r="I445" s="558"/>
      <c r="J445" s="558">
        <v>52.22</v>
      </c>
      <c r="K445" s="559">
        <v>6.79</v>
      </c>
      <c r="L445" s="558">
        <f t="shared" si="41"/>
        <v>59.01</v>
      </c>
      <c r="M445" s="839">
        <v>51000200002</v>
      </c>
      <c r="N445" s="820"/>
      <c r="O445" s="476" t="s">
        <v>1190</v>
      </c>
      <c r="P445" s="299">
        <v>52200000001</v>
      </c>
      <c r="Q445" s="448" t="s">
        <v>835</v>
      </c>
      <c r="R445" s="822">
        <f t="shared" si="39"/>
        <v>0</v>
      </c>
      <c r="W445" s="363" t="s">
        <v>850</v>
      </c>
      <c r="X445" s="450">
        <f>+X431+X434+X430+X436+X437+X432+X433</f>
        <v>-2751.82</v>
      </c>
    </row>
    <row r="446" spans="2:26" x14ac:dyDescent="0.2">
      <c r="B446" s="447">
        <v>43426</v>
      </c>
      <c r="C446" s="444" t="s">
        <v>1187</v>
      </c>
      <c r="D446" s="444" t="s">
        <v>834</v>
      </c>
      <c r="E446" s="557" t="s">
        <v>835</v>
      </c>
      <c r="F446" s="557" t="s">
        <v>158</v>
      </c>
      <c r="G446" s="560"/>
      <c r="H446" s="558"/>
      <c r="I446" s="558"/>
      <c r="J446" s="558">
        <v>52.22</v>
      </c>
      <c r="K446" s="559">
        <v>6.79</v>
      </c>
      <c r="L446" s="558">
        <f t="shared" si="41"/>
        <v>59.01</v>
      </c>
      <c r="M446" s="839">
        <v>51000200001</v>
      </c>
      <c r="N446" s="820"/>
      <c r="O446" s="476" t="s">
        <v>1190</v>
      </c>
      <c r="P446" s="299">
        <v>52200000001</v>
      </c>
      <c r="Q446" s="448" t="s">
        <v>780</v>
      </c>
      <c r="R446" s="822">
        <f t="shared" si="39"/>
        <v>0</v>
      </c>
      <c r="W446" s="354" t="s">
        <v>852</v>
      </c>
      <c r="X446" s="450">
        <f>R451</f>
        <v>2593.48</v>
      </c>
    </row>
    <row r="447" spans="2:26" x14ac:dyDescent="0.2">
      <c r="B447" s="447">
        <v>43433</v>
      </c>
      <c r="C447" s="444" t="s">
        <v>1188</v>
      </c>
      <c r="D447" s="444" t="s">
        <v>834</v>
      </c>
      <c r="E447" s="557" t="s">
        <v>835</v>
      </c>
      <c r="F447" s="557" t="s">
        <v>158</v>
      </c>
      <c r="G447" s="560"/>
      <c r="H447" s="558"/>
      <c r="I447" s="558"/>
      <c r="J447" s="558">
        <v>66.58</v>
      </c>
      <c r="K447" s="559">
        <v>8.65</v>
      </c>
      <c r="L447" s="558">
        <f t="shared" si="41"/>
        <v>75.23</v>
      </c>
      <c r="M447" s="839">
        <v>51000200002</v>
      </c>
      <c r="N447" s="820"/>
      <c r="O447" s="476" t="s">
        <v>1190</v>
      </c>
      <c r="P447" s="299">
        <v>52200000001</v>
      </c>
      <c r="Q447" s="448" t="s">
        <v>97</v>
      </c>
      <c r="R447" s="822">
        <f t="shared" si="39"/>
        <v>0</v>
      </c>
      <c r="W447" s="354" t="s">
        <v>855</v>
      </c>
      <c r="X447" s="517">
        <f>+J435+J436</f>
        <v>135.36000000000001</v>
      </c>
    </row>
    <row r="448" spans="2:26" x14ac:dyDescent="0.2">
      <c r="B448" s="447">
        <v>43433</v>
      </c>
      <c r="C448" s="444" t="s">
        <v>1189</v>
      </c>
      <c r="D448" s="444" t="s">
        <v>834</v>
      </c>
      <c r="E448" s="557" t="s">
        <v>835</v>
      </c>
      <c r="F448" s="557" t="s">
        <v>158</v>
      </c>
      <c r="G448" s="560"/>
      <c r="H448" s="558"/>
      <c r="I448" s="558"/>
      <c r="J448" s="558">
        <v>66.58</v>
      </c>
      <c r="K448" s="559">
        <v>8.65</v>
      </c>
      <c r="L448" s="558">
        <f t="shared" si="41"/>
        <v>75.23</v>
      </c>
      <c r="M448" s="839">
        <v>51000200001</v>
      </c>
      <c r="N448" s="820"/>
      <c r="O448" s="476" t="s">
        <v>1190</v>
      </c>
      <c r="P448" s="299">
        <v>52200000001</v>
      </c>
      <c r="Q448" s="448" t="s">
        <v>835</v>
      </c>
      <c r="R448" s="822">
        <f t="shared" si="39"/>
        <v>0</v>
      </c>
      <c r="X448" s="507">
        <f>X445+X446+X447</f>
        <v>-22.980000000000132</v>
      </c>
      <c r="Y448" s="354" t="s">
        <v>870</v>
      </c>
    </row>
    <row r="449" spans="2:18" x14ac:dyDescent="0.2">
      <c r="B449" s="447"/>
      <c r="C449" s="444" t="s">
        <v>1004</v>
      </c>
      <c r="D449" s="444" t="s">
        <v>834</v>
      </c>
      <c r="E449" s="448"/>
      <c r="F449" s="420">
        <v>0</v>
      </c>
      <c r="G449" s="506"/>
      <c r="H449" s="506"/>
      <c r="I449" s="506"/>
      <c r="J449" s="822">
        <v>0</v>
      </c>
      <c r="K449" s="449">
        <v>0</v>
      </c>
      <c r="L449" s="822">
        <f t="shared" si="41"/>
        <v>0</v>
      </c>
      <c r="M449" s="820"/>
      <c r="N449" s="820"/>
      <c r="O449" s="476" t="s">
        <v>1190</v>
      </c>
      <c r="P449" s="716">
        <v>51220200001</v>
      </c>
      <c r="Q449" s="706" t="s">
        <v>864</v>
      </c>
      <c r="R449" s="822">
        <f t="shared" si="39"/>
        <v>366.85</v>
      </c>
    </row>
    <row r="450" spans="2:18" x14ac:dyDescent="0.2">
      <c r="B450" s="447"/>
      <c r="C450" s="444"/>
      <c r="D450" s="444"/>
      <c r="E450" s="448" t="s">
        <v>916</v>
      </c>
      <c r="F450" s="420"/>
      <c r="G450" s="506"/>
      <c r="H450" s="506"/>
      <c r="I450" s="506"/>
      <c r="J450" s="506"/>
      <c r="K450" s="832">
        <v>-354.77</v>
      </c>
      <c r="L450" s="822">
        <f t="shared" si="41"/>
        <v>-354.77</v>
      </c>
      <c r="M450" s="820"/>
      <c r="N450" s="820"/>
      <c r="O450" s="476" t="s">
        <v>1190</v>
      </c>
      <c r="P450" s="299">
        <v>53000100001</v>
      </c>
      <c r="Q450" s="448" t="s">
        <v>835</v>
      </c>
      <c r="R450" s="822">
        <f t="shared" si="39"/>
        <v>0</v>
      </c>
    </row>
    <row r="451" spans="2:18" ht="13.5" thickBot="1" x14ac:dyDescent="0.25">
      <c r="B451" s="447"/>
      <c r="C451" s="444"/>
      <c r="D451" s="444"/>
      <c r="E451" s="448"/>
      <c r="F451" s="420"/>
      <c r="G451" s="506"/>
      <c r="H451" s="506"/>
      <c r="I451" s="506"/>
      <c r="J451" s="506"/>
      <c r="K451" s="449"/>
      <c r="L451" s="822">
        <f t="shared" si="41"/>
        <v>0</v>
      </c>
      <c r="M451" s="820"/>
      <c r="N451" s="820"/>
      <c r="O451" s="819"/>
      <c r="P451" s="819"/>
      <c r="R451" s="838">
        <f>SUM(R430:R450)</f>
        <v>2593.48</v>
      </c>
    </row>
    <row r="452" spans="2:18" ht="13.5" thickTop="1" x14ac:dyDescent="0.2">
      <c r="B452" s="447"/>
      <c r="C452" s="444"/>
      <c r="D452" s="444"/>
      <c r="E452" s="448"/>
      <c r="F452" s="420"/>
      <c r="G452" s="506"/>
      <c r="H452" s="506"/>
      <c r="I452" s="506"/>
      <c r="J452" s="506"/>
      <c r="K452" s="449"/>
      <c r="L452" s="822"/>
      <c r="M452" s="820"/>
      <c r="N452" s="820"/>
      <c r="O452" s="819"/>
      <c r="P452" s="819"/>
    </row>
    <row r="453" spans="2:18" x14ac:dyDescent="0.2">
      <c r="B453" s="447"/>
      <c r="C453" s="444"/>
      <c r="D453" s="444"/>
      <c r="E453" s="448"/>
      <c r="F453" s="420"/>
      <c r="G453" s="506"/>
      <c r="H453" s="506"/>
      <c r="I453" s="506"/>
      <c r="J453" s="506"/>
      <c r="K453" s="449"/>
      <c r="L453" s="822"/>
      <c r="M453" s="820"/>
      <c r="N453" s="820"/>
      <c r="O453" s="819"/>
      <c r="P453" s="819"/>
    </row>
    <row r="454" spans="2:18" x14ac:dyDescent="0.2">
      <c r="B454" s="420"/>
      <c r="C454" s="421"/>
      <c r="D454" s="421"/>
      <c r="E454" s="448"/>
      <c r="F454" s="420"/>
      <c r="G454" s="506"/>
      <c r="H454" s="506"/>
      <c r="I454" s="506"/>
      <c r="J454" s="506"/>
      <c r="K454" s="506"/>
      <c r="L454" s="506"/>
      <c r="M454" s="820"/>
      <c r="N454" s="820"/>
      <c r="O454" s="819"/>
      <c r="P454" s="819"/>
    </row>
    <row r="455" spans="2:18" x14ac:dyDescent="0.2">
      <c r="B455" s="512"/>
      <c r="C455" s="513"/>
      <c r="D455" s="513"/>
      <c r="E455" s="448"/>
      <c r="F455" s="512"/>
      <c r="G455" s="514"/>
      <c r="H455" s="514"/>
      <c r="I455" s="514"/>
      <c r="J455" s="514"/>
      <c r="K455" s="514"/>
      <c r="L455" s="514"/>
      <c r="M455" s="819"/>
      <c r="N455" s="819"/>
      <c r="Q455" s="353"/>
    </row>
    <row r="456" spans="2:18" x14ac:dyDescent="0.2">
      <c r="B456" s="420"/>
      <c r="C456" s="421"/>
      <c r="D456" s="421"/>
      <c r="E456" s="420"/>
      <c r="F456" s="420"/>
      <c r="G456" s="515">
        <f t="shared" ref="G456:I456" si="42">SUM(G432:G455)</f>
        <v>0</v>
      </c>
      <c r="H456" s="515">
        <f t="shared" si="42"/>
        <v>0</v>
      </c>
      <c r="I456" s="515">
        <f t="shared" si="42"/>
        <v>0</v>
      </c>
      <c r="J456" s="515">
        <f>SUM(J432:J455)</f>
        <v>2728.8399999999997</v>
      </c>
      <c r="K456" s="515">
        <f>SUM(K432:K455)</f>
        <v>9.9999999999909051E-3</v>
      </c>
      <c r="L456" s="515">
        <f>SUM(L432:L455)</f>
        <v>2728.8500000000008</v>
      </c>
      <c r="M456" s="819"/>
      <c r="N456" s="819"/>
      <c r="Q456" s="353"/>
    </row>
    <row r="457" spans="2:18" x14ac:dyDescent="0.2">
      <c r="B457" s="420"/>
      <c r="C457" s="421"/>
      <c r="D457" s="421"/>
      <c r="E457" s="420"/>
      <c r="F457" s="420"/>
      <c r="G457" s="596"/>
      <c r="H457" s="596"/>
      <c r="I457" s="596"/>
      <c r="J457" s="596"/>
      <c r="K457" s="596"/>
      <c r="L457" s="596"/>
      <c r="M457" s="819"/>
      <c r="N457" s="819"/>
      <c r="Q457" s="353"/>
    </row>
    <row r="458" spans="2:18" x14ac:dyDescent="0.2">
      <c r="B458" s="420"/>
      <c r="C458" s="421"/>
      <c r="D458" s="421"/>
      <c r="E458" s="420"/>
      <c r="F458" s="420"/>
      <c r="G458" s="596"/>
      <c r="H458" s="596"/>
      <c r="I458" s="596"/>
      <c r="J458" s="596"/>
      <c r="K458" s="596"/>
      <c r="L458" s="596"/>
      <c r="M458" s="819"/>
      <c r="N458" s="819"/>
      <c r="Q458" s="353"/>
    </row>
    <row r="459" spans="2:18" x14ac:dyDescent="0.2">
      <c r="B459" s="420"/>
      <c r="C459" s="421"/>
      <c r="D459" s="421"/>
      <c r="E459" s="420"/>
      <c r="F459" s="420"/>
      <c r="G459" s="596"/>
      <c r="H459" s="596"/>
      <c r="I459" s="596"/>
      <c r="J459" s="596"/>
      <c r="K459" s="596"/>
      <c r="L459" s="596"/>
      <c r="M459" s="819"/>
      <c r="N459" s="819"/>
      <c r="Q459" s="353"/>
    </row>
    <row r="460" spans="2:18" x14ac:dyDescent="0.2">
      <c r="B460" s="420"/>
      <c r="C460" s="421"/>
      <c r="D460" s="421"/>
      <c r="E460" s="420"/>
      <c r="F460" s="420"/>
      <c r="G460" s="596"/>
      <c r="H460" s="596"/>
      <c r="I460" s="596"/>
      <c r="J460" s="596"/>
      <c r="K460" s="596"/>
      <c r="L460" s="596"/>
      <c r="M460" s="819"/>
      <c r="N460" s="819"/>
      <c r="Q460" s="353"/>
    </row>
    <row r="461" spans="2:18" x14ac:dyDescent="0.2">
      <c r="B461" s="420"/>
      <c r="C461" s="421"/>
      <c r="D461" s="421"/>
      <c r="E461" s="420"/>
      <c r="F461" s="420"/>
      <c r="G461" s="596"/>
      <c r="H461" s="596"/>
      <c r="I461" s="596"/>
      <c r="J461" s="596"/>
      <c r="K461" s="596"/>
      <c r="L461" s="596"/>
      <c r="M461" s="819"/>
      <c r="N461" s="819"/>
      <c r="Q461" s="353"/>
    </row>
    <row r="462" spans="2:18" x14ac:dyDescent="0.2">
      <c r="B462" s="420"/>
      <c r="C462" s="421"/>
      <c r="D462" s="421"/>
      <c r="E462" s="420"/>
      <c r="F462" s="420"/>
      <c r="G462" s="420"/>
      <c r="H462" s="420"/>
      <c r="I462" s="420"/>
      <c r="J462" s="420"/>
      <c r="K462" s="420"/>
      <c r="L462" s="420"/>
      <c r="M462" s="819"/>
      <c r="N462" s="819"/>
      <c r="Q462" s="353"/>
    </row>
    <row r="463" spans="2:18" x14ac:dyDescent="0.2">
      <c r="B463" s="420"/>
      <c r="C463" s="423" t="s">
        <v>1040</v>
      </c>
      <c r="D463" s="421"/>
      <c r="E463" s="421"/>
      <c r="F463" s="420"/>
      <c r="G463" s="420"/>
      <c r="H463" s="420"/>
      <c r="I463" s="423" t="s">
        <v>1041</v>
      </c>
      <c r="J463" s="420"/>
      <c r="K463" s="420"/>
      <c r="L463" s="420"/>
      <c r="M463" s="819"/>
      <c r="N463" s="819"/>
      <c r="Q463" s="353"/>
    </row>
    <row r="464" spans="2:18" x14ac:dyDescent="0.2">
      <c r="B464" s="420"/>
      <c r="C464" s="423"/>
      <c r="D464" s="421"/>
      <c r="E464" s="421"/>
      <c r="F464" s="420"/>
      <c r="G464" s="420"/>
      <c r="H464" s="420"/>
      <c r="I464" s="423"/>
      <c r="J464" s="420"/>
      <c r="K464" s="420"/>
      <c r="L464" s="420"/>
      <c r="M464" s="819"/>
      <c r="N464" s="819"/>
      <c r="Q464" s="353"/>
    </row>
    <row r="465" spans="1:28" x14ac:dyDescent="0.2">
      <c r="B465" s="420"/>
      <c r="C465" s="420" t="s">
        <v>215</v>
      </c>
      <c r="D465" s="421"/>
      <c r="E465" s="421"/>
      <c r="F465" s="420"/>
      <c r="G465" s="697">
        <v>0</v>
      </c>
      <c r="H465" s="420"/>
      <c r="I465" s="420" t="s">
        <v>215</v>
      </c>
      <c r="J465" s="420"/>
      <c r="K465" s="420"/>
      <c r="L465" s="697">
        <v>0</v>
      </c>
      <c r="M465" s="819"/>
      <c r="N465" s="819"/>
      <c r="Q465" s="353"/>
    </row>
    <row r="466" spans="1:28" x14ac:dyDescent="0.2">
      <c r="B466" s="420"/>
      <c r="C466" s="420"/>
      <c r="D466" s="421"/>
      <c r="E466" s="421"/>
      <c r="F466" s="420"/>
      <c r="G466" s="420"/>
      <c r="H466" s="420"/>
      <c r="I466" s="420"/>
      <c r="J466" s="420"/>
      <c r="K466" s="420"/>
      <c r="L466" s="420"/>
      <c r="M466" s="819"/>
      <c r="N466" s="819"/>
      <c r="Q466" s="353"/>
    </row>
    <row r="467" spans="1:28" x14ac:dyDescent="0.2">
      <c r="B467" s="420"/>
      <c r="C467" s="420" t="s">
        <v>1042</v>
      </c>
      <c r="D467" s="421"/>
      <c r="E467" s="421"/>
      <c r="F467" s="420"/>
      <c r="G467" s="697">
        <v>0</v>
      </c>
      <c r="H467" s="420"/>
      <c r="I467" s="420" t="s">
        <v>1042</v>
      </c>
      <c r="J467" s="420"/>
      <c r="K467" s="420"/>
      <c r="L467" s="697">
        <v>0</v>
      </c>
      <c r="M467" s="819"/>
      <c r="N467" s="819"/>
      <c r="Q467" s="353"/>
    </row>
    <row r="468" spans="1:28" x14ac:dyDescent="0.2">
      <c r="B468" s="420"/>
      <c r="C468" s="420"/>
      <c r="D468" s="421"/>
      <c r="E468" s="421"/>
      <c r="F468" s="420"/>
      <c r="G468" s="697"/>
      <c r="H468" s="420"/>
      <c r="I468" s="420"/>
      <c r="J468" s="420"/>
      <c r="K468" s="420"/>
      <c r="L468" s="697"/>
      <c r="M468" s="819"/>
      <c r="N468" s="819"/>
      <c r="Q468" s="353"/>
    </row>
    <row r="469" spans="1:28" x14ac:dyDescent="0.2">
      <c r="B469" s="420"/>
      <c r="C469" s="420"/>
      <c r="D469" s="421"/>
      <c r="E469" s="421"/>
      <c r="F469" s="420"/>
      <c r="G469" s="697"/>
      <c r="H469" s="420"/>
      <c r="I469" s="420"/>
      <c r="J469" s="420"/>
      <c r="K469" s="420"/>
      <c r="L469" s="697"/>
      <c r="M469" s="819"/>
      <c r="N469" s="819"/>
      <c r="Q469" s="353"/>
    </row>
    <row r="470" spans="1:28" x14ac:dyDescent="0.2">
      <c r="B470" s="420"/>
      <c r="C470" s="420" t="s">
        <v>1043</v>
      </c>
      <c r="D470" s="421"/>
      <c r="E470" s="421"/>
      <c r="F470" s="420"/>
      <c r="G470" s="697"/>
      <c r="H470" s="420"/>
      <c r="I470" s="420" t="s">
        <v>1043</v>
      </c>
      <c r="J470" s="420"/>
      <c r="K470" s="420"/>
      <c r="L470" s="697"/>
      <c r="M470" s="819"/>
      <c r="N470" s="819"/>
      <c r="Q470" s="353"/>
    </row>
    <row r="471" spans="1:28" x14ac:dyDescent="0.2">
      <c r="B471" s="420"/>
      <c r="C471" s="420" t="s">
        <v>216</v>
      </c>
      <c r="D471" s="421"/>
      <c r="E471" s="421"/>
      <c r="F471" s="420"/>
      <c r="G471" s="697">
        <f>+'[4]reportes consumidor final'!H457</f>
        <v>0</v>
      </c>
      <c r="H471" s="420"/>
      <c r="I471" s="420" t="s">
        <v>216</v>
      </c>
      <c r="J471" s="420"/>
      <c r="K471" s="420"/>
      <c r="L471" s="697">
        <f>+J456</f>
        <v>2728.8399999999997</v>
      </c>
      <c r="M471" s="819"/>
      <c r="N471" s="819"/>
      <c r="Q471" s="353"/>
    </row>
    <row r="472" spans="1:28" x14ac:dyDescent="0.2">
      <c r="B472" s="420"/>
      <c r="C472" s="420" t="s">
        <v>1044</v>
      </c>
      <c r="D472" s="421"/>
      <c r="E472" s="421"/>
      <c r="F472" s="420"/>
      <c r="G472" s="698">
        <f>+G471*0.13</f>
        <v>0</v>
      </c>
      <c r="H472" s="420"/>
      <c r="I472" s="420" t="s">
        <v>1044</v>
      </c>
      <c r="J472" s="420"/>
      <c r="K472" s="420"/>
      <c r="L472" s="698">
        <f>+K456</f>
        <v>9.9999999999909051E-3</v>
      </c>
      <c r="M472" s="819"/>
      <c r="N472" s="819"/>
      <c r="Q472" s="353"/>
    </row>
    <row r="473" spans="1:28" x14ac:dyDescent="0.2">
      <c r="B473" s="420"/>
      <c r="C473" s="420"/>
      <c r="D473" s="421"/>
      <c r="E473" s="421"/>
      <c r="F473" s="420"/>
      <c r="G473" s="697"/>
      <c r="H473" s="420"/>
      <c r="I473" s="420"/>
      <c r="J473" s="420"/>
      <c r="K473" s="420"/>
      <c r="L473" s="697"/>
      <c r="M473" s="819"/>
      <c r="N473" s="819"/>
      <c r="Q473" s="353"/>
    </row>
    <row r="474" spans="1:28" ht="13.5" thickBot="1" x14ac:dyDescent="0.25">
      <c r="B474" s="420"/>
      <c r="C474" s="420" t="s">
        <v>1045</v>
      </c>
      <c r="D474" s="421"/>
      <c r="E474" s="421"/>
      <c r="F474" s="420"/>
      <c r="G474" s="699">
        <f>SUM(G465:G472)</f>
        <v>0</v>
      </c>
      <c r="H474" s="420"/>
      <c r="I474" s="420" t="s">
        <v>1045</v>
      </c>
      <c r="J474" s="420"/>
      <c r="K474" s="420"/>
      <c r="L474" s="699">
        <f>SUM(L471:L473)</f>
        <v>2728.8499999999995</v>
      </c>
      <c r="M474" s="819"/>
      <c r="N474" s="819"/>
      <c r="Q474" s="353"/>
    </row>
    <row r="475" spans="1:28" ht="13.5" thickTop="1" x14ac:dyDescent="0.2">
      <c r="C475" s="352"/>
      <c r="E475" s="362"/>
      <c r="M475" s="352"/>
      <c r="Q475" s="353"/>
    </row>
    <row r="476" spans="1:28" x14ac:dyDescent="0.2">
      <c r="C476" s="352"/>
      <c r="E476" s="362"/>
      <c r="M476" s="352"/>
      <c r="Q476" s="353"/>
    </row>
    <row r="477" spans="1:28" ht="3.75" customHeight="1" x14ac:dyDescent="0.2">
      <c r="A477" s="841"/>
      <c r="B477" s="841"/>
      <c r="C477" s="842"/>
      <c r="D477" s="842"/>
      <c r="E477" s="841"/>
      <c r="F477" s="841"/>
      <c r="G477" s="841"/>
      <c r="H477" s="841"/>
      <c r="I477" s="841"/>
      <c r="J477" s="841"/>
      <c r="K477" s="841"/>
      <c r="L477" s="841"/>
      <c r="M477" s="843"/>
      <c r="N477" s="843"/>
      <c r="O477" s="843"/>
      <c r="P477" s="843"/>
      <c r="Q477" s="844"/>
      <c r="R477" s="844"/>
      <c r="S477" s="844"/>
      <c r="T477" s="844"/>
      <c r="U477" s="844"/>
      <c r="V477" s="844"/>
      <c r="W477" s="844"/>
      <c r="X477" s="844"/>
      <c r="Y477" s="844"/>
      <c r="Z477" s="844"/>
      <c r="AA477" s="844"/>
      <c r="AB477" s="844"/>
    </row>
    <row r="481" spans="2:26" x14ac:dyDescent="0.2">
      <c r="B481" s="714" t="s">
        <v>782</v>
      </c>
      <c r="C481" s="420"/>
      <c r="D481" s="420"/>
      <c r="E481" s="427"/>
      <c r="F481" s="428"/>
      <c r="G481" s="420"/>
      <c r="H481" s="420"/>
      <c r="I481" s="420"/>
      <c r="J481" s="420"/>
      <c r="K481" s="420"/>
      <c r="L481" s="420"/>
      <c r="M481" s="819"/>
      <c r="N481" s="819"/>
    </row>
    <row r="482" spans="2:26" x14ac:dyDescent="0.2">
      <c r="B482" s="715" t="s">
        <v>606</v>
      </c>
      <c r="C482" s="420"/>
      <c r="D482" s="420"/>
      <c r="E482" s="715"/>
      <c r="F482" s="428"/>
      <c r="G482" s="420"/>
      <c r="H482" s="420"/>
      <c r="I482" s="420"/>
      <c r="J482" s="420"/>
      <c r="K482" s="420"/>
      <c r="L482" s="420"/>
      <c r="M482" s="819"/>
      <c r="N482" s="819"/>
    </row>
    <row r="483" spans="2:26" x14ac:dyDescent="0.2">
      <c r="B483" s="721" t="s">
        <v>607</v>
      </c>
      <c r="C483" s="420"/>
      <c r="D483" s="420"/>
      <c r="E483" s="427"/>
      <c r="F483" s="720"/>
      <c r="G483" s="420"/>
      <c r="H483" s="420"/>
      <c r="I483" s="420"/>
      <c r="J483" s="420"/>
      <c r="K483" s="420"/>
      <c r="L483" s="420"/>
      <c r="M483" s="819"/>
      <c r="N483" s="819"/>
    </row>
    <row r="484" spans="2:26" x14ac:dyDescent="0.2">
      <c r="B484" s="721" t="s">
        <v>783</v>
      </c>
      <c r="C484" s="420"/>
      <c r="D484" s="420"/>
      <c r="E484" s="427"/>
      <c r="F484" s="428"/>
      <c r="G484" s="420"/>
      <c r="H484" s="420"/>
      <c r="I484" s="420"/>
      <c r="J484" s="420"/>
      <c r="K484" s="420"/>
      <c r="L484" s="420"/>
      <c r="M484" s="819"/>
      <c r="N484" s="819"/>
    </row>
    <row r="485" spans="2:26" x14ac:dyDescent="0.2">
      <c r="B485" s="719"/>
      <c r="C485" s="420"/>
      <c r="D485" s="420"/>
      <c r="E485" s="427"/>
      <c r="F485" s="428"/>
      <c r="G485" s="420"/>
      <c r="H485" s="420"/>
      <c r="I485" s="420"/>
      <c r="J485" s="420"/>
      <c r="K485" s="420"/>
      <c r="L485" s="420"/>
      <c r="M485" s="819"/>
      <c r="N485" s="819"/>
    </row>
    <row r="486" spans="2:26" ht="18" x14ac:dyDescent="0.25">
      <c r="B486" s="419" t="s">
        <v>833</v>
      </c>
      <c r="C486" s="420"/>
      <c r="D486" s="421"/>
      <c r="E486" s="422" t="s">
        <v>1203</v>
      </c>
      <c r="F486" s="423" t="s">
        <v>361</v>
      </c>
      <c r="G486" s="424">
        <v>2017</v>
      </c>
      <c r="H486" s="425" t="s">
        <v>73</v>
      </c>
      <c r="I486" s="425"/>
      <c r="J486" s="420"/>
      <c r="K486" s="420"/>
      <c r="L486" s="420"/>
      <c r="M486" s="819"/>
      <c r="N486" s="819"/>
    </row>
    <row r="487" spans="2:26" x14ac:dyDescent="0.2">
      <c r="B487" s="426" t="s">
        <v>74</v>
      </c>
      <c r="C487" s="420"/>
      <c r="D487" s="420"/>
      <c r="E487" s="427"/>
      <c r="F487" s="428"/>
      <c r="G487" s="420"/>
      <c r="H487" s="429"/>
      <c r="I487" s="429"/>
      <c r="J487" s="420"/>
      <c r="K487" s="420"/>
      <c r="L487" s="420"/>
      <c r="M487" s="819"/>
      <c r="N487" s="819"/>
    </row>
    <row r="488" spans="2:26" x14ac:dyDescent="0.2">
      <c r="B488" s="430"/>
      <c r="C488" s="430"/>
      <c r="D488" s="430"/>
      <c r="E488" s="430"/>
      <c r="F488" s="430"/>
      <c r="G488" s="430"/>
      <c r="H488" s="430"/>
      <c r="I488" s="430"/>
      <c r="J488" s="430"/>
      <c r="K488" s="430"/>
      <c r="L488" s="430"/>
      <c r="M488" s="819"/>
      <c r="N488" s="819"/>
    </row>
    <row r="489" spans="2:26" x14ac:dyDescent="0.2">
      <c r="B489" s="430"/>
      <c r="C489" s="430"/>
      <c r="D489" s="430"/>
      <c r="E489" s="430"/>
      <c r="F489" s="430"/>
      <c r="G489" s="430"/>
      <c r="H489" s="423"/>
      <c r="I489" s="423"/>
      <c r="J489" s="423"/>
      <c r="K489" s="423"/>
      <c r="L489" s="430"/>
      <c r="M489" s="819"/>
      <c r="N489" s="819"/>
    </row>
    <row r="490" spans="2:26" x14ac:dyDescent="0.2">
      <c r="B490" s="431"/>
      <c r="C490" s="432" t="s">
        <v>609</v>
      </c>
      <c r="D490" s="433" t="s">
        <v>75</v>
      </c>
      <c r="E490" s="433"/>
      <c r="F490" s="433" t="s">
        <v>210</v>
      </c>
      <c r="G490" s="433"/>
      <c r="H490" s="434" t="s">
        <v>211</v>
      </c>
      <c r="I490" s="435"/>
      <c r="J490" s="435"/>
      <c r="K490" s="435"/>
      <c r="L490" s="454"/>
      <c r="M490" s="820"/>
      <c r="N490" s="820"/>
      <c r="O490" s="520" t="s">
        <v>852</v>
      </c>
      <c r="P490" s="520"/>
      <c r="Q490" s="520"/>
      <c r="R490" s="520"/>
      <c r="U490" s="363" t="s">
        <v>842</v>
      </c>
      <c r="Y490" s="354" t="s">
        <v>851</v>
      </c>
      <c r="Z490" s="354" t="s">
        <v>753</v>
      </c>
    </row>
    <row r="491" spans="2:26" x14ac:dyDescent="0.2">
      <c r="B491" s="436" t="s">
        <v>212</v>
      </c>
      <c r="C491" s="437" t="s">
        <v>213</v>
      </c>
      <c r="D491" s="437" t="s">
        <v>616</v>
      </c>
      <c r="E491" s="437" t="s">
        <v>214</v>
      </c>
      <c r="F491" s="437" t="s">
        <v>617</v>
      </c>
      <c r="G491" s="437" t="s">
        <v>215</v>
      </c>
      <c r="H491" s="438" t="s">
        <v>164</v>
      </c>
      <c r="I491" s="435"/>
      <c r="J491" s="438" t="s">
        <v>216</v>
      </c>
      <c r="K491" s="435"/>
      <c r="L491" s="455" t="s">
        <v>722</v>
      </c>
      <c r="M491" s="820"/>
      <c r="N491" s="820"/>
      <c r="O491" s="476" t="s">
        <v>1203</v>
      </c>
      <c r="P491" s="299">
        <v>51000000001</v>
      </c>
      <c r="Q491" s="448" t="s">
        <v>835</v>
      </c>
      <c r="R491" s="822">
        <f>SUMIFS($J$494:$J$508,$E$494:$E$508,Q491,$M$494:$M$508,P491)</f>
        <v>0</v>
      </c>
      <c r="T491" s="354">
        <v>51000200001</v>
      </c>
      <c r="U491" s="354" t="s">
        <v>787</v>
      </c>
      <c r="X491" s="366">
        <v>-431.15999999999985</v>
      </c>
      <c r="Y491" s="366">
        <f>R494</f>
        <v>0</v>
      </c>
      <c r="Z491" s="450">
        <v>0</v>
      </c>
    </row>
    <row r="492" spans="2:26" x14ac:dyDescent="0.2">
      <c r="B492" s="439"/>
      <c r="C492" s="440"/>
      <c r="D492" s="440"/>
      <c r="E492" s="439"/>
      <c r="F492" s="439"/>
      <c r="G492" s="439"/>
      <c r="H492" s="441" t="s">
        <v>723</v>
      </c>
      <c r="I492" s="442" t="s">
        <v>724</v>
      </c>
      <c r="J492" s="456" t="s">
        <v>725</v>
      </c>
      <c r="K492" s="456" t="s">
        <v>157</v>
      </c>
      <c r="L492" s="457" t="s">
        <v>164</v>
      </c>
      <c r="M492" s="820"/>
      <c r="N492" s="820"/>
      <c r="O492" s="476" t="s">
        <v>1203</v>
      </c>
      <c r="P492" s="299">
        <v>51000000002</v>
      </c>
      <c r="Q492" s="448" t="s">
        <v>835</v>
      </c>
      <c r="R492" s="822">
        <f t="shared" ref="R492:R511" si="43">SUMIFS($J$494:$J$508,$E$494:$E$508,Q492,$M$494:$M$508,P492)</f>
        <v>0</v>
      </c>
      <c r="T492" s="354">
        <v>51000200002</v>
      </c>
      <c r="U492" s="354" t="s">
        <v>788</v>
      </c>
      <c r="X492" s="366">
        <v>-431.15999999999985</v>
      </c>
      <c r="Y492" s="366">
        <f>R496</f>
        <v>0</v>
      </c>
      <c r="Z492" s="450">
        <v>0</v>
      </c>
    </row>
    <row r="493" spans="2:26" x14ac:dyDescent="0.2">
      <c r="B493" s="443"/>
      <c r="C493" s="444"/>
      <c r="D493" s="444"/>
      <c r="E493" s="445"/>
      <c r="F493" s="446"/>
      <c r="G493" s="821"/>
      <c r="H493" s="822"/>
      <c r="I493" s="822"/>
      <c r="J493" s="822"/>
      <c r="K493" s="822"/>
      <c r="L493" s="822"/>
      <c r="M493" s="823"/>
      <c r="N493" s="823"/>
      <c r="O493" s="476" t="s">
        <v>1203</v>
      </c>
      <c r="P493" s="299">
        <v>51000100001</v>
      </c>
      <c r="Q493" s="448" t="s">
        <v>835</v>
      </c>
      <c r="R493" s="822">
        <f t="shared" si="43"/>
        <v>0</v>
      </c>
      <c r="T493" s="354">
        <v>51000100001</v>
      </c>
      <c r="U493" s="366" t="s">
        <v>12</v>
      </c>
      <c r="X493" s="366">
        <v>-1753.7200000000012</v>
      </c>
    </row>
    <row r="494" spans="2:26" x14ac:dyDescent="0.2">
      <c r="B494" s="941" t="s">
        <v>1224</v>
      </c>
      <c r="C494" s="444" t="s">
        <v>1225</v>
      </c>
      <c r="D494" s="444" t="s">
        <v>834</v>
      </c>
      <c r="E494" s="448" t="str">
        <f>+VLOOKUP(F494,[5]bd!A:B,2,0)</f>
        <v>CITIBANK, N.A. SUCURSAL EL SALVADOR</v>
      </c>
      <c r="F494" s="448" t="s">
        <v>726</v>
      </c>
      <c r="G494" s="821"/>
      <c r="H494" s="822"/>
      <c r="I494" s="822"/>
      <c r="J494" s="708">
        <v>1753.72</v>
      </c>
      <c r="K494" s="449">
        <v>227.98</v>
      </c>
      <c r="L494" s="822">
        <f t="shared" ref="L494:L501" si="44">+J494+K494</f>
        <v>1981.7</v>
      </c>
      <c r="M494" s="823"/>
      <c r="N494" s="823"/>
      <c r="O494" s="476" t="s">
        <v>1203</v>
      </c>
      <c r="P494" s="299">
        <v>51000100001</v>
      </c>
      <c r="Q494" s="448" t="s">
        <v>864</v>
      </c>
      <c r="R494" s="822">
        <f t="shared" si="43"/>
        <v>0</v>
      </c>
      <c r="T494" s="354">
        <v>51000100002</v>
      </c>
      <c r="U494" s="366" t="s">
        <v>786</v>
      </c>
      <c r="X494" s="366">
        <v>-1096.0699999999997</v>
      </c>
    </row>
    <row r="495" spans="2:26" x14ac:dyDescent="0.2">
      <c r="B495" s="447">
        <v>43441</v>
      </c>
      <c r="C495" s="444" t="s">
        <v>1226</v>
      </c>
      <c r="D495" s="444" t="s">
        <v>834</v>
      </c>
      <c r="E495" s="448" t="str">
        <f>+VLOOKUP(F495,[5]bd!A:B,2,0)</f>
        <v>CITIBANK, N.A. SUCURSAL EL SALVADOR</v>
      </c>
      <c r="F495" s="448" t="s">
        <v>726</v>
      </c>
      <c r="G495" s="448"/>
      <c r="H495" s="822"/>
      <c r="I495" s="822"/>
      <c r="J495" s="708">
        <v>1096.07</v>
      </c>
      <c r="K495" s="449">
        <v>142.49</v>
      </c>
      <c r="L495" s="822">
        <f t="shared" si="44"/>
        <v>1238.56</v>
      </c>
      <c r="M495" s="823"/>
      <c r="N495" s="823"/>
      <c r="O495" s="476" t="s">
        <v>1203</v>
      </c>
      <c r="P495" s="299">
        <v>51000100002</v>
      </c>
      <c r="Q495" s="448" t="s">
        <v>835</v>
      </c>
      <c r="R495" s="822">
        <f t="shared" si="43"/>
        <v>0</v>
      </c>
      <c r="T495" s="354">
        <v>51220200001</v>
      </c>
      <c r="U495" s="354" t="s">
        <v>96</v>
      </c>
      <c r="X495" s="366">
        <v>-1553.75</v>
      </c>
      <c r="Y495" s="366">
        <f>R503+R510</f>
        <v>1487.28</v>
      </c>
      <c r="Z495" s="450">
        <f>X495+Y495</f>
        <v>-66.470000000000027</v>
      </c>
    </row>
    <row r="496" spans="2:26" x14ac:dyDescent="0.2">
      <c r="B496" s="447">
        <v>43444</v>
      </c>
      <c r="C496" s="444" t="s">
        <v>1227</v>
      </c>
      <c r="D496" s="444" t="s">
        <v>834</v>
      </c>
      <c r="E496" s="557" t="str">
        <f>+VLOOKUP(F496,[5]bd!A:B,2,0)</f>
        <v>BANCO CUSCATLAN DE EL SALVADOR S.A.</v>
      </c>
      <c r="F496" s="557" t="s">
        <v>158</v>
      </c>
      <c r="G496" s="560"/>
      <c r="H496" s="558"/>
      <c r="I496" s="558"/>
      <c r="J496" s="558">
        <v>109.59</v>
      </c>
      <c r="K496" s="559">
        <v>14.25</v>
      </c>
      <c r="L496" s="558">
        <f t="shared" si="44"/>
        <v>123.84</v>
      </c>
      <c r="M496" s="839">
        <v>51000200002</v>
      </c>
      <c r="N496" s="823"/>
      <c r="O496" s="476" t="s">
        <v>1203</v>
      </c>
      <c r="P496" s="299">
        <v>51000100002</v>
      </c>
      <c r="Q496" s="448" t="s">
        <v>864</v>
      </c>
      <c r="R496" s="822">
        <f t="shared" si="43"/>
        <v>0</v>
      </c>
      <c r="T496" s="942">
        <v>52200000001</v>
      </c>
      <c r="U496" s="942" t="s">
        <v>66</v>
      </c>
      <c r="V496" s="942"/>
      <c r="W496" s="942"/>
      <c r="X496" s="943">
        <v>-1334.5699999999997</v>
      </c>
      <c r="Y496" s="366">
        <f>R504+R511</f>
        <v>0</v>
      </c>
      <c r="Z496" s="450">
        <v>0</v>
      </c>
    </row>
    <row r="497" spans="2:26" x14ac:dyDescent="0.2">
      <c r="B497" s="447">
        <v>43444</v>
      </c>
      <c r="C497" s="444" t="s">
        <v>1228</v>
      </c>
      <c r="D497" s="444" t="s">
        <v>834</v>
      </c>
      <c r="E497" s="557" t="str">
        <f>+VLOOKUP(F497,[5]bd!A:B,2,0)</f>
        <v>BANCO CUSCATLAN DE EL SALVADOR S.A.</v>
      </c>
      <c r="F497" s="557" t="s">
        <v>158</v>
      </c>
      <c r="G497" s="560"/>
      <c r="H497" s="558"/>
      <c r="I497" s="558"/>
      <c r="J497" s="558">
        <v>109.59</v>
      </c>
      <c r="K497" s="559">
        <v>14.25</v>
      </c>
      <c r="L497" s="558">
        <f t="shared" si="44"/>
        <v>123.84</v>
      </c>
      <c r="M497" s="839">
        <v>51000200001</v>
      </c>
      <c r="N497" s="823"/>
      <c r="O497" s="476" t="s">
        <v>1203</v>
      </c>
      <c r="P497" s="716">
        <v>51000200001</v>
      </c>
      <c r="Q497" s="706" t="s">
        <v>835</v>
      </c>
      <c r="R497" s="822">
        <f t="shared" si="43"/>
        <v>397.26</v>
      </c>
      <c r="X497" s="575">
        <v>0</v>
      </c>
      <c r="Y497" s="366">
        <v>0</v>
      </c>
      <c r="Z497" s="450">
        <v>0</v>
      </c>
    </row>
    <row r="498" spans="2:26" x14ac:dyDescent="0.2">
      <c r="B498" s="447">
        <v>43445</v>
      </c>
      <c r="C498" s="444" t="s">
        <v>1229</v>
      </c>
      <c r="D498" s="444" t="s">
        <v>834</v>
      </c>
      <c r="E498" s="557" t="str">
        <f>+VLOOKUP(F498,[5]bd!A:B,2,0)</f>
        <v>BANCO CUSCATLAN DE EL SALVADOR S.A.</v>
      </c>
      <c r="F498" s="557" t="s">
        <v>158</v>
      </c>
      <c r="G498" s="557"/>
      <c r="H498" s="558"/>
      <c r="I498" s="558"/>
      <c r="J498" s="558">
        <v>95.89</v>
      </c>
      <c r="K498" s="559">
        <v>12.47</v>
      </c>
      <c r="L498" s="558">
        <f t="shared" si="44"/>
        <v>108.36</v>
      </c>
      <c r="M498" s="839">
        <v>51000200002</v>
      </c>
      <c r="N498" s="823"/>
      <c r="O498" s="476" t="s">
        <v>1203</v>
      </c>
      <c r="P498" s="299">
        <v>51000200001</v>
      </c>
      <c r="Q498" s="448" t="s">
        <v>780</v>
      </c>
      <c r="R498" s="822">
        <f t="shared" si="43"/>
        <v>0</v>
      </c>
      <c r="X498" s="521">
        <v>0</v>
      </c>
      <c r="Y498" s="521">
        <f>R506+R513</f>
        <v>0</v>
      </c>
      <c r="Z498" s="517">
        <v>0</v>
      </c>
    </row>
    <row r="499" spans="2:26" x14ac:dyDescent="0.2">
      <c r="B499" s="447">
        <v>43445</v>
      </c>
      <c r="C499" s="444" t="s">
        <v>1230</v>
      </c>
      <c r="D499" s="444" t="s">
        <v>834</v>
      </c>
      <c r="E499" s="557" t="str">
        <f>+VLOOKUP(F499,[5]bd!A:B,2,0)</f>
        <v>BANCO CUSCATLAN DE EL SALVADOR S.A.</v>
      </c>
      <c r="F499" s="557" t="s">
        <v>158</v>
      </c>
      <c r="G499" s="557"/>
      <c r="H499" s="558"/>
      <c r="I499" s="558"/>
      <c r="J499" s="558">
        <v>95.89</v>
      </c>
      <c r="K499" s="559">
        <v>12.47</v>
      </c>
      <c r="L499" s="558">
        <f t="shared" si="44"/>
        <v>108.36</v>
      </c>
      <c r="M499" s="839">
        <v>51000200001</v>
      </c>
      <c r="N499" s="823"/>
      <c r="O499" s="476" t="s">
        <v>1203</v>
      </c>
      <c r="P499" s="299">
        <v>51000200001</v>
      </c>
      <c r="Q499" s="448" t="s">
        <v>97</v>
      </c>
      <c r="R499" s="822">
        <f t="shared" si="43"/>
        <v>0</v>
      </c>
      <c r="X499" s="507">
        <f>SUM(X491:X495)</f>
        <v>-5265.8600000000006</v>
      </c>
      <c r="Y499" s="507">
        <f>SUM(Y491:Y498)</f>
        <v>1487.28</v>
      </c>
      <c r="Z499" s="507">
        <f>SUM(Z491:Z498)</f>
        <v>-66.470000000000027</v>
      </c>
    </row>
    <row r="500" spans="2:26" x14ac:dyDescent="0.2">
      <c r="B500" s="447">
        <v>43447</v>
      </c>
      <c r="C500" s="444" t="s">
        <v>1231</v>
      </c>
      <c r="D500" s="444" t="s">
        <v>834</v>
      </c>
      <c r="E500" s="557" t="str">
        <f>+VLOOKUP(F500,[5]bd!A:B,2,0)</f>
        <v>BANCO CUSCATLAN DE EL SALVADOR S.A.</v>
      </c>
      <c r="F500" s="557" t="s">
        <v>158</v>
      </c>
      <c r="G500" s="557"/>
      <c r="H500" s="558"/>
      <c r="I500" s="558"/>
      <c r="J500" s="558">
        <v>95.89</v>
      </c>
      <c r="K500" s="559">
        <v>12.47</v>
      </c>
      <c r="L500" s="558">
        <f t="shared" si="44"/>
        <v>108.36</v>
      </c>
      <c r="M500" s="839">
        <v>51000200002</v>
      </c>
      <c r="N500" s="823"/>
      <c r="O500" s="476" t="s">
        <v>1203</v>
      </c>
      <c r="P500" s="716">
        <v>51000200002</v>
      </c>
      <c r="Q500" s="706" t="s">
        <v>835</v>
      </c>
      <c r="R500" s="822">
        <f t="shared" si="43"/>
        <v>397.26</v>
      </c>
      <c r="U500" s="366"/>
    </row>
    <row r="501" spans="2:26" x14ac:dyDescent="0.2">
      <c r="B501" s="447">
        <v>43447</v>
      </c>
      <c r="C501" s="444" t="s">
        <v>1232</v>
      </c>
      <c r="D501" s="444" t="s">
        <v>834</v>
      </c>
      <c r="E501" s="557" t="str">
        <f>+VLOOKUP(F501,[5]bd!A:B,2,0)</f>
        <v>BANCO CUSCATLAN DE EL SALVADOR S.A.</v>
      </c>
      <c r="F501" s="557" t="s">
        <v>158</v>
      </c>
      <c r="G501" s="557"/>
      <c r="H501" s="558"/>
      <c r="I501" s="558"/>
      <c r="J501" s="558">
        <v>95.89</v>
      </c>
      <c r="K501" s="559">
        <v>12.47</v>
      </c>
      <c r="L501" s="558">
        <f t="shared" si="44"/>
        <v>108.36</v>
      </c>
      <c r="M501" s="839">
        <v>51000200001</v>
      </c>
      <c r="N501" s="823"/>
      <c r="O501" s="476" t="s">
        <v>1203</v>
      </c>
      <c r="P501" s="299">
        <v>51000200002</v>
      </c>
      <c r="Q501" s="448" t="s">
        <v>780</v>
      </c>
      <c r="R501" s="822">
        <f t="shared" si="43"/>
        <v>0</v>
      </c>
      <c r="U501" s="366"/>
    </row>
    <row r="502" spans="2:26" x14ac:dyDescent="0.2">
      <c r="B502" s="447">
        <v>43448</v>
      </c>
      <c r="C502" s="444" t="s">
        <v>1233</v>
      </c>
      <c r="D502" s="444" t="s">
        <v>834</v>
      </c>
      <c r="E502" s="557" t="str">
        <f>+VLOOKUP(F502,[5]bd!A:B,2,0)</f>
        <v>BANCO CUSCATLAN DE EL SALVADOR S.A.</v>
      </c>
      <c r="F502" s="557" t="s">
        <v>158</v>
      </c>
      <c r="G502" s="557"/>
      <c r="H502" s="558"/>
      <c r="I502" s="558"/>
      <c r="J502" s="558">
        <v>95.89</v>
      </c>
      <c r="K502" s="559">
        <v>12.47</v>
      </c>
      <c r="L502" s="558">
        <f>+J502+K502</f>
        <v>108.36</v>
      </c>
      <c r="M502" s="839">
        <v>51000200002</v>
      </c>
      <c r="N502" s="823"/>
      <c r="O502" s="476" t="s">
        <v>1203</v>
      </c>
      <c r="P502" s="299">
        <v>51000200002</v>
      </c>
      <c r="Q502" s="448" t="s">
        <v>97</v>
      </c>
      <c r="R502" s="822">
        <f t="shared" si="43"/>
        <v>0</v>
      </c>
      <c r="U502" s="366"/>
      <c r="Z502" s="450"/>
    </row>
    <row r="503" spans="2:26" x14ac:dyDescent="0.2">
      <c r="B503" s="447">
        <v>43448</v>
      </c>
      <c r="C503" s="444" t="s">
        <v>1234</v>
      </c>
      <c r="D503" s="444" t="s">
        <v>834</v>
      </c>
      <c r="E503" s="557" t="str">
        <f>+VLOOKUP(F503,[5]bd!A:B,2,0)</f>
        <v>BANCO CUSCATLAN DE EL SALVADOR S.A.</v>
      </c>
      <c r="F503" s="557" t="s">
        <v>158</v>
      </c>
      <c r="G503" s="557"/>
      <c r="H503" s="558"/>
      <c r="I503" s="558"/>
      <c r="J503" s="558">
        <v>95.89</v>
      </c>
      <c r="K503" s="559">
        <v>12.47</v>
      </c>
      <c r="L503" s="558">
        <f t="shared" ref="L503:L519" si="45">+J503+K503</f>
        <v>108.36</v>
      </c>
      <c r="M503" s="839">
        <v>51000200001</v>
      </c>
      <c r="N503" s="823"/>
      <c r="O503" s="476" t="s">
        <v>1203</v>
      </c>
      <c r="P503" s="716">
        <v>51220200001</v>
      </c>
      <c r="Q503" s="706" t="s">
        <v>835</v>
      </c>
      <c r="R503" s="822">
        <f t="shared" si="43"/>
        <v>1141.26</v>
      </c>
      <c r="U503" s="366"/>
    </row>
    <row r="504" spans="2:26" x14ac:dyDescent="0.2">
      <c r="B504" s="447">
        <v>43451</v>
      </c>
      <c r="C504" s="444" t="s">
        <v>1235</v>
      </c>
      <c r="D504" s="444" t="s">
        <v>834</v>
      </c>
      <c r="E504" s="448" t="str">
        <f>+VLOOKUP(F504,[5]bd!A:B,2,0)</f>
        <v>CITIBANK, N.A. SUCURSAL EL SALVADOR</v>
      </c>
      <c r="F504" s="448" t="s">
        <v>726</v>
      </c>
      <c r="G504" s="448"/>
      <c r="H504" s="822"/>
      <c r="I504" s="822"/>
      <c r="J504" s="708">
        <v>64.88</v>
      </c>
      <c r="K504" s="511">
        <v>8.43</v>
      </c>
      <c r="L504" s="822">
        <f t="shared" si="45"/>
        <v>73.31</v>
      </c>
      <c r="M504" s="823"/>
      <c r="N504" s="823"/>
      <c r="O504" s="476" t="s">
        <v>1203</v>
      </c>
      <c r="P504" s="299">
        <v>51220200001</v>
      </c>
      <c r="Q504" s="448" t="s">
        <v>780</v>
      </c>
      <c r="R504" s="822">
        <f t="shared" si="43"/>
        <v>0</v>
      </c>
    </row>
    <row r="505" spans="2:26" x14ac:dyDescent="0.2">
      <c r="B505" s="447">
        <v>43451</v>
      </c>
      <c r="C505" s="444" t="s">
        <v>1236</v>
      </c>
      <c r="D505" s="444" t="s">
        <v>834</v>
      </c>
      <c r="E505" s="557" t="str">
        <f>+VLOOKUP(F505,[5]bd!A:B,2,0)</f>
        <v>BANCO CUSCATLAN DE EL SALVADOR S.A.</v>
      </c>
      <c r="F505" s="557" t="s">
        <v>158</v>
      </c>
      <c r="G505" s="557"/>
      <c r="H505" s="558"/>
      <c r="I505" s="558"/>
      <c r="J505" s="558">
        <v>1141.26</v>
      </c>
      <c r="K505" s="559">
        <v>148.36000000000001</v>
      </c>
      <c r="L505" s="558">
        <f t="shared" si="45"/>
        <v>1289.6199999999999</v>
      </c>
      <c r="M505" s="839">
        <v>51220200001</v>
      </c>
      <c r="N505" s="823"/>
      <c r="O505" s="476" t="s">
        <v>1203</v>
      </c>
      <c r="P505" s="299">
        <v>51220200001</v>
      </c>
      <c r="Q505" s="448" t="s">
        <v>97</v>
      </c>
      <c r="R505" s="822">
        <f t="shared" si="43"/>
        <v>0</v>
      </c>
    </row>
    <row r="506" spans="2:26" x14ac:dyDescent="0.2">
      <c r="B506" s="447">
        <v>43451</v>
      </c>
      <c r="C506" s="444" t="s">
        <v>1237</v>
      </c>
      <c r="D506" s="444" t="s">
        <v>834</v>
      </c>
      <c r="E506" s="557" t="str">
        <f>+VLOOKUP(F506,[5]bd!A:B,2,0)</f>
        <v>INVERSIONES FINANCIERAS IMPERIA CUSCATLAN, SA</v>
      </c>
      <c r="F506" s="557" t="s">
        <v>865</v>
      </c>
      <c r="G506" s="557"/>
      <c r="H506" s="558"/>
      <c r="I506" s="558"/>
      <c r="J506" s="558">
        <v>346.02</v>
      </c>
      <c r="K506" s="559">
        <v>44.98</v>
      </c>
      <c r="L506" s="558">
        <f t="shared" si="45"/>
        <v>391</v>
      </c>
      <c r="M506" s="839">
        <v>51220200001</v>
      </c>
      <c r="N506" s="823"/>
      <c r="O506" s="476" t="s">
        <v>1203</v>
      </c>
      <c r="P506" s="299">
        <v>52200000001</v>
      </c>
      <c r="Q506" s="448" t="s">
        <v>835</v>
      </c>
      <c r="R506" s="822">
        <f t="shared" si="43"/>
        <v>0</v>
      </c>
      <c r="W506" s="363" t="s">
        <v>850</v>
      </c>
      <c r="X506" s="450">
        <f>+X492+X495+X491+X497+X498+X493+X494</f>
        <v>-5265.8600000000006</v>
      </c>
    </row>
    <row r="507" spans="2:26" x14ac:dyDescent="0.2">
      <c r="B507" s="447">
        <v>43455</v>
      </c>
      <c r="C507" s="444" t="s">
        <v>1238</v>
      </c>
      <c r="D507" s="444" t="s">
        <v>834</v>
      </c>
      <c r="E507" s="448" t="str">
        <f>+VLOOKUP(F507,[5]bd!A:B,2,0)</f>
        <v>CITIBANK, N.A. SUCURSAL EL SALVADOR</v>
      </c>
      <c r="F507" s="410" t="s">
        <v>726</v>
      </c>
      <c r="G507" s="821"/>
      <c r="H507" s="822"/>
      <c r="I507" s="822"/>
      <c r="J507" s="708">
        <v>33.9</v>
      </c>
      <c r="K507" s="511">
        <v>4.41</v>
      </c>
      <c r="L507" s="822">
        <f>+J507+K507</f>
        <v>38.31</v>
      </c>
      <c r="M507" s="823"/>
      <c r="N507" s="823"/>
      <c r="O507" s="476" t="s">
        <v>1203</v>
      </c>
      <c r="P507" s="299">
        <v>52200000001</v>
      </c>
      <c r="Q507" s="448" t="s">
        <v>780</v>
      </c>
      <c r="R507" s="822">
        <f t="shared" si="43"/>
        <v>0</v>
      </c>
      <c r="W507" s="354" t="s">
        <v>852</v>
      </c>
      <c r="X507" s="450">
        <f>R512</f>
        <v>2281.8000000000002</v>
      </c>
    </row>
    <row r="508" spans="2:26" x14ac:dyDescent="0.2">
      <c r="B508" s="447">
        <v>43455</v>
      </c>
      <c r="C508" s="444" t="s">
        <v>1239</v>
      </c>
      <c r="D508" s="444" t="s">
        <v>834</v>
      </c>
      <c r="E508" s="448" t="str">
        <f>+VLOOKUP(F508,[5]bd!A:B,2,0)</f>
        <v>CITIBANK, N.A. SUCURSAL EL SALVADOR</v>
      </c>
      <c r="F508" s="410" t="s">
        <v>726</v>
      </c>
      <c r="G508" s="821"/>
      <c r="H508" s="822"/>
      <c r="I508" s="822"/>
      <c r="J508" s="708">
        <v>33.9</v>
      </c>
      <c r="K508" s="511">
        <v>4.41</v>
      </c>
      <c r="L508" s="822">
        <f>+J508+K508</f>
        <v>38.31</v>
      </c>
      <c r="M508" s="823"/>
      <c r="N508" s="823"/>
      <c r="O508" s="476" t="s">
        <v>1203</v>
      </c>
      <c r="P508" s="299">
        <v>52200000001</v>
      </c>
      <c r="Q508" s="448" t="s">
        <v>97</v>
      </c>
      <c r="R508" s="822">
        <f t="shared" si="43"/>
        <v>0</v>
      </c>
      <c r="W508" s="354" t="s">
        <v>855</v>
      </c>
      <c r="X508" s="517">
        <f>+J494+J495+J504+J507+J508</f>
        <v>2982.4700000000003</v>
      </c>
    </row>
    <row r="509" spans="2:26" x14ac:dyDescent="0.2">
      <c r="B509" s="447"/>
      <c r="C509" s="444"/>
      <c r="D509" s="444"/>
      <c r="E509" s="448"/>
      <c r="F509" s="448"/>
      <c r="G509" s="821"/>
      <c r="H509" s="822"/>
      <c r="I509" s="822"/>
      <c r="J509" s="822"/>
      <c r="K509" s="449"/>
      <c r="L509" s="822">
        <f t="shared" ref="L509:L513" si="46">+J509+K509</f>
        <v>0</v>
      </c>
      <c r="M509" s="823"/>
      <c r="N509" s="823"/>
      <c r="O509" s="476" t="s">
        <v>1203</v>
      </c>
      <c r="P509" s="299">
        <v>52200000001</v>
      </c>
      <c r="Q509" s="448" t="s">
        <v>835</v>
      </c>
      <c r="R509" s="822">
        <f t="shared" si="43"/>
        <v>0</v>
      </c>
      <c r="X509" s="944">
        <f>X506+X507+X508</f>
        <v>-1.5900000000001455</v>
      </c>
      <c r="Y509" s="354" t="s">
        <v>870</v>
      </c>
    </row>
    <row r="510" spans="2:26" x14ac:dyDescent="0.2">
      <c r="B510" s="447"/>
      <c r="C510" s="444"/>
      <c r="D510" s="444"/>
      <c r="E510" s="448"/>
      <c r="F510" s="448"/>
      <c r="G510" s="821"/>
      <c r="H510" s="822"/>
      <c r="I510" s="822"/>
      <c r="J510" s="822"/>
      <c r="K510" s="449"/>
      <c r="L510" s="822">
        <f t="shared" si="46"/>
        <v>0</v>
      </c>
      <c r="M510" s="823"/>
      <c r="N510" s="823"/>
      <c r="O510" s="476" t="s">
        <v>1203</v>
      </c>
      <c r="P510" s="716">
        <v>51220200001</v>
      </c>
      <c r="Q510" s="706" t="s">
        <v>864</v>
      </c>
      <c r="R510" s="822">
        <f t="shared" si="43"/>
        <v>346.02</v>
      </c>
      <c r="X510" s="354">
        <v>1.59</v>
      </c>
    </row>
    <row r="511" spans="2:26" x14ac:dyDescent="0.2">
      <c r="B511" s="447"/>
      <c r="C511" s="444"/>
      <c r="D511" s="444"/>
      <c r="E511" s="448"/>
      <c r="F511" s="448"/>
      <c r="G511" s="821"/>
      <c r="H511" s="822"/>
      <c r="I511" s="822"/>
      <c r="J511" s="822"/>
      <c r="K511" s="449"/>
      <c r="L511" s="822">
        <f t="shared" si="46"/>
        <v>0</v>
      </c>
      <c r="M511" s="823"/>
      <c r="N511" s="823"/>
      <c r="O511" s="476" t="s">
        <v>1203</v>
      </c>
      <c r="P511" s="299">
        <v>53000100001</v>
      </c>
      <c r="Q511" s="448" t="s">
        <v>835</v>
      </c>
      <c r="R511" s="822">
        <f t="shared" si="43"/>
        <v>0</v>
      </c>
    </row>
    <row r="512" spans="2:26" ht="13.5" thickBot="1" x14ac:dyDescent="0.25">
      <c r="B512" s="447"/>
      <c r="C512" s="444"/>
      <c r="D512" s="444"/>
      <c r="E512" s="448"/>
      <c r="F512" s="448"/>
      <c r="G512" s="821"/>
      <c r="H512" s="822"/>
      <c r="I512" s="822"/>
      <c r="J512" s="822"/>
      <c r="K512" s="449"/>
      <c r="L512" s="822">
        <f t="shared" si="46"/>
        <v>0</v>
      </c>
      <c r="M512" s="823"/>
      <c r="N512" s="823"/>
      <c r="O512" s="819"/>
      <c r="P512" s="819"/>
      <c r="R512" s="838">
        <f>SUM(R491:R511)</f>
        <v>2281.8000000000002</v>
      </c>
    </row>
    <row r="513" spans="2:14" ht="13.5" thickTop="1" x14ac:dyDescent="0.2">
      <c r="B513" s="447"/>
      <c r="C513" s="444"/>
      <c r="D513" s="444"/>
      <c r="E513" s="448"/>
      <c r="F513" s="448"/>
      <c r="G513" s="821"/>
      <c r="H513" s="822"/>
      <c r="I513" s="822"/>
      <c r="J513" s="822"/>
      <c r="K513" s="449"/>
      <c r="L513" s="822">
        <f t="shared" si="46"/>
        <v>0</v>
      </c>
      <c r="M513" s="823"/>
      <c r="N513" s="823"/>
    </row>
    <row r="514" spans="2:14" x14ac:dyDescent="0.2">
      <c r="B514" s="447"/>
      <c r="C514" s="444"/>
      <c r="D514" s="444"/>
      <c r="E514" s="448"/>
      <c r="F514" s="448"/>
      <c r="G514" s="821"/>
      <c r="H514" s="822"/>
      <c r="I514" s="822"/>
      <c r="J514" s="822"/>
      <c r="K514" s="449"/>
      <c r="L514" s="822">
        <f t="shared" si="45"/>
        <v>0</v>
      </c>
      <c r="M514" s="823"/>
      <c r="N514" s="823"/>
    </row>
    <row r="515" spans="2:14" x14ac:dyDescent="0.2">
      <c r="B515" s="447"/>
      <c r="C515" s="444"/>
      <c r="D515" s="444"/>
      <c r="E515" s="448"/>
      <c r="F515" s="448"/>
      <c r="G515" s="448"/>
      <c r="H515" s="822"/>
      <c r="I515" s="822"/>
      <c r="J515" s="822"/>
      <c r="K515" s="449"/>
      <c r="L515" s="822">
        <f t="shared" si="45"/>
        <v>0</v>
      </c>
      <c r="M515" s="823"/>
      <c r="N515" s="823"/>
    </row>
    <row r="516" spans="2:14" x14ac:dyDescent="0.2">
      <c r="B516" s="447"/>
      <c r="C516" s="444"/>
      <c r="D516" s="444"/>
      <c r="E516" s="448"/>
      <c r="F516" s="448"/>
      <c r="G516" s="448"/>
      <c r="H516" s="822"/>
      <c r="I516" s="822"/>
      <c r="J516" s="822"/>
      <c r="K516" s="449"/>
      <c r="L516" s="822">
        <f t="shared" si="45"/>
        <v>0</v>
      </c>
      <c r="M516" s="823"/>
      <c r="N516" s="823"/>
    </row>
    <row r="517" spans="2:14" x14ac:dyDescent="0.2">
      <c r="B517" s="447"/>
      <c r="C517" s="444" t="s">
        <v>1004</v>
      </c>
      <c r="D517" s="444"/>
      <c r="E517" s="448"/>
      <c r="F517" s="420">
        <v>0</v>
      </c>
      <c r="G517" s="506"/>
      <c r="H517" s="506"/>
      <c r="I517" s="506"/>
      <c r="J517" s="822">
        <v>0</v>
      </c>
      <c r="K517" s="449">
        <v>0</v>
      </c>
      <c r="L517" s="822">
        <f t="shared" si="45"/>
        <v>0</v>
      </c>
      <c r="M517" s="823"/>
      <c r="N517" s="823"/>
    </row>
    <row r="518" spans="2:14" x14ac:dyDescent="0.2">
      <c r="B518" s="447"/>
      <c r="C518" s="444"/>
      <c r="D518" s="444"/>
      <c r="E518" s="448" t="s">
        <v>916</v>
      </c>
      <c r="F518" s="420"/>
      <c r="G518" s="506"/>
      <c r="H518" s="506"/>
      <c r="I518" s="506"/>
      <c r="J518" s="506"/>
      <c r="K518" s="945">
        <v>-684.38</v>
      </c>
      <c r="L518" s="822">
        <f t="shared" si="45"/>
        <v>-684.38</v>
      </c>
      <c r="M518" s="823"/>
      <c r="N518" s="823"/>
    </row>
    <row r="519" spans="2:14" x14ac:dyDescent="0.2">
      <c r="B519" s="447"/>
      <c r="C519" s="444"/>
      <c r="D519" s="444"/>
      <c r="E519" s="448"/>
      <c r="F519" s="420"/>
      <c r="G519" s="506"/>
      <c r="H519" s="506"/>
      <c r="I519" s="506"/>
      <c r="J519" s="506"/>
      <c r="K519" s="449"/>
      <c r="L519" s="822">
        <f t="shared" si="45"/>
        <v>0</v>
      </c>
      <c r="M519" s="823"/>
      <c r="N519" s="823"/>
    </row>
    <row r="520" spans="2:14" x14ac:dyDescent="0.2">
      <c r="B520" s="447"/>
      <c r="C520" s="444"/>
      <c r="D520" s="444"/>
      <c r="E520" s="448"/>
      <c r="F520" s="420"/>
      <c r="G520" s="506"/>
      <c r="H520" s="506"/>
      <c r="I520" s="506"/>
      <c r="J520" s="506"/>
      <c r="K520" s="449"/>
      <c r="L520" s="822"/>
      <c r="M520" s="823"/>
      <c r="N520" s="823"/>
    </row>
    <row r="521" spans="2:14" x14ac:dyDescent="0.2">
      <c r="B521" s="447"/>
      <c r="C521" s="444"/>
      <c r="D521" s="444"/>
      <c r="E521" s="448"/>
      <c r="F521" s="420"/>
      <c r="G521" s="506"/>
      <c r="H521" s="506"/>
      <c r="I521" s="506"/>
      <c r="J521" s="506"/>
      <c r="K521" s="449"/>
      <c r="L521" s="822"/>
      <c r="M521" s="823"/>
      <c r="N521" s="823"/>
    </row>
    <row r="522" spans="2:14" x14ac:dyDescent="0.2">
      <c r="B522" s="420"/>
      <c r="C522" s="421"/>
      <c r="D522" s="421"/>
      <c r="E522" s="448"/>
      <c r="F522" s="420"/>
      <c r="G522" s="506"/>
      <c r="H522" s="506"/>
      <c r="I522" s="506"/>
      <c r="J522" s="506"/>
      <c r="K522" s="506"/>
      <c r="L522" s="506"/>
      <c r="M522" s="824"/>
      <c r="N522" s="824"/>
    </row>
    <row r="523" spans="2:14" x14ac:dyDescent="0.2">
      <c r="B523" s="512"/>
      <c r="C523" s="513"/>
      <c r="D523" s="513"/>
      <c r="E523" s="448"/>
      <c r="F523" s="512"/>
      <c r="G523" s="514"/>
      <c r="H523" s="514"/>
      <c r="I523" s="514"/>
      <c r="J523" s="514"/>
      <c r="K523" s="514"/>
      <c r="L523" s="514"/>
      <c r="M523" s="819"/>
      <c r="N523" s="819"/>
    </row>
    <row r="524" spans="2:14" x14ac:dyDescent="0.2">
      <c r="B524" s="420"/>
      <c r="C524" s="421"/>
      <c r="D524" s="421"/>
      <c r="E524" s="420"/>
      <c r="F524" s="420"/>
      <c r="G524" s="515">
        <f t="shared" ref="G524:I524" si="47">SUM(G493:G523)</f>
        <v>0</v>
      </c>
      <c r="H524" s="515">
        <f t="shared" si="47"/>
        <v>0</v>
      </c>
      <c r="I524" s="515">
        <f t="shared" si="47"/>
        <v>0</v>
      </c>
      <c r="J524" s="515">
        <f>SUM(J493:J523)</f>
        <v>5264.2699999999986</v>
      </c>
      <c r="K524" s="515">
        <f>SUM(K493:K523)</f>
        <v>0</v>
      </c>
      <c r="L524" s="515">
        <f>SUM(L493:L523)</f>
        <v>5264.2700000000023</v>
      </c>
      <c r="M524" s="819"/>
      <c r="N524" s="819"/>
    </row>
    <row r="525" spans="2:14" x14ac:dyDescent="0.2">
      <c r="B525" s="420"/>
      <c r="C525" s="421"/>
      <c r="D525" s="421"/>
      <c r="E525" s="420"/>
      <c r="F525" s="420"/>
      <c r="G525" s="596"/>
      <c r="H525" s="596"/>
      <c r="I525" s="596"/>
      <c r="J525" s="596"/>
      <c r="K525" s="596"/>
      <c r="L525" s="596"/>
      <c r="M525" s="819"/>
      <c r="N525" s="819"/>
    </row>
    <row r="526" spans="2:14" x14ac:dyDescent="0.2">
      <c r="B526" s="420"/>
      <c r="C526" s="421"/>
      <c r="D526" s="421"/>
      <c r="E526" s="420"/>
      <c r="F526" s="420"/>
      <c r="G526" s="596"/>
      <c r="H526" s="596"/>
      <c r="I526" s="596"/>
      <c r="J526" s="596"/>
      <c r="K526" s="596"/>
      <c r="L526" s="596"/>
      <c r="M526" s="819"/>
      <c r="N526" s="819"/>
    </row>
    <row r="527" spans="2:14" x14ac:dyDescent="0.2">
      <c r="B527" s="420"/>
      <c r="C527" s="421"/>
      <c r="D527" s="421"/>
      <c r="E527" s="420"/>
      <c r="F527" s="420"/>
      <c r="G527" s="596"/>
      <c r="H527" s="596"/>
      <c r="I527" s="596"/>
      <c r="J527" s="596"/>
      <c r="K527" s="596"/>
      <c r="L527" s="596"/>
      <c r="M527" s="819"/>
      <c r="N527" s="819"/>
    </row>
    <row r="528" spans="2:14" x14ac:dyDescent="0.2">
      <c r="B528" s="420"/>
      <c r="C528" s="421"/>
      <c r="D528" s="421"/>
      <c r="E528" s="420"/>
      <c r="F528" s="420"/>
      <c r="G528" s="596"/>
      <c r="H528" s="596"/>
      <c r="I528" s="596"/>
      <c r="J528" s="596"/>
      <c r="K528" s="596"/>
      <c r="L528" s="596"/>
      <c r="M528" s="819"/>
      <c r="N528" s="819"/>
    </row>
    <row r="529" spans="2:14" x14ac:dyDescent="0.2">
      <c r="B529" s="420"/>
      <c r="C529" s="421"/>
      <c r="D529" s="421"/>
      <c r="E529" s="420"/>
      <c r="F529" s="420"/>
      <c r="G529" s="596"/>
      <c r="H529" s="596"/>
      <c r="I529" s="596"/>
      <c r="J529" s="596"/>
      <c r="K529" s="596"/>
      <c r="L529" s="596"/>
      <c r="M529" s="819"/>
      <c r="N529" s="819"/>
    </row>
    <row r="530" spans="2:14" x14ac:dyDescent="0.2">
      <c r="B530" s="420"/>
      <c r="C530" s="421"/>
      <c r="D530" s="421"/>
      <c r="E530" s="420"/>
      <c r="F530" s="420"/>
      <c r="G530" s="420"/>
      <c r="H530" s="420"/>
      <c r="I530" s="420"/>
      <c r="J530" s="420"/>
      <c r="K530" s="420"/>
      <c r="L530" s="420"/>
      <c r="M530" s="819"/>
      <c r="N530" s="819"/>
    </row>
    <row r="531" spans="2:14" x14ac:dyDescent="0.2">
      <c r="B531" s="420"/>
      <c r="C531" s="423" t="s">
        <v>1040</v>
      </c>
      <c r="D531" s="421"/>
      <c r="E531" s="421"/>
      <c r="F531" s="420"/>
      <c r="G531" s="420"/>
      <c r="H531" s="420"/>
      <c r="I531" s="423" t="s">
        <v>1041</v>
      </c>
      <c r="J531" s="420"/>
      <c r="K531" s="420"/>
      <c r="L531" s="420"/>
      <c r="M531" s="819"/>
      <c r="N531" s="819"/>
    </row>
    <row r="532" spans="2:14" x14ac:dyDescent="0.2">
      <c r="B532" s="420"/>
      <c r="C532" s="423"/>
      <c r="D532" s="421"/>
      <c r="E532" s="421"/>
      <c r="F532" s="420"/>
      <c r="G532" s="420"/>
      <c r="H532" s="420"/>
      <c r="I532" s="423"/>
      <c r="J532" s="420"/>
      <c r="K532" s="420"/>
      <c r="L532" s="420"/>
      <c r="M532" s="819"/>
      <c r="N532" s="819"/>
    </row>
    <row r="533" spans="2:14" x14ac:dyDescent="0.2">
      <c r="B533" s="420"/>
      <c r="C533" s="420" t="s">
        <v>215</v>
      </c>
      <c r="D533" s="421"/>
      <c r="E533" s="421"/>
      <c r="F533" s="420"/>
      <c r="G533" s="697">
        <v>0</v>
      </c>
      <c r="H533" s="420"/>
      <c r="I533" s="420" t="s">
        <v>215</v>
      </c>
      <c r="J533" s="420"/>
      <c r="K533" s="420"/>
      <c r="L533" s="697">
        <v>0</v>
      </c>
      <c r="M533" s="819"/>
      <c r="N533" s="819"/>
    </row>
    <row r="534" spans="2:14" x14ac:dyDescent="0.2">
      <c r="B534" s="420"/>
      <c r="C534" s="420"/>
      <c r="D534" s="421"/>
      <c r="E534" s="421"/>
      <c r="F534" s="420"/>
      <c r="G534" s="420"/>
      <c r="H534" s="420"/>
      <c r="I534" s="420"/>
      <c r="J534" s="420"/>
      <c r="K534" s="420"/>
      <c r="L534" s="420"/>
      <c r="M534" s="819"/>
      <c r="N534" s="819"/>
    </row>
    <row r="535" spans="2:14" x14ac:dyDescent="0.2">
      <c r="B535" s="420"/>
      <c r="C535" s="420" t="s">
        <v>1042</v>
      </c>
      <c r="D535" s="421"/>
      <c r="E535" s="421"/>
      <c r="F535" s="420"/>
      <c r="G535" s="697">
        <v>0</v>
      </c>
      <c r="H535" s="420"/>
      <c r="I535" s="420" t="s">
        <v>1042</v>
      </c>
      <c r="J535" s="420"/>
      <c r="K535" s="420"/>
      <c r="L535" s="697">
        <v>0</v>
      </c>
      <c r="M535" s="819"/>
      <c r="N535" s="819"/>
    </row>
    <row r="536" spans="2:14" x14ac:dyDescent="0.2">
      <c r="B536" s="420"/>
      <c r="C536" s="420"/>
      <c r="D536" s="421"/>
      <c r="E536" s="421"/>
      <c r="F536" s="420"/>
      <c r="G536" s="697"/>
      <c r="H536" s="420"/>
      <c r="I536" s="420"/>
      <c r="J536" s="420"/>
      <c r="K536" s="420"/>
      <c r="L536" s="697"/>
      <c r="M536" s="819"/>
      <c r="N536" s="819"/>
    </row>
    <row r="537" spans="2:14" x14ac:dyDescent="0.2">
      <c r="B537" s="420"/>
      <c r="C537" s="420"/>
      <c r="D537" s="421"/>
      <c r="E537" s="421"/>
      <c r="F537" s="420"/>
      <c r="G537" s="697"/>
      <c r="H537" s="420"/>
      <c r="I537" s="420"/>
      <c r="J537" s="420"/>
      <c r="K537" s="420"/>
      <c r="L537" s="697"/>
      <c r="M537" s="819"/>
      <c r="N537" s="819"/>
    </row>
    <row r="538" spans="2:14" x14ac:dyDescent="0.2">
      <c r="B538" s="420"/>
      <c r="C538" s="420" t="s">
        <v>1043</v>
      </c>
      <c r="D538" s="421"/>
      <c r="E538" s="421"/>
      <c r="F538" s="420"/>
      <c r="G538" s="697"/>
      <c r="H538" s="420"/>
      <c r="I538" s="420" t="s">
        <v>1043</v>
      </c>
      <c r="J538" s="420"/>
      <c r="K538" s="420"/>
      <c r="L538" s="697"/>
      <c r="M538" s="819"/>
      <c r="N538" s="819"/>
    </row>
    <row r="539" spans="2:14" x14ac:dyDescent="0.2">
      <c r="B539" s="420"/>
      <c r="C539" s="420" t="s">
        <v>216</v>
      </c>
      <c r="D539" s="421"/>
      <c r="E539" s="421"/>
      <c r="F539" s="420"/>
      <c r="G539" s="697">
        <f>+'[5]reportes consumidor final'!I518</f>
        <v>0</v>
      </c>
      <c r="H539" s="420"/>
      <c r="I539" s="420" t="s">
        <v>216</v>
      </c>
      <c r="J539" s="420"/>
      <c r="K539" s="420"/>
      <c r="L539" s="697">
        <f>+J524</f>
        <v>5264.2699999999986</v>
      </c>
      <c r="M539" s="819"/>
      <c r="N539" s="819"/>
    </row>
    <row r="540" spans="2:14" x14ac:dyDescent="0.2">
      <c r="B540" s="420"/>
      <c r="C540" s="420" t="s">
        <v>1044</v>
      </c>
      <c r="D540" s="421"/>
      <c r="E540" s="421"/>
      <c r="F540" s="420"/>
      <c r="G540" s="698">
        <f>+G539*0.13</f>
        <v>0</v>
      </c>
      <c r="H540" s="420"/>
      <c r="I540" s="420" t="s">
        <v>1044</v>
      </c>
      <c r="J540" s="420"/>
      <c r="K540" s="420"/>
      <c r="L540" s="698">
        <f>+K524</f>
        <v>0</v>
      </c>
      <c r="M540" s="819"/>
      <c r="N540" s="819"/>
    </row>
    <row r="541" spans="2:14" x14ac:dyDescent="0.2">
      <c r="B541" s="420"/>
      <c r="C541" s="420"/>
      <c r="D541" s="421"/>
      <c r="E541" s="421"/>
      <c r="F541" s="420"/>
      <c r="G541" s="697"/>
      <c r="H541" s="420"/>
      <c r="I541" s="420"/>
      <c r="J541" s="420"/>
      <c r="K541" s="420"/>
      <c r="L541" s="697"/>
      <c r="M541" s="819"/>
      <c r="N541" s="819"/>
    </row>
    <row r="542" spans="2:14" ht="13.5" thickBot="1" x14ac:dyDescent="0.25">
      <c r="B542" s="420"/>
      <c r="C542" s="420" t="s">
        <v>1045</v>
      </c>
      <c r="D542" s="421"/>
      <c r="E542" s="421"/>
      <c r="F542" s="420"/>
      <c r="G542" s="699">
        <f>SUM(G533:G540)</f>
        <v>0</v>
      </c>
      <c r="H542" s="420"/>
      <c r="I542" s="420" t="s">
        <v>1045</v>
      </c>
      <c r="J542" s="420"/>
      <c r="K542" s="420"/>
      <c r="L542" s="699">
        <f>SUM(L539:L541)</f>
        <v>5264.2699999999986</v>
      </c>
      <c r="M542" s="819"/>
      <c r="N542" s="819"/>
    </row>
    <row r="543" spans="2:14" ht="13.5" thickTop="1" x14ac:dyDescent="0.2">
      <c r="B543" s="420"/>
      <c r="C543" s="420"/>
      <c r="D543" s="421"/>
      <c r="E543" s="421"/>
      <c r="F543" s="420"/>
      <c r="G543" s="420"/>
      <c r="H543" s="420"/>
      <c r="I543" s="420"/>
      <c r="J543" s="420"/>
      <c r="K543" s="420"/>
      <c r="L543" s="420"/>
      <c r="M543" s="819"/>
      <c r="N543" s="819"/>
    </row>
    <row r="545" spans="1:28" ht="13.5" customHeight="1" x14ac:dyDescent="0.2"/>
    <row r="546" spans="1:28" ht="3.75" customHeight="1" x14ac:dyDescent="0.2">
      <c r="A546" s="841"/>
      <c r="B546" s="841"/>
      <c r="C546" s="842"/>
      <c r="D546" s="842"/>
      <c r="E546" s="841"/>
      <c r="F546" s="841"/>
      <c r="G546" s="841"/>
      <c r="H546" s="841"/>
      <c r="I546" s="841"/>
      <c r="J546" s="841"/>
      <c r="K546" s="841"/>
      <c r="L546" s="841"/>
      <c r="M546" s="843"/>
      <c r="N546" s="843"/>
      <c r="O546" s="843"/>
      <c r="P546" s="843"/>
      <c r="Q546" s="844"/>
      <c r="R546" s="844"/>
      <c r="S546" s="844"/>
      <c r="T546" s="844"/>
      <c r="U546" s="844"/>
      <c r="V546" s="844"/>
      <c r="W546" s="844"/>
      <c r="X546" s="844"/>
      <c r="Y546" s="844"/>
      <c r="Z546" s="844"/>
      <c r="AA546" s="844"/>
      <c r="AB546" s="844"/>
    </row>
    <row r="551" spans="1:28" x14ac:dyDescent="0.2">
      <c r="B551" s="714" t="s">
        <v>782</v>
      </c>
      <c r="C551" s="420"/>
      <c r="D551" s="420"/>
      <c r="E551" s="427"/>
      <c r="F551" s="428"/>
      <c r="G551" s="420"/>
      <c r="H551" s="420"/>
      <c r="I551" s="420"/>
      <c r="J551" s="420"/>
      <c r="K551" s="420"/>
      <c r="L551" s="420"/>
      <c r="M551" s="819"/>
      <c r="N551" s="819"/>
    </row>
    <row r="552" spans="1:28" x14ac:dyDescent="0.2">
      <c r="B552" s="715" t="s">
        <v>606</v>
      </c>
      <c r="C552" s="420"/>
      <c r="D552" s="420"/>
      <c r="E552" s="715"/>
      <c r="F552" s="428"/>
      <c r="G552" s="420"/>
      <c r="H552" s="420"/>
      <c r="I552" s="420"/>
      <c r="J552" s="420"/>
      <c r="K552" s="420"/>
      <c r="L552" s="420"/>
      <c r="M552" s="819"/>
      <c r="N552" s="819"/>
    </row>
    <row r="553" spans="1:28" x14ac:dyDescent="0.2">
      <c r="B553" s="721" t="s">
        <v>607</v>
      </c>
      <c r="C553" s="420"/>
      <c r="D553" s="420"/>
      <c r="E553" s="427"/>
      <c r="F553" s="720"/>
      <c r="G553" s="420"/>
      <c r="H553" s="420"/>
      <c r="I553" s="420"/>
      <c r="J553" s="420"/>
      <c r="K553" s="420"/>
      <c r="L553" s="420"/>
      <c r="M553" s="819"/>
      <c r="N553" s="819"/>
    </row>
    <row r="554" spans="1:28" x14ac:dyDescent="0.2">
      <c r="B554" s="721" t="s">
        <v>783</v>
      </c>
      <c r="C554" s="420"/>
      <c r="D554" s="420"/>
      <c r="E554" s="427"/>
      <c r="F554" s="428"/>
      <c r="G554" s="420"/>
      <c r="H554" s="420"/>
      <c r="I554" s="420"/>
      <c r="J554" s="420"/>
      <c r="K554" s="420"/>
      <c r="L554" s="420"/>
      <c r="M554" s="819"/>
      <c r="N554" s="819"/>
    </row>
    <row r="555" spans="1:28" x14ac:dyDescent="0.2">
      <c r="B555" s="719"/>
      <c r="C555" s="420"/>
      <c r="D555" s="420"/>
      <c r="E555" s="427"/>
      <c r="F555" s="428"/>
      <c r="G555" s="420"/>
      <c r="H555" s="420"/>
      <c r="I555" s="420"/>
      <c r="J555" s="420"/>
      <c r="K555" s="420"/>
      <c r="L555" s="420"/>
      <c r="M555" s="819"/>
      <c r="N555" s="819"/>
    </row>
    <row r="556" spans="1:28" ht="18" x14ac:dyDescent="0.25">
      <c r="B556" s="419" t="s">
        <v>833</v>
      </c>
      <c r="C556" s="420"/>
      <c r="D556" s="421"/>
      <c r="E556" s="422" t="s">
        <v>1285</v>
      </c>
      <c r="F556" s="423" t="s">
        <v>361</v>
      </c>
      <c r="G556" s="424">
        <v>2017</v>
      </c>
      <c r="H556" s="425" t="s">
        <v>73</v>
      </c>
      <c r="I556" s="425"/>
      <c r="J556" s="420"/>
      <c r="K556" s="420"/>
      <c r="L556" s="420"/>
      <c r="M556" s="819"/>
      <c r="N556" s="819"/>
    </row>
    <row r="557" spans="1:28" x14ac:dyDescent="0.2">
      <c r="B557" s="426" t="s">
        <v>74</v>
      </c>
      <c r="C557" s="420"/>
      <c r="D557" s="420"/>
      <c r="E557" s="427"/>
      <c r="F557" s="428"/>
      <c r="G557" s="420"/>
      <c r="H557" s="429"/>
      <c r="I557" s="429"/>
      <c r="J557" s="420"/>
      <c r="K557" s="420"/>
      <c r="L557" s="420"/>
      <c r="M557" s="819"/>
      <c r="N557" s="819"/>
    </row>
    <row r="558" spans="1:28" x14ac:dyDescent="0.2">
      <c r="B558" s="430"/>
      <c r="C558" s="430"/>
      <c r="D558" s="430"/>
      <c r="E558" s="430"/>
      <c r="F558" s="430"/>
      <c r="G558" s="430"/>
      <c r="H558" s="430"/>
      <c r="I558" s="430"/>
      <c r="J558" s="430"/>
      <c r="K558" s="430"/>
      <c r="L558" s="430"/>
      <c r="M558" s="819"/>
      <c r="N558" s="819"/>
    </row>
    <row r="559" spans="1:28" x14ac:dyDescent="0.2">
      <c r="B559" s="430"/>
      <c r="C559" s="430"/>
      <c r="D559" s="430"/>
      <c r="E559" s="430"/>
      <c r="F559" s="430"/>
      <c r="G559" s="430"/>
      <c r="H559" s="423"/>
      <c r="I559" s="423"/>
      <c r="J559" s="423"/>
      <c r="K559" s="423"/>
      <c r="L559" s="430"/>
      <c r="M559" s="819"/>
      <c r="N559" s="819"/>
    </row>
    <row r="560" spans="1:28" x14ac:dyDescent="0.2">
      <c r="B560" s="431"/>
      <c r="C560" s="432" t="s">
        <v>609</v>
      </c>
      <c r="D560" s="433" t="s">
        <v>75</v>
      </c>
      <c r="E560" s="433"/>
      <c r="F560" s="433" t="s">
        <v>210</v>
      </c>
      <c r="G560" s="433"/>
      <c r="H560" s="434" t="s">
        <v>211</v>
      </c>
      <c r="I560" s="435"/>
      <c r="J560" s="435"/>
      <c r="K560" s="435"/>
      <c r="L560" s="454"/>
      <c r="M560" s="820"/>
      <c r="N560" s="820"/>
    </row>
    <row r="561" spans="2:26" x14ac:dyDescent="0.2">
      <c r="B561" s="436" t="s">
        <v>212</v>
      </c>
      <c r="C561" s="437" t="s">
        <v>213</v>
      </c>
      <c r="D561" s="437" t="s">
        <v>616</v>
      </c>
      <c r="E561" s="437" t="s">
        <v>214</v>
      </c>
      <c r="F561" s="437" t="s">
        <v>617</v>
      </c>
      <c r="G561" s="437" t="s">
        <v>215</v>
      </c>
      <c r="H561" s="438" t="s">
        <v>164</v>
      </c>
      <c r="I561" s="435"/>
      <c r="J561" s="438" t="s">
        <v>216</v>
      </c>
      <c r="K561" s="435"/>
      <c r="L561" s="455" t="s">
        <v>722</v>
      </c>
      <c r="M561" s="820"/>
      <c r="N561" s="820"/>
      <c r="O561" s="520" t="s">
        <v>852</v>
      </c>
      <c r="P561" s="520"/>
      <c r="Q561" s="520"/>
      <c r="R561" s="520"/>
      <c r="U561" s="363" t="s">
        <v>842</v>
      </c>
      <c r="Y561" s="354" t="s">
        <v>851</v>
      </c>
      <c r="Z561" s="354" t="s">
        <v>753</v>
      </c>
    </row>
    <row r="562" spans="2:26" x14ac:dyDescent="0.2">
      <c r="B562" s="439"/>
      <c r="C562" s="440"/>
      <c r="D562" s="440"/>
      <c r="E562" s="439"/>
      <c r="F562" s="439"/>
      <c r="G562" s="439"/>
      <c r="H562" s="441" t="s">
        <v>723</v>
      </c>
      <c r="I562" s="442" t="s">
        <v>724</v>
      </c>
      <c r="J562" s="456" t="s">
        <v>725</v>
      </c>
      <c r="K562" s="456" t="s">
        <v>157</v>
      </c>
      <c r="L562" s="457" t="s">
        <v>164</v>
      </c>
      <c r="M562" s="820"/>
      <c r="N562" s="820"/>
      <c r="O562" s="476" t="s">
        <v>254</v>
      </c>
      <c r="P562" s="299">
        <v>51000000001</v>
      </c>
      <c r="Q562" s="448" t="s">
        <v>835</v>
      </c>
      <c r="R562" s="822">
        <f>SUMIFS($J$564:$J$590,$E$564:$E$590,Q562,$M$564:$M$590,P562)</f>
        <v>0</v>
      </c>
      <c r="T562" s="354">
        <v>51000200001</v>
      </c>
      <c r="U562" s="354" t="s">
        <v>787</v>
      </c>
      <c r="X562" s="366">
        <v>-1593.49</v>
      </c>
      <c r="Y562" s="366">
        <f>R565</f>
        <v>0</v>
      </c>
      <c r="Z562" s="450">
        <v>0</v>
      </c>
    </row>
    <row r="563" spans="2:26" x14ac:dyDescent="0.2">
      <c r="B563" s="443"/>
      <c r="C563" s="444"/>
      <c r="D563" s="444"/>
      <c r="E563" s="445"/>
      <c r="F563" s="446"/>
      <c r="G563" s="821"/>
      <c r="H563" s="822"/>
      <c r="I563" s="822"/>
      <c r="J563" s="822"/>
      <c r="K563" s="822"/>
      <c r="L563" s="822"/>
      <c r="M563" s="823"/>
      <c r="N563" s="823"/>
      <c r="O563" s="476" t="s">
        <v>254</v>
      </c>
      <c r="P563" s="299">
        <v>51000000002</v>
      </c>
      <c r="Q563" s="448" t="s">
        <v>835</v>
      </c>
      <c r="R563" s="822">
        <f t="shared" ref="R563:R581" si="48">SUMIFS($J$564:$J$590,$E$564:$E$590,Q563,$M$564:$M$590,P563)</f>
        <v>0</v>
      </c>
      <c r="T563" s="354">
        <v>51000200002</v>
      </c>
      <c r="U563" s="354" t="s">
        <v>788</v>
      </c>
      <c r="X563" s="366">
        <v>-1593.49</v>
      </c>
      <c r="Y563" s="366">
        <f>R567</f>
        <v>0</v>
      </c>
      <c r="Z563" s="450">
        <v>0</v>
      </c>
    </row>
    <row r="564" spans="2:26" x14ac:dyDescent="0.2">
      <c r="B564" s="956">
        <v>43474</v>
      </c>
      <c r="C564" s="444" t="s">
        <v>1256</v>
      </c>
      <c r="D564" s="444" t="s">
        <v>834</v>
      </c>
      <c r="E564" s="557" t="s">
        <v>835</v>
      </c>
      <c r="F564" s="557" t="s">
        <v>158</v>
      </c>
      <c r="G564" s="560"/>
      <c r="H564" s="558"/>
      <c r="I564" s="558"/>
      <c r="J564" s="558">
        <v>239.73</v>
      </c>
      <c r="K564" s="449">
        <v>31.16</v>
      </c>
      <c r="L564" s="822">
        <f t="shared" ref="L564:L571" si="49">+J564+K564</f>
        <v>270.89</v>
      </c>
      <c r="M564" s="839">
        <v>51000200002</v>
      </c>
      <c r="N564" s="823"/>
      <c r="O564" s="476" t="s">
        <v>254</v>
      </c>
      <c r="P564" s="299">
        <v>51000100001</v>
      </c>
      <c r="Q564" s="448" t="s">
        <v>835</v>
      </c>
      <c r="R564" s="822">
        <f t="shared" si="48"/>
        <v>0</v>
      </c>
      <c r="T564" s="354">
        <v>51000100001</v>
      </c>
      <c r="U564" s="366" t="s">
        <v>12</v>
      </c>
      <c r="X564" s="366"/>
    </row>
    <row r="565" spans="2:26" x14ac:dyDescent="0.2">
      <c r="B565" s="956">
        <v>43474</v>
      </c>
      <c r="C565" s="444" t="s">
        <v>1257</v>
      </c>
      <c r="D565" s="444" t="s">
        <v>834</v>
      </c>
      <c r="E565" s="557" t="s">
        <v>835</v>
      </c>
      <c r="F565" s="557" t="s">
        <v>158</v>
      </c>
      <c r="G565" s="557"/>
      <c r="H565" s="558"/>
      <c r="I565" s="558"/>
      <c r="J565" s="558">
        <v>239.73</v>
      </c>
      <c r="K565" s="449">
        <v>31.16</v>
      </c>
      <c r="L565" s="822">
        <f t="shared" si="49"/>
        <v>270.89</v>
      </c>
      <c r="M565" s="839">
        <v>51000200001</v>
      </c>
      <c r="N565" s="823"/>
      <c r="O565" s="476" t="s">
        <v>254</v>
      </c>
      <c r="P565" s="299">
        <v>51000100001</v>
      </c>
      <c r="Q565" s="448" t="s">
        <v>864</v>
      </c>
      <c r="R565" s="822">
        <f t="shared" si="48"/>
        <v>0</v>
      </c>
      <c r="T565" s="354">
        <v>51000100002</v>
      </c>
      <c r="U565" s="366" t="s">
        <v>786</v>
      </c>
      <c r="X565" s="366"/>
    </row>
    <row r="566" spans="2:26" x14ac:dyDescent="0.2">
      <c r="B566" s="447">
        <v>43476</v>
      </c>
      <c r="C566" s="444" t="s">
        <v>1258</v>
      </c>
      <c r="D566" s="444" t="s">
        <v>834</v>
      </c>
      <c r="E566" s="557" t="s">
        <v>835</v>
      </c>
      <c r="F566" s="557" t="s">
        <v>158</v>
      </c>
      <c r="G566" s="560"/>
      <c r="H566" s="558"/>
      <c r="I566" s="558"/>
      <c r="J566" s="558">
        <v>95.89</v>
      </c>
      <c r="K566" s="449">
        <v>12.47</v>
      </c>
      <c r="L566" s="822">
        <f t="shared" si="49"/>
        <v>108.36</v>
      </c>
      <c r="M566" s="839">
        <v>51000200002</v>
      </c>
      <c r="N566" s="823"/>
      <c r="O566" s="476" t="s">
        <v>254</v>
      </c>
      <c r="P566" s="299">
        <v>51000100002</v>
      </c>
      <c r="Q566" s="448" t="s">
        <v>835</v>
      </c>
      <c r="R566" s="822">
        <f t="shared" si="48"/>
        <v>0</v>
      </c>
      <c r="T566" s="354">
        <v>51220200001</v>
      </c>
      <c r="U566" s="354" t="s">
        <v>96</v>
      </c>
      <c r="X566" s="366">
        <v>-1585.92</v>
      </c>
      <c r="Y566" s="366">
        <f>R574+R581</f>
        <v>1368.47</v>
      </c>
      <c r="Z566" s="450">
        <f>X566+Y566</f>
        <v>-217.45000000000005</v>
      </c>
    </row>
    <row r="567" spans="2:26" x14ac:dyDescent="0.2">
      <c r="B567" s="447">
        <v>43476</v>
      </c>
      <c r="C567" s="444" t="s">
        <v>1259</v>
      </c>
      <c r="D567" s="444" t="s">
        <v>834</v>
      </c>
      <c r="E567" s="557" t="s">
        <v>835</v>
      </c>
      <c r="F567" s="557" t="s">
        <v>158</v>
      </c>
      <c r="G567" s="560"/>
      <c r="H567" s="558"/>
      <c r="I567" s="558"/>
      <c r="J567" s="558">
        <v>95.89</v>
      </c>
      <c r="K567" s="449">
        <v>12.47</v>
      </c>
      <c r="L567" s="822">
        <f t="shared" si="49"/>
        <v>108.36</v>
      </c>
      <c r="M567" s="839">
        <v>51000200001</v>
      </c>
      <c r="N567" s="823"/>
      <c r="O567" s="476" t="s">
        <v>254</v>
      </c>
      <c r="P567" s="299">
        <v>51000100002</v>
      </c>
      <c r="Q567" s="448" t="s">
        <v>864</v>
      </c>
      <c r="R567" s="822">
        <f t="shared" si="48"/>
        <v>0</v>
      </c>
      <c r="T567" s="942">
        <v>52200000001</v>
      </c>
      <c r="U567" s="942" t="s">
        <v>66</v>
      </c>
      <c r="V567" s="942"/>
      <c r="W567" s="942"/>
      <c r="X567" s="943"/>
      <c r="Y567" s="366">
        <v>0</v>
      </c>
      <c r="Z567" s="450">
        <v>0</v>
      </c>
    </row>
    <row r="568" spans="2:26" x14ac:dyDescent="0.2">
      <c r="B568" s="447">
        <v>43480</v>
      </c>
      <c r="C568" s="444" t="s">
        <v>1260</v>
      </c>
      <c r="D568" s="444" t="s">
        <v>834</v>
      </c>
      <c r="E568" s="557" t="s">
        <v>835</v>
      </c>
      <c r="F568" s="557" t="s">
        <v>158</v>
      </c>
      <c r="G568" s="557"/>
      <c r="H568" s="558"/>
      <c r="I568" s="558"/>
      <c r="J568" s="558">
        <v>91.35</v>
      </c>
      <c r="K568" s="449">
        <v>11.88</v>
      </c>
      <c r="L568" s="822">
        <f t="shared" si="49"/>
        <v>103.22999999999999</v>
      </c>
      <c r="M568" s="839">
        <v>51000200002</v>
      </c>
      <c r="N568" s="823"/>
      <c r="O568" s="476" t="s">
        <v>254</v>
      </c>
      <c r="P568" s="716">
        <v>51000200001</v>
      </c>
      <c r="Q568" s="706" t="s">
        <v>835</v>
      </c>
      <c r="R568" s="822">
        <f t="shared" si="48"/>
        <v>1593.4899999999998</v>
      </c>
      <c r="X568" s="575">
        <v>0</v>
      </c>
      <c r="Y568" s="366">
        <v>0</v>
      </c>
      <c r="Z568" s="450">
        <v>0</v>
      </c>
    </row>
    <row r="569" spans="2:26" x14ac:dyDescent="0.2">
      <c r="B569" s="447">
        <v>43480</v>
      </c>
      <c r="C569" s="444" t="s">
        <v>1261</v>
      </c>
      <c r="D569" s="444" t="s">
        <v>834</v>
      </c>
      <c r="E569" s="557" t="s">
        <v>835</v>
      </c>
      <c r="F569" s="557" t="s">
        <v>158</v>
      </c>
      <c r="G569" s="557"/>
      <c r="H569" s="558"/>
      <c r="I569" s="558"/>
      <c r="J569" s="558">
        <v>91.35</v>
      </c>
      <c r="K569" s="449">
        <v>11.88</v>
      </c>
      <c r="L569" s="822">
        <f t="shared" si="49"/>
        <v>103.22999999999999</v>
      </c>
      <c r="M569" s="839">
        <v>51000200001</v>
      </c>
      <c r="N569" s="823"/>
      <c r="O569" s="476" t="s">
        <v>254</v>
      </c>
      <c r="P569" s="299">
        <v>51000200001</v>
      </c>
      <c r="Q569" s="448" t="s">
        <v>780</v>
      </c>
      <c r="R569" s="822">
        <f t="shared" si="48"/>
        <v>0</v>
      </c>
      <c r="X569" s="521">
        <v>0</v>
      </c>
      <c r="Y569" s="521">
        <f>R577+R584</f>
        <v>0</v>
      </c>
      <c r="Z569" s="517">
        <v>0</v>
      </c>
    </row>
    <row r="570" spans="2:26" x14ac:dyDescent="0.2">
      <c r="B570" s="447">
        <v>43481</v>
      </c>
      <c r="C570" s="444" t="s">
        <v>1262</v>
      </c>
      <c r="D570" s="444" t="s">
        <v>834</v>
      </c>
      <c r="E570" s="557" t="s">
        <v>835</v>
      </c>
      <c r="F570" s="557" t="s">
        <v>158</v>
      </c>
      <c r="G570" s="557"/>
      <c r="H570" s="558"/>
      <c r="I570" s="558"/>
      <c r="J570" s="558">
        <v>95.89</v>
      </c>
      <c r="K570" s="449">
        <v>12.47</v>
      </c>
      <c r="L570" s="822">
        <f t="shared" si="49"/>
        <v>108.36</v>
      </c>
      <c r="M570" s="839">
        <v>51000200002</v>
      </c>
      <c r="N570" s="823"/>
      <c r="O570" s="476" t="s">
        <v>254</v>
      </c>
      <c r="P570" s="299">
        <v>51000200001</v>
      </c>
      <c r="Q570" s="448" t="s">
        <v>97</v>
      </c>
      <c r="R570" s="822">
        <f t="shared" si="48"/>
        <v>0</v>
      </c>
      <c r="X570" s="507">
        <f>SUM(X562:X566)</f>
        <v>-4772.8999999999996</v>
      </c>
      <c r="Y570" s="507">
        <f>SUM(Y562:Y569)</f>
        <v>1368.47</v>
      </c>
      <c r="Z570" s="507">
        <f>SUM(Z562:Z569)</f>
        <v>-217.45000000000005</v>
      </c>
    </row>
    <row r="571" spans="2:26" x14ac:dyDescent="0.2">
      <c r="B571" s="447">
        <v>43481</v>
      </c>
      <c r="C571" s="444" t="s">
        <v>1263</v>
      </c>
      <c r="D571" s="444" t="s">
        <v>834</v>
      </c>
      <c r="E571" s="557" t="s">
        <v>835</v>
      </c>
      <c r="F571" s="557" t="s">
        <v>158</v>
      </c>
      <c r="G571" s="557"/>
      <c r="H571" s="558"/>
      <c r="I571" s="558"/>
      <c r="J571" s="558">
        <v>95.89</v>
      </c>
      <c r="K571" s="449">
        <v>12.47</v>
      </c>
      <c r="L571" s="822">
        <f t="shared" si="49"/>
        <v>108.36</v>
      </c>
      <c r="M571" s="839">
        <v>51000200001</v>
      </c>
      <c r="N571" s="823"/>
      <c r="O571" s="476" t="s">
        <v>254</v>
      </c>
      <c r="P571" s="716">
        <v>51000200002</v>
      </c>
      <c r="Q571" s="706" t="s">
        <v>835</v>
      </c>
      <c r="R571" s="822">
        <f t="shared" si="48"/>
        <v>1593.4899999999998</v>
      </c>
      <c r="U571" s="366"/>
    </row>
    <row r="572" spans="2:26" x14ac:dyDescent="0.2">
      <c r="B572" s="447">
        <v>43481</v>
      </c>
      <c r="C572" s="444" t="s">
        <v>1264</v>
      </c>
      <c r="D572" s="444" t="s">
        <v>834</v>
      </c>
      <c r="E572" s="448" t="s">
        <v>864</v>
      </c>
      <c r="F572" s="448" t="s">
        <v>865</v>
      </c>
      <c r="G572" s="448"/>
      <c r="H572" s="822"/>
      <c r="I572" s="822"/>
      <c r="J572" s="822">
        <v>346.02</v>
      </c>
      <c r="K572" s="449">
        <v>44.98</v>
      </c>
      <c r="L572" s="822">
        <f>+J572+K572</f>
        <v>391</v>
      </c>
      <c r="M572" s="839">
        <v>51220200001</v>
      </c>
      <c r="N572" s="823"/>
      <c r="O572" s="476" t="s">
        <v>254</v>
      </c>
      <c r="P572" s="299">
        <v>51000200002</v>
      </c>
      <c r="Q572" s="448" t="s">
        <v>780</v>
      </c>
      <c r="R572" s="822">
        <f t="shared" si="48"/>
        <v>0</v>
      </c>
      <c r="U572" s="366"/>
    </row>
    <row r="573" spans="2:26" x14ac:dyDescent="0.2">
      <c r="B573" s="447">
        <v>43481</v>
      </c>
      <c r="C573" s="444" t="s">
        <v>1265</v>
      </c>
      <c r="D573" s="444" t="s">
        <v>834</v>
      </c>
      <c r="E573" s="557" t="s">
        <v>835</v>
      </c>
      <c r="F573" s="557" t="s">
        <v>158</v>
      </c>
      <c r="G573" s="557"/>
      <c r="H573" s="558"/>
      <c r="I573" s="558"/>
      <c r="J573" s="558">
        <v>1022.45</v>
      </c>
      <c r="K573" s="449">
        <v>132.91999999999999</v>
      </c>
      <c r="L573" s="822">
        <f t="shared" ref="L573:L590" si="50">+J573+K573</f>
        <v>1155.3700000000001</v>
      </c>
      <c r="M573" s="839">
        <v>51220200001</v>
      </c>
      <c r="N573" s="823"/>
      <c r="O573" s="476" t="s">
        <v>254</v>
      </c>
      <c r="P573" s="299">
        <v>51000200002</v>
      </c>
      <c r="Q573" s="448" t="s">
        <v>97</v>
      </c>
      <c r="R573" s="822">
        <f t="shared" si="48"/>
        <v>0</v>
      </c>
      <c r="U573" s="366"/>
      <c r="Z573" s="450"/>
    </row>
    <row r="574" spans="2:26" x14ac:dyDescent="0.2">
      <c r="B574" s="447">
        <v>43481</v>
      </c>
      <c r="C574" s="444" t="s">
        <v>1266</v>
      </c>
      <c r="D574" s="444" t="s">
        <v>834</v>
      </c>
      <c r="E574" s="706" t="s">
        <v>918</v>
      </c>
      <c r="F574" s="706" t="s">
        <v>726</v>
      </c>
      <c r="G574" s="706"/>
      <c r="H574" s="708"/>
      <c r="I574" s="708"/>
      <c r="J574" s="708">
        <v>195.46</v>
      </c>
      <c r="K574" s="511">
        <v>25.41</v>
      </c>
      <c r="L574" s="822">
        <f t="shared" si="50"/>
        <v>220.87</v>
      </c>
      <c r="M574" s="823"/>
      <c r="N574" s="823"/>
      <c r="O574" s="476" t="s">
        <v>254</v>
      </c>
      <c r="P574" s="716">
        <v>51220200001</v>
      </c>
      <c r="Q574" s="706" t="s">
        <v>835</v>
      </c>
      <c r="R574" s="822">
        <f t="shared" si="48"/>
        <v>1022.45</v>
      </c>
      <c r="U574" s="366"/>
    </row>
    <row r="575" spans="2:26" x14ac:dyDescent="0.2">
      <c r="B575" s="447">
        <v>43482</v>
      </c>
      <c r="C575" s="444" t="s">
        <v>1267</v>
      </c>
      <c r="D575" s="444" t="s">
        <v>834</v>
      </c>
      <c r="E575" s="557" t="s">
        <v>835</v>
      </c>
      <c r="F575" s="557" t="s">
        <v>158</v>
      </c>
      <c r="G575" s="557"/>
      <c r="H575" s="558"/>
      <c r="I575" s="558"/>
      <c r="J575" s="558">
        <v>95.89</v>
      </c>
      <c r="K575" s="511">
        <v>12.47</v>
      </c>
      <c r="L575" s="822">
        <f t="shared" si="50"/>
        <v>108.36</v>
      </c>
      <c r="M575" s="839">
        <v>51000200002</v>
      </c>
      <c r="N575" s="823"/>
      <c r="O575" s="476" t="s">
        <v>254</v>
      </c>
      <c r="P575" s="299">
        <v>51220200001</v>
      </c>
      <c r="Q575" s="448" t="s">
        <v>780</v>
      </c>
      <c r="R575" s="822">
        <f t="shared" si="48"/>
        <v>0</v>
      </c>
    </row>
    <row r="576" spans="2:26" x14ac:dyDescent="0.2">
      <c r="B576" s="447">
        <v>43482</v>
      </c>
      <c r="C576" s="444" t="s">
        <v>1268</v>
      </c>
      <c r="D576" s="444" t="s">
        <v>834</v>
      </c>
      <c r="E576" s="557" t="s">
        <v>835</v>
      </c>
      <c r="F576" s="557" t="s">
        <v>158</v>
      </c>
      <c r="G576" s="557"/>
      <c r="H576" s="558"/>
      <c r="I576" s="558"/>
      <c r="J576" s="558">
        <v>95.89</v>
      </c>
      <c r="K576" s="511">
        <v>12.47</v>
      </c>
      <c r="L576" s="822">
        <f t="shared" si="50"/>
        <v>108.36</v>
      </c>
      <c r="M576" s="839">
        <v>51000200001</v>
      </c>
      <c r="N576" s="823"/>
      <c r="O576" s="476" t="s">
        <v>254</v>
      </c>
      <c r="P576" s="299">
        <v>51220200001</v>
      </c>
      <c r="Q576" s="448" t="s">
        <v>97</v>
      </c>
      <c r="R576" s="822">
        <f t="shared" si="48"/>
        <v>0</v>
      </c>
    </row>
    <row r="577" spans="2:25" x14ac:dyDescent="0.2">
      <c r="B577" s="447">
        <v>43483</v>
      </c>
      <c r="C577" s="444" t="s">
        <v>1269</v>
      </c>
      <c r="D577" s="444" t="s">
        <v>834</v>
      </c>
      <c r="E577" s="557" t="s">
        <v>835</v>
      </c>
      <c r="F577" s="415" t="s">
        <v>158</v>
      </c>
      <c r="G577" s="560"/>
      <c r="H577" s="558"/>
      <c r="I577" s="558"/>
      <c r="J577" s="558">
        <v>96.37</v>
      </c>
      <c r="K577" s="511">
        <v>12.53</v>
      </c>
      <c r="L577" s="822">
        <f>+J577+K577</f>
        <v>108.9</v>
      </c>
      <c r="M577" s="839">
        <v>51000200002</v>
      </c>
      <c r="N577" s="823"/>
      <c r="O577" s="476" t="s">
        <v>254</v>
      </c>
      <c r="P577" s="299">
        <v>52200000001</v>
      </c>
      <c r="Q577" s="448" t="s">
        <v>835</v>
      </c>
      <c r="R577" s="822">
        <f t="shared" si="48"/>
        <v>0</v>
      </c>
      <c r="W577" s="363" t="s">
        <v>850</v>
      </c>
      <c r="X577" s="450">
        <f>+X563+X566+X562+X568+X569+X564+X565</f>
        <v>-4772.8999999999996</v>
      </c>
    </row>
    <row r="578" spans="2:25" x14ac:dyDescent="0.2">
      <c r="B578" s="447">
        <v>43483</v>
      </c>
      <c r="C578" s="444" t="s">
        <v>1270</v>
      </c>
      <c r="D578" s="444" t="s">
        <v>834</v>
      </c>
      <c r="E578" s="557" t="s">
        <v>835</v>
      </c>
      <c r="F578" s="415" t="s">
        <v>158</v>
      </c>
      <c r="G578" s="560"/>
      <c r="H578" s="558"/>
      <c r="I578" s="558"/>
      <c r="J578" s="558">
        <v>96.37</v>
      </c>
      <c r="K578" s="511">
        <v>12.53</v>
      </c>
      <c r="L578" s="822">
        <f>+J578+K578</f>
        <v>108.9</v>
      </c>
      <c r="M578" s="839">
        <v>51000200001</v>
      </c>
      <c r="N578" s="823"/>
      <c r="O578" s="476" t="s">
        <v>254</v>
      </c>
      <c r="P578" s="299">
        <v>52200000001</v>
      </c>
      <c r="Q578" s="448" t="s">
        <v>780</v>
      </c>
      <c r="R578" s="822">
        <f t="shared" si="48"/>
        <v>0</v>
      </c>
      <c r="W578" s="354" t="s">
        <v>852</v>
      </c>
      <c r="X578" s="450">
        <f>+R582</f>
        <v>4555.4499999999989</v>
      </c>
    </row>
    <row r="579" spans="2:25" x14ac:dyDescent="0.2">
      <c r="B579" s="447">
        <v>43487</v>
      </c>
      <c r="C579" s="444" t="s">
        <v>1271</v>
      </c>
      <c r="D579" s="444" t="s">
        <v>834</v>
      </c>
      <c r="E579" s="557" t="s">
        <v>835</v>
      </c>
      <c r="F579" s="557" t="s">
        <v>158</v>
      </c>
      <c r="G579" s="560"/>
      <c r="H579" s="558"/>
      <c r="I579" s="558"/>
      <c r="J579" s="558">
        <v>143.84</v>
      </c>
      <c r="K579" s="449">
        <v>18.7</v>
      </c>
      <c r="L579" s="822">
        <f t="shared" ref="L579:L583" si="51">+J579+K579</f>
        <v>162.54</v>
      </c>
      <c r="M579" s="839">
        <v>51000200002</v>
      </c>
      <c r="N579" s="823"/>
      <c r="O579" s="476" t="s">
        <v>254</v>
      </c>
      <c r="P579" s="299">
        <v>52200000001</v>
      </c>
      <c r="Q579" s="448" t="s">
        <v>97</v>
      </c>
      <c r="R579" s="822">
        <f t="shared" si="48"/>
        <v>0</v>
      </c>
      <c r="W579" s="354" t="s">
        <v>855</v>
      </c>
      <c r="X579" s="517">
        <f>J574</f>
        <v>195.46</v>
      </c>
    </row>
    <row r="580" spans="2:25" x14ac:dyDescent="0.2">
      <c r="B580" s="447">
        <v>43487</v>
      </c>
      <c r="C580" s="444" t="s">
        <v>1272</v>
      </c>
      <c r="D580" s="444" t="s">
        <v>834</v>
      </c>
      <c r="E580" s="557" t="s">
        <v>835</v>
      </c>
      <c r="F580" s="557" t="s">
        <v>158</v>
      </c>
      <c r="G580" s="560"/>
      <c r="H580" s="558"/>
      <c r="I580" s="558"/>
      <c r="J580" s="558">
        <v>143.84</v>
      </c>
      <c r="K580" s="449">
        <v>18.7</v>
      </c>
      <c r="L580" s="822">
        <f t="shared" si="51"/>
        <v>162.54</v>
      </c>
      <c r="M580" s="839">
        <v>51000200001</v>
      </c>
      <c r="N580" s="823"/>
      <c r="O580" s="476" t="s">
        <v>254</v>
      </c>
      <c r="P580" s="299">
        <v>52200000001</v>
      </c>
      <c r="Q580" s="448" t="s">
        <v>835</v>
      </c>
      <c r="R580" s="822">
        <f t="shared" si="48"/>
        <v>0</v>
      </c>
      <c r="X580" s="944">
        <f>X577+X578+X579</f>
        <v>-21.99000000000072</v>
      </c>
      <c r="Y580" s="354" t="s">
        <v>870</v>
      </c>
    </row>
    <row r="581" spans="2:25" x14ac:dyDescent="0.2">
      <c r="B581" s="447" t="s">
        <v>1273</v>
      </c>
      <c r="C581" s="444" t="s">
        <v>1274</v>
      </c>
      <c r="D581" s="444" t="s">
        <v>834</v>
      </c>
      <c r="E581" s="557" t="s">
        <v>835</v>
      </c>
      <c r="F581" s="557" t="s">
        <v>158</v>
      </c>
      <c r="G581" s="560"/>
      <c r="H581" s="558"/>
      <c r="I581" s="558"/>
      <c r="J581" s="558">
        <v>231.1</v>
      </c>
      <c r="K581" s="449">
        <v>30.04</v>
      </c>
      <c r="L581" s="822">
        <f t="shared" si="51"/>
        <v>261.14</v>
      </c>
      <c r="M581" s="839">
        <v>51000200002</v>
      </c>
      <c r="N581" s="823"/>
      <c r="O581" s="476" t="s">
        <v>254</v>
      </c>
      <c r="P581" s="716">
        <v>51220200001</v>
      </c>
      <c r="Q581" s="706" t="s">
        <v>864</v>
      </c>
      <c r="R581" s="822">
        <f t="shared" si="48"/>
        <v>346.02</v>
      </c>
    </row>
    <row r="582" spans="2:25" ht="13.5" thickBot="1" x14ac:dyDescent="0.25">
      <c r="B582" s="447" t="s">
        <v>1273</v>
      </c>
      <c r="C582" s="444" t="s">
        <v>1275</v>
      </c>
      <c r="D582" s="444" t="s">
        <v>834</v>
      </c>
      <c r="E582" s="557" t="s">
        <v>835</v>
      </c>
      <c r="F582" s="557" t="s">
        <v>158</v>
      </c>
      <c r="G582" s="560"/>
      <c r="H582" s="558"/>
      <c r="I582" s="558"/>
      <c r="J582" s="558">
        <v>231.1</v>
      </c>
      <c r="K582" s="449">
        <v>30.04</v>
      </c>
      <c r="L582" s="822">
        <f t="shared" si="51"/>
        <v>261.14</v>
      </c>
      <c r="M582" s="839">
        <v>51000200001</v>
      </c>
      <c r="N582" s="823"/>
      <c r="R582" s="838">
        <f>SUM(R562:R581)</f>
        <v>4555.4499999999989</v>
      </c>
    </row>
    <row r="583" spans="2:25" ht="13.5" thickTop="1" x14ac:dyDescent="0.2">
      <c r="B583" s="447">
        <v>43489</v>
      </c>
      <c r="C583" s="444" t="s">
        <v>1276</v>
      </c>
      <c r="D583" s="444" t="s">
        <v>834</v>
      </c>
      <c r="E583" s="557" t="s">
        <v>835</v>
      </c>
      <c r="F583" s="557" t="s">
        <v>158</v>
      </c>
      <c r="G583" s="560"/>
      <c r="H583" s="558"/>
      <c r="I583" s="558"/>
      <c r="J583" s="558">
        <v>191.78</v>
      </c>
      <c r="K583" s="449">
        <v>24.93</v>
      </c>
      <c r="L583" s="822">
        <f t="shared" si="51"/>
        <v>216.71</v>
      </c>
      <c r="M583" s="839">
        <v>51000200002</v>
      </c>
      <c r="N583" s="823"/>
    </row>
    <row r="584" spans="2:25" x14ac:dyDescent="0.2">
      <c r="B584" s="447">
        <v>43489</v>
      </c>
      <c r="C584" s="444" t="s">
        <v>1277</v>
      </c>
      <c r="D584" s="444" t="s">
        <v>834</v>
      </c>
      <c r="E584" s="557" t="s">
        <v>835</v>
      </c>
      <c r="F584" s="557" t="s">
        <v>158</v>
      </c>
      <c r="G584" s="560"/>
      <c r="H584" s="558"/>
      <c r="I584" s="558"/>
      <c r="J584" s="558">
        <v>191.78</v>
      </c>
      <c r="K584" s="449">
        <v>24.93</v>
      </c>
      <c r="L584" s="822">
        <f t="shared" si="50"/>
        <v>216.71</v>
      </c>
      <c r="M584" s="839">
        <v>51000200001</v>
      </c>
      <c r="N584" s="823"/>
    </row>
    <row r="585" spans="2:25" x14ac:dyDescent="0.2">
      <c r="B585" s="447">
        <v>43494</v>
      </c>
      <c r="C585" s="444" t="s">
        <v>1278</v>
      </c>
      <c r="D585" s="444" t="s">
        <v>834</v>
      </c>
      <c r="E585" s="557" t="s">
        <v>835</v>
      </c>
      <c r="F585" s="557" t="s">
        <v>158</v>
      </c>
      <c r="G585" s="557"/>
      <c r="H585" s="558"/>
      <c r="I585" s="558"/>
      <c r="J585" s="558">
        <v>143.84</v>
      </c>
      <c r="K585" s="449">
        <v>18.7</v>
      </c>
      <c r="L585" s="822">
        <f t="shared" si="50"/>
        <v>162.54</v>
      </c>
      <c r="M585" s="839">
        <v>51000200002</v>
      </c>
      <c r="N585" s="823"/>
    </row>
    <row r="586" spans="2:25" x14ac:dyDescent="0.2">
      <c r="B586" s="447">
        <v>43494</v>
      </c>
      <c r="C586" s="444" t="s">
        <v>1279</v>
      </c>
      <c r="D586" s="444" t="s">
        <v>834</v>
      </c>
      <c r="E586" s="557" t="s">
        <v>835</v>
      </c>
      <c r="F586" s="557" t="s">
        <v>158</v>
      </c>
      <c r="G586" s="557"/>
      <c r="H586" s="558"/>
      <c r="I586" s="558"/>
      <c r="J586" s="558">
        <v>143.84</v>
      </c>
      <c r="K586" s="449">
        <v>18.7</v>
      </c>
      <c r="L586" s="822">
        <f t="shared" si="50"/>
        <v>162.54</v>
      </c>
      <c r="M586" s="839">
        <v>51000200001</v>
      </c>
      <c r="N586" s="823"/>
    </row>
    <row r="587" spans="2:25" x14ac:dyDescent="0.2">
      <c r="B587" s="447" t="s">
        <v>1280</v>
      </c>
      <c r="C587" s="444" t="s">
        <v>1281</v>
      </c>
      <c r="D587" s="444" t="s">
        <v>834</v>
      </c>
      <c r="E587" s="557" t="s">
        <v>835</v>
      </c>
      <c r="F587" s="557" t="s">
        <v>158</v>
      </c>
      <c r="G587" s="557"/>
      <c r="H587" s="558"/>
      <c r="I587" s="558"/>
      <c r="J587" s="558">
        <v>143.84</v>
      </c>
      <c r="K587" s="449">
        <v>18.7</v>
      </c>
      <c r="L587" s="822">
        <f t="shared" si="50"/>
        <v>162.54</v>
      </c>
      <c r="M587" s="839">
        <v>51000200002</v>
      </c>
      <c r="N587" s="823"/>
    </row>
    <row r="588" spans="2:25" x14ac:dyDescent="0.2">
      <c r="B588" s="447">
        <v>43495</v>
      </c>
      <c r="C588" s="444" t="s">
        <v>1282</v>
      </c>
      <c r="D588" s="444" t="s">
        <v>834</v>
      </c>
      <c r="E588" s="557" t="s">
        <v>835</v>
      </c>
      <c r="F588" s="557" t="s">
        <v>158</v>
      </c>
      <c r="G588" s="557"/>
      <c r="H588" s="558"/>
      <c r="I588" s="558"/>
      <c r="J588" s="558">
        <v>143.84</v>
      </c>
      <c r="K588" s="449">
        <v>18.7</v>
      </c>
      <c r="L588" s="822">
        <f t="shared" si="50"/>
        <v>162.54</v>
      </c>
      <c r="M588" s="839">
        <v>51000200001</v>
      </c>
      <c r="N588" s="823"/>
    </row>
    <row r="589" spans="2:25" x14ac:dyDescent="0.2">
      <c r="B589" s="447">
        <v>43490</v>
      </c>
      <c r="C589" s="444" t="s">
        <v>1283</v>
      </c>
      <c r="D589" s="444" t="s">
        <v>834</v>
      </c>
      <c r="E589" s="557" t="s">
        <v>835</v>
      </c>
      <c r="F589" s="557" t="s">
        <v>158</v>
      </c>
      <c r="G589" s="557"/>
      <c r="H589" s="558"/>
      <c r="I589" s="558"/>
      <c r="J589" s="558">
        <v>23.97</v>
      </c>
      <c r="K589" s="449">
        <v>3.12</v>
      </c>
      <c r="L589" s="822">
        <f t="shared" si="50"/>
        <v>27.09</v>
      </c>
      <c r="M589" s="839">
        <v>51000200002</v>
      </c>
      <c r="N589" s="823"/>
    </row>
    <row r="590" spans="2:25" x14ac:dyDescent="0.2">
      <c r="B590" s="447">
        <v>43490</v>
      </c>
      <c r="C590" s="444" t="s">
        <v>1284</v>
      </c>
      <c r="D590" s="444" t="s">
        <v>834</v>
      </c>
      <c r="E590" s="557" t="s">
        <v>835</v>
      </c>
      <c r="F590" s="557" t="s">
        <v>158</v>
      </c>
      <c r="G590" s="557"/>
      <c r="H590" s="558"/>
      <c r="I590" s="558"/>
      <c r="J590" s="558">
        <v>23.97</v>
      </c>
      <c r="K590" s="449">
        <v>3.12</v>
      </c>
      <c r="L590" s="822">
        <f t="shared" si="50"/>
        <v>27.09</v>
      </c>
      <c r="M590" s="839">
        <v>51000200001</v>
      </c>
      <c r="N590" s="823"/>
    </row>
    <row r="591" spans="2:25" x14ac:dyDescent="0.2">
      <c r="B591" s="447"/>
      <c r="C591" s="444"/>
      <c r="D591" s="444"/>
      <c r="E591" s="448"/>
      <c r="F591" s="448"/>
      <c r="G591" s="448"/>
      <c r="H591" s="822"/>
      <c r="I591" s="822"/>
      <c r="J591" s="822"/>
      <c r="K591" s="449"/>
      <c r="L591" s="822"/>
      <c r="M591" s="823"/>
      <c r="N591" s="823"/>
    </row>
    <row r="592" spans="2:25" x14ac:dyDescent="0.2">
      <c r="B592" s="447"/>
      <c r="C592" s="444"/>
      <c r="D592" s="444"/>
      <c r="E592" s="448"/>
      <c r="F592" s="448"/>
      <c r="G592" s="448"/>
      <c r="H592" s="822"/>
      <c r="I592" s="822"/>
      <c r="J592" s="822"/>
      <c r="K592" s="449"/>
      <c r="L592" s="822"/>
      <c r="M592" s="823"/>
      <c r="N592" s="823"/>
    </row>
    <row r="593" spans="2:14" x14ac:dyDescent="0.2">
      <c r="B593" s="447"/>
      <c r="C593" s="444"/>
      <c r="D593" s="444"/>
      <c r="E593" s="448"/>
      <c r="F593" s="448"/>
      <c r="G593" s="448"/>
      <c r="H593" s="822"/>
      <c r="I593" s="822"/>
      <c r="J593" s="822"/>
      <c r="K593" s="449"/>
      <c r="L593" s="822"/>
      <c r="M593" s="823"/>
      <c r="N593" s="823"/>
    </row>
    <row r="594" spans="2:14" x14ac:dyDescent="0.2">
      <c r="B594" s="447"/>
      <c r="C594" s="444"/>
      <c r="D594" s="444"/>
      <c r="E594" s="448" t="s">
        <v>916</v>
      </c>
      <c r="F594" s="420"/>
      <c r="G594" s="506"/>
      <c r="H594" s="506"/>
      <c r="I594" s="506"/>
      <c r="J594" s="506"/>
      <c r="K594" s="945">
        <v>-617.65</v>
      </c>
      <c r="L594" s="822">
        <f t="shared" ref="L594:L595" si="52">+J594+K594</f>
        <v>-617.65</v>
      </c>
      <c r="M594" s="823"/>
      <c r="N594" s="823"/>
    </row>
    <row r="595" spans="2:14" x14ac:dyDescent="0.2">
      <c r="B595" s="447"/>
      <c r="C595" s="444"/>
      <c r="D595" s="444"/>
      <c r="E595" s="448"/>
      <c r="F595" s="420"/>
      <c r="G595" s="506"/>
      <c r="H595" s="506"/>
      <c r="I595" s="506"/>
      <c r="J595" s="506"/>
      <c r="K595" s="449"/>
      <c r="L595" s="822">
        <f t="shared" si="52"/>
        <v>0</v>
      </c>
      <c r="M595" s="823"/>
      <c r="N595" s="823"/>
    </row>
    <row r="596" spans="2:14" x14ac:dyDescent="0.2">
      <c r="B596" s="447"/>
      <c r="C596" s="444"/>
      <c r="D596" s="444"/>
      <c r="E596" s="448"/>
      <c r="F596" s="420"/>
      <c r="G596" s="506"/>
      <c r="H596" s="506"/>
      <c r="I596" s="506"/>
      <c r="J596" s="506"/>
      <c r="K596" s="449"/>
      <c r="L596" s="822"/>
      <c r="M596" s="823"/>
      <c r="N596" s="823"/>
    </row>
    <row r="597" spans="2:14" x14ac:dyDescent="0.2">
      <c r="B597" s="447"/>
      <c r="C597" s="444"/>
      <c r="D597" s="444"/>
      <c r="E597" s="448"/>
      <c r="F597" s="420"/>
      <c r="G597" s="506"/>
      <c r="H597" s="506"/>
      <c r="I597" s="506"/>
      <c r="J597" s="506"/>
      <c r="K597" s="449"/>
      <c r="L597" s="822"/>
      <c r="M597" s="823"/>
      <c r="N597" s="823"/>
    </row>
    <row r="598" spans="2:14" x14ac:dyDescent="0.2">
      <c r="B598" s="420"/>
      <c r="C598" s="421"/>
      <c r="D598" s="421"/>
      <c r="E598" s="448"/>
      <c r="F598" s="420"/>
      <c r="G598" s="506"/>
      <c r="H598" s="506"/>
      <c r="I598" s="506"/>
      <c r="J598" s="506"/>
      <c r="K598" s="506"/>
      <c r="L598" s="506"/>
      <c r="M598" s="824"/>
      <c r="N598" s="824"/>
    </row>
    <row r="599" spans="2:14" x14ac:dyDescent="0.2">
      <c r="B599" s="512"/>
      <c r="C599" s="513"/>
      <c r="D599" s="513"/>
      <c r="E599" s="448"/>
      <c r="F599" s="512"/>
      <c r="G599" s="514"/>
      <c r="H599" s="514"/>
      <c r="I599" s="514"/>
      <c r="J599" s="514"/>
      <c r="K599" s="514"/>
      <c r="L599" s="514"/>
      <c r="M599" s="819"/>
      <c r="N599" s="819"/>
    </row>
    <row r="600" spans="2:14" x14ac:dyDescent="0.2">
      <c r="B600" s="420"/>
      <c r="C600" s="421"/>
      <c r="D600" s="421"/>
      <c r="E600" s="420"/>
      <c r="F600" s="420"/>
      <c r="G600" s="515">
        <f t="shared" ref="G600:I600" si="53">SUM(G563:G599)</f>
        <v>0</v>
      </c>
      <c r="H600" s="515">
        <f t="shared" si="53"/>
        <v>0</v>
      </c>
      <c r="I600" s="515">
        <f t="shared" si="53"/>
        <v>0</v>
      </c>
      <c r="J600" s="515">
        <f>SUM(J563:J599)</f>
        <v>4750.9100000000008</v>
      </c>
      <c r="K600" s="515">
        <f>SUM(K563:K599)</f>
        <v>0</v>
      </c>
      <c r="L600" s="515">
        <f>SUM(L563:L599)</f>
        <v>4750.9100000000008</v>
      </c>
      <c r="M600" s="819"/>
      <c r="N600" s="819"/>
    </row>
    <row r="601" spans="2:14" x14ac:dyDescent="0.2">
      <c r="B601" s="420"/>
      <c r="C601" s="421"/>
      <c r="D601" s="421"/>
      <c r="E601" s="420"/>
      <c r="F601" s="420"/>
      <c r="G601" s="596"/>
      <c r="H601" s="596"/>
      <c r="I601" s="596"/>
      <c r="J601" s="596"/>
      <c r="K601" s="596"/>
      <c r="L601" s="596"/>
      <c r="M601" s="819"/>
      <c r="N601" s="819"/>
    </row>
    <row r="602" spans="2:14" x14ac:dyDescent="0.2">
      <c r="B602" s="420"/>
      <c r="C602" s="421"/>
      <c r="D602" s="421"/>
      <c r="E602" s="420"/>
      <c r="F602" s="420"/>
      <c r="G602" s="596"/>
      <c r="H602" s="596"/>
      <c r="I602" s="596"/>
      <c r="J602" s="596"/>
      <c r="K602" s="596"/>
      <c r="L602" s="596"/>
      <c r="M602" s="819"/>
      <c r="N602" s="819"/>
    </row>
    <row r="603" spans="2:14" x14ac:dyDescent="0.2">
      <c r="B603" s="420"/>
      <c r="C603" s="421"/>
      <c r="D603" s="421"/>
      <c r="E603" s="420"/>
      <c r="F603" s="420"/>
      <c r="G603" s="596"/>
      <c r="H603" s="596"/>
      <c r="I603" s="596"/>
      <c r="J603" s="596"/>
      <c r="K603" s="596"/>
      <c r="L603" s="596"/>
      <c r="M603" s="819"/>
      <c r="N603" s="819"/>
    </row>
    <row r="604" spans="2:14" x14ac:dyDescent="0.2">
      <c r="B604" s="420"/>
      <c r="C604" s="421"/>
      <c r="D604" s="421"/>
      <c r="E604" s="420"/>
      <c r="F604" s="420"/>
      <c r="G604" s="596"/>
      <c r="H604" s="596"/>
      <c r="I604" s="596"/>
      <c r="J604" s="596"/>
      <c r="K604" s="596"/>
      <c r="L604" s="596"/>
      <c r="M604" s="819"/>
      <c r="N604" s="819"/>
    </row>
    <row r="605" spans="2:14" x14ac:dyDescent="0.2">
      <c r="B605" s="420"/>
      <c r="C605" s="421"/>
      <c r="D605" s="421"/>
      <c r="E605" s="420"/>
      <c r="F605" s="420"/>
      <c r="G605" s="596"/>
      <c r="H605" s="596"/>
      <c r="I605" s="596"/>
      <c r="J605" s="596"/>
      <c r="K605" s="596"/>
      <c r="L605" s="596"/>
      <c r="M605" s="819"/>
      <c r="N605" s="819"/>
    </row>
    <row r="606" spans="2:14" x14ac:dyDescent="0.2">
      <c r="B606" s="420"/>
      <c r="C606" s="421"/>
      <c r="D606" s="421"/>
      <c r="E606" s="420"/>
      <c r="F606" s="420"/>
      <c r="G606" s="420"/>
      <c r="H606" s="420"/>
      <c r="I606" s="420"/>
      <c r="J606" s="420"/>
      <c r="K606" s="420"/>
      <c r="L606" s="420"/>
      <c r="M606" s="819"/>
      <c r="N606" s="819"/>
    </row>
    <row r="607" spans="2:14" x14ac:dyDescent="0.2">
      <c r="B607" s="420"/>
      <c r="C607" s="423" t="s">
        <v>1040</v>
      </c>
      <c r="D607" s="421"/>
      <c r="E607" s="421"/>
      <c r="F607" s="420"/>
      <c r="G607" s="420"/>
      <c r="H607" s="420"/>
      <c r="I607" s="423" t="s">
        <v>1041</v>
      </c>
      <c r="J607" s="420"/>
      <c r="K607" s="420"/>
      <c r="L607" s="420"/>
      <c r="M607" s="819"/>
      <c r="N607" s="819"/>
    </row>
    <row r="608" spans="2:14" x14ac:dyDescent="0.2">
      <c r="B608" s="420"/>
      <c r="C608" s="423"/>
      <c r="D608" s="421"/>
      <c r="E608" s="421"/>
      <c r="F608" s="420"/>
      <c r="G608" s="420"/>
      <c r="H608" s="420"/>
      <c r="I608" s="423"/>
      <c r="J608" s="420"/>
      <c r="K608" s="420"/>
      <c r="L608" s="420"/>
      <c r="M608" s="819"/>
      <c r="N608" s="819"/>
    </row>
    <row r="609" spans="2:14" x14ac:dyDescent="0.2">
      <c r="B609" s="420"/>
      <c r="C609" s="420" t="s">
        <v>215</v>
      </c>
      <c r="D609" s="421"/>
      <c r="E609" s="421"/>
      <c r="F609" s="420"/>
      <c r="G609" s="697">
        <v>0</v>
      </c>
      <c r="H609" s="420"/>
      <c r="I609" s="420" t="s">
        <v>215</v>
      </c>
      <c r="J609" s="420"/>
      <c r="K609" s="420"/>
      <c r="L609" s="697">
        <v>0</v>
      </c>
      <c r="M609" s="819"/>
      <c r="N609" s="819"/>
    </row>
    <row r="610" spans="2:14" x14ac:dyDescent="0.2">
      <c r="B610" s="420"/>
      <c r="C610" s="420"/>
      <c r="D610" s="421"/>
      <c r="E610" s="421"/>
      <c r="F610" s="420"/>
      <c r="G610" s="420"/>
      <c r="H610" s="420"/>
      <c r="I610" s="420"/>
      <c r="J610" s="420"/>
      <c r="K610" s="420"/>
      <c r="L610" s="420"/>
      <c r="M610" s="819"/>
      <c r="N610" s="819"/>
    </row>
    <row r="611" spans="2:14" x14ac:dyDescent="0.2">
      <c r="B611" s="420"/>
      <c r="C611" s="420" t="s">
        <v>1042</v>
      </c>
      <c r="D611" s="421"/>
      <c r="E611" s="421"/>
      <c r="F611" s="420"/>
      <c r="G611" s="697">
        <v>0</v>
      </c>
      <c r="H611" s="420"/>
      <c r="I611" s="420" t="s">
        <v>1042</v>
      </c>
      <c r="J611" s="420"/>
      <c r="K611" s="420"/>
      <c r="L611" s="697">
        <v>0</v>
      </c>
      <c r="M611" s="819"/>
      <c r="N611" s="819"/>
    </row>
    <row r="612" spans="2:14" x14ac:dyDescent="0.2">
      <c r="B612" s="420"/>
      <c r="C612" s="420"/>
      <c r="D612" s="421"/>
      <c r="E612" s="421"/>
      <c r="F612" s="420"/>
      <c r="G612" s="697"/>
      <c r="H612" s="420"/>
      <c r="I612" s="420"/>
      <c r="J612" s="420"/>
      <c r="K612" s="420"/>
      <c r="L612" s="697"/>
      <c r="M612" s="819"/>
      <c r="N612" s="819"/>
    </row>
    <row r="613" spans="2:14" x14ac:dyDescent="0.2">
      <c r="B613" s="420"/>
      <c r="C613" s="420"/>
      <c r="D613" s="421"/>
      <c r="E613" s="421"/>
      <c r="F613" s="420"/>
      <c r="G613" s="697"/>
      <c r="H613" s="420"/>
      <c r="I613" s="420"/>
      <c r="J613" s="420"/>
      <c r="K613" s="420"/>
      <c r="L613" s="697"/>
      <c r="M613" s="819"/>
      <c r="N613" s="819"/>
    </row>
    <row r="614" spans="2:14" x14ac:dyDescent="0.2">
      <c r="B614" s="420"/>
      <c r="C614" s="420" t="s">
        <v>1043</v>
      </c>
      <c r="D614" s="421"/>
      <c r="E614" s="421"/>
      <c r="F614" s="420"/>
      <c r="G614" s="697"/>
      <c r="H614" s="420"/>
      <c r="I614" s="420" t="s">
        <v>1043</v>
      </c>
      <c r="J614" s="420"/>
      <c r="K614" s="420"/>
      <c r="L614" s="697"/>
      <c r="M614" s="819"/>
      <c r="N614" s="819"/>
    </row>
    <row r="615" spans="2:14" x14ac:dyDescent="0.2">
      <c r="B615" s="420"/>
      <c r="C615" s="420" t="s">
        <v>216</v>
      </c>
      <c r="D615" s="421"/>
      <c r="E615" s="421"/>
      <c r="F615" s="420"/>
      <c r="G615" s="697">
        <f>+'[6]reportes consumidor final'!J588</f>
        <v>0</v>
      </c>
      <c r="H615" s="420"/>
      <c r="I615" s="420" t="s">
        <v>216</v>
      </c>
      <c r="J615" s="420"/>
      <c r="K615" s="420"/>
      <c r="L615" s="697">
        <f>+J600</f>
        <v>4750.9100000000008</v>
      </c>
      <c r="M615" s="819"/>
      <c r="N615" s="819"/>
    </row>
    <row r="616" spans="2:14" x14ac:dyDescent="0.2">
      <c r="B616" s="420"/>
      <c r="C616" s="420" t="s">
        <v>1044</v>
      </c>
      <c r="D616" s="421"/>
      <c r="E616" s="421"/>
      <c r="F616" s="420"/>
      <c r="G616" s="698">
        <f>+G615*0.13</f>
        <v>0</v>
      </c>
      <c r="H616" s="420"/>
      <c r="I616" s="420" t="s">
        <v>1044</v>
      </c>
      <c r="J616" s="420"/>
      <c r="K616" s="420"/>
      <c r="L616" s="698">
        <f>+K600</f>
        <v>0</v>
      </c>
      <c r="M616" s="819"/>
      <c r="N616" s="819"/>
    </row>
    <row r="617" spans="2:14" x14ac:dyDescent="0.2">
      <c r="B617" s="420"/>
      <c r="C617" s="420"/>
      <c r="D617" s="421"/>
      <c r="E617" s="421"/>
      <c r="F617" s="420"/>
      <c r="G617" s="697"/>
      <c r="H617" s="420"/>
      <c r="I617" s="420"/>
      <c r="J617" s="420"/>
      <c r="K617" s="420"/>
      <c r="L617" s="697"/>
      <c r="M617" s="819"/>
      <c r="N617" s="819"/>
    </row>
    <row r="618" spans="2:14" ht="13.5" thickBot="1" x14ac:dyDescent="0.25">
      <c r="B618" s="420"/>
      <c r="C618" s="420" t="s">
        <v>1045</v>
      </c>
      <c r="D618" s="421"/>
      <c r="E618" s="421"/>
      <c r="F618" s="420"/>
      <c r="G618" s="699">
        <f>SUM(G609:G616)</f>
        <v>0</v>
      </c>
      <c r="H618" s="420"/>
      <c r="I618" s="420" t="s">
        <v>1045</v>
      </c>
      <c r="J618" s="420"/>
      <c r="K618" s="420"/>
      <c r="L618" s="699">
        <f>SUM(L615:L617)</f>
        <v>4750.9100000000008</v>
      </c>
      <c r="M618" s="819"/>
      <c r="N618" s="819"/>
    </row>
    <row r="619" spans="2:14" ht="13.5" thickTop="1" x14ac:dyDescent="0.2"/>
  </sheetData>
  <pageMargins left="0.08" right="0.08" top="1.07" bottom="0.23622047244094491" header="0" footer="0"/>
  <pageSetup scale="2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Balance General SSF</vt:lpstr>
      <vt:lpstr>Estado Resultados SSF</vt:lpstr>
      <vt:lpstr>Operaciones Bursatiles SSF</vt:lpstr>
      <vt:lpstr>Operaciones admon cartera SSF</vt:lpstr>
      <vt:lpstr>Fondo Valores</vt:lpstr>
      <vt:lpstr>Anexos valores</vt:lpstr>
      <vt:lpstr>Intercompany Balance</vt:lpstr>
      <vt:lpstr>Intercompany Resultados</vt:lpstr>
      <vt:lpstr>Ventas CCF</vt:lpstr>
      <vt:lpstr>CONSUMIDOR FINAL</vt:lpstr>
      <vt:lpstr>Compras </vt:lpstr>
      <vt:lpstr>'Anexos valores'!Área_de_impresión</vt:lpstr>
      <vt:lpstr>'Balance General SSF'!Área_de_impresión</vt:lpstr>
      <vt:lpstr>'Estado Resultados SSF'!Área_de_impresión</vt:lpstr>
      <vt:lpstr>'Fondo Valores'!Área_de_impresión</vt:lpstr>
      <vt:lpstr>'Operaciones admon cartera SSF'!Área_de_impresión</vt:lpstr>
      <vt:lpstr>'Operaciones Bursatiles SSF'!Área_de_impresión</vt:lpstr>
      <vt:lpstr>'Anexos valores'!Títulos_a_imprimir</vt:lpstr>
      <vt:lpstr>'Balance General SSF'!Títulos_a_imprimir</vt:lpstr>
      <vt:lpstr>'Compras '!Títulos_a_imprimir</vt:lpstr>
      <vt:lpstr>'Ventas CCF'!Títulos_a_imprimir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2019-04-04T15:37:05Z</cp:lastPrinted>
  <dcterms:created xsi:type="dcterms:W3CDTF">1999-07-22T05:06:38Z</dcterms:created>
  <dcterms:modified xsi:type="dcterms:W3CDTF">2019-04-04T15:37:08Z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